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ee\AER27\Powertrain\Drivetrain\"/>
    </mc:Choice>
  </mc:AlternateContent>
  <xr:revisionPtr revIDLastSave="0" documentId="13_ncr:1_{7BC92C33-57CC-4AA7-A533-FC05CAC0C85E}" xr6:coauthVersionLast="47" xr6:coauthVersionMax="47" xr10:uidLastSave="{00000000-0000-0000-0000-000000000000}"/>
  <bookViews>
    <workbookView xWindow="5772" yWindow="372" windowWidth="11712" windowHeight="12336" firstSheet="1" activeTab="1" xr2:uid="{5C835DEC-E8F9-4210-9262-A55FC8411BA0}"/>
  </bookViews>
  <sheets>
    <sheet name="TORQUE TARGET CALCS" sheetId="5" r:id="rId1"/>
    <sheet name="ASSUMPTIONS" sheetId="1" r:id="rId2"/>
    <sheet name="CHAIN SELECTION" sheetId="2" r:id="rId3"/>
    <sheet name="SPROCKET GEOMETRY" sheetId="4" r:id="rId4"/>
    <sheet name="CALCULATIONS" sheetId="3" r:id="rId5"/>
    <sheet name="FEA LOAD CALCULATIONS" sheetId="6" r:id="rId6"/>
    <sheet name="FEA DOCUMENTATION" sheetId="7" r:id="rId7"/>
    <sheet name="MASS TARGETS" sheetId="8" r:id="rId8"/>
    <sheet name="BOLT SHEAR CALCULATI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12" i="6"/>
  <c r="E12" i="6"/>
  <c r="D12" i="6"/>
  <c r="C12" i="6"/>
  <c r="H12" i="6"/>
  <c r="C10" i="8"/>
  <c r="C9" i="8"/>
  <c r="G8" i="8"/>
  <c r="G4" i="8"/>
  <c r="G5" i="8"/>
  <c r="G6" i="8"/>
  <c r="G7" i="8"/>
  <c r="G3" i="8"/>
  <c r="F4" i="8"/>
  <c r="F8" i="8" s="1"/>
  <c r="F5" i="8"/>
  <c r="F6" i="8"/>
  <c r="F7" i="8"/>
  <c r="F3" i="8"/>
  <c r="C8" i="8"/>
  <c r="E8" i="8"/>
  <c r="N20" i="6"/>
  <c r="N19" i="6"/>
  <c r="N18" i="6"/>
  <c r="E14" i="6" l="1"/>
  <c r="D14" i="6"/>
  <c r="C14" i="6"/>
  <c r="E13" i="6"/>
  <c r="D13" i="6"/>
  <c r="C13" i="6"/>
  <c r="J12" i="6"/>
  <c r="I12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14" i="6"/>
  <c r="I18" i="6"/>
  <c r="I15" i="6"/>
  <c r="I16" i="6"/>
  <c r="I17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14" i="6"/>
  <c r="H30" i="6"/>
  <c r="H31" i="6"/>
  <c r="H32" i="6"/>
  <c r="H33" i="6"/>
  <c r="H34" i="6"/>
  <c r="H35" i="6"/>
  <c r="H36" i="6"/>
  <c r="H37" i="6"/>
  <c r="H38" i="6"/>
  <c r="H39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14" i="6"/>
  <c r="H13" i="6"/>
  <c r="J13" i="6"/>
  <c r="I13" i="6"/>
  <c r="J9" i="6"/>
  <c r="I9" i="6"/>
  <c r="H9" i="6"/>
  <c r="E9" i="6"/>
  <c r="D9" i="6"/>
  <c r="C9" i="6"/>
  <c r="J8" i="6"/>
  <c r="I8" i="6"/>
  <c r="E8" i="6"/>
  <c r="H8" i="6"/>
  <c r="D8" i="6"/>
  <c r="C8" i="6"/>
  <c r="J6" i="6"/>
  <c r="I6" i="6"/>
  <c r="H6" i="6"/>
  <c r="E6" i="6"/>
  <c r="D6" i="6"/>
  <c r="C6" i="6"/>
  <c r="J7" i="6"/>
  <c r="I7" i="6"/>
  <c r="H7" i="6"/>
  <c r="E7" i="6"/>
  <c r="D7" i="6"/>
  <c r="C7" i="6"/>
  <c r="J5" i="6"/>
  <c r="I5" i="6"/>
  <c r="H5" i="6"/>
  <c r="E5" i="6"/>
  <c r="D5" i="6"/>
  <c r="C5" i="6"/>
  <c r="E43" i="3"/>
  <c r="D43" i="3"/>
  <c r="C43" i="3"/>
  <c r="E41" i="3"/>
  <c r="D41" i="3"/>
  <c r="C41" i="3"/>
  <c r="E40" i="3"/>
  <c r="D40" i="3"/>
  <c r="C40" i="3"/>
  <c r="E42" i="3"/>
  <c r="D42" i="3"/>
  <c r="C42" i="3"/>
  <c r="E26" i="2"/>
  <c r="D26" i="2"/>
  <c r="C26" i="2"/>
  <c r="G12" i="1"/>
  <c r="C31" i="3"/>
  <c r="C30" i="3"/>
  <c r="D30" i="3" s="1"/>
  <c r="E30" i="3" s="1"/>
  <c r="C29" i="3"/>
  <c r="D29" i="3" s="1"/>
  <c r="E12" i="3"/>
  <c r="D12" i="3"/>
  <c r="C12" i="3"/>
  <c r="E11" i="3"/>
  <c r="D11" i="3"/>
  <c r="C11" i="3"/>
  <c r="E10" i="3"/>
  <c r="D10" i="3"/>
  <c r="C10" i="3"/>
  <c r="C5" i="3"/>
  <c r="D5" i="3"/>
  <c r="E5" i="3"/>
  <c r="C6" i="3"/>
  <c r="D6" i="3"/>
  <c r="E6" i="3"/>
  <c r="C8" i="3"/>
  <c r="D8" i="3"/>
  <c r="E8" i="3"/>
  <c r="E22" i="3" s="1"/>
  <c r="C9" i="3"/>
  <c r="D9" i="3"/>
  <c r="E9" i="3"/>
  <c r="C21" i="3"/>
  <c r="D21" i="3"/>
  <c r="E21" i="3"/>
  <c r="R42" i="4"/>
  <c r="R43" i="4"/>
  <c r="R44" i="4"/>
  <c r="R45" i="4"/>
  <c r="R46" i="4"/>
  <c r="R41" i="4"/>
  <c r="O42" i="4"/>
  <c r="O43" i="4"/>
  <c r="O44" i="4"/>
  <c r="O45" i="4"/>
  <c r="O46" i="4"/>
  <c r="O41" i="4"/>
  <c r="I51" i="4"/>
  <c r="I52" i="4"/>
  <c r="I53" i="4"/>
  <c r="I54" i="4"/>
  <c r="I55" i="4"/>
  <c r="I50" i="4"/>
  <c r="K51" i="4"/>
  <c r="K52" i="4"/>
  <c r="K53" i="4"/>
  <c r="K54" i="4"/>
  <c r="K55" i="4"/>
  <c r="K50" i="4"/>
  <c r="J51" i="4"/>
  <c r="J52" i="4"/>
  <c r="J53" i="4"/>
  <c r="J54" i="4"/>
  <c r="J55" i="4"/>
  <c r="J50" i="4"/>
  <c r="L46" i="4"/>
  <c r="L44" i="4"/>
  <c r="M44" i="4" s="1"/>
  <c r="S44" i="4" s="1"/>
  <c r="L43" i="4"/>
  <c r="L42" i="4"/>
  <c r="P41" i="4"/>
  <c r="N42" i="4"/>
  <c r="N43" i="4"/>
  <c r="N44" i="4"/>
  <c r="N45" i="4"/>
  <c r="N46" i="4"/>
  <c r="N41" i="4"/>
  <c r="S41" i="4"/>
  <c r="M43" i="4"/>
  <c r="P43" i="4" s="1"/>
  <c r="M41" i="4"/>
  <c r="E27" i="2"/>
  <c r="D27" i="2"/>
  <c r="C27" i="2"/>
  <c r="K45" i="4"/>
  <c r="L45" i="4" s="1"/>
  <c r="M45" i="4" s="1"/>
  <c r="K46" i="4"/>
  <c r="K44" i="4"/>
  <c r="O29" i="4"/>
  <c r="O30" i="4" s="1"/>
  <c r="J33" i="4"/>
  <c r="J32" i="4"/>
  <c r="J31" i="4"/>
  <c r="J30" i="4"/>
  <c r="J29" i="4"/>
  <c r="O20" i="4"/>
  <c r="J20" i="4"/>
  <c r="O17" i="4"/>
  <c r="J17" i="4"/>
  <c r="J10" i="4"/>
  <c r="J11" i="4" s="1"/>
  <c r="J6" i="4"/>
  <c r="O6" i="4" s="1"/>
  <c r="J7" i="4"/>
  <c r="H35" i="2"/>
  <c r="J8" i="4"/>
  <c r="O8" i="4" s="1"/>
  <c r="J4" i="4"/>
  <c r="K43" i="4" s="1"/>
  <c r="C17" i="2"/>
  <c r="I35" i="2"/>
  <c r="E14" i="2"/>
  <c r="D14" i="2"/>
  <c r="C14" i="2"/>
  <c r="E5" i="1"/>
  <c r="C5" i="1"/>
  <c r="M8" i="5"/>
  <c r="M7" i="5"/>
  <c r="M9" i="5" s="1"/>
  <c r="M11" i="5" s="1"/>
  <c r="L8" i="5"/>
  <c r="L7" i="5"/>
  <c r="L9" i="5" s="1"/>
  <c r="L11" i="5" s="1"/>
  <c r="K8" i="5"/>
  <c r="K7" i="5"/>
  <c r="K9" i="5" s="1"/>
  <c r="K11" i="5" s="1"/>
  <c r="C10" i="5"/>
  <c r="E4" i="1" s="1"/>
  <c r="C7" i="5"/>
  <c r="E29" i="3" l="1"/>
  <c r="E31" i="3" s="1"/>
  <c r="D31" i="3"/>
  <c r="C13" i="3"/>
  <c r="C23" i="3"/>
  <c r="E13" i="3"/>
  <c r="E23" i="3"/>
  <c r="D13" i="3"/>
  <c r="E32" i="3"/>
  <c r="E33" i="3"/>
  <c r="D33" i="3"/>
  <c r="D32" i="3"/>
  <c r="D23" i="3"/>
  <c r="C32" i="3"/>
  <c r="C33" i="3"/>
  <c r="D22" i="3"/>
  <c r="C22" i="3"/>
  <c r="M46" i="4"/>
  <c r="S46" i="4" s="1"/>
  <c r="S43" i="4"/>
  <c r="P44" i="4"/>
  <c r="S45" i="4"/>
  <c r="P45" i="4"/>
  <c r="O12" i="4"/>
  <c r="O7" i="4"/>
  <c r="J12" i="4"/>
  <c r="O4" i="4"/>
  <c r="K41" i="4"/>
  <c r="L41" i="4" s="1"/>
  <c r="K42" i="4"/>
  <c r="M42" i="4" s="1"/>
  <c r="J5" i="4"/>
  <c r="J21" i="4"/>
  <c r="J22" i="4"/>
  <c r="J14" i="4"/>
  <c r="J13" i="4"/>
  <c r="D4" i="1"/>
  <c r="C4" i="1"/>
  <c r="M12" i="5"/>
  <c r="L12" i="5"/>
  <c r="D5" i="1" s="1"/>
  <c r="D6" i="1" s="1"/>
  <c r="D34" i="3" s="1"/>
  <c r="D35" i="3" s="1"/>
  <c r="K12" i="5"/>
  <c r="D36" i="3" l="1"/>
  <c r="D7" i="3"/>
  <c r="D16" i="3"/>
  <c r="D15" i="3"/>
  <c r="D14" i="3"/>
  <c r="D24" i="3" s="1"/>
  <c r="D28" i="3" s="1"/>
  <c r="P46" i="4"/>
  <c r="P42" i="4"/>
  <c r="S42" i="4"/>
  <c r="O24" i="4"/>
  <c r="O23" i="4"/>
  <c r="O10" i="4"/>
  <c r="O33" i="4"/>
  <c r="O32" i="4"/>
  <c r="O31" i="4"/>
  <c r="O5" i="4"/>
  <c r="J24" i="4"/>
  <c r="J23" i="4"/>
  <c r="J19" i="4"/>
  <c r="J18" i="4"/>
  <c r="J16" i="4"/>
  <c r="J15" i="4"/>
  <c r="O19" i="4"/>
  <c r="O18" i="4"/>
  <c r="O16" i="4"/>
  <c r="O15" i="4"/>
  <c r="J35" i="4"/>
  <c r="J34" i="4"/>
  <c r="J36" i="4" s="1"/>
  <c r="C4" i="2"/>
  <c r="C5" i="2" s="1"/>
  <c r="E15" i="1"/>
  <c r="D15" i="1"/>
  <c r="C15" i="1"/>
  <c r="E6" i="1"/>
  <c r="E34" i="3" s="1"/>
  <c r="C6" i="1"/>
  <c r="C34" i="3" s="1"/>
  <c r="E10" i="2"/>
  <c r="D10" i="2"/>
  <c r="C10" i="2"/>
  <c r="D4" i="2"/>
  <c r="D5" i="2" s="1"/>
  <c r="E4" i="2"/>
  <c r="E5" i="2" s="1"/>
  <c r="E36" i="3" l="1"/>
  <c r="E35" i="3"/>
  <c r="C36" i="3"/>
  <c r="C35" i="3"/>
  <c r="E7" i="3"/>
  <c r="E16" i="3"/>
  <c r="E15" i="3"/>
  <c r="E14" i="3"/>
  <c r="C7" i="3"/>
  <c r="C16" i="3"/>
  <c r="C15" i="3"/>
  <c r="C14" i="3"/>
  <c r="C24" i="3" s="1"/>
  <c r="C28" i="3" s="1"/>
  <c r="D17" i="3"/>
  <c r="O14" i="4"/>
  <c r="O13" i="4"/>
  <c r="O22" i="4"/>
  <c r="O21" i="4"/>
  <c r="O11" i="4"/>
  <c r="E9" i="2"/>
  <c r="D9" i="2"/>
  <c r="C9" i="2"/>
  <c r="D11" i="2"/>
  <c r="D15" i="2" s="1"/>
  <c r="E17" i="3" l="1"/>
  <c r="C17" i="3"/>
  <c r="E24" i="3"/>
  <c r="O35" i="4"/>
  <c r="O34" i="4"/>
  <c r="C11" i="2"/>
  <c r="C15" i="2" s="1"/>
  <c r="E11" i="2" l="1"/>
  <c r="E15" i="2" s="1"/>
  <c r="E28" i="3"/>
</calcChain>
</file>

<file path=xl/sharedStrings.xml><?xml version="1.0" encoding="utf-8"?>
<sst xmlns="http://schemas.openxmlformats.org/spreadsheetml/2006/main" count="352" uniqueCount="257">
  <si>
    <t>Operating Speed</t>
  </si>
  <si>
    <t xml:space="preserve">HIGH </t>
  </si>
  <si>
    <t xml:space="preserve">MEDIUM </t>
  </si>
  <si>
    <t>LOW</t>
  </si>
  <si>
    <t>Dynamic Overload [f_1]</t>
  </si>
  <si>
    <t>Dynamic Shock Factor [f_3]</t>
  </si>
  <si>
    <t>Lubrication Factor [f_5]</t>
  </si>
  <si>
    <t>Multi-Shaft Drive Factor [f_6]</t>
  </si>
  <si>
    <t>*small sprocket speed</t>
  </si>
  <si>
    <t>Rotational Speed [RPM]</t>
  </si>
  <si>
    <t xml:space="preserve">Selected Standard </t>
  </si>
  <si>
    <t>input</t>
  </si>
  <si>
    <t>* For HIGH, MEDIUM, LOW, consider the different event you want to design for</t>
  </si>
  <si>
    <t>POINT ON ISO 10823 GRAPH</t>
  </si>
  <si>
    <t>Chain Pitch [p] (in)</t>
  </si>
  <si>
    <t>*Standard used: ISO 606; cross referenced with motorcyle chain standard</t>
  </si>
  <si>
    <t xml:space="preserve">CHAIN PROPERTIES MOTORCYCLE CHAIN </t>
  </si>
  <si>
    <t xml:space="preserve">*cross reference </t>
  </si>
  <si>
    <t xml:space="preserve">KINEMATICS &amp; CHORDAL ACTION </t>
  </si>
  <si>
    <t>Gear Ratio [i]</t>
  </si>
  <si>
    <t xml:space="preserve">CHAIN LOAD &amp; POWER </t>
  </si>
  <si>
    <t>DYAMIC IMPACT &amp; STRESS ANALYSIS</t>
  </si>
  <si>
    <t>Rotational Speed Motor [n_1] (rpm)</t>
  </si>
  <si>
    <t>Driven Sprocket Speed [n_2] (rpm)</t>
  </si>
  <si>
    <t>Teeth Small Sprocket [z_1]</t>
  </si>
  <si>
    <t>Teeth Large Sprocket [z_2]</t>
  </si>
  <si>
    <t>Chain Pitch [p] (mm)</t>
  </si>
  <si>
    <t>speed reduction or step-up ratio between the small drive sprocket and the large driven sprocket</t>
  </si>
  <si>
    <t>Converts the motor's rotational speed from revolutions per minute into angular velocity in radians per second</t>
  </si>
  <si>
    <t>*rotational speed of the large driven sprocket</t>
  </si>
  <si>
    <t>Torque [M]</t>
  </si>
  <si>
    <t>Mass Per Unit Length [q] (kg/m]</t>
  </si>
  <si>
    <t>Gear Ratio Factor [f_2]</t>
  </si>
  <si>
    <t>ASSUMPTIONS</t>
  </si>
  <si>
    <t>operating speed</t>
  </si>
  <si>
    <t>Influencing Factor [f_G]</t>
  </si>
  <si>
    <t>Pitch Circle Diameter Large Sprocket [d_2] (mm)</t>
  </si>
  <si>
    <t>Pitch Circle Diameter Small Sprocket [d_1] (mm)</t>
  </si>
  <si>
    <t>Angular Velocity Large Sprocket [ω_2] (rad/s)</t>
  </si>
  <si>
    <r>
      <t>Angular Velocity Small Sprocket [</t>
    </r>
    <r>
      <rPr>
        <sz val="11"/>
        <color theme="1"/>
        <rFont val="Aptos Narrow"/>
        <family val="2"/>
      </rPr>
      <t>ω_1]</t>
    </r>
    <r>
      <rPr>
        <sz val="11"/>
        <color theme="1"/>
        <rFont val="Aptos Narrow"/>
        <family val="2"/>
        <scheme val="minor"/>
      </rPr>
      <t xml:space="preserve"> (rad/s)</t>
    </r>
  </si>
  <si>
    <t>Inner Width [b_z] (mm)</t>
  </si>
  <si>
    <t xml:space="preserve">Young's Modulus [E] (N/mm^2) </t>
  </si>
  <si>
    <t>REFERENCE</t>
  </si>
  <si>
    <t>https://cdn.standards.iteh.ai/samples/1787/04627b58b4b94ae5b072512340264062/ISO-10823-1996.pdf</t>
  </si>
  <si>
    <t xml:space="preserve">*STANDARD USED: ISO 606; THIS STANDARD COMPROMISES OF ANSI AND BRITISH </t>
  </si>
  <si>
    <t xml:space="preserve">*SPECIFIC STANDARD USED: ANSI </t>
  </si>
  <si>
    <t>Power Transmitted [P] (kW)</t>
  </si>
  <si>
    <t>Corrected Power [P_D] (kW)</t>
  </si>
  <si>
    <t>https://evwest.com/support/PMxxx%20Datasheet%2001052012.pdf</t>
  </si>
  <si>
    <t>Bus Voltage</t>
  </si>
  <si>
    <t xml:space="preserve">Motor Voltage </t>
  </si>
  <si>
    <t>Peak Current (Arms)</t>
  </si>
  <si>
    <t>EMRAX_208_datasheet_v1.6.pdf</t>
  </si>
  <si>
    <t>*IN GOOGLE DRIVE</t>
  </si>
  <si>
    <t>*YOU WANT TO DESIGN AROUND TORQUE NOT CURRENT AS TORQUE CASUES SHEAR, POWER RESULTS IN HIGHER SPEED</t>
  </si>
  <si>
    <t>K_T Constant (N*m/Arms)</t>
  </si>
  <si>
    <t>Peak Torque (N*m)</t>
  </si>
  <si>
    <t xml:space="preserve">PEAK TORQUE  </t>
  </si>
  <si>
    <t xml:space="preserve">CONTINUOUS TORQUE </t>
  </si>
  <si>
    <t xml:space="preserve">*for fatigue analsysis  </t>
  </si>
  <si>
    <t>EMRAX 208 HV (MECHANICAL METHOD)</t>
  </si>
  <si>
    <t>Average Vehicle Speed [AVS] (mph)</t>
  </si>
  <si>
    <t>Average Vehicle Speed [AVS] (m/s)</t>
  </si>
  <si>
    <t xml:space="preserve"> Hoosier 16.0X7.5-10 R20</t>
  </si>
  <si>
    <t>Wheel Diameter (m)</t>
  </si>
  <si>
    <t xml:space="preserve">This would be the large sprocket angular velocity </t>
  </si>
  <si>
    <t>Average Vehicle Angular Speed (rad/s)</t>
  </si>
  <si>
    <t>Gear Ratio</t>
  </si>
  <si>
    <t>Small sprocket on the motor, so higher speed</t>
  </si>
  <si>
    <t>Motor Speed (rad/s)</t>
  </si>
  <si>
    <t>Average RPM</t>
  </si>
  <si>
    <t>MEDIUM</t>
  </si>
  <si>
    <t>continuous</t>
  </si>
  <si>
    <t>*4.7 Gear Ratio</t>
  </si>
  <si>
    <t>*ASSUMES EMRAX 208 MV</t>
  </si>
  <si>
    <t>Peak current from 2026 cells</t>
  </si>
  <si>
    <t>Total Working Tension [F_G] (N)</t>
  </si>
  <si>
    <t>This graph and table are ISO standard way to pick chain which we can't use b/c of exessive power and RPM but it is a good reference of what not to do</t>
  </si>
  <si>
    <t>The table this is an example of the motorcycle chain size tables, motorcycle chains are standarized and can be cross referenced to ISO sprockets standards</t>
  </si>
  <si>
    <t>Chain Tensile Strength (N)</t>
  </si>
  <si>
    <t>*from datasheet</t>
  </si>
  <si>
    <t xml:space="preserve">*under 105 Nm torque and 6500 rpm </t>
  </si>
  <si>
    <t>Safety Factor AER 26</t>
  </si>
  <si>
    <t>Safety Factor AER 27</t>
  </si>
  <si>
    <t>N/A</t>
  </si>
  <si>
    <t>CHAIN PROPERTIES SMALL SPROCKET</t>
  </si>
  <si>
    <t>CHAIN PROPERTIES LARGE SPROCKET</t>
  </si>
  <si>
    <t>Roller Diameter [D_r] (in)</t>
  </si>
  <si>
    <t>*Google ISO equivalent to chosen motorcycle chain</t>
  </si>
  <si>
    <t>Chain Tensile Strength (lb)</t>
  </si>
  <si>
    <t>RK 428MXU (Ultra-Thin U-Ring)</t>
  </si>
  <si>
    <t>RK 428XSO (RX-Ring / X-Ring)</t>
  </si>
  <si>
    <t>Seal Type</t>
  </si>
  <si>
    <t>Maintenance Need</t>
  </si>
  <si>
    <t>Weight (per 100 Links)</t>
  </si>
  <si>
    <t>Friction / Drag</t>
  </si>
  <si>
    <t>AER 26</t>
  </si>
  <si>
    <t>1.00 kg</t>
  </si>
  <si>
    <t>1.20 kg</t>
  </si>
  <si>
    <t>Tensile Strength (UTS) (lb)</t>
  </si>
  <si>
    <t>Cost Per Link</t>
  </si>
  <si>
    <t>https://www.ebay.com/itm/358625822454?chn=ps&amp;norover=1&amp;mkevt=1&amp;mkrid=711-117182-37290-0&amp;mkcid=2&amp;mkscid=101&amp;itemid=358625822454&amp;targetid=2315428266900&amp;device=c&amp;mktype=pla&amp;googleloc=9058844&amp;poi=&amp;campaignid=21394550841&amp;mkgroupid=173029507588&amp;rlsatarget=pla-2315428266900&amp;abcId=9448521&amp;merchantid=5711626535&amp;gad_source=1&amp;gad_campaignid=21394550841&amp;gclid=CjwKCAjw1IHTBhAaEiwA4AYNFjepemkfZjpKSmfUALbTCC68bwkXAWMp1D4visNb174eiG2kRYgShBoCjRkQAvD_BwE</t>
  </si>
  <si>
    <t>U-Ring (50% thinner than standard seals)</t>
  </si>
  <si>
    <t>RX-Ring (Dual-lip X-ring profile)</t>
  </si>
  <si>
    <t>Low (Internal factory grease is sealed in)</t>
  </si>
  <si>
    <t>Very Low (Maximum seal durability for long runs)</t>
  </si>
  <si>
    <t>Ultra-Low (Micro-contact points reduce seal drag)</t>
  </si>
  <si>
    <t>Moderate (Standard RX-Ring wiping drag)</t>
  </si>
  <si>
    <t>AER 27</t>
  </si>
  <si>
    <t>Chain</t>
  </si>
  <si>
    <t>Roller Diameter [d_r] (mm)</t>
  </si>
  <si>
    <t xml:space="preserve">Number Teeth </t>
  </si>
  <si>
    <t>Roller Diameter [D_r] (mm)</t>
  </si>
  <si>
    <t>*Young's modulus for steel</t>
  </si>
  <si>
    <t>Pitch Circle (in)</t>
  </si>
  <si>
    <t>SPROCKET CAD TUTORIAL: https://www.chiefdelphi.com/t/sprocket-design-tutorial/387449</t>
  </si>
  <si>
    <t>*w/ tolerance of +0.01 mm</t>
  </si>
  <si>
    <t>Pitch Circle[d] (mm)</t>
  </si>
  <si>
    <t>Pitch Circle [d] (mm)</t>
  </si>
  <si>
    <t>Root Diam. [d_f]</t>
  </si>
  <si>
    <t>*w/ tolerance of -0.25mm</t>
  </si>
  <si>
    <t>*w/ tolerance of -0.30mm</t>
  </si>
  <si>
    <t>M_R</t>
  </si>
  <si>
    <t xml:space="preserve">r_e_max </t>
  </si>
  <si>
    <t>d_R = d_1</t>
  </si>
  <si>
    <t>alpha_max</t>
  </si>
  <si>
    <t>r_e_min</t>
  </si>
  <si>
    <t>r_i_max</t>
  </si>
  <si>
    <t>alpha_min</t>
  </si>
  <si>
    <t xml:space="preserve">d_a_max </t>
  </si>
  <si>
    <t>h_a_max</t>
  </si>
  <si>
    <t>h_a_min</t>
  </si>
  <si>
    <t>r_i_min</t>
  </si>
  <si>
    <t>d_a_min</t>
  </si>
  <si>
    <t>bf_1</t>
  </si>
  <si>
    <t>b_1 (mm)</t>
  </si>
  <si>
    <t>bf_2</t>
  </si>
  <si>
    <t>r_x_nom</t>
  </si>
  <si>
    <t>b_a_nom</t>
  </si>
  <si>
    <t>d_g</t>
  </si>
  <si>
    <t>h_1</t>
  </si>
  <si>
    <t>*standard to 428 chain</t>
  </si>
  <si>
    <t>d_f</t>
  </si>
  <si>
    <t xml:space="preserve">radial runnout </t>
  </si>
  <si>
    <t>*goal: use less links than last year to reduce weight</t>
  </si>
  <si>
    <t>No. Links</t>
  </si>
  <si>
    <t>L/p = No. Links</t>
  </si>
  <si>
    <t>N1,N2 = No. Teeth</t>
  </si>
  <si>
    <t>p = pitch</t>
  </si>
  <si>
    <t>C =center to center distance</t>
  </si>
  <si>
    <t xml:space="preserve">axial runnout </t>
  </si>
  <si>
    <t>Angle of Wrap (Small Sprocket)</t>
  </si>
  <si>
    <t xml:space="preserve">*pitch= 12.7, length 100 links = 127mm = .127m </t>
  </si>
  <si>
    <t>Exact No. Links</t>
  </si>
  <si>
    <t>Round No. Links</t>
  </si>
  <si>
    <t>Weight</t>
  </si>
  <si>
    <t xml:space="preserve">input </t>
  </si>
  <si>
    <t>Weight Per Link [q_l] (kg/link)</t>
  </si>
  <si>
    <t>Weight Drop</t>
  </si>
  <si>
    <t>Weight AER26 (Datasheet) (66 links)</t>
  </si>
  <si>
    <t>Weight AER 26 (Measured?)  (67 links)</t>
  </si>
  <si>
    <t>Tooth Profile</t>
  </si>
  <si>
    <t>A</t>
  </si>
  <si>
    <t>*must be even to fit geartrain</t>
  </si>
  <si>
    <t>Center to Center Distance Approx.</t>
  </si>
  <si>
    <t>*value from CAD</t>
  </si>
  <si>
    <t xml:space="preserve">*choosing this because it allows for error </t>
  </si>
  <si>
    <t>Center to Center Distance Actual (mm)</t>
  </si>
  <si>
    <t>AER 26 C2C Distance (mm)</t>
  </si>
  <si>
    <t>WEIGHT ANALYSIS</t>
  </si>
  <si>
    <t xml:space="preserve">CENTER TO CENTER DISTANCE CALCULATION </t>
  </si>
  <si>
    <t>Weight Difference (kg)</t>
  </si>
  <si>
    <t>Final Wrap Angle (Small Sprocket)</t>
  </si>
  <si>
    <t>*this eq. is in feet/min</t>
  </si>
  <si>
    <t>Small Chain Velocity Min [v_min] (m/s)</t>
  </si>
  <si>
    <t>Small Chain Velocity Max [v_max] (m/s)</t>
  </si>
  <si>
    <r>
      <t>Small Speed Variation [</t>
    </r>
    <r>
      <rPr>
        <sz val="11"/>
        <color theme="1"/>
        <rFont val="Aptos Narrow"/>
        <family val="2"/>
      </rPr>
      <t>δ]</t>
    </r>
  </si>
  <si>
    <t>Large Chain Velocity Min [v_min] (m/s)</t>
  </si>
  <si>
    <t>Large Chain Velocity Max [v_max] (m/s)</t>
  </si>
  <si>
    <r>
      <t>Large Speed Variation [</t>
    </r>
    <r>
      <rPr>
        <sz val="11"/>
        <color theme="1"/>
        <rFont val="Aptos Narrow"/>
        <family val="2"/>
      </rPr>
      <t>δ]</t>
    </r>
  </si>
  <si>
    <t>* this is in m/s, from IWIS</t>
  </si>
  <si>
    <t>Small Chain Velocity [v] (m/s)</t>
  </si>
  <si>
    <t>Large Chain Velocity [v] (m/s)</t>
  </si>
  <si>
    <t>SMALL SPROCKET</t>
  </si>
  <si>
    <t>LARGE SPROCKET</t>
  </si>
  <si>
    <t>*n1 is rpm , comes from P = Torque x Angular Speed</t>
  </si>
  <si>
    <t>*energy absorbed by roller</t>
  </si>
  <si>
    <t>angle of pressure is gamma and comes from CAD</t>
  </si>
  <si>
    <t>angle of pressure [gamma] (deg)</t>
  </si>
  <si>
    <t>*from CAD, "Gear Alignment Assembly"</t>
  </si>
  <si>
    <t>*with tolerance h14, b_z in CALCULATIONS</t>
  </si>
  <si>
    <t>Inner Width (mm)</t>
  </si>
  <si>
    <t>*  plate to plate width of chain</t>
  </si>
  <si>
    <t>Large Impact Velocity [v_A]</t>
  </si>
  <si>
    <t>Large Roller Impact Energy [E_A]</t>
  </si>
  <si>
    <t>Large Dynamic Impact Force [F_A]</t>
  </si>
  <si>
    <r>
      <t>Small Sprocket Pressure Angle [</t>
    </r>
    <r>
      <rPr>
        <sz val="11"/>
        <color theme="1"/>
        <rFont val="Aptos Narrow"/>
        <family val="2"/>
      </rPr>
      <t>γ]</t>
    </r>
  </si>
  <si>
    <r>
      <t>Large Sprocket Pressure Angle [</t>
    </r>
    <r>
      <rPr>
        <sz val="11"/>
        <color theme="1"/>
        <rFont val="Aptos Narrow"/>
        <family val="2"/>
      </rPr>
      <t>γ]</t>
    </r>
  </si>
  <si>
    <t>Small Dynamic Impact Force [F_A] (N)</t>
  </si>
  <si>
    <t>Small Impact Velocity [v_A] (m/s)</t>
  </si>
  <si>
    <t>Small Roller Impact Energy [E_A] (J)</t>
  </si>
  <si>
    <t xml:space="preserve">*from IWIS </t>
  </si>
  <si>
    <t>Center Distance Factor (a/p) [f_4]</t>
  </si>
  <si>
    <t>*a/p needed, from IWIS</t>
  </si>
  <si>
    <t>Total Working Tension  [F_t] (N)</t>
  </si>
  <si>
    <t>Transmitted Power [P] (W)</t>
  </si>
  <si>
    <t>Chain Pull [F] (N)</t>
  </si>
  <si>
    <t>Centrifugal Force [ F_f] (N)</t>
  </si>
  <si>
    <t>Total Working Tension [F_t] (N)</t>
  </si>
  <si>
    <t>* tangential force, comes from M= F x d, max force found at small sprocket</t>
  </si>
  <si>
    <t>* comes from F = mV^2/r, same velocity for both sprockets</t>
  </si>
  <si>
    <t>*LARGER FORCES ACTING ON SMALL SPROCKET</t>
  </si>
  <si>
    <t>TOOTH STRESS</t>
  </si>
  <si>
    <t xml:space="preserve">*27.66 mm^2, area bounded by two boxes (pictured) </t>
  </si>
  <si>
    <t>*23.61 mm^2</t>
  </si>
  <si>
    <t>47T Impact Area (m^2)</t>
  </si>
  <si>
    <t>10T Impact Area (m^2)</t>
  </si>
  <si>
    <t>47T Impact Stress (Pa)</t>
  </si>
  <si>
    <t>10T Impact Stress (Pa)</t>
  </si>
  <si>
    <t>REFERENCE:http://chain-guide.com/basics/2-1-2-engagement-with-sprockets.html</t>
  </si>
  <si>
    <t xml:space="preserve">SMALL SPROCKET </t>
  </si>
  <si>
    <t>Number Teeth</t>
  </si>
  <si>
    <t>k</t>
  </si>
  <si>
    <r>
      <t>2</t>
    </r>
    <r>
      <rPr>
        <b/>
        <sz val="11"/>
        <color theme="1"/>
        <rFont val="Aptos Narrow"/>
        <family val="2"/>
      </rPr>
      <t>β</t>
    </r>
  </si>
  <si>
    <t>Final Wrap Angle (Large Sprocket)</t>
  </si>
  <si>
    <t>Back Tension</t>
  </si>
  <si>
    <t>θ</t>
  </si>
  <si>
    <t>Chain Tension (N)</t>
  </si>
  <si>
    <t>*Only works for driven sprocket</t>
  </si>
  <si>
    <t>* Impact is the roller hitting the sprocket when it engages</t>
  </si>
  <si>
    <t>Tension</t>
  </si>
  <si>
    <t>*F total /3 (even across each tooth)</t>
  </si>
  <si>
    <t xml:space="preserve">47 T Sprocket &amp; Hub </t>
  </si>
  <si>
    <t>GETTING RID OF MARGINAL</t>
  </si>
  <si>
    <t xml:space="preserve">10% LESS MATERIAL THAN MARGINAL </t>
  </si>
  <si>
    <t xml:space="preserve">ORIGINAL </t>
  </si>
  <si>
    <t xml:space="preserve">3mm mesh </t>
  </si>
  <si>
    <t>OPTIMIZATION 1</t>
  </si>
  <si>
    <t xml:space="preserve">Maximum Moment </t>
  </si>
  <si>
    <t>SF</t>
  </si>
  <si>
    <t xml:space="preserve">APPLYING 2X MAXIMUM MOMENT </t>
  </si>
  <si>
    <t xml:space="preserve">APPLYING 3X MAXIMUM MOMENT </t>
  </si>
  <si>
    <t>47T Sprocket</t>
  </si>
  <si>
    <t>47T Sprocket Hub</t>
  </si>
  <si>
    <t xml:space="preserve">10T Sprokcet </t>
  </si>
  <si>
    <t>Driveshaft</t>
  </si>
  <si>
    <t>10T Sprokcet Hub</t>
  </si>
  <si>
    <t>AER27</t>
  </si>
  <si>
    <t>% REDUCTION</t>
  </si>
  <si>
    <t>MASS REDUCTION</t>
  </si>
  <si>
    <t>TOTAL</t>
  </si>
  <si>
    <t>GOAL</t>
  </si>
  <si>
    <t>*CAD ESTIMATE</t>
  </si>
  <si>
    <t xml:space="preserve">AER 26 </t>
  </si>
  <si>
    <t>TOTAL MASS REDUCTION</t>
  </si>
  <si>
    <t>*27' INCLUDES DRIVESHAFT</t>
  </si>
  <si>
    <t>*CAD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</si>
</sst>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5" xfId="0" applyFont="1" applyBorder="1"/>
    <xf numFmtId="0" fontId="1" fillId="0" borderId="10" xfId="0" applyFont="1" applyBorder="1"/>
    <xf numFmtId="0" fontId="0" fillId="0" borderId="11" xfId="0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right" wrapText="1"/>
    </xf>
    <xf numFmtId="0" fontId="1" fillId="0" borderId="12" xfId="0" applyFont="1" applyBorder="1"/>
    <xf numFmtId="0" fontId="0" fillId="0" borderId="12" xfId="0" applyBorder="1"/>
    <xf numFmtId="0" fontId="5" fillId="0" borderId="0" xfId="1" applyFont="1" applyAlignment="1">
      <alignment horizontal="right" wrapText="1"/>
    </xf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horizontal="right"/>
    </xf>
    <xf numFmtId="0" fontId="1" fillId="3" borderId="7" xfId="0" applyFont="1" applyFill="1" applyBorder="1"/>
    <xf numFmtId="0" fontId="1" fillId="3" borderId="13" xfId="0" applyFont="1" applyFill="1" applyBorder="1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0" fillId="5" borderId="0" xfId="0" applyFill="1"/>
    <xf numFmtId="0" fontId="9" fillId="0" borderId="0" xfId="0" applyFont="1"/>
    <xf numFmtId="9" fontId="0" fillId="0" borderId="0" xfId="2" applyFont="1"/>
    <xf numFmtId="164" fontId="0" fillId="0" borderId="0" xfId="0" applyNumberFormat="1"/>
    <xf numFmtId="164" fontId="0" fillId="5" borderId="0" xfId="0" applyNumberFormat="1" applyFill="1"/>
    <xf numFmtId="0" fontId="0" fillId="6" borderId="0" xfId="0" applyFill="1"/>
    <xf numFmtId="9" fontId="0" fillId="6" borderId="0" xfId="2" applyFont="1" applyFill="1"/>
    <xf numFmtId="0" fontId="9" fillId="6" borderId="0" xfId="0" applyFont="1" applyFill="1"/>
    <xf numFmtId="0" fontId="0" fillId="7" borderId="0" xfId="0" applyFill="1"/>
    <xf numFmtId="10" fontId="0" fillId="6" borderId="0" xfId="2" applyNumberFormat="1" applyFont="1" applyFill="1"/>
    <xf numFmtId="10" fontId="0" fillId="7" borderId="0" xfId="2" applyNumberFormat="1" applyFont="1" applyFill="1"/>
    <xf numFmtId="11" fontId="0" fillId="0" borderId="0" xfId="0" applyNumberFormat="1"/>
    <xf numFmtId="0" fontId="10" fillId="0" borderId="0" xfId="0" applyFont="1"/>
    <xf numFmtId="2" fontId="0" fillId="0" borderId="0" xfId="2" applyNumberFormat="1" applyFont="1"/>
    <xf numFmtId="9" fontId="1" fillId="0" borderId="0" xfId="2" applyFont="1"/>
    <xf numFmtId="0" fontId="0" fillId="0" borderId="5" xfId="0" applyBorder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6.png"/><Relationship Id="rId18" Type="http://schemas.openxmlformats.org/officeDocument/2006/relationships/image" Target="../media/image5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12" Type="http://schemas.openxmlformats.org/officeDocument/2006/relationships/image" Target="../media/image45.png"/><Relationship Id="rId17" Type="http://schemas.openxmlformats.org/officeDocument/2006/relationships/image" Target="../media/image50.png"/><Relationship Id="rId2" Type="http://schemas.openxmlformats.org/officeDocument/2006/relationships/image" Target="../media/image35.png"/><Relationship Id="rId16" Type="http://schemas.openxmlformats.org/officeDocument/2006/relationships/image" Target="../media/image49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5" Type="http://schemas.openxmlformats.org/officeDocument/2006/relationships/image" Target="../media/image48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Relationship Id="rId14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5</xdr:row>
      <xdr:rowOff>100490</xdr:rowOff>
    </xdr:from>
    <xdr:to>
      <xdr:col>5</xdr:col>
      <xdr:colOff>403459</xdr:colOff>
      <xdr:row>7</xdr:row>
      <xdr:rowOff>4578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96731-BC44-462C-800F-B8B0747F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8280" y="1014890"/>
          <a:ext cx="1561699" cy="269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669891</xdr:colOff>
      <xdr:row>5</xdr:row>
      <xdr:rowOff>8373</xdr:rowOff>
    </xdr:from>
    <xdr:to>
      <xdr:col>0</xdr:col>
      <xdr:colOff>1309684</xdr:colOff>
      <xdr:row>6</xdr:row>
      <xdr:rowOff>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6C4F7-697E-4D25-8562-A86728292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891" y="929472"/>
          <a:ext cx="639793" cy="176175"/>
        </a:xfrm>
        <a:prstGeom prst="rect">
          <a:avLst/>
        </a:prstGeom>
      </xdr:spPr>
    </xdr:pic>
    <xdr:clientData/>
  </xdr:twoCellAnchor>
  <xdr:twoCellAnchor editAs="oneCell">
    <xdr:from>
      <xdr:col>6</xdr:col>
      <xdr:colOff>601870</xdr:colOff>
      <xdr:row>7</xdr:row>
      <xdr:rowOff>172162</xdr:rowOff>
    </xdr:from>
    <xdr:to>
      <xdr:col>10</xdr:col>
      <xdr:colOff>316073</xdr:colOff>
      <xdr:row>15</xdr:row>
      <xdr:rowOff>40919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7F1DB-0D92-033A-70A8-513E923A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348" y="1447684"/>
          <a:ext cx="2143768" cy="13264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227704</xdr:colOff>
      <xdr:row>3</xdr:row>
      <xdr:rowOff>21520</xdr:rowOff>
    </xdr:from>
    <xdr:to>
      <xdr:col>0</xdr:col>
      <xdr:colOff>936160</xdr:colOff>
      <xdr:row>4</xdr:row>
      <xdr:rowOff>165847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1CF86-6597-415B-DFB1-C1D5DEF3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704" y="572849"/>
          <a:ext cx="708456" cy="328104"/>
        </a:xfrm>
        <a:prstGeom prst="rect">
          <a:avLst/>
        </a:prstGeom>
      </xdr:spPr>
    </xdr:pic>
    <xdr:clientData/>
  </xdr:twoCellAnchor>
  <xdr:twoCellAnchor editAs="oneCell">
    <xdr:from>
      <xdr:col>26</xdr:col>
      <xdr:colOff>257780</xdr:colOff>
      <xdr:row>6</xdr:row>
      <xdr:rowOff>41856</xdr:rowOff>
    </xdr:from>
    <xdr:to>
      <xdr:col>28</xdr:col>
      <xdr:colOff>24664</xdr:colOff>
      <xdr:row>10</xdr:row>
      <xdr:rowOff>91562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2F1AA0-DEC5-5E87-484A-71ABC65C0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54425" y="2024695"/>
          <a:ext cx="979528" cy="770738"/>
        </a:xfrm>
        <a:prstGeom prst="rect">
          <a:avLst/>
        </a:prstGeom>
      </xdr:spPr>
    </xdr:pic>
    <xdr:clientData/>
  </xdr:twoCellAnchor>
  <xdr:twoCellAnchor editAs="oneCell">
    <xdr:from>
      <xdr:col>24</xdr:col>
      <xdr:colOff>222920</xdr:colOff>
      <xdr:row>6</xdr:row>
      <xdr:rowOff>49575</xdr:rowOff>
    </xdr:from>
    <xdr:to>
      <xdr:col>26</xdr:col>
      <xdr:colOff>232581</xdr:colOff>
      <xdr:row>9</xdr:row>
      <xdr:rowOff>163623</xdr:rowOff>
    </xdr:to>
    <xdr:pic>
      <xdr:nvPicPr>
        <xdr:cNvPr id="6" name="Picture 5" descr="motorcycle Drive chains supplier&amp;manufactures">
          <a:extLst>
            <a:ext uri="{FF2B5EF4-FFF2-40B4-BE49-F238E27FC236}">
              <a16:creationId xmlns:a16="http://schemas.microsoft.com/office/drawing/2014/main" id="{3BE3C23E-8C68-9C94-CB3C-5BC8F9CC9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920" y="2032414"/>
          <a:ext cx="1222307" cy="654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13121</xdr:rowOff>
    </xdr:from>
    <xdr:to>
      <xdr:col>7</xdr:col>
      <xdr:colOff>542518</xdr:colOff>
      <xdr:row>23</xdr:row>
      <xdr:rowOff>77159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F689CC-FCE0-9B8E-B29E-A1BBDA3B2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9343"/>
          <a:ext cx="4822888" cy="3102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124775</xdr:rowOff>
    </xdr:from>
    <xdr:to>
      <xdr:col>3</xdr:col>
      <xdr:colOff>428397</xdr:colOff>
      <xdr:row>34</xdr:row>
      <xdr:rowOff>124773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0F5144-6A1E-BE66-94D5-DA74899B8B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7431"/>
        <a:stretch>
          <a:fillRect/>
        </a:stretch>
      </xdr:blipFill>
      <xdr:spPr>
        <a:xfrm>
          <a:off x="0" y="3520849"/>
          <a:ext cx="2262841" cy="2144887"/>
        </a:xfrm>
        <a:prstGeom prst="rect">
          <a:avLst/>
        </a:prstGeom>
      </xdr:spPr>
    </xdr:pic>
    <xdr:clientData/>
  </xdr:twoCellAnchor>
  <xdr:twoCellAnchor editAs="oneCell">
    <xdr:from>
      <xdr:col>2</xdr:col>
      <xdr:colOff>548104</xdr:colOff>
      <xdr:row>22</xdr:row>
      <xdr:rowOff>159926</xdr:rowOff>
    </xdr:from>
    <xdr:to>
      <xdr:col>7</xdr:col>
      <xdr:colOff>545540</xdr:colOff>
      <xdr:row>33</xdr:row>
      <xdr:rowOff>131535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07B1E4-55A1-1F40-07EE-F424CF41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1067" y="3556000"/>
          <a:ext cx="3054843" cy="1937757"/>
        </a:xfrm>
        <a:prstGeom prst="rect">
          <a:avLst/>
        </a:prstGeom>
      </xdr:spPr>
    </xdr:pic>
    <xdr:clientData/>
  </xdr:twoCellAnchor>
  <xdr:twoCellAnchor editAs="oneCell">
    <xdr:from>
      <xdr:col>0</xdr:col>
      <xdr:colOff>56445</xdr:colOff>
      <xdr:row>34</xdr:row>
      <xdr:rowOff>131704</xdr:rowOff>
    </xdr:from>
    <xdr:to>
      <xdr:col>7</xdr:col>
      <xdr:colOff>333230</xdr:colOff>
      <xdr:row>40</xdr:row>
      <xdr:rowOff>57567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E5EA0D-CE80-E952-E091-0CBAEB8A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445" y="5672667"/>
          <a:ext cx="4557155" cy="998307"/>
        </a:xfrm>
        <a:prstGeom prst="rect">
          <a:avLst/>
        </a:prstGeom>
      </xdr:spPr>
    </xdr:pic>
    <xdr:clientData/>
  </xdr:twoCellAnchor>
  <xdr:twoCellAnchor editAs="oneCell">
    <xdr:from>
      <xdr:col>0</xdr:col>
      <xdr:colOff>204439</xdr:colOff>
      <xdr:row>45</xdr:row>
      <xdr:rowOff>18585</xdr:rowOff>
    </xdr:from>
    <xdr:to>
      <xdr:col>7</xdr:col>
      <xdr:colOff>201061</xdr:colOff>
      <xdr:row>49</xdr:row>
      <xdr:rowOff>49093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616EFC-9F99-60A1-8D02-9F0F09560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4439" y="7824439"/>
          <a:ext cx="4246476" cy="773922"/>
        </a:xfrm>
        <a:prstGeom prst="rect">
          <a:avLst/>
        </a:prstGeom>
      </xdr:spPr>
    </xdr:pic>
    <xdr:clientData/>
  </xdr:twoCellAnchor>
  <xdr:twoCellAnchor editAs="oneCell">
    <xdr:from>
      <xdr:col>0</xdr:col>
      <xdr:colOff>446050</xdr:colOff>
      <xdr:row>49</xdr:row>
      <xdr:rowOff>142489</xdr:rowOff>
    </xdr:from>
    <xdr:to>
      <xdr:col>4</xdr:col>
      <xdr:colOff>585725</xdr:colOff>
      <xdr:row>55</xdr:row>
      <xdr:rowOff>2914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EFBAEA4-457C-02AA-1602-8F9B02E2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6050" y="8691757"/>
          <a:ext cx="2568163" cy="96782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50</xdr:row>
      <xdr:rowOff>0</xdr:rowOff>
    </xdr:from>
    <xdr:to>
      <xdr:col>8</xdr:col>
      <xdr:colOff>65483</xdr:colOff>
      <xdr:row>53</xdr:row>
      <xdr:rowOff>18009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4398A4-F65D-452B-201A-54E791F1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20786" y="8313964"/>
          <a:ext cx="1943268" cy="548688"/>
        </a:xfrm>
        <a:prstGeom prst="rect">
          <a:avLst/>
        </a:prstGeom>
      </xdr:spPr>
    </xdr:pic>
    <xdr:clientData/>
  </xdr:twoCellAnchor>
  <xdr:twoCellAnchor editAs="oneCell">
    <xdr:from>
      <xdr:col>15</xdr:col>
      <xdr:colOff>2260609</xdr:colOff>
      <xdr:row>7</xdr:row>
      <xdr:rowOff>23091</xdr:rowOff>
    </xdr:from>
    <xdr:to>
      <xdr:col>17</xdr:col>
      <xdr:colOff>80266</xdr:colOff>
      <xdr:row>20</xdr:row>
      <xdr:rowOff>6349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F6BCAF-A497-5B2F-D45F-4D70B9303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567245" y="946727"/>
          <a:ext cx="2368566" cy="21999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1381</xdr:colOff>
      <xdr:row>5</xdr:row>
      <xdr:rowOff>85459</xdr:rowOff>
    </xdr:from>
    <xdr:to>
      <xdr:col>5</xdr:col>
      <xdr:colOff>622785</xdr:colOff>
      <xdr:row>6</xdr:row>
      <xdr:rowOff>113944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1147E-2355-5702-A291-992415A8C2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267" t="-4174"/>
        <a:stretch>
          <a:fillRect/>
        </a:stretch>
      </xdr:blipFill>
      <xdr:spPr>
        <a:xfrm>
          <a:off x="5399474" y="1011253"/>
          <a:ext cx="624251" cy="213644"/>
        </a:xfrm>
        <a:prstGeom prst="rect">
          <a:avLst/>
        </a:prstGeom>
      </xdr:spPr>
    </xdr:pic>
    <xdr:clientData/>
  </xdr:twoCellAnchor>
  <xdr:twoCellAnchor editAs="oneCell">
    <xdr:from>
      <xdr:col>5</xdr:col>
      <xdr:colOff>51787</xdr:colOff>
      <xdr:row>7</xdr:row>
      <xdr:rowOff>14797</xdr:rowOff>
    </xdr:from>
    <xdr:to>
      <xdr:col>5</xdr:col>
      <xdr:colOff>770026</xdr:colOff>
      <xdr:row>8</xdr:row>
      <xdr:rowOff>162757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C7D59A-F68E-0A71-B4DB-23E5703F5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341" t="-2033" b="-1"/>
        <a:stretch>
          <a:fillRect/>
        </a:stretch>
      </xdr:blipFill>
      <xdr:spPr>
        <a:xfrm>
          <a:off x="7383263" y="1309457"/>
          <a:ext cx="715278" cy="332912"/>
        </a:xfrm>
        <a:prstGeom prst="rect">
          <a:avLst/>
        </a:prstGeom>
      </xdr:spPr>
    </xdr:pic>
    <xdr:clientData/>
  </xdr:twoCellAnchor>
  <xdr:twoCellAnchor editAs="oneCell">
    <xdr:from>
      <xdr:col>5</xdr:col>
      <xdr:colOff>59185</xdr:colOff>
      <xdr:row>3</xdr:row>
      <xdr:rowOff>177554</xdr:rowOff>
    </xdr:from>
    <xdr:to>
      <xdr:col>5</xdr:col>
      <xdr:colOff>263239</xdr:colOff>
      <xdr:row>4</xdr:row>
      <xdr:rowOff>170155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B3D9E0-1ACF-2ED4-102F-D4BE3D1C5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0661" y="732408"/>
          <a:ext cx="204054" cy="177553"/>
        </a:xfrm>
        <a:prstGeom prst="rect">
          <a:avLst/>
        </a:prstGeom>
      </xdr:spPr>
    </xdr:pic>
    <xdr:clientData/>
  </xdr:twoCellAnchor>
  <xdr:twoCellAnchor editAs="oneCell">
    <xdr:from>
      <xdr:col>5</xdr:col>
      <xdr:colOff>21365</xdr:colOff>
      <xdr:row>22</xdr:row>
      <xdr:rowOff>7121</xdr:rowOff>
    </xdr:from>
    <xdr:to>
      <xdr:col>5</xdr:col>
      <xdr:colOff>541234</xdr:colOff>
      <xdr:row>22</xdr:row>
      <xdr:rowOff>171746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6B7494-A8CC-2C22-8F51-3B12A6FF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19458" y="3339981"/>
          <a:ext cx="519869" cy="164625"/>
        </a:xfrm>
        <a:prstGeom prst="rect">
          <a:avLst/>
        </a:prstGeom>
      </xdr:spPr>
    </xdr:pic>
    <xdr:clientData/>
  </xdr:twoCellAnchor>
  <xdr:twoCellAnchor editAs="oneCell">
    <xdr:from>
      <xdr:col>5</xdr:col>
      <xdr:colOff>21364</xdr:colOff>
      <xdr:row>23</xdr:row>
      <xdr:rowOff>14243</xdr:rowOff>
    </xdr:from>
    <xdr:to>
      <xdr:col>5</xdr:col>
      <xdr:colOff>757726</xdr:colOff>
      <xdr:row>23</xdr:row>
      <xdr:rowOff>163794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477D78-CE41-4CF0-9D2B-39207725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9457" y="3532262"/>
          <a:ext cx="739209" cy="149551"/>
        </a:xfrm>
        <a:prstGeom prst="rect">
          <a:avLst/>
        </a:prstGeom>
      </xdr:spPr>
    </xdr:pic>
    <xdr:clientData/>
  </xdr:twoCellAnchor>
  <xdr:twoCellAnchor editAs="oneCell">
    <xdr:from>
      <xdr:col>5</xdr:col>
      <xdr:colOff>21365</xdr:colOff>
      <xdr:row>20</xdr:row>
      <xdr:rowOff>0</xdr:rowOff>
    </xdr:from>
    <xdr:to>
      <xdr:col>5</xdr:col>
      <xdr:colOff>398804</xdr:colOff>
      <xdr:row>21</xdr:row>
      <xdr:rowOff>3619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C9CF70-A3B0-A45B-4FD2-A790E7AF8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9458" y="2962542"/>
          <a:ext cx="377439" cy="182913"/>
        </a:xfrm>
        <a:prstGeom prst="rect">
          <a:avLst/>
        </a:prstGeom>
      </xdr:spPr>
    </xdr:pic>
    <xdr:clientData/>
  </xdr:twoCellAnchor>
  <xdr:twoCellAnchor editAs="oneCell">
    <xdr:from>
      <xdr:col>5</xdr:col>
      <xdr:colOff>14244</xdr:colOff>
      <xdr:row>21</xdr:row>
      <xdr:rowOff>14244</xdr:rowOff>
    </xdr:from>
    <xdr:to>
      <xdr:col>5</xdr:col>
      <xdr:colOff>448655</xdr:colOff>
      <xdr:row>22</xdr:row>
      <xdr:rowOff>1206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1B948B-0843-A589-26C0-8A4F600F8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2337" y="3161945"/>
          <a:ext cx="434411" cy="166256"/>
        </a:xfrm>
        <a:prstGeom prst="rect">
          <a:avLst/>
        </a:prstGeom>
      </xdr:spPr>
    </xdr:pic>
    <xdr:clientData/>
  </xdr:twoCellAnchor>
  <xdr:twoCellAnchor editAs="oneCell">
    <xdr:from>
      <xdr:col>4</xdr:col>
      <xdr:colOff>602174</xdr:colOff>
      <xdr:row>14</xdr:row>
      <xdr:rowOff>17878</xdr:rowOff>
    </xdr:from>
    <xdr:to>
      <xdr:col>4</xdr:col>
      <xdr:colOff>1259765</xdr:colOff>
      <xdr:row>15</xdr:row>
      <xdr:rowOff>9346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19B860-A23E-CB4D-C9F5-7B9DB476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7866" y="2570904"/>
          <a:ext cx="665881" cy="173827"/>
        </a:xfrm>
        <a:prstGeom prst="rect">
          <a:avLst/>
        </a:prstGeom>
      </xdr:spPr>
    </xdr:pic>
    <xdr:clientData/>
  </xdr:twoCellAnchor>
  <xdr:twoCellAnchor editAs="oneCell">
    <xdr:from>
      <xdr:col>5</xdr:col>
      <xdr:colOff>25190</xdr:colOff>
      <xdr:row>9</xdr:row>
      <xdr:rowOff>0</xdr:rowOff>
    </xdr:from>
    <xdr:to>
      <xdr:col>5</xdr:col>
      <xdr:colOff>275757</xdr:colOff>
      <xdr:row>10</xdr:row>
      <xdr:rowOff>10116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63B3FC-F3F6-E630-F74C-61159DBE6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0116" y="1643653"/>
          <a:ext cx="250567" cy="192744"/>
        </a:xfrm>
        <a:prstGeom prst="rect">
          <a:avLst/>
        </a:prstGeom>
      </xdr:spPr>
    </xdr:pic>
    <xdr:clientData/>
  </xdr:twoCellAnchor>
  <xdr:oneCellAnchor>
    <xdr:from>
      <xdr:col>5</xdr:col>
      <xdr:colOff>25190</xdr:colOff>
      <xdr:row>9</xdr:row>
      <xdr:rowOff>0</xdr:rowOff>
    </xdr:from>
    <xdr:ext cx="250567" cy="192744"/>
    <xdr:pic>
      <xdr:nvPicPr>
        <xdr:cNvPr id="18" name="Picture 17">
          <a:extLst>
            <a:ext uri="{FF2B5EF4-FFF2-40B4-BE49-F238E27FC236}">
              <a16:creationId xmlns:a16="http://schemas.microsoft.com/office/drawing/2014/main" id="{750F522E-D96C-448D-A630-5BA8DBF6F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0116" y="1643653"/>
          <a:ext cx="250567" cy="192744"/>
        </a:xfrm>
        <a:prstGeom prst="rect">
          <a:avLst/>
        </a:prstGeom>
      </xdr:spPr>
    </xdr:pic>
    <xdr:clientData/>
  </xdr:oneCellAnchor>
  <xdr:oneCellAnchor>
    <xdr:from>
      <xdr:col>5</xdr:col>
      <xdr:colOff>22248</xdr:colOff>
      <xdr:row>12</xdr:row>
      <xdr:rowOff>181285</xdr:rowOff>
    </xdr:from>
    <xdr:ext cx="253509" cy="195007"/>
    <xdr:pic>
      <xdr:nvPicPr>
        <xdr:cNvPr id="19" name="Picture 18">
          <a:extLst>
            <a:ext uri="{FF2B5EF4-FFF2-40B4-BE49-F238E27FC236}">
              <a16:creationId xmlns:a16="http://schemas.microsoft.com/office/drawing/2014/main" id="{D05C52B5-6483-4503-BE97-BCF52AC3B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8482" y="2383854"/>
          <a:ext cx="253509" cy="195007"/>
        </a:xfrm>
        <a:prstGeom prst="rect">
          <a:avLst/>
        </a:prstGeom>
      </xdr:spPr>
    </xdr:pic>
    <xdr:clientData/>
  </xdr:oneCellAnchor>
  <xdr:twoCellAnchor editAs="oneCell">
    <xdr:from>
      <xdr:col>4</xdr:col>
      <xdr:colOff>604562</xdr:colOff>
      <xdr:row>15</xdr:row>
      <xdr:rowOff>6299</xdr:rowOff>
    </xdr:from>
    <xdr:to>
      <xdr:col>4</xdr:col>
      <xdr:colOff>1291691</xdr:colOff>
      <xdr:row>16</xdr:row>
      <xdr:rowOff>7601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E44D14-E694-505A-1376-6480CC8DD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78628" y="2745720"/>
          <a:ext cx="692727" cy="183931"/>
        </a:xfrm>
        <a:prstGeom prst="rect">
          <a:avLst/>
        </a:prstGeom>
      </xdr:spPr>
    </xdr:pic>
    <xdr:clientData/>
  </xdr:twoCellAnchor>
  <xdr:oneCellAnchor>
    <xdr:from>
      <xdr:col>5</xdr:col>
      <xdr:colOff>16021</xdr:colOff>
      <xdr:row>10</xdr:row>
      <xdr:rowOff>4852</xdr:rowOff>
    </xdr:from>
    <xdr:ext cx="664534" cy="173827"/>
    <xdr:pic>
      <xdr:nvPicPr>
        <xdr:cNvPr id="22" name="Picture 21">
          <a:extLst>
            <a:ext uri="{FF2B5EF4-FFF2-40B4-BE49-F238E27FC236}">
              <a16:creationId xmlns:a16="http://schemas.microsoft.com/office/drawing/2014/main" id="{0580D615-DBFF-4378-B93D-4A9B3FB7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00947" y="2561645"/>
          <a:ext cx="664534" cy="173827"/>
        </a:xfrm>
        <a:prstGeom prst="rect">
          <a:avLst/>
        </a:prstGeom>
      </xdr:spPr>
    </xdr:pic>
    <xdr:clientData/>
  </xdr:oneCellAnchor>
  <xdr:oneCellAnchor>
    <xdr:from>
      <xdr:col>5</xdr:col>
      <xdr:colOff>25190</xdr:colOff>
      <xdr:row>9</xdr:row>
      <xdr:rowOff>0</xdr:rowOff>
    </xdr:from>
    <xdr:ext cx="250567" cy="192744"/>
    <xdr:pic>
      <xdr:nvPicPr>
        <xdr:cNvPr id="23" name="Picture 22">
          <a:extLst>
            <a:ext uri="{FF2B5EF4-FFF2-40B4-BE49-F238E27FC236}">
              <a16:creationId xmlns:a16="http://schemas.microsoft.com/office/drawing/2014/main" id="{F47962E2-5263-424F-9492-03ECBCB46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0116" y="2374165"/>
          <a:ext cx="250567" cy="192744"/>
        </a:xfrm>
        <a:prstGeom prst="rect">
          <a:avLst/>
        </a:prstGeom>
      </xdr:spPr>
    </xdr:pic>
    <xdr:clientData/>
  </xdr:oneCellAnchor>
  <xdr:oneCellAnchor>
    <xdr:from>
      <xdr:col>5</xdr:col>
      <xdr:colOff>25190</xdr:colOff>
      <xdr:row>9</xdr:row>
      <xdr:rowOff>0</xdr:rowOff>
    </xdr:from>
    <xdr:ext cx="250567" cy="192744"/>
    <xdr:pic>
      <xdr:nvPicPr>
        <xdr:cNvPr id="24" name="Picture 23">
          <a:extLst>
            <a:ext uri="{FF2B5EF4-FFF2-40B4-BE49-F238E27FC236}">
              <a16:creationId xmlns:a16="http://schemas.microsoft.com/office/drawing/2014/main" id="{BEC5025F-C148-49DB-B63D-E4B1B6CD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10116" y="2374165"/>
          <a:ext cx="250567" cy="192744"/>
        </a:xfrm>
        <a:prstGeom prst="rect">
          <a:avLst/>
        </a:prstGeom>
      </xdr:spPr>
    </xdr:pic>
    <xdr:clientData/>
  </xdr:oneCellAnchor>
  <xdr:oneCellAnchor>
    <xdr:from>
      <xdr:col>4</xdr:col>
      <xdr:colOff>604562</xdr:colOff>
      <xdr:row>11</xdr:row>
      <xdr:rowOff>6299</xdr:rowOff>
    </xdr:from>
    <xdr:ext cx="692727" cy="183931"/>
    <xdr:pic>
      <xdr:nvPicPr>
        <xdr:cNvPr id="25" name="Picture 24">
          <a:extLst>
            <a:ext uri="{FF2B5EF4-FFF2-40B4-BE49-F238E27FC236}">
              <a16:creationId xmlns:a16="http://schemas.microsoft.com/office/drawing/2014/main" id="{84E5F4AF-E225-4C5B-A1FD-2A0713E1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78628" y="2745720"/>
          <a:ext cx="692727" cy="183931"/>
        </a:xfrm>
        <a:prstGeom prst="rect">
          <a:avLst/>
        </a:prstGeom>
      </xdr:spPr>
    </xdr:pic>
    <xdr:clientData/>
  </xdr:oneCellAnchor>
  <xdr:twoCellAnchor editAs="oneCell">
    <xdr:from>
      <xdr:col>8</xdr:col>
      <xdr:colOff>55372</xdr:colOff>
      <xdr:row>8</xdr:row>
      <xdr:rowOff>163735</xdr:rowOff>
    </xdr:from>
    <xdr:to>
      <xdr:col>9</xdr:col>
      <xdr:colOff>93806</xdr:colOff>
      <xdr:row>10</xdr:row>
      <xdr:rowOff>14034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86DAFE1-B335-06B3-D0E6-36AC6E18B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72876" y="1624760"/>
          <a:ext cx="649294" cy="215555"/>
        </a:xfrm>
        <a:prstGeom prst="rect">
          <a:avLst/>
        </a:prstGeom>
      </xdr:spPr>
    </xdr:pic>
    <xdr:clientData/>
  </xdr:twoCellAnchor>
  <xdr:twoCellAnchor editAs="oneCell">
    <xdr:from>
      <xdr:col>6</xdr:col>
      <xdr:colOff>92676</xdr:colOff>
      <xdr:row>10</xdr:row>
      <xdr:rowOff>37755</xdr:rowOff>
    </xdr:from>
    <xdr:to>
      <xdr:col>7</xdr:col>
      <xdr:colOff>162699</xdr:colOff>
      <xdr:row>11</xdr:row>
      <xdr:rowOff>175053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D5920C-D6C2-17A6-7276-AB8C69D04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95298" y="1856944"/>
          <a:ext cx="680997" cy="3192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1</xdr:rowOff>
    </xdr:from>
    <xdr:to>
      <xdr:col>5</xdr:col>
      <xdr:colOff>673893</xdr:colOff>
      <xdr:row>12</xdr:row>
      <xdr:rowOff>166863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4C95751-E10C-06EF-9FDE-92A269B3D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96234" y="2202570"/>
          <a:ext cx="676116" cy="166862"/>
        </a:xfrm>
        <a:prstGeom prst="rect">
          <a:avLst/>
        </a:prstGeom>
      </xdr:spPr>
    </xdr:pic>
    <xdr:clientData/>
  </xdr:twoCellAnchor>
  <xdr:twoCellAnchor editAs="oneCell">
    <xdr:from>
      <xdr:col>5</xdr:col>
      <xdr:colOff>44014</xdr:colOff>
      <xdr:row>31</xdr:row>
      <xdr:rowOff>76634</xdr:rowOff>
    </xdr:from>
    <xdr:to>
      <xdr:col>5</xdr:col>
      <xdr:colOff>1618641</xdr:colOff>
      <xdr:row>33</xdr:row>
      <xdr:rowOff>28897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9C6B94D-5E67-C183-B6D8-66F3F5BB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37570" y="5975078"/>
          <a:ext cx="1578390" cy="309745"/>
        </a:xfrm>
        <a:prstGeom prst="rect">
          <a:avLst/>
        </a:prstGeom>
      </xdr:spPr>
    </xdr:pic>
    <xdr:clientData/>
  </xdr:twoCellAnchor>
  <xdr:twoCellAnchor editAs="oneCell">
    <xdr:from>
      <xdr:col>5</xdr:col>
      <xdr:colOff>96632</xdr:colOff>
      <xdr:row>33</xdr:row>
      <xdr:rowOff>145847</xdr:rowOff>
    </xdr:from>
    <xdr:to>
      <xdr:col>5</xdr:col>
      <xdr:colOff>1679029</xdr:colOff>
      <xdr:row>35</xdr:row>
      <xdr:rowOff>94743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D650FA1-4B02-18E6-1DE8-2D256B38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90188" y="6401773"/>
          <a:ext cx="1586160" cy="306378"/>
        </a:xfrm>
        <a:prstGeom prst="rect">
          <a:avLst/>
        </a:prstGeom>
      </xdr:spPr>
    </xdr:pic>
    <xdr:clientData/>
  </xdr:twoCellAnchor>
  <xdr:twoCellAnchor editAs="oneCell">
    <xdr:from>
      <xdr:col>5</xdr:col>
      <xdr:colOff>46253</xdr:colOff>
      <xdr:row>28</xdr:row>
      <xdr:rowOff>93043</xdr:rowOff>
    </xdr:from>
    <xdr:to>
      <xdr:col>5</xdr:col>
      <xdr:colOff>1429248</xdr:colOff>
      <xdr:row>30</xdr:row>
      <xdr:rowOff>144015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33C3426-A561-AB91-148E-2C170E861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39809" y="5455265"/>
          <a:ext cx="1386758" cy="408453"/>
        </a:xfrm>
        <a:prstGeom prst="rect">
          <a:avLst/>
        </a:prstGeom>
      </xdr:spPr>
    </xdr:pic>
    <xdr:clientData/>
  </xdr:twoCellAnchor>
  <xdr:twoCellAnchor editAs="oneCell">
    <xdr:from>
      <xdr:col>9</xdr:col>
      <xdr:colOff>577273</xdr:colOff>
      <xdr:row>36</xdr:row>
      <xdr:rowOff>153540</xdr:rowOff>
    </xdr:from>
    <xdr:to>
      <xdr:col>11</xdr:col>
      <xdr:colOff>431031</xdr:colOff>
      <xdr:row>40</xdr:row>
      <xdr:rowOff>150356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F017EF5-193E-4F46-0CEE-36029D9A1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44182" y="6803722"/>
          <a:ext cx="1069879" cy="735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15643</xdr:colOff>
      <xdr:row>40</xdr:row>
      <xdr:rowOff>153940</xdr:rowOff>
    </xdr:from>
    <xdr:to>
      <xdr:col>11</xdr:col>
      <xdr:colOff>501482</xdr:colOff>
      <xdr:row>46</xdr:row>
      <xdr:rowOff>94366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C3E45EC-1813-EAB2-347C-7838FABD0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490613" y="7543031"/>
          <a:ext cx="1093899" cy="10487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63575</xdr:colOff>
      <xdr:row>4</xdr:row>
      <xdr:rowOff>51494</xdr:rowOff>
    </xdr:from>
    <xdr:to>
      <xdr:col>21</xdr:col>
      <xdr:colOff>124964</xdr:colOff>
      <xdr:row>14</xdr:row>
      <xdr:rowOff>101612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4D3A9-D0C8-07ED-4C8A-743764A8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5635" y="783014"/>
          <a:ext cx="4938189" cy="18789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26275</xdr:rowOff>
    </xdr:from>
    <xdr:to>
      <xdr:col>13</xdr:col>
      <xdr:colOff>389528</xdr:colOff>
      <xdr:row>85</xdr:row>
      <xdr:rowOff>122620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28ED1A-033D-24CA-4C9E-1BC024D9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103" y="10510344"/>
          <a:ext cx="8771528" cy="4694621"/>
        </a:xfrm>
        <a:prstGeom prst="rect">
          <a:avLst/>
        </a:prstGeom>
      </xdr:spPr>
    </xdr:pic>
    <xdr:clientData/>
  </xdr:twoCellAnchor>
  <xdr:twoCellAnchor editAs="oneCell">
    <xdr:from>
      <xdr:col>13</xdr:col>
      <xdr:colOff>579120</xdr:colOff>
      <xdr:row>60</xdr:row>
      <xdr:rowOff>35170</xdr:rowOff>
    </xdr:from>
    <xdr:to>
      <xdr:col>28</xdr:col>
      <xdr:colOff>117231</xdr:colOff>
      <xdr:row>85</xdr:row>
      <xdr:rowOff>86509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91D304-1597-8916-9FB5-FB416CA3A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5889" y="10585939"/>
          <a:ext cx="8770034" cy="4447493"/>
        </a:xfrm>
        <a:prstGeom prst="rect">
          <a:avLst/>
        </a:prstGeom>
      </xdr:spPr>
    </xdr:pic>
    <xdr:clientData/>
  </xdr:twoCellAnchor>
  <xdr:twoCellAnchor editAs="oneCell">
    <xdr:from>
      <xdr:col>1</xdr:col>
      <xdr:colOff>55217</xdr:colOff>
      <xdr:row>87</xdr:row>
      <xdr:rowOff>18325</xdr:rowOff>
    </xdr:from>
    <xdr:to>
      <xdr:col>13</xdr:col>
      <xdr:colOff>339865</xdr:colOff>
      <xdr:row>111</xdr:row>
      <xdr:rowOff>66260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69BAE6-D4E0-B91F-E17F-0DCD04460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608" y="16351629"/>
          <a:ext cx="8600387" cy="4553674"/>
        </a:xfrm>
        <a:prstGeom prst="rect">
          <a:avLst/>
        </a:prstGeom>
      </xdr:spPr>
    </xdr:pic>
    <xdr:clientData/>
  </xdr:twoCellAnchor>
  <xdr:twoCellAnchor editAs="oneCell">
    <xdr:from>
      <xdr:col>14</xdr:col>
      <xdr:colOff>41564</xdr:colOff>
      <xdr:row>7</xdr:row>
      <xdr:rowOff>69272</xdr:rowOff>
    </xdr:from>
    <xdr:to>
      <xdr:col>27</xdr:col>
      <xdr:colOff>258800</xdr:colOff>
      <xdr:row>31</xdr:row>
      <xdr:rowOff>83127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DAA6B6F-AC85-BE6B-14D2-C41862275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1330036"/>
          <a:ext cx="8142036" cy="4336473"/>
        </a:xfrm>
        <a:prstGeom prst="rect">
          <a:avLst/>
        </a:prstGeom>
      </xdr:spPr>
    </xdr:pic>
    <xdr:clientData/>
  </xdr:twoCellAnchor>
  <xdr:twoCellAnchor editAs="oneCell">
    <xdr:from>
      <xdr:col>14</xdr:col>
      <xdr:colOff>69271</xdr:colOff>
      <xdr:row>33</xdr:row>
      <xdr:rowOff>55417</xdr:rowOff>
    </xdr:from>
    <xdr:to>
      <xdr:col>28</xdr:col>
      <xdr:colOff>30565</xdr:colOff>
      <xdr:row>58</xdr:row>
      <xdr:rowOff>87922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2208380-DD7E-4793-B671-3754D97C4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11502" y="5858340"/>
          <a:ext cx="8577755" cy="4428659"/>
        </a:xfrm>
        <a:prstGeom prst="rect">
          <a:avLst/>
        </a:prstGeom>
      </xdr:spPr>
    </xdr:pic>
    <xdr:clientData/>
  </xdr:twoCellAnchor>
  <xdr:twoCellAnchor editAs="oneCell">
    <xdr:from>
      <xdr:col>0</xdr:col>
      <xdr:colOff>564446</xdr:colOff>
      <xdr:row>7</xdr:row>
      <xdr:rowOff>56443</xdr:rowOff>
    </xdr:from>
    <xdr:to>
      <xdr:col>13</xdr:col>
      <xdr:colOff>112888</xdr:colOff>
      <xdr:row>32</xdr:row>
      <xdr:rowOff>4474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89E2811-0236-3736-F728-FE8EDBA3B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4446" y="1241776"/>
          <a:ext cx="8635998" cy="4181365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544286</xdr:colOff>
      <xdr:row>33</xdr:row>
      <xdr:rowOff>10047</xdr:rowOff>
    </xdr:from>
    <xdr:to>
      <xdr:col>12</xdr:col>
      <xdr:colOff>571500</xdr:colOff>
      <xdr:row>58</xdr:row>
      <xdr:rowOff>108275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845B123-B6E2-DD29-E78A-9931DAC7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4286" y="5812970"/>
          <a:ext cx="8438522" cy="4494382"/>
        </a:xfrm>
        <a:prstGeom prst="rect">
          <a:avLst/>
        </a:prstGeom>
      </xdr:spPr>
    </xdr:pic>
    <xdr:clientData/>
  </xdr:twoCellAnchor>
  <xdr:twoCellAnchor editAs="oneCell">
    <xdr:from>
      <xdr:col>14</xdr:col>
      <xdr:colOff>14654</xdr:colOff>
      <xdr:row>87</xdr:row>
      <xdr:rowOff>58615</xdr:rowOff>
    </xdr:from>
    <xdr:to>
      <xdr:col>28</xdr:col>
      <xdr:colOff>395654</xdr:colOff>
      <xdr:row>114</xdr:row>
      <xdr:rowOff>112230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C394017-737E-5FD7-7E9E-1906259B1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56885" y="15357230"/>
          <a:ext cx="8997461" cy="4801462"/>
        </a:xfrm>
        <a:prstGeom prst="rect">
          <a:avLst/>
        </a:prstGeom>
      </xdr:spPr>
    </xdr:pic>
    <xdr:clientData/>
  </xdr:twoCellAnchor>
  <xdr:twoCellAnchor editAs="oneCell">
    <xdr:from>
      <xdr:col>29</xdr:col>
      <xdr:colOff>214312</xdr:colOff>
      <xdr:row>60</xdr:row>
      <xdr:rowOff>172525</xdr:rowOff>
    </xdr:from>
    <xdr:to>
      <xdr:col>44</xdr:col>
      <xdr:colOff>46179</xdr:colOff>
      <xdr:row>86</xdr:row>
      <xdr:rowOff>71438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349B4A-1431-2989-6FB8-CED138E9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92875" y="11602525"/>
          <a:ext cx="9118742" cy="4851913"/>
        </a:xfrm>
        <a:prstGeom prst="rect">
          <a:avLst/>
        </a:prstGeom>
      </xdr:spPr>
    </xdr:pic>
    <xdr:clientData/>
  </xdr:twoCellAnchor>
  <xdr:twoCellAnchor editAs="oneCell">
    <xdr:from>
      <xdr:col>28</xdr:col>
      <xdr:colOff>452438</xdr:colOff>
      <xdr:row>7</xdr:row>
      <xdr:rowOff>142875</xdr:rowOff>
    </xdr:from>
    <xdr:to>
      <xdr:col>42</xdr:col>
      <xdr:colOff>119062</xdr:colOff>
      <xdr:row>31</xdr:row>
      <xdr:rowOff>4379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23BA4B-23D5-4118-8F04-9A82930D7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811876" y="1476375"/>
          <a:ext cx="8334374" cy="4417175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571500</xdr:colOff>
      <xdr:row>32</xdr:row>
      <xdr:rowOff>166688</xdr:rowOff>
    </xdr:from>
    <xdr:to>
      <xdr:col>44</xdr:col>
      <xdr:colOff>726</xdr:colOff>
      <xdr:row>58</xdr:row>
      <xdr:rowOff>166688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940FD5F-0BED-27F8-C0A9-2EDF9ADB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930938" y="6262688"/>
          <a:ext cx="9327015" cy="49530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309563</xdr:colOff>
      <xdr:row>88</xdr:row>
      <xdr:rowOff>0</xdr:rowOff>
    </xdr:from>
    <xdr:to>
      <xdr:col>44</xdr:col>
      <xdr:colOff>133994</xdr:colOff>
      <xdr:row>112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7E445AC-BBA8-EE2A-E053-C4921F1C2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88126" y="16764000"/>
          <a:ext cx="9111306" cy="4714875"/>
        </a:xfrm>
        <a:prstGeom prst="rect">
          <a:avLst/>
        </a:prstGeom>
      </xdr:spPr>
    </xdr:pic>
    <xdr:clientData/>
  </xdr:twoCellAnchor>
  <xdr:twoCellAnchor editAs="oneCell">
    <xdr:from>
      <xdr:col>47</xdr:col>
      <xdr:colOff>537617</xdr:colOff>
      <xdr:row>10</xdr:row>
      <xdr:rowOff>49696</xdr:rowOff>
    </xdr:from>
    <xdr:to>
      <xdr:col>55</xdr:col>
      <xdr:colOff>334327</xdr:colOff>
      <xdr:row>23</xdr:row>
      <xdr:rowOff>149087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443C188-4C2F-651D-66A6-9B0DEEA0D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050747" y="1871870"/>
          <a:ext cx="4700015" cy="2468217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55</xdr:col>
      <xdr:colOff>331304</xdr:colOff>
      <xdr:row>38</xdr:row>
      <xdr:rowOff>90292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D791BAD-0CF9-E1A0-4E35-4C143E5F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126043" y="4555435"/>
          <a:ext cx="4621696" cy="2459118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1</xdr:rowOff>
    </xdr:from>
    <xdr:to>
      <xdr:col>55</xdr:col>
      <xdr:colOff>364435</xdr:colOff>
      <xdr:row>53</xdr:row>
      <xdr:rowOff>98209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0C89E18-F7CE-88D9-719C-5E7C25471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126043" y="7288697"/>
          <a:ext cx="4654827" cy="2467034"/>
        </a:xfrm>
        <a:prstGeom prst="rect">
          <a:avLst/>
        </a:prstGeom>
      </xdr:spPr>
    </xdr:pic>
    <xdr:clientData/>
  </xdr:twoCellAnchor>
  <xdr:twoCellAnchor editAs="oneCell">
    <xdr:from>
      <xdr:col>56</xdr:col>
      <xdr:colOff>115746</xdr:colOff>
      <xdr:row>10</xdr:row>
      <xdr:rowOff>35866</xdr:rowOff>
    </xdr:from>
    <xdr:to>
      <xdr:col>64</xdr:col>
      <xdr:colOff>38582</xdr:colOff>
      <xdr:row>24</xdr:row>
      <xdr:rowOff>8242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402EB6-1BD6-39C7-50BE-32419223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862227" y="1868524"/>
          <a:ext cx="4784203" cy="2538098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25</xdr:row>
      <xdr:rowOff>0</xdr:rowOff>
    </xdr:from>
    <xdr:to>
      <xdr:col>64</xdr:col>
      <xdr:colOff>65315</xdr:colOff>
      <xdr:row>39</xdr:row>
      <xdr:rowOff>41241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24374CB-9E1C-8166-6926-7F6859B22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835771" y="4354286"/>
          <a:ext cx="4942115" cy="2479641"/>
        </a:xfrm>
        <a:prstGeom prst="rect">
          <a:avLst/>
        </a:prstGeom>
      </xdr:spPr>
    </xdr:pic>
    <xdr:clientData/>
  </xdr:twoCellAnchor>
  <xdr:twoCellAnchor editAs="oneCell">
    <xdr:from>
      <xdr:col>56</xdr:col>
      <xdr:colOff>43544</xdr:colOff>
      <xdr:row>40</xdr:row>
      <xdr:rowOff>21771</xdr:rowOff>
    </xdr:from>
    <xdr:to>
      <xdr:col>64</xdr:col>
      <xdr:colOff>195944</xdr:colOff>
      <xdr:row>55</xdr:row>
      <xdr:rowOff>85143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40B342-F7D7-B818-5047-E963340F3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879315" y="6988628"/>
          <a:ext cx="5029200" cy="2675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FC4A-96B4-40E2-88BD-6DD953BCC33B}">
  <dimension ref="A1:M16"/>
  <sheetViews>
    <sheetView zoomScale="77" workbookViewId="0">
      <selection activeCell="K8" sqref="K8"/>
    </sheetView>
  </sheetViews>
  <sheetFormatPr defaultRowHeight="14.4" x14ac:dyDescent="0.3"/>
  <cols>
    <col min="1" max="1" width="10.77734375" bestFit="1" customWidth="1"/>
    <col min="2" max="2" width="56.5546875" bestFit="1" customWidth="1"/>
    <col min="9" max="9" width="24.21875" customWidth="1"/>
    <col min="10" max="10" width="34.77734375" bestFit="1" customWidth="1"/>
    <col min="11" max="13" width="9.88671875" bestFit="1" customWidth="1"/>
  </cols>
  <sheetData>
    <row r="1" spans="1:13" x14ac:dyDescent="0.3">
      <c r="A1" s="4" t="s">
        <v>42</v>
      </c>
      <c r="B1" t="s">
        <v>48</v>
      </c>
      <c r="E1" t="s">
        <v>54</v>
      </c>
    </row>
    <row r="2" spans="1:13" x14ac:dyDescent="0.3">
      <c r="A2" s="4" t="s">
        <v>42</v>
      </c>
      <c r="B2" t="s">
        <v>52</v>
      </c>
      <c r="C2" t="s">
        <v>53</v>
      </c>
      <c r="E2" t="s">
        <v>74</v>
      </c>
    </row>
    <row r="4" spans="1:13" x14ac:dyDescent="0.3">
      <c r="B4" s="1" t="s">
        <v>57</v>
      </c>
      <c r="J4" s="1" t="s">
        <v>60</v>
      </c>
      <c r="L4" s="2" t="s">
        <v>72</v>
      </c>
    </row>
    <row r="5" spans="1:13" x14ac:dyDescent="0.3">
      <c r="I5" s="5" t="s">
        <v>34</v>
      </c>
      <c r="K5" s="4" t="s">
        <v>1</v>
      </c>
      <c r="L5" s="4" t="s">
        <v>71</v>
      </c>
      <c r="M5" s="4" t="s">
        <v>3</v>
      </c>
    </row>
    <row r="6" spans="1:13" x14ac:dyDescent="0.3">
      <c r="B6" s="14" t="s">
        <v>49</v>
      </c>
      <c r="C6" s="8">
        <v>300</v>
      </c>
      <c r="J6" s="4" t="s">
        <v>61</v>
      </c>
      <c r="K6">
        <v>60</v>
      </c>
      <c r="L6">
        <v>30</v>
      </c>
      <c r="M6">
        <v>15</v>
      </c>
    </row>
    <row r="7" spans="1:13" x14ac:dyDescent="0.3">
      <c r="B7" s="15" t="s">
        <v>50</v>
      </c>
      <c r="C7" s="10">
        <f>C6/SQRT(2)</f>
        <v>212.13203435596424</v>
      </c>
      <c r="J7" s="4" t="s">
        <v>62</v>
      </c>
      <c r="K7">
        <f>K6*0.44704</f>
        <v>26.822399999999998</v>
      </c>
      <c r="L7">
        <f>L6*0.44704</f>
        <v>13.411199999999999</v>
      </c>
      <c r="M7">
        <f>M6*0.44704</f>
        <v>6.7055999999999996</v>
      </c>
    </row>
    <row r="8" spans="1:13" x14ac:dyDescent="0.3">
      <c r="B8" s="15" t="s">
        <v>51</v>
      </c>
      <c r="C8" s="10">
        <v>283</v>
      </c>
      <c r="D8" s="2" t="s">
        <v>75</v>
      </c>
      <c r="I8" s="5" t="s">
        <v>63</v>
      </c>
      <c r="J8" s="19" t="s">
        <v>64</v>
      </c>
      <c r="K8" s="12">
        <f>(16/12)*(0.3048)</f>
        <v>0.40639999999999998</v>
      </c>
      <c r="L8" s="12">
        <f>(16/12)*(0.3048)</f>
        <v>0.40639999999999998</v>
      </c>
      <c r="M8" s="12">
        <f>(16/12)*(0.3048)</f>
        <v>0.40639999999999998</v>
      </c>
    </row>
    <row r="9" spans="1:13" ht="29.4" thickBot="1" x14ac:dyDescent="0.35">
      <c r="B9" s="16" t="s">
        <v>55</v>
      </c>
      <c r="C9" s="17">
        <v>0.38</v>
      </c>
      <c r="I9" s="20" t="s">
        <v>65</v>
      </c>
      <c r="J9" s="4" t="s">
        <v>66</v>
      </c>
      <c r="K9">
        <f>K7/(K8/2)</f>
        <v>132</v>
      </c>
      <c r="L9">
        <f>L7/(L8/2)</f>
        <v>66</v>
      </c>
      <c r="M9">
        <f>M7/(M8/2)</f>
        <v>33</v>
      </c>
    </row>
    <row r="10" spans="1:13" x14ac:dyDescent="0.3">
      <c r="B10" s="18" t="s">
        <v>56</v>
      </c>
      <c r="C10" s="13">
        <f>C8*C9</f>
        <v>107.54</v>
      </c>
      <c r="I10" s="20"/>
      <c r="J10" s="4" t="s">
        <v>67</v>
      </c>
      <c r="K10">
        <v>4.7</v>
      </c>
      <c r="L10">
        <v>4.7</v>
      </c>
      <c r="M10">
        <v>4.7</v>
      </c>
    </row>
    <row r="11" spans="1:13" ht="29.4" thickBot="1" x14ac:dyDescent="0.35">
      <c r="B11" s="4"/>
      <c r="I11" s="20" t="s">
        <v>68</v>
      </c>
      <c r="J11" s="21" t="s">
        <v>69</v>
      </c>
      <c r="K11" s="22">
        <f>K9*K10</f>
        <v>620.4</v>
      </c>
      <c r="L11" s="22">
        <f>L9*L10</f>
        <v>310.2</v>
      </c>
      <c r="M11" s="22">
        <f>M9*M10</f>
        <v>155.1</v>
      </c>
    </row>
    <row r="12" spans="1:13" ht="15" thickTop="1" x14ac:dyDescent="0.3">
      <c r="B12" s="1" t="s">
        <v>58</v>
      </c>
      <c r="C12" t="s">
        <v>59</v>
      </c>
      <c r="I12" s="20"/>
      <c r="J12" s="4" t="s">
        <v>70</v>
      </c>
      <c r="K12">
        <f>K11*60/(2*PI())</f>
        <v>5924.3836016527121</v>
      </c>
      <c r="L12">
        <f>L11*60/(2*PI())</f>
        <v>2962.191800826356</v>
      </c>
      <c r="M12">
        <f>M11*60/(2*PI())</f>
        <v>1481.095900413178</v>
      </c>
    </row>
    <row r="13" spans="1:13" x14ac:dyDescent="0.3">
      <c r="I13" s="23"/>
      <c r="J13" s="4"/>
    </row>
    <row r="14" spans="1:13" x14ac:dyDescent="0.3">
      <c r="I14" s="23"/>
      <c r="J14" s="4"/>
    </row>
    <row r="15" spans="1:13" x14ac:dyDescent="0.3">
      <c r="I15" s="23"/>
      <c r="J15" s="4"/>
    </row>
    <row r="16" spans="1:13" x14ac:dyDescent="0.3">
      <c r="I16" s="23"/>
      <c r="J1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18E5-8C5A-483D-9A7E-9E7C26F11B80}">
  <dimension ref="A1:G15"/>
  <sheetViews>
    <sheetView tabSelected="1" zoomScale="138" workbookViewId="0">
      <selection activeCell="C4" sqref="C4"/>
    </sheetView>
  </sheetViews>
  <sheetFormatPr defaultRowHeight="14.4" x14ac:dyDescent="0.3"/>
  <cols>
    <col min="1" max="1" width="20" bestFit="1" customWidth="1"/>
    <col min="2" max="2" width="30.5546875" bestFit="1" customWidth="1"/>
    <col min="6" max="6" width="13.5546875" bestFit="1" customWidth="1"/>
  </cols>
  <sheetData>
    <row r="1" spans="1:7" x14ac:dyDescent="0.3">
      <c r="B1" t="s">
        <v>15</v>
      </c>
      <c r="G1" t="s">
        <v>12</v>
      </c>
    </row>
    <row r="2" spans="1:7" x14ac:dyDescent="0.3">
      <c r="B2" s="1" t="s">
        <v>33</v>
      </c>
    </row>
    <row r="3" spans="1:7" x14ac:dyDescent="0.3">
      <c r="A3" s="5" t="s">
        <v>34</v>
      </c>
      <c r="C3" s="4" t="s">
        <v>1</v>
      </c>
      <c r="D3" s="4" t="s">
        <v>2</v>
      </c>
      <c r="E3" s="4" t="s">
        <v>3</v>
      </c>
    </row>
    <row r="4" spans="1:7" x14ac:dyDescent="0.3">
      <c r="A4" s="5"/>
      <c r="B4" s="6" t="s">
        <v>30</v>
      </c>
      <c r="C4" s="7">
        <f>'TORQUE TARGET CALCS'!C10</f>
        <v>107.54</v>
      </c>
      <c r="D4" s="7">
        <f>'TORQUE TARGET CALCS'!C10</f>
        <v>107.54</v>
      </c>
      <c r="E4" s="8">
        <f>'TORQUE TARGET CALCS'!C10</f>
        <v>107.54</v>
      </c>
    </row>
    <row r="5" spans="1:7" x14ac:dyDescent="0.3">
      <c r="A5" s="5" t="s">
        <v>11</v>
      </c>
      <c r="B5" s="9" t="s">
        <v>22</v>
      </c>
      <c r="C5">
        <f>'TORQUE TARGET CALCS'!K12</f>
        <v>5924.3836016527121</v>
      </c>
      <c r="D5">
        <f>'TORQUE TARGET CALCS'!L12</f>
        <v>2962.191800826356</v>
      </c>
      <c r="E5" s="10">
        <f>'TORQUE TARGET CALCS'!M12</f>
        <v>1481.095900413178</v>
      </c>
      <c r="F5" t="s">
        <v>8</v>
      </c>
    </row>
    <row r="6" spans="1:7" x14ac:dyDescent="0.3">
      <c r="B6" s="9" t="s">
        <v>23</v>
      </c>
      <c r="C6">
        <f>C5/CALCULATIONS!C5</f>
        <v>1260.507149287811</v>
      </c>
      <c r="D6">
        <f>D5/CALCULATIONS!D5</f>
        <v>630.25357464390549</v>
      </c>
      <c r="E6" s="10">
        <f>E5/CALCULATIONS!E5</f>
        <v>315.12678732195275</v>
      </c>
      <c r="F6" t="s">
        <v>29</v>
      </c>
    </row>
    <row r="7" spans="1:7" x14ac:dyDescent="0.3">
      <c r="A7" s="5" t="s">
        <v>11</v>
      </c>
      <c r="B7" s="9" t="s">
        <v>24</v>
      </c>
      <c r="C7">
        <v>10</v>
      </c>
      <c r="D7">
        <v>10</v>
      </c>
      <c r="E7" s="10">
        <v>10</v>
      </c>
      <c r="F7" s="50" t="s">
        <v>73</v>
      </c>
    </row>
    <row r="8" spans="1:7" x14ac:dyDescent="0.3">
      <c r="A8" s="5" t="s">
        <v>11</v>
      </c>
      <c r="B8" s="9" t="s">
        <v>25</v>
      </c>
      <c r="C8">
        <v>47</v>
      </c>
      <c r="D8">
        <v>47</v>
      </c>
      <c r="E8" s="10">
        <v>47</v>
      </c>
      <c r="F8" s="50"/>
    </row>
    <row r="9" spans="1:7" x14ac:dyDescent="0.3">
      <c r="A9" s="5" t="s">
        <v>11</v>
      </c>
      <c r="B9" s="9" t="s">
        <v>4</v>
      </c>
      <c r="C9">
        <v>2</v>
      </c>
      <c r="D9">
        <v>2</v>
      </c>
      <c r="E9" s="10">
        <v>2</v>
      </c>
    </row>
    <row r="10" spans="1:7" x14ac:dyDescent="0.3">
      <c r="A10" s="5" t="s">
        <v>11</v>
      </c>
      <c r="B10" s="9" t="s">
        <v>32</v>
      </c>
      <c r="C10">
        <v>0.97</v>
      </c>
      <c r="D10">
        <v>0.97</v>
      </c>
      <c r="E10" s="10">
        <v>0.97</v>
      </c>
      <c r="F10" t="s">
        <v>201</v>
      </c>
    </row>
    <row r="11" spans="1:7" x14ac:dyDescent="0.3">
      <c r="A11" s="5" t="s">
        <v>11</v>
      </c>
      <c r="B11" s="9" t="s">
        <v>5</v>
      </c>
      <c r="C11">
        <v>1.37</v>
      </c>
      <c r="D11">
        <v>1.37</v>
      </c>
      <c r="E11" s="10">
        <v>1.37</v>
      </c>
    </row>
    <row r="12" spans="1:7" x14ac:dyDescent="0.3">
      <c r="A12" s="5" t="s">
        <v>11</v>
      </c>
      <c r="B12" s="9" t="s">
        <v>202</v>
      </c>
      <c r="C12">
        <v>1.26</v>
      </c>
      <c r="D12">
        <v>1.26</v>
      </c>
      <c r="E12" s="10">
        <v>1.26</v>
      </c>
      <c r="F12" t="s">
        <v>203</v>
      </c>
      <c r="G12">
        <f>'SPROCKET GEOMETRY'!K51/'SPROCKET GEOMETRY'!J4</f>
        <v>16.71254026778842</v>
      </c>
    </row>
    <row r="13" spans="1:7" x14ac:dyDescent="0.3">
      <c r="A13" s="5" t="s">
        <v>11</v>
      </c>
      <c r="B13" s="9" t="s">
        <v>6</v>
      </c>
      <c r="C13">
        <v>1</v>
      </c>
      <c r="D13">
        <v>1</v>
      </c>
      <c r="E13" s="10">
        <v>1</v>
      </c>
    </row>
    <row r="14" spans="1:7" x14ac:dyDescent="0.3">
      <c r="B14" s="9" t="s">
        <v>7</v>
      </c>
      <c r="C14">
        <v>1</v>
      </c>
      <c r="D14">
        <v>1</v>
      </c>
      <c r="E14" s="10">
        <v>1</v>
      </c>
    </row>
    <row r="15" spans="1:7" x14ac:dyDescent="0.3">
      <c r="B15" s="11" t="s">
        <v>35</v>
      </c>
      <c r="C15" s="12">
        <f>C9*C10*C11*C12*C13*C14</f>
        <v>3.3488280000000001</v>
      </c>
      <c r="D15" s="12">
        <f>D9*D10*D11*D12*D13*D14</f>
        <v>3.3488280000000001</v>
      </c>
      <c r="E15" s="13">
        <f>E9*E10*E11*E12*E13*E14</f>
        <v>3.3488280000000001</v>
      </c>
    </row>
  </sheetData>
  <mergeCells count="1">
    <mergeCell ref="F7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5797-A089-4966-898B-577EE047B3E0}">
  <dimension ref="A3:AC35"/>
  <sheetViews>
    <sheetView zoomScale="85" zoomScaleNormal="85" workbookViewId="0">
      <selection activeCell="E10" sqref="E10"/>
    </sheetView>
  </sheetViews>
  <sheetFormatPr defaultRowHeight="14.4" x14ac:dyDescent="0.3"/>
  <cols>
    <col min="1" max="1" width="15.109375" bestFit="1" customWidth="1"/>
    <col min="2" max="2" width="36.44140625" bestFit="1" customWidth="1"/>
    <col min="5" max="5" width="10.88671875" bestFit="1" customWidth="1"/>
    <col min="6" max="6" width="21" bestFit="1" customWidth="1"/>
    <col min="7" max="7" width="28.21875" bestFit="1" customWidth="1"/>
    <col min="8" max="8" width="32.6640625" bestFit="1" customWidth="1"/>
    <col min="9" max="9" width="32" bestFit="1" customWidth="1"/>
    <col min="20" max="20" width="11.33203125" bestFit="1" customWidth="1"/>
  </cols>
  <sheetData>
    <row r="3" spans="1:29" x14ac:dyDescent="0.3">
      <c r="B3" s="4" t="s">
        <v>0</v>
      </c>
      <c r="C3" s="4" t="s">
        <v>1</v>
      </c>
      <c r="D3" s="4" t="s">
        <v>2</v>
      </c>
      <c r="E3" s="4" t="s">
        <v>3</v>
      </c>
    </row>
    <row r="4" spans="1:29" x14ac:dyDescent="0.3">
      <c r="B4" s="4" t="s">
        <v>46</v>
      </c>
      <c r="C4">
        <f>ASSUMPTIONS!C4*ASSUMPTIONS!C5/9550</f>
        <v>66.7129018347364</v>
      </c>
      <c r="D4">
        <f>ASSUMPTIONS!D4*ASSUMPTIONS!D5/9550</f>
        <v>33.3564509173682</v>
      </c>
      <c r="E4">
        <f>ASSUMPTIONS!E4*ASSUMPTIONS!E5/9550</f>
        <v>16.6782254586841</v>
      </c>
    </row>
    <row r="5" spans="1:29" x14ac:dyDescent="0.3">
      <c r="B5" s="4" t="s">
        <v>47</v>
      </c>
      <c r="C5">
        <f>C4*ASSUMPTIONS!C15</f>
        <v>223.41003362541665</v>
      </c>
      <c r="D5">
        <f>D4*ASSUMPTIONS!D15</f>
        <v>111.70501681270832</v>
      </c>
      <c r="E5">
        <f>E4*ASSUMPTIONS!E15</f>
        <v>55.852508406354161</v>
      </c>
      <c r="T5" t="s">
        <v>77</v>
      </c>
    </row>
    <row r="6" spans="1:29" x14ac:dyDescent="0.3">
      <c r="T6" t="s">
        <v>78</v>
      </c>
    </row>
    <row r="7" spans="1:29" x14ac:dyDescent="0.3">
      <c r="B7" s="1" t="s">
        <v>13</v>
      </c>
    </row>
    <row r="8" spans="1:29" x14ac:dyDescent="0.3">
      <c r="A8" s="5"/>
      <c r="AC8" s="4" t="s">
        <v>42</v>
      </c>
    </row>
    <row r="9" spans="1:29" x14ac:dyDescent="0.3">
      <c r="B9" s="14" t="s">
        <v>47</v>
      </c>
      <c r="C9" s="7">
        <f>C5</f>
        <v>223.41003362541665</v>
      </c>
      <c r="D9" s="7">
        <f>D5</f>
        <v>111.70501681270832</v>
      </c>
      <c r="E9" s="8">
        <f>E5</f>
        <v>55.852508406354161</v>
      </c>
    </row>
    <row r="10" spans="1:29" x14ac:dyDescent="0.3">
      <c r="B10" s="15" t="s">
        <v>9</v>
      </c>
      <c r="C10">
        <f>ASSUMPTIONS!C5</f>
        <v>5924.3836016527121</v>
      </c>
      <c r="D10">
        <f>ASSUMPTIONS!D5</f>
        <v>2962.191800826356</v>
      </c>
      <c r="E10" s="10">
        <f>ASSUMPTIONS!E5</f>
        <v>1481.095900413178</v>
      </c>
    </row>
    <row r="11" spans="1:29" x14ac:dyDescent="0.3">
      <c r="B11" s="15" t="s">
        <v>76</v>
      </c>
      <c r="C11">
        <f>CALCULATIONS!C24</f>
        <v>5357.1558367929056</v>
      </c>
      <c r="D11">
        <f>CALCULATIONS!D24</f>
        <v>5264.2914286960822</v>
      </c>
      <c r="E11" s="10">
        <f>CALCULATIONS!E24</f>
        <v>5241.0753266718757</v>
      </c>
      <c r="F11" s="26"/>
    </row>
    <row r="12" spans="1:29" x14ac:dyDescent="0.3">
      <c r="B12" s="15" t="s">
        <v>10</v>
      </c>
      <c r="C12">
        <v>428</v>
      </c>
      <c r="D12">
        <v>428</v>
      </c>
      <c r="E12" s="10">
        <v>428</v>
      </c>
      <c r="F12" s="5"/>
    </row>
    <row r="13" spans="1:29" x14ac:dyDescent="0.3">
      <c r="A13" t="s">
        <v>80</v>
      </c>
      <c r="B13" s="15" t="s">
        <v>89</v>
      </c>
      <c r="C13">
        <v>6400</v>
      </c>
      <c r="D13">
        <v>6400</v>
      </c>
      <c r="E13" s="10">
        <v>6400</v>
      </c>
      <c r="F13" s="5"/>
      <c r="U13" t="s">
        <v>43</v>
      </c>
    </row>
    <row r="14" spans="1:29" x14ac:dyDescent="0.3">
      <c r="B14" s="15" t="s">
        <v>79</v>
      </c>
      <c r="C14">
        <f>C13*4.4482</f>
        <v>28468.48</v>
      </c>
      <c r="D14">
        <f>D13*4.4482</f>
        <v>28468.48</v>
      </c>
      <c r="E14" s="10">
        <f>E13*4.4482</f>
        <v>28468.48</v>
      </c>
      <c r="F14" s="5"/>
    </row>
    <row r="15" spans="1:29" x14ac:dyDescent="0.3">
      <c r="B15" s="27" t="s">
        <v>83</v>
      </c>
      <c r="C15" s="12">
        <f>C14/C11</f>
        <v>5.3141033912955633</v>
      </c>
      <c r="D15" s="12">
        <f>D14/D11</f>
        <v>5.4078465042448052</v>
      </c>
      <c r="E15" s="13">
        <f>E14/E11</f>
        <v>5.4318013433471695</v>
      </c>
      <c r="F15" s="5"/>
    </row>
    <row r="17" spans="1:9" x14ac:dyDescent="0.3">
      <c r="B17" s="28" t="s">
        <v>82</v>
      </c>
      <c r="C17" s="24">
        <f>23486/5120</f>
        <v>4.5871093749999998</v>
      </c>
      <c r="D17" s="24" t="s">
        <v>84</v>
      </c>
      <c r="E17" s="25" t="s">
        <v>84</v>
      </c>
    </row>
    <row r="18" spans="1:9" x14ac:dyDescent="0.3">
      <c r="B18" s="3"/>
      <c r="C18" t="s">
        <v>81</v>
      </c>
    </row>
    <row r="19" spans="1:9" x14ac:dyDescent="0.3">
      <c r="B19" t="s">
        <v>88</v>
      </c>
    </row>
    <row r="21" spans="1:9" x14ac:dyDescent="0.3">
      <c r="A21" t="s">
        <v>17</v>
      </c>
      <c r="B21" s="4" t="s">
        <v>16</v>
      </c>
    </row>
    <row r="23" spans="1:9" x14ac:dyDescent="0.3">
      <c r="A23" s="5" t="s">
        <v>11</v>
      </c>
      <c r="B23" s="6" t="s">
        <v>26</v>
      </c>
      <c r="C23" s="7">
        <v>12.7</v>
      </c>
      <c r="D23" s="7">
        <v>12.7</v>
      </c>
      <c r="E23" s="8">
        <v>12.7</v>
      </c>
    </row>
    <row r="24" spans="1:9" x14ac:dyDescent="0.3">
      <c r="A24" s="5" t="s">
        <v>11</v>
      </c>
      <c r="B24" s="9" t="s">
        <v>110</v>
      </c>
      <c r="C24">
        <v>8.51</v>
      </c>
      <c r="D24">
        <v>8.51</v>
      </c>
      <c r="E24" s="10">
        <v>8.51</v>
      </c>
    </row>
    <row r="25" spans="1:9" x14ac:dyDescent="0.3">
      <c r="A25" s="5" t="s">
        <v>11</v>
      </c>
      <c r="B25" s="9" t="s">
        <v>40</v>
      </c>
      <c r="C25">
        <v>7.2</v>
      </c>
      <c r="D25">
        <v>7.2</v>
      </c>
      <c r="E25" s="10">
        <v>7.2</v>
      </c>
    </row>
    <row r="26" spans="1:9" x14ac:dyDescent="0.3">
      <c r="A26" s="5" t="s">
        <v>11</v>
      </c>
      <c r="B26" s="9" t="s">
        <v>31</v>
      </c>
      <c r="C26">
        <f>1/(1.27)</f>
        <v>0.78740157480314954</v>
      </c>
      <c r="D26">
        <f>1/(1.27)</f>
        <v>0.78740157480314954</v>
      </c>
      <c r="E26" s="10">
        <f>1/(1.27)</f>
        <v>0.78740157480314954</v>
      </c>
      <c r="F26" t="s">
        <v>152</v>
      </c>
    </row>
    <row r="27" spans="1:9" x14ac:dyDescent="0.3">
      <c r="A27" s="5" t="s">
        <v>156</v>
      </c>
      <c r="B27" t="s">
        <v>157</v>
      </c>
      <c r="C27">
        <f>1/100</f>
        <v>0.01</v>
      </c>
      <c r="D27">
        <f>1/100</f>
        <v>0.01</v>
      </c>
      <c r="E27">
        <f>1/100</f>
        <v>0.01</v>
      </c>
      <c r="H27" t="s">
        <v>101</v>
      </c>
    </row>
    <row r="28" spans="1:9" x14ac:dyDescent="0.3">
      <c r="A28" s="5" t="s">
        <v>11</v>
      </c>
      <c r="B28" s="11" t="s">
        <v>41</v>
      </c>
      <c r="C28" s="12">
        <v>200000</v>
      </c>
      <c r="D28" s="12">
        <v>200000</v>
      </c>
      <c r="E28" s="13">
        <v>200000</v>
      </c>
      <c r="F28" t="s">
        <v>113</v>
      </c>
      <c r="H28" s="4" t="s">
        <v>96</v>
      </c>
      <c r="I28" s="4" t="s">
        <v>108</v>
      </c>
    </row>
    <row r="29" spans="1:9" x14ac:dyDescent="0.3">
      <c r="G29" s="29" t="s">
        <v>109</v>
      </c>
      <c r="H29" s="31" t="s">
        <v>90</v>
      </c>
      <c r="I29" s="31" t="s">
        <v>91</v>
      </c>
    </row>
    <row r="30" spans="1:9" ht="27.6" x14ac:dyDescent="0.3">
      <c r="G30" s="30" t="s">
        <v>92</v>
      </c>
      <c r="H30" s="32" t="s">
        <v>102</v>
      </c>
      <c r="I30" s="32" t="s">
        <v>103</v>
      </c>
    </row>
    <row r="31" spans="1:9" ht="27.6" x14ac:dyDescent="0.3">
      <c r="G31" s="29" t="s">
        <v>93</v>
      </c>
      <c r="H31" s="33" t="s">
        <v>104</v>
      </c>
      <c r="I31" s="34" t="s">
        <v>105</v>
      </c>
    </row>
    <row r="32" spans="1:9" x14ac:dyDescent="0.3">
      <c r="G32" s="29" t="s">
        <v>94</v>
      </c>
      <c r="H32" s="34" t="s">
        <v>97</v>
      </c>
      <c r="I32" s="33" t="s">
        <v>98</v>
      </c>
    </row>
    <row r="33" spans="7:9" ht="27.6" x14ac:dyDescent="0.3">
      <c r="G33" s="30" t="s">
        <v>95</v>
      </c>
      <c r="H33" s="34" t="s">
        <v>106</v>
      </c>
      <c r="I33" s="33" t="s">
        <v>107</v>
      </c>
    </row>
    <row r="34" spans="7:9" x14ac:dyDescent="0.3">
      <c r="G34" s="29" t="s">
        <v>99</v>
      </c>
      <c r="H34" s="34">
        <v>6400</v>
      </c>
      <c r="I34" s="33">
        <v>5280</v>
      </c>
    </row>
    <row r="35" spans="7:9" x14ac:dyDescent="0.3">
      <c r="G35" s="30" t="s">
        <v>100</v>
      </c>
      <c r="H35" s="33">
        <f>150/120</f>
        <v>1.25</v>
      </c>
      <c r="I35" s="34">
        <f>95/130</f>
        <v>0.73076923076923073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F88C-06F4-4211-A852-5D078B739D5F}">
  <dimension ref="B1:S57"/>
  <sheetViews>
    <sheetView topLeftCell="J1" zoomScale="85" zoomScaleNormal="85" workbookViewId="0">
      <selection activeCell="K64" sqref="K64"/>
    </sheetView>
  </sheetViews>
  <sheetFormatPr defaultRowHeight="14.4" x14ac:dyDescent="0.3"/>
  <cols>
    <col min="9" max="9" width="37.44140625" bestFit="1" customWidth="1"/>
    <col min="10" max="10" width="30" bestFit="1" customWidth="1"/>
    <col min="11" max="11" width="29.88671875" bestFit="1" customWidth="1"/>
    <col min="12" max="12" width="24.109375" bestFit="1" customWidth="1"/>
    <col min="13" max="13" width="7.21875" bestFit="1" customWidth="1"/>
    <col min="14" max="14" width="32.44140625" bestFit="1" customWidth="1"/>
    <col min="15" max="15" width="21" bestFit="1" customWidth="1"/>
    <col min="16" max="17" width="33.109375" bestFit="1" customWidth="1"/>
    <col min="18" max="18" width="20" bestFit="1" customWidth="1"/>
    <col min="19" max="19" width="11.33203125" bestFit="1" customWidth="1"/>
  </cols>
  <sheetData>
    <row r="1" spans="2:17" x14ac:dyDescent="0.3">
      <c r="B1" t="s">
        <v>44</v>
      </c>
      <c r="J1" t="s">
        <v>115</v>
      </c>
    </row>
    <row r="2" spans="2:17" x14ac:dyDescent="0.3">
      <c r="B2" t="s">
        <v>45</v>
      </c>
    </row>
    <row r="3" spans="2:17" x14ac:dyDescent="0.3">
      <c r="I3" s="1" t="s">
        <v>85</v>
      </c>
      <c r="N3" s="1" t="s">
        <v>86</v>
      </c>
    </row>
    <row r="4" spans="2:17" x14ac:dyDescent="0.3">
      <c r="I4" t="s">
        <v>26</v>
      </c>
      <c r="J4" s="38">
        <f>'CHAIN SELECTION'!C23</f>
        <v>12.7</v>
      </c>
      <c r="N4" t="s">
        <v>26</v>
      </c>
      <c r="O4" s="38">
        <f>J4</f>
        <v>12.7</v>
      </c>
    </row>
    <row r="5" spans="2:17" hidden="1" x14ac:dyDescent="0.3">
      <c r="I5" t="s">
        <v>14</v>
      </c>
      <c r="J5" s="38">
        <f>J4*0.03937</f>
        <v>0.49999900000000003</v>
      </c>
      <c r="N5" t="s">
        <v>14</v>
      </c>
      <c r="O5" s="38">
        <f>O4*0.03937</f>
        <v>0.49999900000000003</v>
      </c>
    </row>
    <row r="6" spans="2:17" x14ac:dyDescent="0.3">
      <c r="I6" t="s">
        <v>112</v>
      </c>
      <c r="J6" s="38">
        <f>'CHAIN SELECTION'!C24</f>
        <v>8.51</v>
      </c>
      <c r="N6" t="s">
        <v>112</v>
      </c>
      <c r="O6" s="38">
        <f>J6</f>
        <v>8.51</v>
      </c>
      <c r="Q6" t="s">
        <v>187</v>
      </c>
    </row>
    <row r="7" spans="2:17" hidden="1" x14ac:dyDescent="0.3">
      <c r="I7" t="s">
        <v>87</v>
      </c>
      <c r="J7" s="38">
        <f>J6*0.03937</f>
        <v>0.33503870000000002</v>
      </c>
      <c r="N7" t="s">
        <v>87</v>
      </c>
      <c r="O7" s="38">
        <f>O6*0.03937</f>
        <v>0.33503870000000002</v>
      </c>
    </row>
    <row r="8" spans="2:17" x14ac:dyDescent="0.3">
      <c r="I8" t="s">
        <v>191</v>
      </c>
      <c r="J8" s="38">
        <f>'CHAIN SELECTION'!C25</f>
        <v>7.2</v>
      </c>
      <c r="N8" t="s">
        <v>40</v>
      </c>
      <c r="O8" s="38">
        <f>J8</f>
        <v>7.2</v>
      </c>
    </row>
    <row r="9" spans="2:17" x14ac:dyDescent="0.3">
      <c r="I9" t="s">
        <v>111</v>
      </c>
      <c r="J9" s="38">
        <v>10</v>
      </c>
      <c r="N9" t="s">
        <v>111</v>
      </c>
      <c r="O9" s="38">
        <v>47</v>
      </c>
    </row>
    <row r="10" spans="2:17" x14ac:dyDescent="0.3">
      <c r="I10" t="s">
        <v>117</v>
      </c>
      <c r="J10" s="38">
        <f>J4/(SIN(RADIANS(180/J9)))</f>
        <v>41.098063314247334</v>
      </c>
      <c r="N10" t="s">
        <v>118</v>
      </c>
      <c r="O10" s="38">
        <f>O4/(SIN(RADIANS(180/O9)))</f>
        <v>190.14072792012922</v>
      </c>
    </row>
    <row r="11" spans="2:17" hidden="1" x14ac:dyDescent="0.3">
      <c r="I11" t="s">
        <v>114</v>
      </c>
      <c r="J11" s="38">
        <f>0.03937*J10</f>
        <v>1.6180307526819175</v>
      </c>
      <c r="N11" t="s">
        <v>114</v>
      </c>
      <c r="O11" s="38">
        <f>O10*0.03937</f>
        <v>7.4858404582154883</v>
      </c>
    </row>
    <row r="12" spans="2:17" x14ac:dyDescent="0.3">
      <c r="I12" t="s">
        <v>124</v>
      </c>
      <c r="J12" s="38">
        <f>J6</f>
        <v>8.51</v>
      </c>
      <c r="K12" t="s">
        <v>116</v>
      </c>
      <c r="N12" t="s">
        <v>124</v>
      </c>
      <c r="O12" s="38">
        <f>O6</f>
        <v>8.51</v>
      </c>
      <c r="P12" t="s">
        <v>116</v>
      </c>
    </row>
    <row r="13" spans="2:17" x14ac:dyDescent="0.3">
      <c r="I13" t="s">
        <v>119</v>
      </c>
      <c r="J13" s="38">
        <f>J10-J12</f>
        <v>32.588063314247336</v>
      </c>
      <c r="K13" t="s">
        <v>120</v>
      </c>
      <c r="N13" t="s">
        <v>119</v>
      </c>
      <c r="O13" s="38">
        <f>O10-O12</f>
        <v>181.63072792012923</v>
      </c>
      <c r="P13" t="s">
        <v>121</v>
      </c>
    </row>
    <row r="14" spans="2:17" x14ac:dyDescent="0.3">
      <c r="I14" t="s">
        <v>122</v>
      </c>
      <c r="J14" s="38">
        <f>J10+J12</f>
        <v>49.608063314247332</v>
      </c>
      <c r="N14" t="s">
        <v>122</v>
      </c>
      <c r="O14" s="38">
        <f>O10*COS(RADIANS(90/O9))+O12</f>
        <v>198.54454644130283</v>
      </c>
    </row>
    <row r="15" spans="2:17" x14ac:dyDescent="0.3">
      <c r="I15" s="35" t="s">
        <v>123</v>
      </c>
      <c r="J15" s="39">
        <f>0.12*J12*(J9+2)</f>
        <v>12.254399999999999</v>
      </c>
      <c r="K15" s="35"/>
      <c r="L15" s="35"/>
      <c r="M15" s="35"/>
      <c r="N15" s="35" t="s">
        <v>123</v>
      </c>
      <c r="O15" s="39">
        <f>0.12*O12*(O9+2)</f>
        <v>50.038799999999995</v>
      </c>
    </row>
    <row r="16" spans="2:17" x14ac:dyDescent="0.3">
      <c r="I16" s="35" t="s">
        <v>132</v>
      </c>
      <c r="J16" s="39">
        <f>0.505*J12</f>
        <v>4.2975500000000002</v>
      </c>
      <c r="K16" s="35"/>
      <c r="L16" s="35"/>
      <c r="M16" s="35"/>
      <c r="N16" s="35" t="s">
        <v>132</v>
      </c>
      <c r="O16" s="39">
        <f>0.505*O12</f>
        <v>4.2975500000000002</v>
      </c>
    </row>
    <row r="17" spans="9:16" x14ac:dyDescent="0.3">
      <c r="I17" s="35" t="s">
        <v>125</v>
      </c>
      <c r="J17" s="39">
        <f>140-90/J9</f>
        <v>131</v>
      </c>
      <c r="K17" s="35"/>
      <c r="L17" s="35"/>
      <c r="M17" s="35"/>
      <c r="N17" s="35" t="s">
        <v>125</v>
      </c>
      <c r="O17" s="39">
        <f>140-90/O9</f>
        <v>138.08510638297872</v>
      </c>
    </row>
    <row r="18" spans="9:16" x14ac:dyDescent="0.3">
      <c r="I18" t="s">
        <v>126</v>
      </c>
      <c r="J18" s="38">
        <f>0.008*J12*(J9^2+180)</f>
        <v>19.0624</v>
      </c>
      <c r="N18" t="s">
        <v>126</v>
      </c>
      <c r="O18" s="38">
        <f>0.008*O12*(O9^2+180)</f>
        <v>162.64312000000001</v>
      </c>
    </row>
    <row r="19" spans="9:16" x14ac:dyDescent="0.3">
      <c r="I19" t="s">
        <v>127</v>
      </c>
      <c r="J19" s="38">
        <f>0.505*J12+0.069*(J12)^(1/3)</f>
        <v>4.438422301767007</v>
      </c>
      <c r="N19" t="s">
        <v>127</v>
      </c>
      <c r="O19" s="38">
        <f>0.505*O12+0.069*(O12)^(1/3)</f>
        <v>4.438422301767007</v>
      </c>
    </row>
    <row r="20" spans="9:16" x14ac:dyDescent="0.3">
      <c r="I20" t="s">
        <v>128</v>
      </c>
      <c r="J20" s="38">
        <f>120-90/J9</f>
        <v>111</v>
      </c>
      <c r="N20" t="s">
        <v>128</v>
      </c>
      <c r="O20" s="38">
        <f>120-90/O9</f>
        <v>118.08510638297872</v>
      </c>
    </row>
    <row r="21" spans="9:16" x14ac:dyDescent="0.3">
      <c r="I21" s="35" t="s">
        <v>129</v>
      </c>
      <c r="J21" s="39">
        <f>J10+1.25*J4-J12</f>
        <v>48.463063314247336</v>
      </c>
      <c r="K21" s="35"/>
      <c r="L21" s="35"/>
      <c r="M21" s="35"/>
      <c r="N21" s="35" t="s">
        <v>129</v>
      </c>
      <c r="O21" s="39">
        <f>O10+1.25*O4-O12</f>
        <v>197.50572792012923</v>
      </c>
    </row>
    <row r="22" spans="9:16" x14ac:dyDescent="0.3">
      <c r="I22" t="s">
        <v>133</v>
      </c>
      <c r="J22" s="38">
        <f>J10+J4*(1-1.6/J9)-J12</f>
        <v>43.256063314247335</v>
      </c>
      <c r="N22" t="s">
        <v>133</v>
      </c>
      <c r="O22" s="38">
        <f>O10+O4*(1-1.6/O9)-O12</f>
        <v>193.89838749459733</v>
      </c>
    </row>
    <row r="23" spans="9:16" x14ac:dyDescent="0.3">
      <c r="I23" s="35" t="s">
        <v>130</v>
      </c>
      <c r="J23" s="39">
        <f>0.625*J4-0.5*J12+0.8*J4/J9</f>
        <v>4.6985000000000001</v>
      </c>
      <c r="K23" s="35"/>
      <c r="L23" s="35"/>
      <c r="M23" s="35"/>
      <c r="N23" s="35" t="s">
        <v>130</v>
      </c>
      <c r="O23" s="39">
        <f>0.625*O4-0.5*O12+0.8*O4/O9</f>
        <v>3.8986702127659574</v>
      </c>
    </row>
    <row r="24" spans="9:16" x14ac:dyDescent="0.3">
      <c r="I24" t="s">
        <v>131</v>
      </c>
      <c r="J24" s="38">
        <f>0.5*(J4-J12)</f>
        <v>2.0949999999999998</v>
      </c>
      <c r="N24" t="s">
        <v>131</v>
      </c>
      <c r="O24" s="38">
        <f>0.5*(O4-O12)</f>
        <v>2.0949999999999998</v>
      </c>
    </row>
    <row r="25" spans="9:16" x14ac:dyDescent="0.3">
      <c r="I25" t="s">
        <v>188</v>
      </c>
      <c r="J25">
        <v>23.431799999999999</v>
      </c>
      <c r="K25" t="s">
        <v>189</v>
      </c>
      <c r="N25" t="s">
        <v>188</v>
      </c>
      <c r="O25">
        <v>32.368899999999996</v>
      </c>
      <c r="P25" t="s">
        <v>189</v>
      </c>
    </row>
    <row r="26" spans="9:16" x14ac:dyDescent="0.3">
      <c r="I26" s="4" t="s">
        <v>161</v>
      </c>
      <c r="N26" s="4" t="s">
        <v>161</v>
      </c>
    </row>
    <row r="27" spans="9:16" x14ac:dyDescent="0.3">
      <c r="I27" t="s">
        <v>140</v>
      </c>
      <c r="J27" s="38">
        <v>12</v>
      </c>
      <c r="K27" t="s">
        <v>141</v>
      </c>
      <c r="N27" t="s">
        <v>140</v>
      </c>
      <c r="O27" s="38">
        <v>12</v>
      </c>
      <c r="P27" t="s">
        <v>141</v>
      </c>
    </row>
    <row r="28" spans="9:16" x14ac:dyDescent="0.3">
      <c r="I28" t="s">
        <v>135</v>
      </c>
      <c r="J28" s="38">
        <v>7.85</v>
      </c>
      <c r="K28" t="s">
        <v>192</v>
      </c>
      <c r="N28" t="s">
        <v>135</v>
      </c>
      <c r="O28" s="38">
        <v>7.85</v>
      </c>
    </row>
    <row r="29" spans="9:16" x14ac:dyDescent="0.3">
      <c r="I29" t="s">
        <v>134</v>
      </c>
      <c r="J29" s="38">
        <f>0.93*J28</f>
        <v>7.3005000000000004</v>
      </c>
      <c r="K29" t="s">
        <v>190</v>
      </c>
      <c r="N29" t="s">
        <v>134</v>
      </c>
      <c r="O29" s="38">
        <f>0.93*O28</f>
        <v>7.3005000000000004</v>
      </c>
      <c r="P29" t="s">
        <v>190</v>
      </c>
    </row>
    <row r="30" spans="9:16" x14ac:dyDescent="0.3">
      <c r="I30" t="s">
        <v>136</v>
      </c>
      <c r="J30" s="38">
        <f>J29</f>
        <v>7.3005000000000004</v>
      </c>
      <c r="N30" t="s">
        <v>136</v>
      </c>
      <c r="O30" s="38">
        <f>O29</f>
        <v>7.3005000000000004</v>
      </c>
    </row>
    <row r="31" spans="9:16" x14ac:dyDescent="0.3">
      <c r="I31" t="s">
        <v>137</v>
      </c>
      <c r="J31" s="38">
        <f>J4</f>
        <v>12.7</v>
      </c>
      <c r="N31" t="s">
        <v>137</v>
      </c>
      <c r="O31" s="38">
        <f>O4</f>
        <v>12.7</v>
      </c>
    </row>
    <row r="32" spans="9:16" x14ac:dyDescent="0.3">
      <c r="I32" t="s">
        <v>138</v>
      </c>
      <c r="J32" s="38">
        <f>0.13*J4</f>
        <v>1.651</v>
      </c>
      <c r="N32" t="s">
        <v>138</v>
      </c>
      <c r="O32" s="38">
        <f>0.13*O4</f>
        <v>1.651</v>
      </c>
    </row>
    <row r="33" spans="2:19" x14ac:dyDescent="0.3">
      <c r="I33" t="s">
        <v>139</v>
      </c>
      <c r="J33" s="38">
        <f>J4*_xlfn.COT(RADIANS(180/J9))-1.04*12-0.76</f>
        <v>25.846580922125725</v>
      </c>
      <c r="N33" t="s">
        <v>139</v>
      </c>
      <c r="O33" s="38">
        <f>O4*_xlfn.COT(RADIANS(180/O9))-1.04*12-0.76</f>
        <v>176.47612059600158</v>
      </c>
    </row>
    <row r="34" spans="2:19" x14ac:dyDescent="0.3">
      <c r="I34" t="s">
        <v>142</v>
      </c>
      <c r="J34" s="38">
        <f>J13</f>
        <v>32.588063314247336</v>
      </c>
      <c r="N34" t="s">
        <v>142</v>
      </c>
      <c r="O34" s="38">
        <f>O13</f>
        <v>181.63072792012923</v>
      </c>
    </row>
    <row r="35" spans="2:19" x14ac:dyDescent="0.3">
      <c r="I35" t="s">
        <v>143</v>
      </c>
      <c r="J35" s="38">
        <f>0.0008*J13+0.08</f>
        <v>0.10607045065139786</v>
      </c>
      <c r="N35" t="s">
        <v>143</v>
      </c>
      <c r="O35" s="38">
        <f>0.0008*O13+0.08</f>
        <v>0.2253045823361034</v>
      </c>
    </row>
    <row r="36" spans="2:19" x14ac:dyDescent="0.3">
      <c r="I36" t="s">
        <v>150</v>
      </c>
      <c r="J36" s="38">
        <f>0.0009*J34+0.08</f>
        <v>0.1093292569828226</v>
      </c>
    </row>
    <row r="38" spans="2:19" x14ac:dyDescent="0.3">
      <c r="I38" t="s">
        <v>144</v>
      </c>
    </row>
    <row r="39" spans="2:19" x14ac:dyDescent="0.3">
      <c r="I39" s="1" t="s">
        <v>169</v>
      </c>
      <c r="J39" t="s">
        <v>165</v>
      </c>
      <c r="L39" t="s">
        <v>163</v>
      </c>
    </row>
    <row r="40" spans="2:19" x14ac:dyDescent="0.3">
      <c r="I40" s="4" t="s">
        <v>151</v>
      </c>
      <c r="J40" s="4" t="s">
        <v>164</v>
      </c>
      <c r="K40" s="4" t="s">
        <v>153</v>
      </c>
      <c r="L40" s="4" t="s">
        <v>154</v>
      </c>
      <c r="M40" s="4" t="s">
        <v>155</v>
      </c>
      <c r="N40" s="4" t="s">
        <v>159</v>
      </c>
      <c r="O40" s="4" t="s">
        <v>171</v>
      </c>
      <c r="P40" s="4" t="s">
        <v>158</v>
      </c>
      <c r="Q40" s="4" t="s">
        <v>160</v>
      </c>
      <c r="R40" s="4" t="s">
        <v>171</v>
      </c>
      <c r="S40" s="4" t="s">
        <v>158</v>
      </c>
    </row>
    <row r="41" spans="2:19" x14ac:dyDescent="0.3">
      <c r="I41">
        <v>120</v>
      </c>
      <c r="J41">
        <v>149.04266461</v>
      </c>
      <c r="K41">
        <f t="shared" ref="K41:K46" si="0">(2*J41)/$J$4+($J$9+$O$9)/2+($O$9-$J$9)^2*$J$4/(4*PI()*J41)</f>
        <v>61.254250459790427</v>
      </c>
      <c r="L41">
        <f>ROUNDUP(K41,0)</f>
        <v>62</v>
      </c>
      <c r="M41">
        <f>L41*'CHAIN SELECTION'!$C$27</f>
        <v>0.62</v>
      </c>
      <c r="N41">
        <f t="shared" ref="N41:N46" si="1">1.2/100*66</f>
        <v>0.79200000000000004</v>
      </c>
      <c r="O41">
        <f t="shared" ref="O41:O46" si="2">N41-M41</f>
        <v>0.17200000000000004</v>
      </c>
      <c r="P41" s="37">
        <f t="shared" ref="P41:P46" si="3">(N41-M41)/N41</f>
        <v>0.21717171717171721</v>
      </c>
      <c r="Q41" s="36">
        <v>0.66342614369999997</v>
      </c>
      <c r="R41">
        <f t="shared" ref="R41:R46" si="4">Q41-M41</f>
        <v>4.3426143699999975E-2</v>
      </c>
      <c r="S41" s="37">
        <f t="shared" ref="S41:S46" si="5">(Q41-M41)/Q41</f>
        <v>6.5457389812538347E-2</v>
      </c>
    </row>
    <row r="42" spans="2:19" x14ac:dyDescent="0.3">
      <c r="B42" t="s">
        <v>146</v>
      </c>
      <c r="I42" s="40">
        <v>125</v>
      </c>
      <c r="J42" s="40">
        <v>161.38940144</v>
      </c>
      <c r="K42" s="40">
        <f t="shared" si="0"/>
        <v>62.488445918723507</v>
      </c>
      <c r="L42" s="40">
        <f>ROUNDUP(K42,0)+1</f>
        <v>64</v>
      </c>
      <c r="M42" s="40">
        <f>L42*'CHAIN SELECTION'!$C$27</f>
        <v>0.64</v>
      </c>
      <c r="N42" s="40">
        <f t="shared" si="1"/>
        <v>0.79200000000000004</v>
      </c>
      <c r="O42">
        <f t="shared" si="2"/>
        <v>0.15200000000000002</v>
      </c>
      <c r="P42" s="41">
        <f t="shared" si="3"/>
        <v>0.19191919191919193</v>
      </c>
      <c r="Q42" s="42">
        <v>0.66342614369999997</v>
      </c>
      <c r="R42">
        <f t="shared" si="4"/>
        <v>2.3426143699999957E-2</v>
      </c>
      <c r="S42" s="41">
        <f t="shared" si="5"/>
        <v>3.5310854000039547E-2</v>
      </c>
    </row>
    <row r="43" spans="2:19" x14ac:dyDescent="0.3">
      <c r="B43" t="s">
        <v>147</v>
      </c>
      <c r="I43">
        <v>130</v>
      </c>
      <c r="J43">
        <v>176.33249448000001</v>
      </c>
      <c r="K43">
        <f t="shared" si="0"/>
        <v>64.1151975743729</v>
      </c>
      <c r="L43">
        <f>ROUNDUP(K43,0)+1</f>
        <v>66</v>
      </c>
      <c r="M43">
        <f>L43*'CHAIN SELECTION'!$C$27</f>
        <v>0.66</v>
      </c>
      <c r="N43">
        <f t="shared" si="1"/>
        <v>0.79200000000000004</v>
      </c>
      <c r="O43">
        <f t="shared" si="2"/>
        <v>0.13200000000000001</v>
      </c>
      <c r="P43" s="37">
        <f t="shared" si="3"/>
        <v>0.16666666666666666</v>
      </c>
      <c r="Q43" s="36">
        <v>0.66342614369999997</v>
      </c>
      <c r="R43">
        <f t="shared" si="4"/>
        <v>3.4261436999999395E-3</v>
      </c>
      <c r="S43" s="37">
        <f t="shared" si="5"/>
        <v>5.16431818754076E-3</v>
      </c>
    </row>
    <row r="44" spans="2:19" x14ac:dyDescent="0.3">
      <c r="B44" t="s">
        <v>148</v>
      </c>
      <c r="I44">
        <v>135</v>
      </c>
      <c r="J44">
        <v>194.73362577</v>
      </c>
      <c r="K44">
        <f t="shared" si="0"/>
        <v>66.271586303117573</v>
      </c>
      <c r="L44">
        <f>ROUNDUP(K44,0)+1</f>
        <v>68</v>
      </c>
      <c r="M44">
        <f>L44*'CHAIN SELECTION'!$C$27</f>
        <v>0.68</v>
      </c>
      <c r="N44">
        <f t="shared" si="1"/>
        <v>0.79200000000000004</v>
      </c>
      <c r="O44">
        <f t="shared" si="2"/>
        <v>0.11199999999999999</v>
      </c>
      <c r="P44" s="37">
        <f t="shared" si="3"/>
        <v>0.14141414141414138</v>
      </c>
      <c r="Q44" s="36">
        <v>0.66342614369999997</v>
      </c>
      <c r="R44">
        <f t="shared" si="4"/>
        <v>-1.6573856300000078E-2</v>
      </c>
      <c r="S44" s="37">
        <f t="shared" si="5"/>
        <v>-2.4982217624958031E-2</v>
      </c>
    </row>
    <row r="45" spans="2:19" x14ac:dyDescent="0.3">
      <c r="B45" t="s">
        <v>149</v>
      </c>
      <c r="I45">
        <v>140</v>
      </c>
      <c r="J45">
        <v>217.8857993</v>
      </c>
      <c r="K45">
        <f t="shared" si="0"/>
        <v>69.162646129750684</v>
      </c>
      <c r="L45">
        <f>ROUNDUP(K45,0)</f>
        <v>70</v>
      </c>
      <c r="M45">
        <f>L45*'CHAIN SELECTION'!$C$27</f>
        <v>0.70000000000000007</v>
      </c>
      <c r="N45">
        <f t="shared" si="1"/>
        <v>0.79200000000000004</v>
      </c>
      <c r="O45">
        <f t="shared" si="2"/>
        <v>9.1999999999999971E-2</v>
      </c>
      <c r="P45" s="37">
        <f t="shared" si="3"/>
        <v>0.11616161616161612</v>
      </c>
      <c r="Q45" s="36">
        <v>0.66342614369999997</v>
      </c>
      <c r="R45">
        <f t="shared" si="4"/>
        <v>-3.6573856300000096E-2</v>
      </c>
      <c r="S45" s="37">
        <f t="shared" si="5"/>
        <v>-5.5128753437456823E-2</v>
      </c>
    </row>
    <row r="46" spans="2:19" x14ac:dyDescent="0.3">
      <c r="I46">
        <v>150</v>
      </c>
      <c r="J46">
        <v>287.92831792999999</v>
      </c>
      <c r="K46">
        <f t="shared" si="0"/>
        <v>78.648258309594183</v>
      </c>
      <c r="L46">
        <f>ROUNDUP(K46,0)+1</f>
        <v>80</v>
      </c>
      <c r="M46">
        <f>L46*'CHAIN SELECTION'!$C$27</f>
        <v>0.8</v>
      </c>
      <c r="N46">
        <f t="shared" si="1"/>
        <v>0.79200000000000004</v>
      </c>
      <c r="O46">
        <f t="shared" si="2"/>
        <v>-8.0000000000000071E-3</v>
      </c>
      <c r="P46" s="37">
        <f t="shared" si="3"/>
        <v>-1.0101010101010109E-2</v>
      </c>
      <c r="Q46" s="36">
        <v>0.66342614369999997</v>
      </c>
      <c r="R46">
        <f t="shared" si="4"/>
        <v>-0.13657385630000007</v>
      </c>
      <c r="S46" s="37">
        <f t="shared" si="5"/>
        <v>-0.20586143249995059</v>
      </c>
    </row>
    <row r="48" spans="2:19" x14ac:dyDescent="0.3">
      <c r="I48" s="1" t="s">
        <v>170</v>
      </c>
    </row>
    <row r="49" spans="9:13" x14ac:dyDescent="0.3">
      <c r="I49" s="4" t="s">
        <v>145</v>
      </c>
      <c r="J49" s="4" t="s">
        <v>162</v>
      </c>
      <c r="K49" s="4" t="s">
        <v>167</v>
      </c>
      <c r="L49" s="4" t="s">
        <v>168</v>
      </c>
    </row>
    <row r="50" spans="9:13" x14ac:dyDescent="0.3">
      <c r="I50">
        <f t="shared" ref="I50:I55" si="6">L41</f>
        <v>62</v>
      </c>
      <c r="J50">
        <f t="shared" ref="J50:J55" si="7">($J$9+$O$9)/2-L41</f>
        <v>-33.5</v>
      </c>
      <c r="K50">
        <f t="shared" ref="K50:K55" si="8">$J$4/4 * (-J50 + SQRT(J50^2 - 8 * (($O$9-$J$9) / (2*PI()))^2))</f>
        <v>198.64706328217773</v>
      </c>
      <c r="L50">
        <v>219.05</v>
      </c>
    </row>
    <row r="51" spans="9:13" x14ac:dyDescent="0.3">
      <c r="I51">
        <f t="shared" si="6"/>
        <v>64</v>
      </c>
      <c r="J51">
        <f t="shared" si="7"/>
        <v>-35.5</v>
      </c>
      <c r="K51">
        <f t="shared" si="8"/>
        <v>212.24926140091293</v>
      </c>
      <c r="L51">
        <v>219.05</v>
      </c>
      <c r="M51" t="s">
        <v>166</v>
      </c>
    </row>
    <row r="52" spans="9:13" x14ac:dyDescent="0.3">
      <c r="I52">
        <f t="shared" si="6"/>
        <v>66</v>
      </c>
      <c r="J52">
        <f t="shared" si="7"/>
        <v>-37.5</v>
      </c>
      <c r="K52">
        <f t="shared" si="8"/>
        <v>225.7364805209418</v>
      </c>
      <c r="L52">
        <v>219.05</v>
      </c>
    </row>
    <row r="53" spans="9:13" x14ac:dyDescent="0.3">
      <c r="I53">
        <f t="shared" si="6"/>
        <v>68</v>
      </c>
      <c r="J53">
        <f t="shared" si="7"/>
        <v>-39.5</v>
      </c>
      <c r="K53">
        <f t="shared" si="8"/>
        <v>239.13037181521759</v>
      </c>
      <c r="L53">
        <v>219.05</v>
      </c>
    </row>
    <row r="54" spans="9:13" x14ac:dyDescent="0.3">
      <c r="I54">
        <f t="shared" si="6"/>
        <v>70</v>
      </c>
      <c r="J54">
        <f t="shared" si="7"/>
        <v>-41.5</v>
      </c>
      <c r="K54">
        <f t="shared" si="8"/>
        <v>252.44727791412743</v>
      </c>
      <c r="L54">
        <v>219.05</v>
      </c>
    </row>
    <row r="55" spans="9:13" x14ac:dyDescent="0.3">
      <c r="I55">
        <f t="shared" si="6"/>
        <v>80</v>
      </c>
      <c r="J55">
        <f t="shared" si="7"/>
        <v>-51.5</v>
      </c>
      <c r="K55">
        <f t="shared" si="8"/>
        <v>318.23740707763335</v>
      </c>
      <c r="L55">
        <v>219.05</v>
      </c>
    </row>
    <row r="57" spans="9:13" x14ac:dyDescent="0.3">
      <c r="I57" s="4" t="s">
        <v>172</v>
      </c>
      <c r="J57">
        <v>138.25</v>
      </c>
      <c r="K57" s="4" t="s">
        <v>224</v>
      </c>
      <c r="L57">
        <v>221.1095</v>
      </c>
    </row>
  </sheetData>
  <pageMargins left="0.7" right="0.7" top="0.75" bottom="0.75" header="0.3" footer="0.3"/>
  <pageSetup orientation="portrait" r:id="rId1"/>
  <ignoredErrors>
    <ignoredError sqref="J6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95F-42AB-4C5F-A80E-9A88B884DB29}">
  <dimension ref="A1:J43"/>
  <sheetViews>
    <sheetView zoomScale="66" zoomScaleNormal="163" workbookViewId="0">
      <selection activeCell="C33" sqref="C33"/>
    </sheetView>
  </sheetViews>
  <sheetFormatPr defaultRowHeight="14.4" x14ac:dyDescent="0.3"/>
  <cols>
    <col min="1" max="1" width="24" bestFit="1" customWidth="1"/>
    <col min="2" max="2" width="41" bestFit="1" customWidth="1"/>
    <col min="3" max="5" width="22.109375" bestFit="1" customWidth="1"/>
    <col min="6" max="6" width="43.554687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</row>
    <row r="3" spans="1:7" x14ac:dyDescent="0.3">
      <c r="B3" s="1" t="s">
        <v>18</v>
      </c>
    </row>
    <row r="5" spans="1:7" x14ac:dyDescent="0.3">
      <c r="B5" t="s">
        <v>19</v>
      </c>
      <c r="C5">
        <f>ASSUMPTIONS!C8/ASSUMPTIONS!C7</f>
        <v>4.7</v>
      </c>
      <c r="D5">
        <f>ASSUMPTIONS!D8/ASSUMPTIONS!D7</f>
        <v>4.7</v>
      </c>
      <c r="E5">
        <f>ASSUMPTIONS!E8/ASSUMPTIONS!E7</f>
        <v>4.7</v>
      </c>
      <c r="G5" t="s">
        <v>27</v>
      </c>
    </row>
    <row r="6" spans="1:7" x14ac:dyDescent="0.3">
      <c r="B6" t="s">
        <v>39</v>
      </c>
      <c r="C6">
        <f>(2*PI()*ASSUMPTIONS!C5)/60</f>
        <v>620.4</v>
      </c>
      <c r="D6">
        <f>(2*PI()*ASSUMPTIONS!D5)/60</f>
        <v>310.2</v>
      </c>
      <c r="E6">
        <f>(2*PI()*ASSUMPTIONS!E5)/60</f>
        <v>155.1</v>
      </c>
      <c r="G6" t="s">
        <v>28</v>
      </c>
    </row>
    <row r="7" spans="1:7" x14ac:dyDescent="0.3">
      <c r="B7" t="s">
        <v>38</v>
      </c>
      <c r="C7">
        <f>(2*PI()*ASSUMPTIONS!C6)/60</f>
        <v>131.99999999999997</v>
      </c>
      <c r="D7">
        <f>(2*PI()*ASSUMPTIONS!D6)/60</f>
        <v>65.999999999999986</v>
      </c>
      <c r="E7">
        <f>(2*PI()*ASSUMPTIONS!E6)/60</f>
        <v>32.999999999999993</v>
      </c>
    </row>
    <row r="8" spans="1:7" x14ac:dyDescent="0.3">
      <c r="B8" t="s">
        <v>37</v>
      </c>
      <c r="C8">
        <f>'CHAIN SELECTION'!C23 / SIN(RADIANS(180 / ASSUMPTIONS!C7))</f>
        <v>41.098063314247334</v>
      </c>
      <c r="D8">
        <f>'CHAIN SELECTION'!D23 / SIN(RADIANS(180 / ASSUMPTIONS!D7))</f>
        <v>41.098063314247334</v>
      </c>
      <c r="E8">
        <f>'CHAIN SELECTION'!E23 / SIN(RADIANS(180 / ASSUMPTIONS!E7))</f>
        <v>41.098063314247334</v>
      </c>
    </row>
    <row r="9" spans="1:7" x14ac:dyDescent="0.3">
      <c r="B9" t="s">
        <v>36</v>
      </c>
      <c r="C9">
        <f>'CHAIN SELECTION'!C23 / SIN(RADIANS(180 / ASSUMPTIONS!C8))</f>
        <v>190.14072792012922</v>
      </c>
      <c r="D9">
        <f>'CHAIN SELECTION'!D23 / SIN(RADIANS(180 / ASSUMPTIONS!D8))</f>
        <v>190.14072792012922</v>
      </c>
      <c r="E9">
        <f>'CHAIN SELECTION'!E23 / SIN(RADIANS(180 / ASSUMPTIONS!E8))</f>
        <v>190.14072792012922</v>
      </c>
    </row>
    <row r="10" spans="1:7" x14ac:dyDescent="0.3">
      <c r="A10" s="51" t="s">
        <v>183</v>
      </c>
      <c r="B10" s="43" t="s">
        <v>181</v>
      </c>
      <c r="C10" s="43">
        <f>('SPROCKET GEOMETRY'!$J$9*'SPROCKET GEOMETRY'!$J$4*0.0393701*ASSUMPTIONS!C5/12)*0.00508</f>
        <v>12.539952061735363</v>
      </c>
      <c r="D10" s="43">
        <f>('SPROCKET GEOMETRY'!$J$9*'SPROCKET GEOMETRY'!$J$4*0.0393701*ASSUMPTIONS!D5/12)*0.00508</f>
        <v>6.2699760308676815</v>
      </c>
      <c r="E10" s="43">
        <f>('SPROCKET GEOMETRY'!$J$9*'SPROCKET GEOMETRY'!$J$4*0.0393701*ASSUMPTIONS!E5/12)*0.00508</f>
        <v>3.1349880154338408</v>
      </c>
      <c r="G10" t="s">
        <v>173</v>
      </c>
    </row>
    <row r="11" spans="1:7" x14ac:dyDescent="0.3">
      <c r="A11" s="51"/>
      <c r="B11" s="43" t="s">
        <v>174</v>
      </c>
      <c r="C11" s="43">
        <f>'SPROCKET GEOMETRY'!$J$4*ASSUMPTIONS!C5/(19100*TAN(RADIANS(180/'SPROCKET GEOMETRY'!$J$9)))</f>
        <v>12.123764348676092</v>
      </c>
      <c r="D11" s="43">
        <f>'SPROCKET GEOMETRY'!$J$4*ASSUMPTIONS!D5/(19100*TAN(RADIANS(180/'SPROCKET GEOMETRY'!$J$9)))</f>
        <v>6.061882174338046</v>
      </c>
      <c r="E11" s="43">
        <f>'SPROCKET GEOMETRY'!$J$4*ASSUMPTIONS!E5/(19100*TAN(RADIANS(180/'SPROCKET GEOMETRY'!$J$9)))</f>
        <v>3.030941087169023</v>
      </c>
      <c r="G11" t="s">
        <v>180</v>
      </c>
    </row>
    <row r="12" spans="1:7" x14ac:dyDescent="0.3">
      <c r="A12" s="51"/>
      <c r="B12" s="43" t="s">
        <v>175</v>
      </c>
      <c r="C12" s="43">
        <f>'SPROCKET GEOMETRY'!$J$4*ASSUMPTIONS!C5/(19100*SIN(RADIANS(180/'SPROCKET GEOMETRY'!$J$9)))</f>
        <v>12.74768022819957</v>
      </c>
      <c r="D12" s="43">
        <f>'SPROCKET GEOMETRY'!$J$4*ASSUMPTIONS!D5/(19100*SIN(RADIANS(180/'SPROCKET GEOMETRY'!$J$9)))</f>
        <v>6.3738401140997851</v>
      </c>
      <c r="E12" s="43">
        <f>'SPROCKET GEOMETRY'!$J$4*ASSUMPTIONS!E5/(19100*SIN(RADIANS(180/'SPROCKET GEOMETRY'!$J$9)))</f>
        <v>3.1869200570498926</v>
      </c>
    </row>
    <row r="13" spans="1:7" x14ac:dyDescent="0.3">
      <c r="A13" s="51"/>
      <c r="B13" s="43" t="s">
        <v>176</v>
      </c>
      <c r="C13" s="45">
        <f>(C12-C11)/C10</f>
        <v>4.9754247580204594E-2</v>
      </c>
      <c r="D13" s="45">
        <f>(D12-D11)/D10</f>
        <v>4.9754247580204594E-2</v>
      </c>
      <c r="E13" s="45">
        <f>(E12-E11)/E10</f>
        <v>4.9754247580204594E-2</v>
      </c>
    </row>
    <row r="14" spans="1:7" x14ac:dyDescent="0.3">
      <c r="A14" s="52" t="s">
        <v>184</v>
      </c>
      <c r="B14" s="40" t="s">
        <v>182</v>
      </c>
      <c r="C14" s="40">
        <f>('SPROCKET GEOMETRY'!$O$9*'SPROCKET GEOMETRY'!$O$4*0.0393701*ASSUMPTIONS!C6/12)*0.00508</f>
        <v>12.539952061735361</v>
      </c>
      <c r="D14" s="40">
        <f>('SPROCKET GEOMETRY'!$O$9*'SPROCKET GEOMETRY'!$O$4*0.0393701*ASSUMPTIONS!D6/12)*0.00508</f>
        <v>6.2699760308676806</v>
      </c>
      <c r="E14" s="40">
        <f>('SPROCKET GEOMETRY'!$O$9*'SPROCKET GEOMETRY'!$O$4*0.0393701*ASSUMPTIONS!E6/12)*0.00508</f>
        <v>3.1349880154338403</v>
      </c>
      <c r="G14" t="s">
        <v>173</v>
      </c>
    </row>
    <row r="15" spans="1:7" x14ac:dyDescent="0.3">
      <c r="A15" s="52"/>
      <c r="B15" s="40" t="s">
        <v>177</v>
      </c>
      <c r="C15" s="40">
        <f>'SPROCKET GEOMETRY'!$O$4*ASSUMPTIONS!C6/(19100*TAN(RADIANS(180/'SPROCKET GEOMETRY'!$O$9)))</f>
        <v>12.520341693529241</v>
      </c>
      <c r="D15" s="40">
        <f>'SPROCKET GEOMETRY'!$O$4*ASSUMPTIONS!D6/(19100*TAN(RADIANS(180/'SPROCKET GEOMETRY'!$O$9)))</f>
        <v>6.2601708467646207</v>
      </c>
      <c r="E15" s="40">
        <f>'SPROCKET GEOMETRY'!$O$4*ASSUMPTIONS!E6/(19100*TAN(RADIANS(180/'SPROCKET GEOMETRY'!$O$9)))</f>
        <v>3.1300854233823103</v>
      </c>
      <c r="G15" t="s">
        <v>180</v>
      </c>
    </row>
    <row r="16" spans="1:7" x14ac:dyDescent="0.3">
      <c r="A16" s="52"/>
      <c r="B16" s="40" t="s">
        <v>178</v>
      </c>
      <c r="C16" s="40">
        <f>'SPROCKET GEOMETRY'!$O$4*ASSUMPTIONS!C6/(19100*SIN(RADIANS(180/'SPROCKET GEOMETRY'!$O$9)))</f>
        <v>12.5483637127807</v>
      </c>
      <c r="D16" s="40">
        <f>'SPROCKET GEOMETRY'!$O$4*ASSUMPTIONS!D6/(19100*SIN(RADIANS(180/'SPROCKET GEOMETRY'!$O$9)))</f>
        <v>6.2741818563903502</v>
      </c>
      <c r="E16" s="40">
        <f>'SPROCKET GEOMETRY'!$O$4*ASSUMPTIONS!E6/(19100*SIN(RADIANS(180/'SPROCKET GEOMETRY'!$O$9)))</f>
        <v>3.1370909281951751</v>
      </c>
    </row>
    <row r="17" spans="1:10" x14ac:dyDescent="0.3">
      <c r="A17" s="52"/>
      <c r="B17" s="40" t="s">
        <v>179</v>
      </c>
      <c r="C17" s="44">
        <f>(C16-C15)/C14</f>
        <v>2.2346193281684054E-3</v>
      </c>
      <c r="D17" s="44">
        <f>(D16-D15)/D14</f>
        <v>2.2346193281684054E-3</v>
      </c>
      <c r="E17" s="44">
        <f>(E16-E15)/E14</f>
        <v>2.2346193281684054E-3</v>
      </c>
    </row>
    <row r="19" spans="1:10" x14ac:dyDescent="0.3">
      <c r="B19" s="1" t="s">
        <v>20</v>
      </c>
    </row>
    <row r="21" spans="1:10" x14ac:dyDescent="0.3">
      <c r="B21" t="s">
        <v>205</v>
      </c>
      <c r="C21">
        <f>ASSUMPTIONS!C4*ASSUMPTIONS!C5/9550</f>
        <v>66.7129018347364</v>
      </c>
      <c r="D21">
        <f>ASSUMPTIONS!D4*ASSUMPTIONS!D5/9550</f>
        <v>33.3564509173682</v>
      </c>
      <c r="E21">
        <f>ASSUMPTIONS!E4*ASSUMPTIONS!E5/9550</f>
        <v>16.6782254586841</v>
      </c>
      <c r="G21" t="s">
        <v>185</v>
      </c>
    </row>
    <row r="22" spans="1:10" x14ac:dyDescent="0.3">
      <c r="B22" t="s">
        <v>206</v>
      </c>
      <c r="C22">
        <f>2000*ASSUMPTIONS!C4/CALCULATIONS!C8</f>
        <v>5233.3366259971408</v>
      </c>
      <c r="D22">
        <f>2000*ASSUMPTIONS!D4/CALCULATIONS!D8</f>
        <v>5233.3366259971408</v>
      </c>
      <c r="E22">
        <f>2000*ASSUMPTIONS!E4/CALCULATIONS!E8</f>
        <v>5233.3366259971408</v>
      </c>
      <c r="G22" t="s">
        <v>209</v>
      </c>
    </row>
    <row r="23" spans="1:10" x14ac:dyDescent="0.3">
      <c r="B23" t="s">
        <v>207</v>
      </c>
      <c r="C23">
        <f>'CHAIN SELECTION'!C26*CALCULATIONS!C10^2</f>
        <v>123.81921079576453</v>
      </c>
      <c r="D23">
        <f>'CHAIN SELECTION'!D26*CALCULATIONS!D10^2</f>
        <v>30.954802698941133</v>
      </c>
      <c r="E23">
        <f>'CHAIN SELECTION'!E26*CALCULATIONS!E10^2</f>
        <v>7.7387006747352833</v>
      </c>
      <c r="G23" t="s">
        <v>210</v>
      </c>
    </row>
    <row r="24" spans="1:10" x14ac:dyDescent="0.3">
      <c r="B24" t="s">
        <v>208</v>
      </c>
      <c r="C24">
        <f>C22+C23</f>
        <v>5357.1558367929056</v>
      </c>
      <c r="D24">
        <f>D22+D23</f>
        <v>5264.2914286960822</v>
      </c>
      <c r="E24">
        <f>E22+E23</f>
        <v>5241.0753266718757</v>
      </c>
    </row>
    <row r="26" spans="1:10" x14ac:dyDescent="0.3">
      <c r="B26" s="1" t="s">
        <v>21</v>
      </c>
      <c r="C26" t="s">
        <v>229</v>
      </c>
    </row>
    <row r="28" spans="1:10" x14ac:dyDescent="0.3">
      <c r="B28" t="s">
        <v>204</v>
      </c>
      <c r="C28">
        <f>C24</f>
        <v>5357.1558367929056</v>
      </c>
      <c r="D28">
        <f>D24</f>
        <v>5264.2914286960822</v>
      </c>
      <c r="E28">
        <f>E24</f>
        <v>5241.0753266718757</v>
      </c>
    </row>
    <row r="29" spans="1:10" x14ac:dyDescent="0.3">
      <c r="B29" t="s">
        <v>196</v>
      </c>
      <c r="C29">
        <f>'SPROCKET GEOMETRY'!J25</f>
        <v>23.431799999999999</v>
      </c>
      <c r="D29">
        <f>C29</f>
        <v>23.431799999999999</v>
      </c>
      <c r="E29">
        <f>D29</f>
        <v>23.431799999999999</v>
      </c>
    </row>
    <row r="30" spans="1:10" x14ac:dyDescent="0.3">
      <c r="B30" t="s">
        <v>197</v>
      </c>
      <c r="C30">
        <f>'SPROCKET GEOMETRY'!O25</f>
        <v>32.368899999999996</v>
      </c>
      <c r="D30">
        <f>C30</f>
        <v>32.368899999999996</v>
      </c>
      <c r="E30">
        <f>D30</f>
        <v>32.368899999999996</v>
      </c>
    </row>
    <row r="31" spans="1:10" x14ac:dyDescent="0.3">
      <c r="A31" s="51" t="s">
        <v>183</v>
      </c>
      <c r="B31" s="43" t="s">
        <v>199</v>
      </c>
      <c r="C31" s="43">
        <f>(PI()*ASSUMPTIONS!C5*'SPROCKET GEOMETRY'!$J$4/30000)*SIN(RADIANS(360/'SPROCKET GEOMETRY'!$J$9+CALCULATIONS!C29))</f>
        <v>6.7840802862442402</v>
      </c>
      <c r="D31" s="43">
        <f>(PI()*ASSUMPTIONS!D5*'SPROCKET GEOMETRY'!$J$4/30000)*SIN(RADIANS(360/'SPROCKET GEOMETRY'!$J$9+CALCULATIONS!D29))</f>
        <v>3.3920401431221201</v>
      </c>
      <c r="E31" s="43">
        <f>(PI()*ASSUMPTIONS!E5*'SPROCKET GEOMETRY'!$J$4/30000)*SIN(RADIANS(360/'SPROCKET GEOMETRY'!$J$9+CALCULATIONS!E29))</f>
        <v>1.69602007156106</v>
      </c>
      <c r="J31" t="s">
        <v>211</v>
      </c>
    </row>
    <row r="32" spans="1:10" x14ac:dyDescent="0.3">
      <c r="A32" s="51"/>
      <c r="B32" s="43" t="s">
        <v>200</v>
      </c>
      <c r="C32" s="43">
        <f>('CHAIN SELECTION'!C26*'CHAIN SELECTION'!C23/2000)*C31^2</f>
        <v>0.23011872665103861</v>
      </c>
      <c r="D32" s="43">
        <f>('CHAIN SELECTION'!D26*'CHAIN SELECTION'!D23/2000)*D31^2</f>
        <v>5.7529681662759652E-2</v>
      </c>
      <c r="E32" s="43">
        <f>('CHAIN SELECTION'!E26*'CHAIN SELECTION'!E23/2000)*E31^2</f>
        <v>1.4382420415689913E-2</v>
      </c>
      <c r="J32" t="s">
        <v>186</v>
      </c>
    </row>
    <row r="33" spans="1:6" x14ac:dyDescent="0.3">
      <c r="A33" s="51"/>
      <c r="B33" s="43" t="s">
        <v>198</v>
      </c>
      <c r="C33" s="43">
        <f>SQRT('CHAIN SELECTION'!C26*'SPROCKET GEOMETRY'!$J$4*'SPROCKET GEOMETRY'!$J$29*'CHAIN SELECTION'!C28/3)*CALCULATIONS!C31</f>
        <v>14966.548316900627</v>
      </c>
      <c r="D33" s="43">
        <f>SQRT('CHAIN SELECTION'!D26*'SPROCKET GEOMETRY'!$J$4*'SPROCKET GEOMETRY'!$J$29*'CHAIN SELECTION'!D28/3)*CALCULATIONS!D31</f>
        <v>7483.2741584503137</v>
      </c>
      <c r="E33" s="43">
        <f>SQRT('CHAIN SELECTION'!E26*'SPROCKET GEOMETRY'!$J$4*'SPROCKET GEOMETRY'!$J$29*'CHAIN SELECTION'!E28/3)*CALCULATIONS!E31</f>
        <v>3741.6370792251569</v>
      </c>
    </row>
    <row r="34" spans="1:6" x14ac:dyDescent="0.3">
      <c r="A34" s="52" t="s">
        <v>184</v>
      </c>
      <c r="B34" s="40" t="s">
        <v>193</v>
      </c>
      <c r="C34" s="40">
        <f>(PI()*ASSUMPTIONS!C6*'SPROCKET GEOMETRY'!$O$4/30000)*SIN(RADIANS(360/'SPROCKET GEOMETRY'!$O$9+CALCULATIONS!C30))</f>
        <v>1.0782072272537415</v>
      </c>
      <c r="D34" s="40">
        <f>(PI()*ASSUMPTIONS!D6*'SPROCKET GEOMETRY'!$O$4/30000)*SIN(RADIANS(360/'SPROCKET GEOMETRY'!$O$9+CALCULATIONS!D30))</f>
        <v>0.53910361362687076</v>
      </c>
      <c r="E34" s="40">
        <f>(PI()*ASSUMPTIONS!E6*'SPROCKET GEOMETRY'!$O$4/30000)*SIN(RADIANS(360/'SPROCKET GEOMETRY'!$O$9+CALCULATIONS!E30))</f>
        <v>0.26955180681343538</v>
      </c>
    </row>
    <row r="35" spans="1:6" x14ac:dyDescent="0.3">
      <c r="A35" s="52"/>
      <c r="B35" s="40" t="s">
        <v>194</v>
      </c>
      <c r="C35" s="40">
        <f>('CHAIN SELECTION'!C26*'CHAIN SELECTION'!C23/2000)*C34^2</f>
        <v>5.812654124511007E-3</v>
      </c>
      <c r="D35" s="40">
        <f>('CHAIN SELECTION'!D26*'CHAIN SELECTION'!D23/2000)*D34^2</f>
        <v>1.4531635311277517E-3</v>
      </c>
      <c r="E35" s="40">
        <f>('CHAIN SELECTION'!E26*'CHAIN SELECTION'!E23/2000)*E34^2</f>
        <v>3.6329088278193794E-4</v>
      </c>
    </row>
    <row r="36" spans="1:6" x14ac:dyDescent="0.3">
      <c r="A36" s="52"/>
      <c r="B36" s="40" t="s">
        <v>195</v>
      </c>
      <c r="C36" s="40">
        <f>SQRT('CHAIN SELECTION'!C26*'SPROCKET GEOMETRY'!$O$4*'SPROCKET GEOMETRY'!$O$29*'CHAIN SELECTION'!C28/3)*CALCULATIONS!C34</f>
        <v>2378.6629699894465</v>
      </c>
      <c r="D36" s="40">
        <f>SQRT('CHAIN SELECTION'!D26*'SPROCKET GEOMETRY'!$O$4*'SPROCKET GEOMETRY'!$O$29*'CHAIN SELECTION'!D28/3)*CALCULATIONS!D34</f>
        <v>1189.3314849947233</v>
      </c>
      <c r="E36" s="40">
        <f>SQRT('CHAIN SELECTION'!E26*'SPROCKET GEOMETRY'!$O$4*'SPROCKET GEOMETRY'!$O$29*'CHAIN SELECTION'!E28/3)*CALCULATIONS!E34</f>
        <v>594.66574249736163</v>
      </c>
    </row>
    <row r="38" spans="1:6" x14ac:dyDescent="0.3">
      <c r="B38" s="1" t="s">
        <v>212</v>
      </c>
    </row>
    <row r="40" spans="1:6" x14ac:dyDescent="0.3">
      <c r="B40" t="s">
        <v>216</v>
      </c>
      <c r="C40" s="46">
        <f>23.61/1000000</f>
        <v>2.3609999999999999E-5</v>
      </c>
      <c r="D40" s="46">
        <f>23.61/1000000</f>
        <v>2.3609999999999999E-5</v>
      </c>
      <c r="E40" s="46">
        <f>23.61/1000000</f>
        <v>2.3609999999999999E-5</v>
      </c>
      <c r="F40" t="s">
        <v>214</v>
      </c>
    </row>
    <row r="41" spans="1:6" x14ac:dyDescent="0.3">
      <c r="B41" t="s">
        <v>218</v>
      </c>
      <c r="C41" s="46">
        <f>C33/C40</f>
        <v>633907171.40621042</v>
      </c>
      <c r="D41" s="46">
        <f>D33/D40</f>
        <v>316953585.70310521</v>
      </c>
      <c r="E41" s="46">
        <f>E33/E40</f>
        <v>158476792.85155261</v>
      </c>
    </row>
    <row r="42" spans="1:6" x14ac:dyDescent="0.3">
      <c r="B42" t="s">
        <v>215</v>
      </c>
      <c r="C42" s="46">
        <f>27.66/1000000</f>
        <v>2.7659999999999999E-5</v>
      </c>
      <c r="D42" s="46">
        <f>27.66/1000000</f>
        <v>2.7659999999999999E-5</v>
      </c>
      <c r="E42" s="46">
        <f>27.66/1000000</f>
        <v>2.7659999999999999E-5</v>
      </c>
      <c r="F42" t="s">
        <v>213</v>
      </c>
    </row>
    <row r="43" spans="1:6" x14ac:dyDescent="0.3">
      <c r="B43" t="s">
        <v>217</v>
      </c>
      <c r="C43" s="46">
        <f>C36/C42</f>
        <v>85996492.045894668</v>
      </c>
      <c r="D43" s="46">
        <f>D36/D42</f>
        <v>42998246.022947334</v>
      </c>
      <c r="E43" s="46">
        <f>E36/E42</f>
        <v>21499123.011473667</v>
      </c>
    </row>
  </sheetData>
  <mergeCells count="4">
    <mergeCell ref="A10:A13"/>
    <mergeCell ref="A14:A17"/>
    <mergeCell ref="A31:A33"/>
    <mergeCell ref="A34:A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FAAC-EB79-47DC-8449-130E852BEFA9}">
  <dimension ref="A1:N39"/>
  <sheetViews>
    <sheetView workbookViewId="0">
      <selection activeCell="J22" sqref="J22"/>
    </sheetView>
  </sheetViews>
  <sheetFormatPr defaultRowHeight="14.4" x14ac:dyDescent="0.3"/>
  <cols>
    <col min="1" max="1" width="10.77734375" bestFit="1" customWidth="1"/>
    <col min="2" max="2" width="31.88671875" bestFit="1" customWidth="1"/>
    <col min="3" max="5" width="12.44140625" bestFit="1" customWidth="1"/>
    <col min="7" max="7" width="31.88671875" bestFit="1" customWidth="1"/>
    <col min="8" max="10" width="12.44140625" bestFit="1" customWidth="1"/>
  </cols>
  <sheetData>
    <row r="1" spans="1:14" x14ac:dyDescent="0.3">
      <c r="A1" t="s">
        <v>219</v>
      </c>
    </row>
    <row r="2" spans="1:14" x14ac:dyDescent="0.3">
      <c r="B2" s="4" t="s">
        <v>0</v>
      </c>
      <c r="C2" s="4" t="s">
        <v>1</v>
      </c>
      <c r="D2" s="4" t="s">
        <v>2</v>
      </c>
      <c r="E2" s="4" t="s">
        <v>3</v>
      </c>
      <c r="F2" s="4"/>
      <c r="G2" s="4" t="s">
        <v>0</v>
      </c>
      <c r="H2" s="4" t="s">
        <v>1</v>
      </c>
      <c r="I2" s="4" t="s">
        <v>2</v>
      </c>
      <c r="J2" s="4" t="s">
        <v>3</v>
      </c>
    </row>
    <row r="4" spans="1:14" x14ac:dyDescent="0.3">
      <c r="B4" s="1" t="s">
        <v>220</v>
      </c>
      <c r="C4" s="4"/>
      <c r="D4" s="4"/>
      <c r="E4" s="4"/>
      <c r="F4" s="4"/>
      <c r="G4" s="1" t="s">
        <v>184</v>
      </c>
      <c r="N4" t="s">
        <v>228</v>
      </c>
    </row>
    <row r="5" spans="1:14" x14ac:dyDescent="0.3">
      <c r="B5" s="4" t="s">
        <v>227</v>
      </c>
      <c r="C5" s="38">
        <f>CALCULATIONS!C28</f>
        <v>5357.1558367929056</v>
      </c>
      <c r="D5" s="38">
        <f>CALCULATIONS!D28</f>
        <v>5264.2914286960822</v>
      </c>
      <c r="E5" s="38">
        <f>CALCULATIONS!E28</f>
        <v>5241.0753266718757</v>
      </c>
      <c r="G5" s="4" t="s">
        <v>227</v>
      </c>
      <c r="H5">
        <f>CALCULATIONS!C28</f>
        <v>5357.1558367929056</v>
      </c>
      <c r="I5">
        <f>CALCULATIONS!D28</f>
        <v>5264.2914286960822</v>
      </c>
      <c r="J5">
        <f>CALCULATIONS!E28</f>
        <v>5241.0753266718757</v>
      </c>
    </row>
    <row r="6" spans="1:14" x14ac:dyDescent="0.3">
      <c r="B6" s="47" t="s">
        <v>226</v>
      </c>
      <c r="C6">
        <f>17-64/C7</f>
        <v>10.6</v>
      </c>
      <c r="D6">
        <f>17-64/D7</f>
        <v>10.6</v>
      </c>
      <c r="E6">
        <f>17-64/E7</f>
        <v>10.6</v>
      </c>
      <c r="G6" s="47" t="s">
        <v>226</v>
      </c>
      <c r="H6">
        <f>17-64/H7</f>
        <v>15.638297872340425</v>
      </c>
      <c r="I6">
        <f>17-64/I7</f>
        <v>15.638297872340425</v>
      </c>
      <c r="J6">
        <f>17-64/J7</f>
        <v>15.638297872340425</v>
      </c>
    </row>
    <row r="7" spans="1:14" x14ac:dyDescent="0.3">
      <c r="B7" s="4" t="s">
        <v>221</v>
      </c>
      <c r="C7">
        <f>'SPROCKET GEOMETRY'!J9</f>
        <v>10</v>
      </c>
      <c r="D7">
        <f>C7</f>
        <v>10</v>
      </c>
      <c r="E7">
        <f>D7</f>
        <v>10</v>
      </c>
      <c r="G7" s="4" t="s">
        <v>221</v>
      </c>
      <c r="H7">
        <f>'SPROCKET GEOMETRY'!O9</f>
        <v>47</v>
      </c>
      <c r="I7">
        <f>H7</f>
        <v>47</v>
      </c>
      <c r="J7">
        <f>I7</f>
        <v>47</v>
      </c>
    </row>
    <row r="8" spans="1:14" x14ac:dyDescent="0.3">
      <c r="B8" s="4" t="s">
        <v>223</v>
      </c>
      <c r="C8">
        <f>360/C7</f>
        <v>36</v>
      </c>
      <c r="D8">
        <f>360/D7</f>
        <v>36</v>
      </c>
      <c r="E8">
        <f>360/E7</f>
        <v>36</v>
      </c>
      <c r="G8" s="4" t="s">
        <v>223</v>
      </c>
      <c r="H8">
        <f>360/H7</f>
        <v>7.6595744680851068</v>
      </c>
      <c r="I8">
        <f>360/I7</f>
        <v>7.6595744680851068</v>
      </c>
      <c r="J8">
        <f>360/J7</f>
        <v>7.6595744680851068</v>
      </c>
    </row>
    <row r="9" spans="1:14" x14ac:dyDescent="0.3">
      <c r="B9" s="4" t="s">
        <v>222</v>
      </c>
      <c r="C9">
        <f>ROUNDDOWN('SPROCKET GEOMETRY'!$J$57*'FEA LOAD CALCULATIONS'!C7/360,0)</f>
        <v>3</v>
      </c>
      <c r="D9">
        <f>ROUNDDOWN('SPROCKET GEOMETRY'!$J$57*'FEA LOAD CALCULATIONS'!D7/360,0)</f>
        <v>3</v>
      </c>
      <c r="E9">
        <f>ROUNDDOWN('SPROCKET GEOMETRY'!$J$57*'FEA LOAD CALCULATIONS'!E7/360,0)</f>
        <v>3</v>
      </c>
      <c r="G9" s="4" t="s">
        <v>222</v>
      </c>
      <c r="H9">
        <f>ROUNDDOWN('SPROCKET GEOMETRY'!$L$57*'FEA LOAD CALCULATIONS'!H7/360,0)</f>
        <v>28</v>
      </c>
      <c r="I9">
        <f>ROUNDDOWN('SPROCKET GEOMETRY'!$L$57*'FEA LOAD CALCULATIONS'!I7/360,0)</f>
        <v>28</v>
      </c>
      <c r="J9">
        <f>ROUNDDOWN('SPROCKET GEOMETRY'!$L$57*'FEA LOAD CALCULATIONS'!J7/360,0)</f>
        <v>28</v>
      </c>
    </row>
    <row r="11" spans="1:14" x14ac:dyDescent="0.3">
      <c r="B11" s="4" t="s">
        <v>222</v>
      </c>
      <c r="C11" s="4" t="s">
        <v>230</v>
      </c>
      <c r="D11" s="4" t="s">
        <v>230</v>
      </c>
      <c r="E11" s="4" t="s">
        <v>230</v>
      </c>
      <c r="F11" s="4"/>
      <c r="G11" s="4" t="s">
        <v>222</v>
      </c>
      <c r="H11" s="4" t="s">
        <v>225</v>
      </c>
      <c r="I11" s="4" t="s">
        <v>225</v>
      </c>
      <c r="J11" s="4" t="s">
        <v>225</v>
      </c>
    </row>
    <row r="12" spans="1:14" x14ac:dyDescent="0.3">
      <c r="B12">
        <v>1</v>
      </c>
      <c r="C12">
        <f>C5/3</f>
        <v>1785.7186122643018</v>
      </c>
      <c r="D12">
        <f>D5/3</f>
        <v>1754.7638095653608</v>
      </c>
      <c r="E12">
        <f>E5/3</f>
        <v>1747.0251088906252</v>
      </c>
      <c r="G12">
        <v>1</v>
      </c>
      <c r="H12">
        <f>H5</f>
        <v>5357.1558367929056</v>
      </c>
      <c r="I12">
        <f>CALCULATIONS!D36</f>
        <v>1189.3314849947233</v>
      </c>
      <c r="J12">
        <f>CALCULATIONS!E36</f>
        <v>594.66574249736163</v>
      </c>
      <c r="K12">
        <f>0.19/2*H12</f>
        <v>508.92980449532604</v>
      </c>
    </row>
    <row r="13" spans="1:14" x14ac:dyDescent="0.3">
      <c r="B13">
        <v>2</v>
      </c>
      <c r="C13">
        <f>CALCULATIONS!C28/3</f>
        <v>1785.7186122643018</v>
      </c>
      <c r="D13">
        <f>CALCULATIONS!D28/3</f>
        <v>1754.7638095653608</v>
      </c>
      <c r="E13">
        <f>CALCULATIONS!E28/3</f>
        <v>1747.0251088906252</v>
      </c>
      <c r="F13" t="s">
        <v>231</v>
      </c>
      <c r="G13">
        <v>2</v>
      </c>
      <c r="H13">
        <f>H5*(SIN(RADIANS(H6))/SIN(RADIANS(H6+H8)))^G13-1</f>
        <v>2487.5057463604958</v>
      </c>
      <c r="I13">
        <f>I5*(SIN(RADIANS(I6))/SIN(RADIANS(I6+I8)))^G13-1</f>
        <v>2444.3683764161383</v>
      </c>
      <c r="J13">
        <f>J5*(SIN(RADIANS(J6))/SIN(RADIANS(J6+J8)))^G13-1</f>
        <v>2433.5840339300485</v>
      </c>
      <c r="K13">
        <f t="shared" ref="K13:K33" si="0">0.19/2*H13</f>
        <v>236.3130459042471</v>
      </c>
    </row>
    <row r="14" spans="1:14" x14ac:dyDescent="0.3">
      <c r="B14">
        <v>3</v>
      </c>
      <c r="C14">
        <f>CALCULATIONS!C28/3</f>
        <v>1785.7186122643018</v>
      </c>
      <c r="D14">
        <f>CALCULATIONS!D28/3</f>
        <v>1754.7638095653608</v>
      </c>
      <c r="E14">
        <f>CALCULATIONS!E28/3</f>
        <v>1747.0251088906252</v>
      </c>
      <c r="G14">
        <v>3</v>
      </c>
      <c r="H14">
        <f>H$5*(SIN(RADIANS(H$6))/SIN(RADIANS(H$6+H$8)))^$G14-1</f>
        <v>1695.0585163293438</v>
      </c>
      <c r="I14">
        <f>I$5*(SIN(RADIANS(I$6))/SIN(RADIANS(I$6+I$8)))^$G14-1</f>
        <v>1665.6579397893133</v>
      </c>
      <c r="J14">
        <f>J$5*(SIN(RADIANS(J$6))/SIN(RADIANS(J$6+J$8)))^$G14-1</f>
        <v>1658.3077956543054</v>
      </c>
      <c r="K14">
        <f t="shared" si="0"/>
        <v>161.03055905128767</v>
      </c>
    </row>
    <row r="15" spans="1:14" x14ac:dyDescent="0.3">
      <c r="G15">
        <v>4</v>
      </c>
      <c r="H15">
        <f t="shared" ref="H15:J39" si="1">H$5*(SIN(RADIANS(H$6))/SIN(RADIANS(H$6+H$8)))^$G15-1</f>
        <v>1154.9605578650635</v>
      </c>
      <c r="I15">
        <f t="shared" si="1"/>
        <v>1134.922389056878</v>
      </c>
      <c r="J15">
        <f t="shared" si="1"/>
        <v>1129.9128468548315</v>
      </c>
      <c r="K15">
        <f t="shared" si="0"/>
        <v>109.72125299718104</v>
      </c>
    </row>
    <row r="16" spans="1:14" x14ac:dyDescent="0.3">
      <c r="G16">
        <v>5</v>
      </c>
      <c r="H16">
        <f t="shared" si="1"/>
        <v>786.85301242532978</v>
      </c>
      <c r="I16">
        <f t="shared" si="1"/>
        <v>773.19585816379208</v>
      </c>
      <c r="J16">
        <f t="shared" si="1"/>
        <v>769.7815695984076</v>
      </c>
      <c r="K16">
        <f t="shared" si="0"/>
        <v>74.751036180406331</v>
      </c>
    </row>
    <row r="17" spans="7:14" x14ac:dyDescent="0.3">
      <c r="G17">
        <v>6</v>
      </c>
      <c r="H17">
        <f t="shared" si="1"/>
        <v>535.96673728561871</v>
      </c>
      <c r="I17">
        <f t="shared" si="1"/>
        <v>526.65860816918746</v>
      </c>
      <c r="J17">
        <f t="shared" si="1"/>
        <v>524.33157589007965</v>
      </c>
      <c r="K17">
        <f t="shared" si="0"/>
        <v>50.916840042133778</v>
      </c>
      <c r="M17" t="s">
        <v>239</v>
      </c>
      <c r="N17" t="s">
        <v>238</v>
      </c>
    </row>
    <row r="18" spans="7:14" x14ac:dyDescent="0.3">
      <c r="G18">
        <v>7</v>
      </c>
      <c r="H18">
        <f t="shared" si="1"/>
        <v>364.973439720128</v>
      </c>
      <c r="I18">
        <f>I$5*(SIN(RADIANS(I$6))/SIN(RADIANS(I$6+I$8)))^$G18-1</f>
        <v>358.62941914388244</v>
      </c>
      <c r="J18">
        <f t="shared" si="1"/>
        <v>357.04341399982104</v>
      </c>
      <c r="K18">
        <f t="shared" si="0"/>
        <v>34.672476773412157</v>
      </c>
      <c r="M18">
        <v>1</v>
      </c>
      <c r="N18">
        <f>H5*'SPROCKET GEOMETRY'!O21/2000</f>
        <v>529.03448156367597</v>
      </c>
    </row>
    <row r="19" spans="7:14" x14ac:dyDescent="0.3">
      <c r="G19">
        <v>8</v>
      </c>
      <c r="H19">
        <f t="shared" si="1"/>
        <v>248.43176044317951</v>
      </c>
      <c r="I19">
        <f t="shared" si="1"/>
        <v>244.10794879763824</v>
      </c>
      <c r="J19">
        <f t="shared" si="1"/>
        <v>243.02699588625291</v>
      </c>
      <c r="K19">
        <f t="shared" si="0"/>
        <v>23.601017242102053</v>
      </c>
      <c r="M19">
        <v>2</v>
      </c>
      <c r="N19">
        <f>N18*M19</f>
        <v>1058.0689631273519</v>
      </c>
    </row>
    <row r="20" spans="7:14" x14ac:dyDescent="0.3">
      <c r="G20">
        <v>9</v>
      </c>
      <c r="H20">
        <f t="shared" si="1"/>
        <v>169.0019628893356</v>
      </c>
      <c r="I20">
        <f t="shared" si="1"/>
        <v>166.05503878632734</v>
      </c>
      <c r="J20">
        <f t="shared" si="1"/>
        <v>165.31830776057527</v>
      </c>
      <c r="K20">
        <f t="shared" si="0"/>
        <v>16.055186474486881</v>
      </c>
      <c r="M20">
        <v>3</v>
      </c>
      <c r="N20">
        <f>N18*M20</f>
        <v>1587.103444691028</v>
      </c>
    </row>
    <row r="21" spans="7:14" x14ac:dyDescent="0.3">
      <c r="G21">
        <v>10</v>
      </c>
      <c r="H21">
        <f t="shared" si="1"/>
        <v>114.86602818693811</v>
      </c>
      <c r="I21">
        <f t="shared" si="1"/>
        <v>112.85753142972014</v>
      </c>
      <c r="J21">
        <f t="shared" si="1"/>
        <v>112.35540724041564</v>
      </c>
      <c r="K21">
        <f t="shared" si="0"/>
        <v>10.91227267775912</v>
      </c>
    </row>
    <row r="22" spans="7:14" x14ac:dyDescent="0.3">
      <c r="G22">
        <v>11</v>
      </c>
      <c r="H22">
        <f t="shared" si="1"/>
        <v>77.969302822435225</v>
      </c>
      <c r="I22">
        <f t="shared" si="1"/>
        <v>76.600397793752222</v>
      </c>
      <c r="J22">
        <f t="shared" si="1"/>
        <v>76.258171536581472</v>
      </c>
      <c r="K22">
        <f t="shared" si="0"/>
        <v>7.4070837681313462</v>
      </c>
    </row>
    <row r="23" spans="7:14" x14ac:dyDescent="0.3">
      <c r="G23">
        <v>12</v>
      </c>
      <c r="H23">
        <f t="shared" si="1"/>
        <v>52.822081293751417</v>
      </c>
      <c r="I23">
        <f t="shared" si="1"/>
        <v>51.889094486170414</v>
      </c>
      <c r="J23">
        <f t="shared" si="1"/>
        <v>51.65584778427516</v>
      </c>
      <c r="K23">
        <f t="shared" si="0"/>
        <v>5.0180977229063846</v>
      </c>
    </row>
    <row r="24" spans="7:14" x14ac:dyDescent="0.3">
      <c r="G24">
        <v>13</v>
      </c>
      <c r="H24">
        <f t="shared" si="1"/>
        <v>35.682816376190658</v>
      </c>
      <c r="I24">
        <f t="shared" si="1"/>
        <v>35.046932684567686</v>
      </c>
      <c r="J24">
        <f t="shared" si="1"/>
        <v>34.887961761661941</v>
      </c>
      <c r="K24">
        <f t="shared" si="0"/>
        <v>3.3898675557381126</v>
      </c>
    </row>
    <row r="25" spans="7:14" x14ac:dyDescent="0.3">
      <c r="G25">
        <v>14</v>
      </c>
      <c r="H25">
        <f t="shared" si="1"/>
        <v>24.001430359876203</v>
      </c>
      <c r="I25">
        <f t="shared" si="1"/>
        <v>23.568039377295829</v>
      </c>
      <c r="J25">
        <f t="shared" si="1"/>
        <v>23.459691631650735</v>
      </c>
      <c r="K25">
        <f t="shared" si="0"/>
        <v>2.2801358841882391</v>
      </c>
    </row>
    <row r="26" spans="7:14" x14ac:dyDescent="0.3">
      <c r="G26">
        <v>15</v>
      </c>
      <c r="H26">
        <f t="shared" si="1"/>
        <v>16.039899925607902</v>
      </c>
      <c r="I26">
        <f t="shared" si="1"/>
        <v>15.744519266760388</v>
      </c>
      <c r="J26">
        <f t="shared" si="1"/>
        <v>15.670674102048508</v>
      </c>
      <c r="K26">
        <f t="shared" si="0"/>
        <v>1.5237904929327506</v>
      </c>
    </row>
    <row r="27" spans="7:14" x14ac:dyDescent="0.3">
      <c r="G27">
        <v>16</v>
      </c>
      <c r="H27">
        <f t="shared" si="1"/>
        <v>10.613663110280136</v>
      </c>
      <c r="I27">
        <f t="shared" si="1"/>
        <v>10.412344353942123</v>
      </c>
      <c r="J27">
        <f t="shared" si="1"/>
        <v>10.362014664857618</v>
      </c>
      <c r="K27">
        <f t="shared" si="0"/>
        <v>1.0082979954766129</v>
      </c>
    </row>
    <row r="28" spans="7:14" x14ac:dyDescent="0.3">
      <c r="G28">
        <v>17</v>
      </c>
      <c r="H28">
        <f t="shared" si="1"/>
        <v>6.9153734134544784</v>
      </c>
      <c r="I28">
        <f t="shared" si="1"/>
        <v>6.7781632054076226</v>
      </c>
      <c r="J28">
        <f t="shared" si="1"/>
        <v>6.7438606533959078</v>
      </c>
      <c r="K28">
        <f t="shared" si="0"/>
        <v>0.6569604742781755</v>
      </c>
    </row>
    <row r="29" spans="7:14" x14ac:dyDescent="0.3">
      <c r="G29">
        <v>18</v>
      </c>
      <c r="H29">
        <f t="shared" si="1"/>
        <v>4.3947781745935908</v>
      </c>
      <c r="I29">
        <f t="shared" si="1"/>
        <v>4.301261596532421</v>
      </c>
      <c r="J29">
        <f t="shared" si="1"/>
        <v>4.2778824520171277</v>
      </c>
      <c r="K29">
        <f t="shared" si="0"/>
        <v>0.41750392658639113</v>
      </c>
    </row>
    <row r="30" spans="7:14" x14ac:dyDescent="0.3">
      <c r="G30">
        <v>19</v>
      </c>
      <c r="H30">
        <f t="shared" si="1"/>
        <v>2.6768488399550763</v>
      </c>
      <c r="I30">
        <f t="shared" si="1"/>
        <v>2.6131119613601221</v>
      </c>
      <c r="J30">
        <f t="shared" si="1"/>
        <v>2.5971777417113833</v>
      </c>
      <c r="K30">
        <f t="shared" si="0"/>
        <v>0.25430063979573225</v>
      </c>
    </row>
    <row r="31" spans="7:14" x14ac:dyDescent="0.3">
      <c r="G31">
        <v>20</v>
      </c>
      <c r="H31">
        <f t="shared" si="1"/>
        <v>1.5059820727285875</v>
      </c>
      <c r="I31">
        <f t="shared" si="1"/>
        <v>1.4625417568268371</v>
      </c>
      <c r="J31">
        <f t="shared" si="1"/>
        <v>1.4516816778513988</v>
      </c>
      <c r="K31">
        <f t="shared" si="0"/>
        <v>0.14306829690921583</v>
      </c>
    </row>
    <row r="32" spans="7:14" x14ac:dyDescent="0.3">
      <c r="G32">
        <v>21</v>
      </c>
      <c r="H32">
        <f t="shared" si="1"/>
        <v>0.70796962893742332</v>
      </c>
      <c r="I32">
        <f t="shared" si="1"/>
        <v>0.67836257745885775</v>
      </c>
      <c r="J32">
        <f t="shared" si="1"/>
        <v>0.6709608145892163</v>
      </c>
      <c r="K32">
        <f t="shared" si="0"/>
        <v>6.7257114749055213E-2</v>
      </c>
    </row>
    <row r="33" spans="7:11" x14ac:dyDescent="0.3">
      <c r="G33">
        <v>22</v>
      </c>
      <c r="H33">
        <f t="shared" si="1"/>
        <v>0.16407866006653005</v>
      </c>
      <c r="I33">
        <f t="shared" si="1"/>
        <v>0.14389976681821692</v>
      </c>
      <c r="J33">
        <f t="shared" si="1"/>
        <v>0.13885504350613842</v>
      </c>
      <c r="K33">
        <f t="shared" si="0"/>
        <v>1.5587472706320354E-2</v>
      </c>
    </row>
    <row r="34" spans="7:11" x14ac:dyDescent="0.3">
      <c r="G34">
        <v>23</v>
      </c>
      <c r="H34">
        <f t="shared" si="1"/>
        <v>-0.20661403817506918</v>
      </c>
      <c r="I34">
        <f t="shared" si="1"/>
        <v>-0.22036710416414973</v>
      </c>
      <c r="J34">
        <f t="shared" si="1"/>
        <v>-0.22380537066141992</v>
      </c>
    </row>
    <row r="35" spans="7:11" x14ac:dyDescent="0.3">
      <c r="G35">
        <v>24</v>
      </c>
      <c r="H35">
        <f t="shared" si="1"/>
        <v>-0.45926224230852641</v>
      </c>
      <c r="I35">
        <f t="shared" si="1"/>
        <v>-0.46863574073445302</v>
      </c>
      <c r="J35">
        <f t="shared" si="1"/>
        <v>-0.47097911534093473</v>
      </c>
    </row>
    <row r="36" spans="7:11" x14ac:dyDescent="0.3">
      <c r="G36">
        <v>25</v>
      </c>
      <c r="H36">
        <f t="shared" si="1"/>
        <v>-0.63145639491700067</v>
      </c>
      <c r="I36">
        <f t="shared" si="1"/>
        <v>-0.63784496840385874</v>
      </c>
      <c r="J36">
        <f t="shared" si="1"/>
        <v>-0.63944211177557331</v>
      </c>
    </row>
    <row r="37" spans="7:11" x14ac:dyDescent="0.3">
      <c r="G37">
        <v>26</v>
      </c>
      <c r="H37">
        <f t="shared" si="1"/>
        <v>-0.74881652535706511</v>
      </c>
      <c r="I37">
        <f t="shared" si="1"/>
        <v>-0.75317070235080064</v>
      </c>
      <c r="J37">
        <f t="shared" si="1"/>
        <v>-0.75425924659923449</v>
      </c>
    </row>
    <row r="38" spans="7:11" x14ac:dyDescent="0.3">
      <c r="G38">
        <v>27</v>
      </c>
      <c r="H38">
        <f t="shared" si="1"/>
        <v>-0.82880414403205072</v>
      </c>
      <c r="I38">
        <f t="shared" si="1"/>
        <v>-0.83177176385074358</v>
      </c>
      <c r="J38">
        <f t="shared" si="1"/>
        <v>-0.83251366880541688</v>
      </c>
    </row>
    <row r="39" spans="7:11" x14ac:dyDescent="0.3">
      <c r="G39">
        <v>28</v>
      </c>
      <c r="H39">
        <f t="shared" si="1"/>
        <v>-0.88332026562551103</v>
      </c>
      <c r="I39">
        <f t="shared" si="1"/>
        <v>-0.88534286769266846</v>
      </c>
      <c r="J39">
        <f t="shared" si="1"/>
        <v>-0.88584851820945776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1295-9313-4A8C-B5C2-11E251D8040A}">
  <dimension ref="B2:BE87"/>
  <sheetViews>
    <sheetView topLeftCell="AT7" zoomScale="89" zoomScaleNormal="40" workbookViewId="0">
      <selection activeCell="AW8" sqref="AW8"/>
    </sheetView>
  </sheetViews>
  <sheetFormatPr defaultRowHeight="14.4" x14ac:dyDescent="0.3"/>
  <cols>
    <col min="2" max="2" width="23.88671875" customWidth="1"/>
    <col min="46" max="46" width="18.77734375" bestFit="1" customWidth="1"/>
  </cols>
  <sheetData>
    <row r="2" spans="2:57" x14ac:dyDescent="0.3">
      <c r="B2" t="s">
        <v>232</v>
      </c>
    </row>
    <row r="4" spans="2:57" x14ac:dyDescent="0.3">
      <c r="B4" t="s">
        <v>236</v>
      </c>
    </row>
    <row r="7" spans="2:57" x14ac:dyDescent="0.3">
      <c r="B7" t="s">
        <v>233</v>
      </c>
      <c r="O7" t="s">
        <v>233</v>
      </c>
    </row>
    <row r="8" spans="2:57" x14ac:dyDescent="0.3">
      <c r="AU8" s="46"/>
    </row>
    <row r="10" spans="2:57" x14ac:dyDescent="0.3">
      <c r="AU10" s="46"/>
      <c r="AW10" t="s">
        <v>240</v>
      </c>
      <c r="BE10" t="s">
        <v>241</v>
      </c>
    </row>
    <row r="33" spans="2:15" x14ac:dyDescent="0.3">
      <c r="B33" t="s">
        <v>234</v>
      </c>
      <c r="O33" t="s">
        <v>234</v>
      </c>
    </row>
    <row r="60" spans="2:15" x14ac:dyDescent="0.3">
      <c r="B60" t="s">
        <v>235</v>
      </c>
      <c r="O60" t="s">
        <v>235</v>
      </c>
    </row>
    <row r="87" spans="2:15" x14ac:dyDescent="0.3">
      <c r="B87" t="s">
        <v>237</v>
      </c>
      <c r="O87" t="s">
        <v>237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9A66-D421-4C6B-8AEF-DFEF8E6065B8}">
  <dimension ref="A1:G10"/>
  <sheetViews>
    <sheetView topLeftCell="A2" workbookViewId="0">
      <selection activeCell="G8" sqref="G8"/>
    </sheetView>
  </sheetViews>
  <sheetFormatPr defaultRowHeight="14.4" x14ac:dyDescent="0.3"/>
  <cols>
    <col min="1" max="1" width="23.88671875" bestFit="1" customWidth="1"/>
    <col min="2" max="2" width="21.44140625" bestFit="1" customWidth="1"/>
    <col min="3" max="4" width="13.77734375" bestFit="1" customWidth="1"/>
    <col min="5" max="5" width="15.77734375" style="37" bestFit="1" customWidth="1"/>
    <col min="6" max="6" width="15.77734375" style="48" bestFit="1" customWidth="1"/>
    <col min="7" max="7" width="12.6640625" bestFit="1" customWidth="1"/>
  </cols>
  <sheetData>
    <row r="1" spans="1:7" x14ac:dyDescent="0.3">
      <c r="C1" t="s">
        <v>252</v>
      </c>
      <c r="E1" t="s">
        <v>252</v>
      </c>
      <c r="F1" t="s">
        <v>256</v>
      </c>
      <c r="G1" t="s">
        <v>256</v>
      </c>
    </row>
    <row r="2" spans="1:7" x14ac:dyDescent="0.3">
      <c r="C2" s="4" t="s">
        <v>253</v>
      </c>
      <c r="D2" s="4" t="s">
        <v>96</v>
      </c>
      <c r="E2" s="4" t="s">
        <v>247</v>
      </c>
      <c r="F2" s="49" t="s">
        <v>249</v>
      </c>
      <c r="G2" s="4" t="s">
        <v>248</v>
      </c>
    </row>
    <row r="3" spans="1:7" x14ac:dyDescent="0.3">
      <c r="B3" s="4" t="s">
        <v>242</v>
      </c>
      <c r="C3">
        <v>1.8859999999999999</v>
      </c>
      <c r="D3">
        <v>0.68799999999999994</v>
      </c>
      <c r="E3">
        <v>0.60799999999999998</v>
      </c>
      <c r="F3" s="48">
        <f>C3-E3</f>
        <v>1.278</v>
      </c>
      <c r="G3" s="37">
        <f t="shared" ref="G3:G8" si="0">(C3-E3)/C3</f>
        <v>0.67762460233297994</v>
      </c>
    </row>
    <row r="4" spans="1:7" x14ac:dyDescent="0.3">
      <c r="B4" s="4" t="s">
        <v>243</v>
      </c>
      <c r="C4">
        <v>0.26700000000000002</v>
      </c>
      <c r="D4">
        <v>0.22800000000000001</v>
      </c>
      <c r="E4">
        <v>0.30499999999999999</v>
      </c>
      <c r="F4" s="48">
        <f>C4-E4</f>
        <v>-3.7999999999999978E-2</v>
      </c>
      <c r="G4" s="37">
        <f t="shared" si="0"/>
        <v>-0.14232209737827706</v>
      </c>
    </row>
    <row r="5" spans="1:7" x14ac:dyDescent="0.3">
      <c r="A5" t="s">
        <v>255</v>
      </c>
      <c r="B5" s="4" t="s">
        <v>244</v>
      </c>
      <c r="C5">
        <v>7.4999999999999997E-2</v>
      </c>
      <c r="E5">
        <v>0.16</v>
      </c>
      <c r="F5" s="48">
        <f>C5-E5</f>
        <v>-8.5000000000000006E-2</v>
      </c>
      <c r="G5" s="37">
        <f t="shared" si="0"/>
        <v>-1.1333333333333335</v>
      </c>
    </row>
    <row r="6" spans="1:7" x14ac:dyDescent="0.3">
      <c r="B6" s="4" t="s">
        <v>246</v>
      </c>
      <c r="C6">
        <v>0.20300000000000001</v>
      </c>
      <c r="E6">
        <v>0.09</v>
      </c>
      <c r="F6" s="48">
        <f>C6-E6</f>
        <v>0.11300000000000002</v>
      </c>
      <c r="G6" s="37">
        <f t="shared" si="0"/>
        <v>0.55665024630541882</v>
      </c>
    </row>
    <row r="7" spans="1:7" x14ac:dyDescent="0.3">
      <c r="B7" s="4" t="s">
        <v>245</v>
      </c>
      <c r="C7">
        <v>9.9000000000000005E-2</v>
      </c>
      <c r="E7">
        <v>0</v>
      </c>
      <c r="F7" s="48">
        <f>C7-E7</f>
        <v>9.9000000000000005E-2</v>
      </c>
      <c r="G7" s="37">
        <f t="shared" si="0"/>
        <v>1</v>
      </c>
    </row>
    <row r="8" spans="1:7" x14ac:dyDescent="0.3">
      <c r="B8" s="4" t="s">
        <v>250</v>
      </c>
      <c r="C8">
        <f>SUM(C3:C7)</f>
        <v>2.5300000000000002</v>
      </c>
      <c r="E8">
        <f>SUM(E3:E7)</f>
        <v>1.163</v>
      </c>
      <c r="F8" s="48">
        <f>SUM(F3:F7)</f>
        <v>1.367</v>
      </c>
      <c r="G8" s="37">
        <f t="shared" si="0"/>
        <v>0.54031620553359683</v>
      </c>
    </row>
    <row r="9" spans="1:7" x14ac:dyDescent="0.3">
      <c r="B9" s="4" t="s">
        <v>251</v>
      </c>
      <c r="C9">
        <f>C8-0.1*C8</f>
        <v>2.2770000000000001</v>
      </c>
    </row>
    <row r="10" spans="1:7" x14ac:dyDescent="0.3">
      <c r="B10" s="4" t="s">
        <v>254</v>
      </c>
      <c r="C10">
        <f>C8-E8</f>
        <v>1.3670000000000002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2102-8A12-41B7-87FA-88AB3A2618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c85d7d-04f6-4035-96cb-72842cea6d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070BBE30B57C4EBBAE68589E48C0DE" ma:contentTypeVersion="10" ma:contentTypeDescription="Create a new document." ma:contentTypeScope="" ma:versionID="bce00f80ac8a8abfc520c9f6cafdf124">
  <xsd:schema xmlns:xsd="http://www.w3.org/2001/XMLSchema" xmlns:xs="http://www.w3.org/2001/XMLSchema" xmlns:p="http://schemas.microsoft.com/office/2006/metadata/properties" xmlns:ns3="a4c85d7d-04f6-4035-96cb-72842cea6da2" targetNamespace="http://schemas.microsoft.com/office/2006/metadata/properties" ma:root="true" ma:fieldsID="bba453fc26ba9080ee5bf3d31df7d668" ns3:_="">
    <xsd:import namespace="a4c85d7d-04f6-4035-96cb-72842cea6d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85d7d-04f6-4035-96cb-72842cea6d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ADED9-35A5-49EF-9BD7-5DB8CC1E28DA}">
  <ds:schemaRefs>
    <ds:schemaRef ds:uri="http://purl.org/dc/elements/1.1/"/>
    <ds:schemaRef ds:uri="a4c85d7d-04f6-4035-96cb-72842cea6da2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87B40A-08CC-447B-84D8-A0F245698D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F113D-19AF-4F0E-87DA-631BC8BD7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85d7d-04f6-4035-96cb-72842cea6d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TORQUE TARGET CALCS</vt:lpstr>
      <vt:lpstr>ASSUMPTIONS</vt:lpstr>
      <vt:lpstr>CHAIN SELECTION</vt:lpstr>
      <vt:lpstr>SPROCKET GEOMETRY</vt:lpstr>
      <vt:lpstr>CALCULATIONS</vt:lpstr>
      <vt:lpstr>FEA LOAD CALCULATIONS</vt:lpstr>
      <vt:lpstr>FEA DOCUMENTATION</vt:lpstr>
      <vt:lpstr>MASS TARGETS</vt:lpstr>
      <vt:lpstr>BOLT SHEAR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Chavez Meelboom</dc:creator>
  <cp:lastModifiedBy>Charlie Chavez Meelboom</cp:lastModifiedBy>
  <dcterms:created xsi:type="dcterms:W3CDTF">2026-07-22T14:08:25Z</dcterms:created>
  <dcterms:modified xsi:type="dcterms:W3CDTF">2026-09-15T09:38:48Z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0x01010095070BBE30B57C4EBBAE68589E48C0DE</vt:lpwstr>
  </property>
</Properties>
</file>