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ee\AER27\Powertrain\Cooling System\"/>
    </mc:Choice>
  </mc:AlternateContent>
  <xr:revisionPtr revIDLastSave="0" documentId="8_{7893C37F-D1DE-4847-B575-9D16173C71E1}" xr6:coauthVersionLast="47" xr6:coauthVersionMax="47" xr10:uidLastSave="{00000000-0000-0000-0000-000000000000}"/>
  <bookViews>
    <workbookView xWindow="384" yWindow="384" windowWidth="17280" windowHeight="8880" firstSheet="7" activeTab="8" xr2:uid="{954C2300-2D72-4850-831F-8B7B767F9206}"/>
  </bookViews>
  <sheets>
    <sheet name="FLUID REFERENCE TABLES" sheetId="1" r:id="rId1"/>
    <sheet name="FLUIDS ASSUMED CONSTANTS " sheetId="4" r:id="rId2"/>
    <sheet name="AER 27 HEAD CALCS" sheetId="5" r:id="rId3"/>
    <sheet name="PUMP CURVE " sheetId="6" r:id="rId4"/>
    <sheet name="AER 26 HEAD LOSS CALCS" sheetId="3" r:id="rId5"/>
    <sheet name="FITTINGS TERMS" sheetId="2" r:id="rId6"/>
    <sheet name="HEAT TRANSFER REFERENCE TABLES" sheetId="8" r:id="rId7"/>
    <sheet name="HEAT TRANSFER ASSUMED CONSTANTS" sheetId="9" r:id="rId8"/>
    <sheet name="AER 27 HEAT TRANSFER CALC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7" l="1"/>
  <c r="F26" i="7"/>
  <c r="B22" i="7"/>
  <c r="B39" i="4"/>
  <c r="D33" i="3"/>
  <c r="D85" i="1"/>
  <c r="D66" i="1"/>
  <c r="Y7" i="5"/>
  <c r="D25" i="3"/>
  <c r="D84" i="1"/>
  <c r="D65" i="1"/>
  <c r="E106" i="1"/>
  <c r="Q8" i="5"/>
  <c r="R8" i="5"/>
  <c r="Q9" i="5"/>
  <c r="R9" i="5"/>
  <c r="Q10" i="5"/>
  <c r="R10" i="5"/>
  <c r="Q11" i="5"/>
  <c r="R11" i="5"/>
  <c r="Q12" i="5"/>
  <c r="R12" i="5"/>
  <c r="Q13" i="5"/>
  <c r="R13" i="5"/>
  <c r="Q14" i="5"/>
  <c r="R14" i="5"/>
  <c r="Q15" i="5"/>
  <c r="R15" i="5"/>
  <c r="Q16" i="5"/>
  <c r="R16" i="5"/>
  <c r="Q17" i="5"/>
  <c r="R17" i="5"/>
  <c r="Q18" i="5"/>
  <c r="R18" i="5"/>
  <c r="Q19" i="5"/>
  <c r="R19" i="5"/>
  <c r="Q20" i="5"/>
  <c r="R20" i="5"/>
  <c r="Q21" i="5"/>
  <c r="R21" i="5"/>
  <c r="Q22" i="5"/>
  <c r="R22" i="5"/>
  <c r="Q23" i="5"/>
  <c r="R23" i="5"/>
  <c r="Q24" i="5"/>
  <c r="R24" i="5"/>
  <c r="Q25" i="5"/>
  <c r="R25" i="5"/>
  <c r="U18" i="5"/>
  <c r="U8" i="5"/>
  <c r="U9" i="5"/>
  <c r="U10" i="5"/>
  <c r="U11" i="5"/>
  <c r="U12" i="5"/>
  <c r="U13" i="5"/>
  <c r="U14" i="5"/>
  <c r="U15" i="5"/>
  <c r="U16" i="5"/>
  <c r="U17" i="5"/>
  <c r="U19" i="5"/>
  <c r="U20" i="5"/>
  <c r="U21" i="5"/>
  <c r="U22" i="5"/>
  <c r="U23" i="5"/>
  <c r="U24" i="5"/>
  <c r="U25" i="5"/>
  <c r="D39" i="3"/>
  <c r="D38" i="3"/>
  <c r="D36" i="3"/>
  <c r="D35" i="3"/>
  <c r="D27" i="3"/>
  <c r="K22" i="3"/>
  <c r="H22" i="3"/>
  <c r="K17" i="3"/>
  <c r="J17" i="3"/>
  <c r="H17" i="3"/>
  <c r="G17" i="3"/>
  <c r="F17" i="3"/>
  <c r="E17" i="3"/>
  <c r="D17" i="3"/>
  <c r="K16" i="3"/>
  <c r="J16" i="3"/>
  <c r="H16" i="3"/>
  <c r="G16" i="3"/>
  <c r="F16" i="3"/>
  <c r="E16" i="3"/>
  <c r="D16" i="3"/>
  <c r="K15" i="3"/>
  <c r="J15" i="3"/>
  <c r="H15" i="3"/>
  <c r="G15" i="3"/>
  <c r="F15" i="3"/>
  <c r="E15" i="3"/>
  <c r="D15" i="3"/>
  <c r="K14" i="3"/>
  <c r="J14" i="3"/>
  <c r="H14" i="3"/>
  <c r="F14" i="3"/>
  <c r="E14" i="3"/>
  <c r="D14" i="3"/>
  <c r="K13" i="3"/>
  <c r="J13" i="3"/>
  <c r="H13" i="3"/>
  <c r="F13" i="3"/>
  <c r="E13" i="3"/>
  <c r="D13" i="3"/>
  <c r="K12" i="3"/>
  <c r="J12" i="3"/>
  <c r="H12" i="3"/>
  <c r="F12" i="3"/>
  <c r="E12" i="3"/>
  <c r="D12" i="3"/>
  <c r="H8" i="3"/>
  <c r="H7" i="3"/>
  <c r="H5" i="3"/>
  <c r="G25" i="5"/>
  <c r="H25" i="5" s="1"/>
  <c r="I25" i="5" s="1"/>
  <c r="J25" i="5" s="1"/>
  <c r="G24" i="5"/>
  <c r="H24" i="5" s="1"/>
  <c r="I24" i="5" s="1"/>
  <c r="J24" i="5" s="1"/>
  <c r="G23" i="5"/>
  <c r="H23" i="5" s="1"/>
  <c r="I23" i="5" s="1"/>
  <c r="J23" i="5" s="1"/>
  <c r="G22" i="5"/>
  <c r="H22" i="5" s="1"/>
  <c r="I22" i="5" s="1"/>
  <c r="J22" i="5" s="1"/>
  <c r="G21" i="5"/>
  <c r="H21" i="5" s="1"/>
  <c r="I21" i="5" s="1"/>
  <c r="J21" i="5" s="1"/>
  <c r="G20" i="5"/>
  <c r="H20" i="5" s="1"/>
  <c r="I20" i="5" s="1"/>
  <c r="J20" i="5" s="1"/>
  <c r="G19" i="5"/>
  <c r="H19" i="5" s="1"/>
  <c r="I19" i="5" s="1"/>
  <c r="J19" i="5" s="1"/>
  <c r="G18" i="5"/>
  <c r="H18" i="5" s="1"/>
  <c r="I18" i="5" s="1"/>
  <c r="J18" i="5" s="1"/>
  <c r="G17" i="5"/>
  <c r="H17" i="5" s="1"/>
  <c r="I17" i="5" s="1"/>
  <c r="J17" i="5" s="1"/>
  <c r="G16" i="5"/>
  <c r="H16" i="5" s="1"/>
  <c r="I16" i="5" s="1"/>
  <c r="J16" i="5" s="1"/>
  <c r="G15" i="5"/>
  <c r="H15" i="5" s="1"/>
  <c r="I15" i="5" s="1"/>
  <c r="J15" i="5" s="1"/>
  <c r="G14" i="5"/>
  <c r="H14" i="5" s="1"/>
  <c r="I14" i="5" s="1"/>
  <c r="J14" i="5" s="1"/>
  <c r="G13" i="5"/>
  <c r="H13" i="5" s="1"/>
  <c r="I13" i="5" s="1"/>
  <c r="J13" i="5" s="1"/>
  <c r="G12" i="5"/>
  <c r="H12" i="5" s="1"/>
  <c r="I12" i="5" s="1"/>
  <c r="J12" i="5" s="1"/>
  <c r="G11" i="5"/>
  <c r="H11" i="5" s="1"/>
  <c r="I11" i="5" s="1"/>
  <c r="J11" i="5" s="1"/>
  <c r="G10" i="5"/>
  <c r="H10" i="5" s="1"/>
  <c r="I10" i="5" s="1"/>
  <c r="J10" i="5" s="1"/>
  <c r="G9" i="5"/>
  <c r="H9" i="5" s="1"/>
  <c r="I9" i="5" s="1"/>
  <c r="J9" i="5" s="1"/>
  <c r="G8" i="5"/>
  <c r="H8" i="5" s="1"/>
  <c r="I8" i="5" s="1"/>
  <c r="J8" i="5" s="1"/>
  <c r="P7" i="5"/>
  <c r="R7" i="5" s="1"/>
  <c r="O7" i="5"/>
  <c r="Q7" i="5" s="1"/>
  <c r="E7" i="5"/>
  <c r="E10" i="4"/>
  <c r="Z7" i="5" s="1"/>
  <c r="D10" i="4"/>
  <c r="C10" i="4"/>
  <c r="E8" i="4"/>
  <c r="D8" i="4"/>
  <c r="C8" i="4"/>
  <c r="E6" i="4"/>
  <c r="D6" i="4"/>
  <c r="G7" i="5" s="1"/>
  <c r="U27" i="5" l="1"/>
  <c r="Z8" i="5"/>
  <c r="Z27" i="5" s="1"/>
  <c r="C30" i="5" s="1"/>
  <c r="C31" i="5" s="1"/>
  <c r="Y8" i="5"/>
  <c r="S7" i="5"/>
  <c r="U7" i="5" s="1"/>
  <c r="J27" i="5" a="1"/>
  <c r="J27" i="5" s="1"/>
  <c r="H7" i="5"/>
  <c r="I7" i="5" s="1"/>
  <c r="J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<sst xmlns="http://schemas.openxmlformats.org/spreadsheetml/2006/main" count="304" uniqueCount="270">
  <si>
    <t xml:space="preserve">Reference </t>
  </si>
  <si>
    <r>
      <t xml:space="preserve">Munson, Bruce R., et al. </t>
    </r>
    <r>
      <rPr>
        <i/>
        <sz val="11"/>
        <color theme="1"/>
        <rFont val="Aptos Narrow"/>
        <family val="2"/>
        <scheme val="minor"/>
      </rPr>
      <t>Fundamentals of Fluid Mechanics</t>
    </r>
    <r>
      <rPr>
        <sz val="11"/>
        <color theme="1"/>
        <rFont val="Aptos Narrow"/>
        <family val="2"/>
        <scheme val="minor"/>
      </rPr>
      <t>. 6th ed., John Wiley &amp; Sons, 2009.</t>
    </r>
  </si>
  <si>
    <t>MAJOR LOSSES</t>
  </si>
  <si>
    <t>MINOR LOSSES</t>
  </si>
  <si>
    <t>EQUATIONS (Darcy–Weisbach)</t>
  </si>
  <si>
    <t xml:space="preserve">Terminotology </t>
  </si>
  <si>
    <t xml:space="preserve">PTFE </t>
  </si>
  <si>
    <t>Polytetrafluoroethylene</t>
  </si>
  <si>
    <t>Stands For</t>
  </si>
  <si>
    <t>What it Means in Practice</t>
  </si>
  <si>
    <t>A chemical-resistant plastic liner, often known by the brand name Teflon. PTFE hose is used for fuel, oil, ethanol, brake/clutch fluid, and harsh chemicals. For normal water/glycol coolant, it is usually more than you need.</t>
  </si>
  <si>
    <t xml:space="preserve">Abbreviaton </t>
  </si>
  <si>
    <t>AN</t>
  </si>
  <si>
    <t>Army-Navy</t>
  </si>
  <si>
    <r>
      <t xml:space="preserve">A standardized fitting system originally from military/aerospace use. AN fittings use a 37° flare seal and are common in racing/automotive fuel, oil, and coolant plumbing. Sizes are written like </t>
    </r>
    <r>
      <rPr>
        <b/>
        <sz val="11"/>
        <color theme="1"/>
        <rFont val="Aptos Narrow"/>
        <family val="2"/>
        <scheme val="minor"/>
      </rPr>
      <t>AN-6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AN-8</t>
    </r>
    <r>
      <rPr>
        <sz val="11"/>
        <color theme="1"/>
        <rFont val="Aptos Narrow"/>
        <family val="2"/>
        <scheme val="minor"/>
      </rPr>
      <t>, etc.</t>
    </r>
  </si>
  <si>
    <t>CPE</t>
  </si>
  <si>
    <t>Chlorinated Polyethylene</t>
  </si>
  <si>
    <t>A synthetic rubber material used in some performance hoses. CPE hose is common for fuel/oil applications and can also be used for some coolant applications depending on rating.</t>
  </si>
  <si>
    <t>EFI</t>
  </si>
  <si>
    <t>Electronic Fuel Injection</t>
  </si>
  <si>
    <t>Refers to fuel-injection systems. “EFI fittings” are usually quick-connect fuel fittings designed for pressurized fuel lines.</t>
  </si>
  <si>
    <t>NPT</t>
  </si>
  <si>
    <t>National Pipe Taper</t>
  </si>
  <si>
    <r>
      <t xml:space="preserve">A tapered pipe thread standard. NPT threads seal by wedging tighter as they screw in, usually with thread sealant or PTFE tape. Common sizes are </t>
    </r>
    <r>
      <rPr>
        <b/>
        <sz val="11"/>
        <color theme="1"/>
        <rFont val="Aptos Narrow"/>
        <family val="2"/>
        <scheme val="minor"/>
      </rPr>
      <t>1/8 NPT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1/4 NPT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3/8 NPT</t>
    </r>
    <r>
      <rPr>
        <sz val="11"/>
        <color theme="1"/>
        <rFont val="Aptos Narrow"/>
        <family val="2"/>
        <scheme val="minor"/>
      </rPr>
      <t>, etc.</t>
    </r>
  </si>
  <si>
    <t>BSP / BSPT / BSPP</t>
  </si>
  <si>
    <t>British Standard Pipe / British Standard Pipe Taper / British Standard Pipe Parallel</t>
  </si>
  <si>
    <t>Another pipe-thread standard. BSPT is tapered; BSPP is straight/parallel. Important: BSP and NPT can look similar but are not always compatible.</t>
  </si>
  <si>
    <t>ORB</t>
  </si>
  <si>
    <t>O-Ring Boss</t>
  </si>
  <si>
    <t>A straight-thread fitting that seals with an O-ring, not by thread wedging. Often better and cleaner than NPT for reusable fluid connections.</t>
  </si>
  <si>
    <t>SAE</t>
  </si>
  <si>
    <t>Society of Automotive Engineers</t>
  </si>
  <si>
    <t>A standards organization. In fittings, SAE often refers to standardized thread, flare, or O-ring connection types.</t>
  </si>
  <si>
    <t>JIC</t>
  </si>
  <si>
    <t>Joint Industry Council</t>
  </si>
  <si>
    <t>A 37° flare fitting standard similar to AN. AN and JIC are close, but AN has tighter manufacturing specs.</t>
  </si>
  <si>
    <t>ID</t>
  </si>
  <si>
    <t>Inside Diameter</t>
  </si>
  <si>
    <t>The inside opening size of hose, tube, or fitting. For flow, ID matters a lot. A smaller ID means higher velocity and more head loss.</t>
  </si>
  <si>
    <t>OD</t>
  </si>
  <si>
    <t>Outside Diameter</t>
  </si>
  <si>
    <t>The outside size of a hose or tube. Useful for clamps and packaging, but less important for flow than ID.</t>
  </si>
  <si>
    <t>Bore</t>
  </si>
  <si>
    <t>Internal passage diameter</t>
  </si>
  <si>
    <t>The actual hole through the fitting. This is extremely important because a fitting can be sold for a certain hose size but still have a smaller internal bore.</t>
  </si>
  <si>
    <t>Barb</t>
  </si>
  <si>
    <t>Not really an abbreviation</t>
  </si>
  <si>
    <t>A ribbed hose nipple. Flexible hose slides over it and is usually secured with a clamp. Very common for coolant lines.</t>
  </si>
  <si>
    <t>QD / QDC</t>
  </si>
  <si>
    <t>Quick Disconnect / Quick Disconnect Coupling</t>
  </si>
  <si>
    <t>A fitting that lets you disconnect a line quickly. Useful for service, but often adds restriction.</t>
  </si>
  <si>
    <t>ORFS</t>
  </si>
  <si>
    <t>O-Ring Face Seal</t>
  </si>
  <si>
    <t>A fitting that seals using an O-ring compressed between flat faces. Common in hydraulic systems; good sealing, but probably overkill for a coolant loop.</t>
  </si>
  <si>
    <t xml:space="preserve">Assumed Pipe Friction Hazen-Williams Coeff, "C" = </t>
  </si>
  <si>
    <t xml:space="preserve">Flow per Pump = </t>
  </si>
  <si>
    <t>gpm</t>
  </si>
  <si>
    <t>Note: Target flow is 7 L/min</t>
  </si>
  <si>
    <t xml:space="preserve">Pump Efficiency = </t>
  </si>
  <si>
    <t>Note: Lengths of segments are subject to change</t>
  </si>
  <si>
    <t>Total Head Req'd @ Flow:</t>
  </si>
  <si>
    <t>FEET</t>
  </si>
  <si>
    <t>Req'd Pump HP</t>
  </si>
  <si>
    <t>HP</t>
  </si>
  <si>
    <t>Calculations</t>
  </si>
  <si>
    <t>No. of Pumps on</t>
  </si>
  <si>
    <t>Pipe Sect-ion</t>
  </si>
  <si>
    <t>Total Flow, gpm</t>
  </si>
  <si>
    <t>Total Flow, cfs</t>
  </si>
  <si>
    <t>Length of pipe, ft</t>
  </si>
  <si>
    <t>Pipe ID, inch</t>
  </si>
  <si>
    <t>Pipe fric Head Loss, ft</t>
  </si>
  <si>
    <t>Sum of K** values</t>
  </si>
  <si>
    <t>Vel, fps</t>
  </si>
  <si>
    <t>Fitting head loss, ft</t>
  </si>
  <si>
    <t>Notes on fittings**</t>
  </si>
  <si>
    <t>Fill can - increaser</t>
  </si>
  <si>
    <t>3/8 to 3/4 increaser</t>
  </si>
  <si>
    <t>Increaser - Radiator</t>
  </si>
  <si>
    <t>1 90 elbow, flange/threaded</t>
  </si>
  <si>
    <t>Radiator - Pump</t>
  </si>
  <si>
    <t>Pump - Motor</t>
  </si>
  <si>
    <t>3/4 to 3/8 decreaser</t>
  </si>
  <si>
    <t>Motor- Inverter</t>
  </si>
  <si>
    <t>Inverter - Fill can</t>
  </si>
  <si>
    <t>TOTAL FRICTION LOSSES:</t>
  </si>
  <si>
    <t>Other Losses:</t>
  </si>
  <si>
    <t>Emrax 208 MV LC</t>
  </si>
  <si>
    <t>feet</t>
  </si>
  <si>
    <t>*Using Kmtr from Akron Study</t>
  </si>
  <si>
    <t>CM200 DX</t>
  </si>
  <si>
    <t>*Using Kmc from Akron Study</t>
  </si>
  <si>
    <t>Radiator</t>
  </si>
  <si>
    <t>Height Losses</t>
  </si>
  <si>
    <t>NPSHa calculations:</t>
  </si>
  <si>
    <t>Atmospheric = 14.696 psia =</t>
  </si>
  <si>
    <t>Submergence (incl 0' buffer)</t>
  </si>
  <si>
    <t>Vapor Pressure @ 80F</t>
  </si>
  <si>
    <t>NPSHa =</t>
  </si>
  <si>
    <t>K_MTR_(ft of head*s^2/ft^6)</t>
  </si>
  <si>
    <t>K_MC_Imperial</t>
  </si>
  <si>
    <t>headloss = K * Q^2</t>
  </si>
  <si>
    <t>027 Hydraulic Calcs</t>
  </si>
  <si>
    <t>Section Description(each "break" in the system)</t>
  </si>
  <si>
    <t xml:space="preserve">VALUES USED CALCULATIONS </t>
  </si>
  <si>
    <t>Specific Weight, gamma (lb/ft^3)</t>
  </si>
  <si>
    <t>Vapor Pressure, pv (lb/in^2 abs)</t>
  </si>
  <si>
    <t>Speed of Sound, c (ft/s)</t>
  </si>
  <si>
    <t>Temperature (°F)</t>
  </si>
  <si>
    <t>Dynamic Viscosity, [μ] (lb*s/ft^2)</t>
  </si>
  <si>
    <t>Kinematic Viscosity, [ν] (ft^2/s)</t>
  </si>
  <si>
    <t>*All units will be in imperial</t>
  </si>
  <si>
    <t>input</t>
  </si>
  <si>
    <t>choose</t>
  </si>
  <si>
    <t xml:space="preserve">instructions </t>
  </si>
  <si>
    <t xml:space="preserve">COLD SECTIONS </t>
  </si>
  <si>
    <t xml:space="preserve">HOT SECTIONS </t>
  </si>
  <si>
    <t>PROPERTY</t>
  </si>
  <si>
    <t>Density [ρ] (slugs/ft^3)</t>
  </si>
  <si>
    <t>Gravity [g] (ft/s^2)</t>
  </si>
  <si>
    <t>Dynamic Viscocity [μ] (lb*s/ft^2)</t>
  </si>
  <si>
    <t>Flow Rate [Q] (ft^3/s)</t>
  </si>
  <si>
    <r>
      <t>Temperature [</t>
    </r>
    <r>
      <rPr>
        <sz val="11"/>
        <color theme="1"/>
        <rFont val="Aptos Narrow"/>
        <family val="2"/>
      </rPr>
      <t>°F]</t>
    </r>
  </si>
  <si>
    <t>only change Q for this column</t>
  </si>
  <si>
    <t xml:space="preserve">WATER PROPERTIES TABLE </t>
  </si>
  <si>
    <r>
      <t>Density [</t>
    </r>
    <r>
      <rPr>
        <b/>
        <sz val="11"/>
        <color theme="1"/>
        <rFont val="Aptos Narrow"/>
        <family val="2"/>
      </rPr>
      <t xml:space="preserve">ρ] </t>
    </r>
    <r>
      <rPr>
        <b/>
        <sz val="11"/>
        <color theme="1"/>
        <rFont val="Aptos Narrow"/>
        <family val="2"/>
        <scheme val="minor"/>
      </rPr>
      <t>(slugs/ft^3)</t>
    </r>
  </si>
  <si>
    <r>
      <t xml:space="preserve">Surface Tension, </t>
    </r>
    <r>
      <rPr>
        <b/>
        <sz val="11"/>
        <color theme="1"/>
        <rFont val="Aptos Narrow"/>
        <family val="2"/>
      </rPr>
      <t>σ</t>
    </r>
    <r>
      <rPr>
        <b/>
        <sz val="11"/>
        <color theme="1"/>
        <rFont val="Aptos Narrow"/>
        <family val="2"/>
        <scheme val="minor"/>
      </rPr>
      <t xml:space="preserve"> (lb/ft)</t>
    </r>
  </si>
  <si>
    <t>Pipe Section</t>
  </si>
  <si>
    <t xml:space="preserve">Section Type </t>
  </si>
  <si>
    <t>instructions</t>
  </si>
  <si>
    <t xml:space="preserve">friction factor for laminar pipe flow </t>
  </si>
  <si>
    <t>Reynolds number</t>
  </si>
  <si>
    <t xml:space="preserve">LAMINAR VS TURBULENT REFERENCE TABLE </t>
  </si>
  <si>
    <t xml:space="preserve">Laminar </t>
  </si>
  <si>
    <t>Re Range</t>
  </si>
  <si>
    <t>0-2000</t>
  </si>
  <si>
    <t>Transition</t>
  </si>
  <si>
    <t>2000-4000</t>
  </si>
  <si>
    <t xml:space="preserve">Turbulent </t>
  </si>
  <si>
    <t>4000+</t>
  </si>
  <si>
    <t>UNKNOWN SECTIONS (DEFAULT SETTING)</t>
  </si>
  <si>
    <t>Reynolds No.</t>
  </si>
  <si>
    <t>MOODY'S DIAGRAM VALS DERIVED FROM COLEBROOK EQ:</t>
  </si>
  <si>
    <r>
      <t xml:space="preserve">*FOR PLASTIC PIPE, </t>
    </r>
    <r>
      <rPr>
        <sz val="11"/>
        <color theme="1"/>
        <rFont val="Aptos Narrow"/>
        <family val="2"/>
      </rPr>
      <t>ε</t>
    </r>
    <r>
      <rPr>
        <sz val="9"/>
        <color theme="1"/>
        <rFont val="Aptos Narrow"/>
        <family val="2"/>
      </rPr>
      <t>/D = 0</t>
    </r>
  </si>
  <si>
    <t>Velocity (ft/s)</t>
  </si>
  <si>
    <t>SOLVABLE EQUIVALENT FOR SMOOTH PIPES FROM BLASIUS EQ:</t>
  </si>
  <si>
    <t>Length [l] (ft)</t>
  </si>
  <si>
    <t xml:space="preserve">example </t>
  </si>
  <si>
    <r>
      <t xml:space="preserve">Section Description ( component X </t>
    </r>
    <r>
      <rPr>
        <b/>
        <sz val="11"/>
        <color theme="1"/>
        <rFont val="Aptos Narrow"/>
        <family val="2"/>
      </rPr>
      <t>→ component Y)</t>
    </r>
    <r>
      <rPr>
        <b/>
        <sz val="11"/>
        <color theme="1"/>
        <rFont val="Aptos Narrow"/>
        <family val="2"/>
        <scheme val="minor"/>
      </rPr>
      <t xml:space="preserve"> </t>
    </r>
  </si>
  <si>
    <t xml:space="preserve">fill can → increaser </t>
  </si>
  <si>
    <t xml:space="preserve">for description, fittings are components </t>
  </si>
  <si>
    <t>Head Loss (ft)</t>
  </si>
  <si>
    <t xml:space="preserve">MAJOR LOSSES  </t>
  </si>
  <si>
    <t>TOTAL MAJOR LOSSES</t>
  </si>
  <si>
    <r>
      <rPr>
        <b/>
        <i/>
        <sz val="11"/>
        <color theme="1"/>
        <rFont val="Aptos Narrow"/>
        <family val="2"/>
        <scheme val="minor"/>
      </rPr>
      <t>choose</t>
    </r>
    <r>
      <rPr>
        <i/>
        <sz val="11"/>
        <color theme="1"/>
        <rFont val="Aptos Narrow"/>
        <family val="2"/>
        <scheme val="minor"/>
      </rPr>
      <t xml:space="preserve"> type</t>
    </r>
  </si>
  <si>
    <r>
      <rPr>
        <b/>
        <i/>
        <sz val="11"/>
        <color theme="1"/>
        <rFont val="Aptos Narrow"/>
        <family val="2"/>
        <scheme val="minor"/>
      </rPr>
      <t>input</t>
    </r>
    <r>
      <rPr>
        <i/>
        <sz val="11"/>
        <color theme="1"/>
        <rFont val="Aptos Narrow"/>
        <family val="2"/>
        <scheme val="minor"/>
      </rPr>
      <t xml:space="preserve"> (12 in = 1ft)</t>
    </r>
  </si>
  <si>
    <r>
      <rPr>
        <b/>
        <i/>
        <sz val="11"/>
        <color theme="1"/>
        <rFont val="Aptos Narrow"/>
        <family val="2"/>
        <scheme val="minor"/>
      </rPr>
      <t>input</t>
    </r>
    <r>
      <rPr>
        <i/>
        <sz val="11"/>
        <color theme="1"/>
        <rFont val="Aptos Narrow"/>
        <family val="2"/>
        <scheme val="minor"/>
      </rPr>
      <t>, inputting  =[in]/[ft] is a lot more accurate (see example)</t>
    </r>
  </si>
  <si>
    <t xml:space="preserve">*Example of hot section: water through the motor; example of cold section: water through the radiator  </t>
  </si>
  <si>
    <t>make sure your description of the fitting matches the fitting name in the major loss table, look at example rows</t>
  </si>
  <si>
    <t>example</t>
  </si>
  <si>
    <t xml:space="preserve">Inner Diameter [D] (ft) </t>
  </si>
  <si>
    <t xml:space="preserve">Diameter In [D] (ft) </t>
  </si>
  <si>
    <t xml:space="preserve">Diameter Out  [D] (ft) </t>
  </si>
  <si>
    <t>Loss Coefficient (K_l)</t>
  </si>
  <si>
    <t xml:space="preserve">Friction Factor (f) </t>
  </si>
  <si>
    <t>use reference tables to calulate</t>
  </si>
  <si>
    <t>formula used</t>
  </si>
  <si>
    <t xml:space="preserve">Section Description (fitting component, relevant details) </t>
  </si>
  <si>
    <t>v = Q/A</t>
  </si>
  <si>
    <t>A = pi/4 (D)^2</t>
  </si>
  <si>
    <t xml:space="preserve">increaser, N/A </t>
  </si>
  <si>
    <t>Area In [A_i] (ft^2)</t>
  </si>
  <si>
    <t>Area Out [A_o] (ft^2)</t>
  </si>
  <si>
    <r>
      <rPr>
        <b/>
        <sz val="11"/>
        <color theme="1"/>
        <rFont val="Aptos Narrow"/>
        <family val="2"/>
        <scheme val="minor"/>
      </rPr>
      <t>input</t>
    </r>
    <r>
      <rPr>
        <sz val="11"/>
        <color theme="1"/>
        <rFont val="Aptos Narrow"/>
        <family val="2"/>
        <scheme val="minor"/>
      </rPr>
      <t>, use reference tables to determine which velocity (in or out)</t>
    </r>
  </si>
  <si>
    <t>calulate ratios used in tables</t>
  </si>
  <si>
    <t xml:space="preserve">Use these two boxes as scratch paper to </t>
  </si>
  <si>
    <t>TOTAL MINOR LOSSES</t>
  </si>
  <si>
    <t xml:space="preserve">ADDITIONAL LOSSES </t>
  </si>
  <si>
    <t>Object</t>
  </si>
  <si>
    <t>Head Loss</t>
  </si>
  <si>
    <t xml:space="preserve">OTHER LOSSES </t>
  </si>
  <si>
    <t xml:space="preserve">EMRAX 228 LOSS COEFFICIENT </t>
  </si>
  <si>
    <t>PM100DX INVERTER LOSS COEFFICIENT</t>
  </si>
  <si>
    <t xml:space="preserve">CONVERSION </t>
  </si>
  <si>
    <t xml:space="preserve">Factor </t>
  </si>
  <si>
    <t xml:space="preserve">Ratio </t>
  </si>
  <si>
    <t>[lb/ft^2]/[kPa]</t>
  </si>
  <si>
    <t>[m^6]/ [ft^6]</t>
  </si>
  <si>
    <t>* 1 kPa = 20.8854 lb/ft²</t>
  </si>
  <si>
    <t>* 1 m = 3.28084 ft</t>
  </si>
  <si>
    <t xml:space="preserve">Value </t>
  </si>
  <si>
    <t>CONVERSION</t>
  </si>
  <si>
    <t>k_MTR (imperial) (lb·s²/ft⁸)</t>
  </si>
  <si>
    <t>k_MTR (metric) (kPa s^2 /m^6)</t>
  </si>
  <si>
    <t>k_MC (metric) (kPa s^2 /m^6)</t>
  </si>
  <si>
    <t>k_MC (imperial) (lb·s²/ft⁸)</t>
  </si>
  <si>
    <t xml:space="preserve">Loss Coefficient </t>
  </si>
  <si>
    <t>h_l = (k*Q^2)/(ρg)</t>
  </si>
  <si>
    <t xml:space="preserve">Emrax 228 Motor </t>
  </si>
  <si>
    <t xml:space="preserve">PM100DX Inverter </t>
  </si>
  <si>
    <t xml:space="preserve">Height </t>
  </si>
  <si>
    <t xml:space="preserve">Radiator </t>
  </si>
  <si>
    <t xml:space="preserve">Solve for theta P and divide by row g </t>
  </si>
  <si>
    <t xml:space="preserve">Found from flow rate divided by area times density </t>
  </si>
  <si>
    <t xml:space="preserve">TOTAL OTHER LOSSES </t>
  </si>
  <si>
    <t>Check in with Arslan on progress</t>
  </si>
  <si>
    <t>*Maxium flow rate to be tested is 0.02174 ft^3/s as shown on Bosch Pump Documentation (https://18ee8201-0d88-4084-82c8-3d41854c8186.filesusr.com/ugd/01ef68_ef1d22756e664ed3a3ee4f42fe7ba7a2.pdf)</t>
  </si>
  <si>
    <t xml:space="preserve">Vapor Pressure </t>
  </si>
  <si>
    <t xml:space="preserve">REFERENCE </t>
  </si>
  <si>
    <t>https://www.intechopen.com/chapters/53343</t>
  </si>
  <si>
    <t>REFERENCE</t>
  </si>
  <si>
    <t>Bergman, Theodore L., et al. Fundamentals of Heat and Mass Transfer. 7th ed., John Wiley &amp; Sons, 2011.</t>
  </si>
  <si>
    <t xml:space="preserve">COLBURN J FACTOR / CONVECTION COEFFICIENT </t>
  </si>
  <si>
    <t>NTU RELATIONS</t>
  </si>
  <si>
    <t xml:space="preserve">HEAT TRANSFER PROPERTIES OF WATER </t>
  </si>
  <si>
    <t>TOTALS</t>
  </si>
  <si>
    <t>Total Head Loss</t>
  </si>
  <si>
    <t>Required Head Rise</t>
  </si>
  <si>
    <t xml:space="preserve">Required Pump Power </t>
  </si>
  <si>
    <t xml:space="preserve">PUMP EFFICIENCY </t>
  </si>
  <si>
    <t xml:space="preserve">Percent Efficiency  </t>
  </si>
  <si>
    <t>* There are three main area of heat transfer in the cooling system, the inverter (adds heat), the motor (adds heat), the radiator (removes heat)</t>
  </si>
  <si>
    <t xml:space="preserve">RADIATOR </t>
  </si>
  <si>
    <t>* Thermal calculations are in metric units due to ease of calculation</t>
  </si>
  <si>
    <t xml:space="preserve">input </t>
  </si>
  <si>
    <r>
      <rPr>
        <b/>
        <i/>
        <sz val="11"/>
        <color theme="1"/>
        <rFont val="Aptos Narrow"/>
        <family val="2"/>
        <scheme val="minor"/>
      </rPr>
      <t>input</t>
    </r>
    <r>
      <rPr>
        <i/>
        <sz val="11"/>
        <color theme="1"/>
        <rFont val="Aptos Narrow"/>
        <family val="2"/>
        <scheme val="minor"/>
      </rPr>
      <t>; get this from CFD</t>
    </r>
  </si>
  <si>
    <t>NPSHa</t>
  </si>
  <si>
    <t>Bubbling ?</t>
  </si>
  <si>
    <t xml:space="preserve">Thermal properties saturated water cases </t>
  </si>
  <si>
    <t>*get from assumed constants</t>
  </si>
  <si>
    <t>*from research paper, automate</t>
  </si>
  <si>
    <t>* from assumed constants</t>
  </si>
  <si>
    <t xml:space="preserve">FOR WALL CONDUCTIVITY </t>
  </si>
  <si>
    <t>SPACE</t>
  </si>
  <si>
    <t>Total Thermal Resistance</t>
  </si>
  <si>
    <t>Overall Heat Transfer Coefficient [W/K]</t>
  </si>
  <si>
    <t>Total Fin Area [A_f] (m^2)</t>
  </si>
  <si>
    <t xml:space="preserve">Total Area [A_tot] (m^2) </t>
  </si>
  <si>
    <t>Maximum Heat Transfer Rate [q_max] (W)</t>
  </si>
  <si>
    <t>Actual Heat Transfer Rate [q_actual] (W)</t>
  </si>
  <si>
    <r>
      <t>Fin Efficiency [</t>
    </r>
    <r>
      <rPr>
        <b/>
        <sz val="11"/>
        <color theme="1"/>
        <rFont val="Aptos Narrow"/>
        <family val="2"/>
      </rPr>
      <t>η_f]</t>
    </r>
  </si>
  <si>
    <t>Overall Surface Efficiency [η_o]</t>
  </si>
  <si>
    <t>Tube Pitch (mm)</t>
  </si>
  <si>
    <t>Fin Pitch (mm)</t>
  </si>
  <si>
    <t>Frontal Velocity (m/s)</t>
  </si>
  <si>
    <t>Convection Coefficient Airside [h_c] (W/m^2 *K)</t>
  </si>
  <si>
    <t>Convection Coefficient Waterside [h_h] (W/m^2 *K)</t>
  </si>
  <si>
    <t>Total Fin Area [A_c] (m^2)</t>
  </si>
  <si>
    <t>Heat Capacity Rate Ratio [C_r]</t>
  </si>
  <si>
    <t>Heat Capacity Rate [C_h]</t>
  </si>
  <si>
    <t>Heat Capacity Rate Waterside [C_c]</t>
  </si>
  <si>
    <t>Number Transfer Units [NTU]</t>
  </si>
  <si>
    <r>
      <t>Efficiency [</t>
    </r>
    <r>
      <rPr>
        <b/>
        <sz val="11"/>
        <color theme="1"/>
        <rFont val="Aptos Narrow"/>
        <family val="2"/>
      </rPr>
      <t>ε]</t>
    </r>
  </si>
  <si>
    <t>*automate</t>
  </si>
  <si>
    <t>*automate, from constants</t>
  </si>
  <si>
    <t xml:space="preserve">*automate, need if statement for C min/ C max </t>
  </si>
  <si>
    <t xml:space="preserve">*automate, from constants, should be derived from car speed and area of air passing through radiator </t>
  </si>
  <si>
    <t>Total Internal Tube Area [A_h] (m^2)</t>
  </si>
  <si>
    <r>
      <t>Inlet/Outlet Temperature Change (</t>
    </r>
    <r>
      <rPr>
        <b/>
        <sz val="11"/>
        <color theme="1"/>
        <rFont val="Aptos Narrow"/>
        <family val="2"/>
      </rPr>
      <t>Δ</t>
    </r>
    <r>
      <rPr>
        <b/>
        <sz val="11"/>
        <color theme="1"/>
        <rFont val="Aptos Narrow"/>
        <family val="2"/>
        <scheme val="minor"/>
      </rPr>
      <t>T) [K]</t>
    </r>
  </si>
  <si>
    <t>Heat Transferred [Q] (J)</t>
  </si>
  <si>
    <t>Mass Flow Rate Airside [m_dot] (kg/s)</t>
  </si>
  <si>
    <t>Mass Flow Rate Waterside [m_dot] (kg/s)</t>
  </si>
  <si>
    <t>Specific Heat Waterside (J/kg*K)</t>
  </si>
  <si>
    <t>Specific Heat Airside (J/kg*K)</t>
  </si>
  <si>
    <t>Thermal Resistance (Airside) (K/W)</t>
  </si>
  <si>
    <t>Thermal Resistance (Waterside) (K/W)</t>
  </si>
  <si>
    <t>Fouling Factor Airside (m^2*K/W)</t>
  </si>
  <si>
    <t>Fouling Factor Waterside (m^2*K/W)</t>
  </si>
  <si>
    <t>* Waterside is considered the hot side (subscript h), airside is considered the cold side (subscript c)</t>
  </si>
  <si>
    <t xml:space="preserve">MUST BE FORMATTED TO LOOK LIKE THIS, MUST HAVE HOT/COLD/UNKNOWN SECTIONS, THE FLOW RATE SHOULD BE AN INPUT WHICH IS LINKED TO FLUID ASSUMED CONSTANTS, SAME THING WITH TEMPERATURE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</si>
</sst>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"/>
    <numFmt numFmtId="168" formatCode="0.000000E+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u/>
      <sz val="10"/>
      <color theme="1"/>
      <name val="Calibri"/>
      <family val="2"/>
    </font>
    <font>
      <sz val="11"/>
      <color theme="1"/>
      <name val="Aptos Narrow"/>
      <family val="2"/>
    </font>
    <font>
      <i/>
      <sz val="11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sz val="9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6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2" borderId="0" xfId="0" applyFill="1" applyAlignment="1">
      <alignment wrapText="1"/>
    </xf>
    <xf numFmtId="0" fontId="1" fillId="3" borderId="0" xfId="0" applyFont="1" applyFill="1"/>
    <xf numFmtId="0" fontId="0" fillId="3" borderId="0" xfId="0" applyFill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4" fillId="4" borderId="0" xfId="0" applyFont="1" applyFill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164" fontId="7" fillId="4" borderId="2" xfId="0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9" fontId="7" fillId="4" borderId="0" xfId="0" applyNumberFormat="1" applyFont="1" applyFill="1" applyAlignment="1">
      <alignment horizontal="center" vertical="center"/>
    </xf>
    <xf numFmtId="0" fontId="7" fillId="0" borderId="5" xfId="0" applyFont="1" applyBorder="1"/>
    <xf numFmtId="2" fontId="7" fillId="0" borderId="0" xfId="0" applyNumberFormat="1" applyFont="1" applyAlignment="1">
      <alignment horizontal="center"/>
    </xf>
    <xf numFmtId="0" fontId="7" fillId="0" borderId="6" xfId="0" applyFont="1" applyBorder="1"/>
    <xf numFmtId="165" fontId="4" fillId="0" borderId="0" xfId="0" applyNumberFormat="1" applyFont="1"/>
    <xf numFmtId="0" fontId="4" fillId="0" borderId="0" xfId="0" applyFont="1" applyAlignment="1">
      <alignment horizontal="left"/>
    </xf>
    <xf numFmtId="0" fontId="7" fillId="0" borderId="7" xfId="0" applyFont="1" applyBorder="1"/>
    <xf numFmtId="0" fontId="7" fillId="0" borderId="8" xfId="0" applyFont="1" applyBorder="1"/>
    <xf numFmtId="0" fontId="7" fillId="0" borderId="8" xfId="0" applyFont="1" applyBorder="1" applyAlignment="1">
      <alignment horizontal="right"/>
    </xf>
    <xf numFmtId="2" fontId="5" fillId="0" borderId="8" xfId="0" applyNumberFormat="1" applyFont="1" applyBorder="1" applyAlignment="1">
      <alignment horizontal="center"/>
    </xf>
    <xf numFmtId="0" fontId="7" fillId="0" borderId="9" xfId="0" applyFont="1" applyBorder="1"/>
    <xf numFmtId="2" fontId="4" fillId="0" borderId="0" xfId="0" applyNumberFormat="1" applyFont="1" applyAlignment="1">
      <alignment horizontal="left"/>
    </xf>
    <xf numFmtId="0" fontId="8" fillId="0" borderId="0" xfId="0" applyFont="1"/>
    <xf numFmtId="0" fontId="4" fillId="0" borderId="10" xfId="0" applyFont="1" applyBorder="1"/>
    <xf numFmtId="0" fontId="4" fillId="0" borderId="0" xfId="0" applyFont="1" applyAlignment="1">
      <alignment wrapText="1"/>
    </xf>
    <xf numFmtId="0" fontId="4" fillId="4" borderId="10" xfId="0" applyFont="1" applyFill="1" applyBorder="1"/>
    <xf numFmtId="166" fontId="4" fillId="0" borderId="10" xfId="0" applyNumberFormat="1" applyFont="1" applyBorder="1"/>
    <xf numFmtId="164" fontId="4" fillId="4" borderId="10" xfId="0" applyNumberFormat="1" applyFont="1" applyFill="1" applyBorder="1"/>
    <xf numFmtId="2" fontId="4" fillId="0" borderId="10" xfId="0" applyNumberFormat="1" applyFont="1" applyBorder="1"/>
    <xf numFmtId="2" fontId="4" fillId="4" borderId="10" xfId="0" applyNumberFormat="1" applyFont="1" applyFill="1" applyBorder="1"/>
    <xf numFmtId="167" fontId="4" fillId="0" borderId="0" xfId="0" applyNumberFormat="1" applyFont="1"/>
    <xf numFmtId="2" fontId="4" fillId="0" borderId="0" xfId="0" applyNumberFormat="1" applyFont="1"/>
    <xf numFmtId="1" fontId="4" fillId="4" borderId="10" xfId="0" applyNumberFormat="1" applyFont="1" applyFill="1" applyBorder="1"/>
    <xf numFmtId="9" fontId="4" fillId="0" borderId="0" xfId="0" applyNumberFormat="1" applyFont="1"/>
    <xf numFmtId="0" fontId="4" fillId="0" borderId="0" xfId="0" applyFont="1" applyAlignment="1">
      <alignment horizontal="right"/>
    </xf>
    <xf numFmtId="2" fontId="4" fillId="4" borderId="0" xfId="0" applyNumberFormat="1" applyFont="1" applyFill="1"/>
    <xf numFmtId="0" fontId="9" fillId="0" borderId="0" xfId="0" applyFont="1"/>
    <xf numFmtId="0" fontId="4" fillId="3" borderId="11" xfId="0" applyFont="1" applyFill="1" applyBorder="1" applyAlignment="1">
      <alignment horizontal="right"/>
    </xf>
    <xf numFmtId="0" fontId="5" fillId="0" borderId="10" xfId="0" applyFont="1" applyBorder="1" applyAlignment="1">
      <alignment wrapText="1"/>
    </xf>
    <xf numFmtId="0" fontId="5" fillId="4" borderId="10" xfId="0" applyFont="1" applyFill="1" applyBorder="1" applyAlignment="1">
      <alignment wrapText="1"/>
    </xf>
    <xf numFmtId="11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11" fillId="0" borderId="0" xfId="0" applyFont="1"/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/>
    <xf numFmtId="0" fontId="11" fillId="0" borderId="16" xfId="0" applyFont="1" applyBorder="1"/>
    <xf numFmtId="0" fontId="10" fillId="0" borderId="15" xfId="0" applyFont="1" applyBorder="1"/>
    <xf numFmtId="0" fontId="0" fillId="0" borderId="17" xfId="0" applyBorder="1"/>
    <xf numFmtId="0" fontId="1" fillId="0" borderId="20" xfId="0" applyFont="1" applyBorder="1"/>
    <xf numFmtId="0" fontId="0" fillId="0" borderId="21" xfId="0" applyBorder="1"/>
    <xf numFmtId="11" fontId="0" fillId="0" borderId="22" xfId="0" applyNumberFormat="1" applyBorder="1"/>
    <xf numFmtId="0" fontId="1" fillId="0" borderId="13" xfId="0" applyFont="1" applyBorder="1"/>
    <xf numFmtId="0" fontId="1" fillId="0" borderId="14" xfId="0" applyFont="1" applyBorder="1"/>
    <xf numFmtId="0" fontId="0" fillId="0" borderId="16" xfId="0" applyBorder="1"/>
    <xf numFmtId="0" fontId="0" fillId="0" borderId="18" xfId="0" applyBorder="1"/>
    <xf numFmtId="11" fontId="0" fillId="0" borderId="18" xfId="0" applyNumberFormat="1" applyBorder="1"/>
    <xf numFmtId="0" fontId="0" fillId="0" borderId="19" xfId="0" applyBorder="1"/>
    <xf numFmtId="0" fontId="0" fillId="0" borderId="12" xfId="0" applyBorder="1"/>
    <xf numFmtId="164" fontId="0" fillId="0" borderId="0" xfId="0" applyNumberFormat="1"/>
    <xf numFmtId="1" fontId="0" fillId="0" borderId="0" xfId="0" applyNumberFormat="1"/>
    <xf numFmtId="166" fontId="0" fillId="0" borderId="0" xfId="0" applyNumberFormat="1"/>
    <xf numFmtId="164" fontId="0" fillId="0" borderId="21" xfId="0" applyNumberFormat="1" applyBorder="1"/>
    <xf numFmtId="1" fontId="0" fillId="0" borderId="21" xfId="0" applyNumberFormat="1" applyBorder="1"/>
    <xf numFmtId="166" fontId="0" fillId="0" borderId="21" xfId="0" applyNumberFormat="1" applyBorder="1"/>
    <xf numFmtId="0" fontId="0" fillId="0" borderId="0" xfId="0" applyAlignment="1">
      <alignment horizontal="center" wrapText="1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164" fontId="12" fillId="0" borderId="24" xfId="0" applyNumberFormat="1" applyFont="1" applyBorder="1"/>
    <xf numFmtId="164" fontId="12" fillId="0" borderId="16" xfId="0" applyNumberFormat="1" applyFont="1" applyBorder="1"/>
    <xf numFmtId="164" fontId="12" fillId="0" borderId="0" xfId="0" applyNumberFormat="1" applyFont="1"/>
    <xf numFmtId="0" fontId="0" fillId="0" borderId="23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12" fillId="0" borderId="24" xfId="0" applyFont="1" applyBorder="1"/>
    <xf numFmtId="0" fontId="12" fillId="0" borderId="16" xfId="0" applyFont="1" applyBorder="1"/>
    <xf numFmtId="0" fontId="1" fillId="5" borderId="0" xfId="0" applyFont="1" applyFill="1" applyAlignment="1">
      <alignment horizontal="center"/>
    </xf>
    <xf numFmtId="0" fontId="12" fillId="0" borderId="0" xfId="0" applyFont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6" fillId="0" borderId="0" xfId="1"/>
    <xf numFmtId="164" fontId="1" fillId="0" borderId="0" xfId="0" applyNumberFormat="1" applyFont="1"/>
    <xf numFmtId="0" fontId="1" fillId="0" borderId="28" xfId="0" applyFont="1" applyBorder="1"/>
    <xf numFmtId="9" fontId="0" fillId="0" borderId="29" xfId="0" applyNumberFormat="1" applyBorder="1"/>
    <xf numFmtId="0" fontId="1" fillId="2" borderId="0" xfId="0" applyFont="1" applyFill="1" applyAlignment="1">
      <alignment horizontal="left"/>
    </xf>
    <xf numFmtId="164" fontId="0" fillId="0" borderId="14" xfId="0" applyNumberFormat="1" applyBorder="1"/>
    <xf numFmtId="164" fontId="0" fillId="0" borderId="16" xfId="0" applyNumberFormat="1" applyBorder="1"/>
    <xf numFmtId="0" fontId="1" fillId="0" borderId="30" xfId="0" applyFont="1" applyBorder="1"/>
    <xf numFmtId="0" fontId="1" fillId="0" borderId="31" xfId="0" applyFont="1" applyBorder="1"/>
    <xf numFmtId="0" fontId="14" fillId="0" borderId="0" xfId="0" applyFont="1" applyAlignment="1">
      <alignment horizontal="center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32" xfId="0" applyFont="1" applyBorder="1"/>
    <xf numFmtId="0" fontId="3" fillId="0" borderId="0" xfId="0" applyFont="1"/>
    <xf numFmtId="0" fontId="0" fillId="0" borderId="0" xfId="0"/>
    <xf numFmtId="165" fontId="4" fillId="0" borderId="11" xfId="0" applyNumberFormat="1" applyFont="1" applyBorder="1"/>
    <xf numFmtId="0" fontId="4" fillId="0" borderId="11" xfId="0" applyFont="1" applyBorder="1"/>
    <xf numFmtId="168" fontId="4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33867</xdr:colOff>
      <xdr:row>4</xdr:row>
      <xdr:rowOff>-1</xdr:rowOff>
    </xdr:from>
    <xdr:to>
      <xdr:col>2</xdr:col>
      <xdr:colOff>1156676</xdr:colOff>
      <xdr:row>29</xdr:row>
      <xdr:rowOff>127029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F47FD-CD15-5AB4-07CE-AD5936F67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75" y="742461"/>
          <a:ext cx="6306363" cy="4767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40640</xdr:colOff>
      <xdr:row>17</xdr:row>
      <xdr:rowOff>135422</xdr:rowOff>
    </xdr:from>
    <xdr:to>
      <xdr:col>18</xdr:col>
      <xdr:colOff>523982</xdr:colOff>
      <xdr:row>30</xdr:row>
      <xdr:rowOff>10297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5CB8E3-421A-9D46-12BE-A5FA581FB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7370" y="3286395"/>
          <a:ext cx="5562281" cy="228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25902</xdr:colOff>
      <xdr:row>3</xdr:row>
      <xdr:rowOff>100460</xdr:rowOff>
    </xdr:from>
    <xdr:to>
      <xdr:col>18</xdr:col>
      <xdr:colOff>449004</xdr:colOff>
      <xdr:row>17</xdr:row>
      <xdr:rowOff>182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09C5DB-3269-F2BA-6B86-9A0D1D90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2632" y="656514"/>
          <a:ext cx="5502041" cy="2487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242096</xdr:colOff>
      <xdr:row>4</xdr:row>
      <xdr:rowOff>50799</xdr:rowOff>
    </xdr:from>
    <xdr:to>
      <xdr:col>35</xdr:col>
      <xdr:colOff>235918</xdr:colOff>
      <xdr:row>16</xdr:row>
      <xdr:rowOff>7087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3AD351-F168-F727-F908-FD176AFD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80947" y="764161"/>
          <a:ext cx="5538588" cy="2096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33312</xdr:colOff>
      <xdr:row>3</xdr:row>
      <xdr:rowOff>115800</xdr:rowOff>
    </xdr:from>
    <xdr:to>
      <xdr:col>26</xdr:col>
      <xdr:colOff>56139</xdr:colOff>
      <xdr:row>21</xdr:row>
      <xdr:rowOff>166037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949315-E4AB-87DF-82A0-848A4EA77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91329" y="672892"/>
          <a:ext cx="3672744" cy="3392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158262</xdr:colOff>
      <xdr:row>3</xdr:row>
      <xdr:rowOff>97062</xdr:rowOff>
    </xdr:from>
    <xdr:to>
      <xdr:col>8</xdr:col>
      <xdr:colOff>274319</xdr:colOff>
      <xdr:row>19</xdr:row>
      <xdr:rowOff>154182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59835A-25F1-799F-F397-AA3E3159C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622" y="645702"/>
          <a:ext cx="3326617" cy="298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110232</xdr:colOff>
      <xdr:row>2</xdr:row>
      <xdr:rowOff>173801</xdr:rowOff>
    </xdr:from>
    <xdr:to>
      <xdr:col>48</xdr:col>
      <xdr:colOff>587284</xdr:colOff>
      <xdr:row>37</xdr:row>
      <xdr:rowOff>11109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1378F9-3F5C-8D49-EA1C-138FB84D2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0360" y="530482"/>
          <a:ext cx="4789647" cy="608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414470</xdr:colOff>
      <xdr:row>3</xdr:row>
      <xdr:rowOff>59095</xdr:rowOff>
    </xdr:from>
    <xdr:to>
      <xdr:col>40</xdr:col>
      <xdr:colOff>392472</xdr:colOff>
      <xdr:row>18</xdr:row>
      <xdr:rowOff>87548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1F405D-DE72-70B8-0E19-CCEB64A5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8087" y="594116"/>
          <a:ext cx="3058427" cy="2703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363717</xdr:colOff>
      <xdr:row>19</xdr:row>
      <xdr:rowOff>70885</xdr:rowOff>
    </xdr:from>
    <xdr:to>
      <xdr:col>40</xdr:col>
      <xdr:colOff>449980</xdr:colOff>
      <xdr:row>34</xdr:row>
      <xdr:rowOff>134629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D53728-3706-4E7E-B83B-7266568FF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47334" y="3459353"/>
          <a:ext cx="3166688" cy="273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102498</xdr:colOff>
      <xdr:row>16</xdr:row>
      <xdr:rowOff>176776</xdr:rowOff>
    </xdr:from>
    <xdr:to>
      <xdr:col>35</xdr:col>
      <xdr:colOff>37415</xdr:colOff>
      <xdr:row>27</xdr:row>
      <xdr:rowOff>173460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F44E33B-80FB-F840-343C-0449626EC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0431" y="3147936"/>
          <a:ext cx="5409791" cy="2039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641684</xdr:colOff>
      <xdr:row>33</xdr:row>
      <xdr:rowOff>0</xdr:rowOff>
    </xdr:from>
    <xdr:to>
      <xdr:col>1</xdr:col>
      <xdr:colOff>5062927</xdr:colOff>
      <xdr:row>45</xdr:row>
      <xdr:rowOff>155274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23DAF19-ACB8-E1C5-B2FC-E85BC8F50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684" y="6053667"/>
          <a:ext cx="5084465" cy="2375192"/>
        </a:xfrm>
        <a:prstGeom prst="rect">
          <a:avLst/>
        </a:prstGeom>
      </xdr:spPr>
    </xdr:pic>
    <xdr:clientData/>
  </xdr:twoCellAnchor>
  <xdr:twoCellAnchor editAs="oneCell">
    <xdr:from>
      <xdr:col>1</xdr:col>
      <xdr:colOff>11905</xdr:colOff>
      <xdr:row>46</xdr:row>
      <xdr:rowOff>130968</xdr:rowOff>
    </xdr:from>
    <xdr:to>
      <xdr:col>6</xdr:col>
      <xdr:colOff>178351</xdr:colOff>
      <xdr:row>57</xdr:row>
      <xdr:rowOff>147810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8A248DF-AE28-6FFC-590E-DCB239FA0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8655" y="8346281"/>
          <a:ext cx="10082134" cy="1981372"/>
        </a:xfrm>
        <a:prstGeom prst="rect">
          <a:avLst/>
        </a:prstGeom>
      </xdr:spPr>
    </xdr:pic>
    <xdr:clientData/>
  </xdr:twoCellAnchor>
  <xdr:twoCellAnchor editAs="oneCell">
    <xdr:from>
      <xdr:col>1</xdr:col>
      <xdr:colOff>5085557</xdr:colOff>
      <xdr:row>33</xdr:row>
      <xdr:rowOff>50006</xdr:rowOff>
    </xdr:from>
    <xdr:to>
      <xdr:col>6</xdr:col>
      <xdr:colOff>58443</xdr:colOff>
      <xdr:row>46</xdr:row>
      <xdr:rowOff>29563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A99EDD1-838A-4D43-8577-3B2CF9248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45957" y="5917406"/>
          <a:ext cx="4929686" cy="2316357"/>
        </a:xfrm>
        <a:prstGeom prst="rect">
          <a:avLst/>
        </a:prstGeom>
      </xdr:spPr>
    </xdr:pic>
    <xdr:clientData/>
  </xdr:twoCellAnchor>
  <xdr:twoCellAnchor editAs="oneCell">
    <xdr:from>
      <xdr:col>10</xdr:col>
      <xdr:colOff>581057</xdr:colOff>
      <xdr:row>35</xdr:row>
      <xdr:rowOff>64561</xdr:rowOff>
    </xdr:from>
    <xdr:to>
      <xdr:col>14</xdr:col>
      <xdr:colOff>170608</xdr:colOff>
      <xdr:row>43</xdr:row>
      <xdr:rowOff>96423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C8BC52E-D1C1-CA55-7F7D-50C3FB5C8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31883" y="6442170"/>
          <a:ext cx="2786638" cy="1498894"/>
        </a:xfrm>
        <a:prstGeom prst="rect">
          <a:avLst/>
        </a:prstGeom>
      </xdr:spPr>
    </xdr:pic>
    <xdr:clientData/>
  </xdr:twoCellAnchor>
  <xdr:twoCellAnchor editAs="oneCell">
    <xdr:from>
      <xdr:col>11</xdr:col>
      <xdr:colOff>66260</xdr:colOff>
      <xdr:row>48</xdr:row>
      <xdr:rowOff>165652</xdr:rowOff>
    </xdr:from>
    <xdr:to>
      <xdr:col>14</xdr:col>
      <xdr:colOff>166792</xdr:colOff>
      <xdr:row>53</xdr:row>
      <xdr:rowOff>82825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80DFC8A-78E8-DEB1-2D18-2A10B853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29999" y="8912087"/>
          <a:ext cx="2684706" cy="828260"/>
        </a:xfrm>
        <a:prstGeom prst="rect">
          <a:avLst/>
        </a:prstGeom>
      </xdr:spPr>
    </xdr:pic>
    <xdr:clientData/>
  </xdr:twoCellAnchor>
  <xdr:twoCellAnchor editAs="oneCell">
    <xdr:from>
      <xdr:col>4</xdr:col>
      <xdr:colOff>35161</xdr:colOff>
      <xdr:row>22</xdr:row>
      <xdr:rowOff>16577</xdr:rowOff>
    </xdr:from>
    <xdr:to>
      <xdr:col>7</xdr:col>
      <xdr:colOff>362603</xdr:colOff>
      <xdr:row>25</xdr:row>
      <xdr:rowOff>138788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2030C7B-FB30-8C7C-B4BA-CE568B401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99107" y="4094307"/>
          <a:ext cx="2920163" cy="678265"/>
        </a:xfrm>
        <a:prstGeom prst="rect">
          <a:avLst/>
        </a:prstGeom>
      </xdr:spPr>
    </xdr:pic>
    <xdr:clientData/>
  </xdr:twoCellAnchor>
  <xdr:twoCellAnchor editAs="oneCell">
    <xdr:from>
      <xdr:col>5</xdr:col>
      <xdr:colOff>595449</xdr:colOff>
      <xdr:row>27</xdr:row>
      <xdr:rowOff>22091</xdr:rowOff>
    </xdr:from>
    <xdr:to>
      <xdr:col>7</xdr:col>
      <xdr:colOff>370703</xdr:colOff>
      <xdr:row>31</xdr:row>
      <xdr:rowOff>1170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20F9DB8-7E3B-A498-3DE7-AFABC1C81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66935" y="5026577"/>
          <a:ext cx="990336" cy="720485"/>
        </a:xfrm>
        <a:prstGeom prst="rect">
          <a:avLst/>
        </a:prstGeom>
      </xdr:spPr>
    </xdr:pic>
    <xdr:clientData/>
  </xdr:twoCellAnchor>
  <xdr:oneCellAnchor>
    <xdr:from>
      <xdr:col>1</xdr:col>
      <xdr:colOff>11373</xdr:colOff>
      <xdr:row>63</xdr:row>
      <xdr:rowOff>11372</xdr:rowOff>
    </xdr:from>
    <xdr:ext cx="4876800" cy="32099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3C6711AE-8071-41FB-92E8-E91998C793EC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71015" y="11498238"/>
          <a:ext cx="4876800" cy="3209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12423</xdr:colOff>
      <xdr:row>82</xdr:row>
      <xdr:rowOff>147947</xdr:rowOff>
    </xdr:from>
    <xdr:ext cx="4876800" cy="4362450"/>
    <xdr:pic>
      <xdr:nvPicPr>
        <xdr:cNvPr id="20" name="image2.png" title="Image">
          <a:extLst>
            <a:ext uri="{FF2B5EF4-FFF2-40B4-BE49-F238E27FC236}">
              <a16:creationId xmlns:a16="http://schemas.microsoft.com/office/drawing/2014/main" id="{07339CB9-375F-4511-BA87-352B9135933D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72065" y="15092246"/>
          <a:ext cx="4876800" cy="4362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10</xdr:col>
      <xdr:colOff>463884</xdr:colOff>
      <xdr:row>55</xdr:row>
      <xdr:rowOff>71624</xdr:rowOff>
    </xdr:from>
    <xdr:to>
      <xdr:col>20</xdr:col>
      <xdr:colOff>371248</xdr:colOff>
      <xdr:row>75</xdr:row>
      <xdr:rowOff>101259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DFF4D84-E91A-155E-37B7-B0338D38D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519484" y="9876024"/>
          <a:ext cx="6803464" cy="3585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43027</xdr:colOff>
      <xdr:row>4</xdr:row>
      <xdr:rowOff>273084</xdr:rowOff>
    </xdr:from>
    <xdr:to>
      <xdr:col>20</xdr:col>
      <xdr:colOff>855869</xdr:colOff>
      <xdr:row>4</xdr:row>
      <xdr:rowOff>656663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0BED72-131C-41D4-A518-1AFBFFFB6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62508" y="985603"/>
          <a:ext cx="812842" cy="383579"/>
        </a:xfrm>
        <a:prstGeom prst="rect">
          <a:avLst/>
        </a:prstGeom>
      </xdr:spPr>
    </xdr:pic>
    <xdr:clientData/>
  </xdr:twoCellAnchor>
  <xdr:twoCellAnchor editAs="oneCell">
    <xdr:from>
      <xdr:col>9</xdr:col>
      <xdr:colOff>11046</xdr:colOff>
      <xdr:row>4</xdr:row>
      <xdr:rowOff>307855</xdr:rowOff>
    </xdr:from>
    <xdr:to>
      <xdr:col>9</xdr:col>
      <xdr:colOff>864018</xdr:colOff>
      <xdr:row>4</xdr:row>
      <xdr:rowOff>693292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A69C9F-91CB-465B-BE72-6DE5DBECE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7539" y="1059417"/>
          <a:ext cx="852972" cy="385437"/>
        </a:xfrm>
        <a:prstGeom prst="rect">
          <a:avLst/>
        </a:prstGeom>
      </xdr:spPr>
    </xdr:pic>
    <xdr:clientData/>
  </xdr:twoCellAnchor>
  <xdr:twoCellAnchor editAs="oneCell">
    <xdr:from>
      <xdr:col>25</xdr:col>
      <xdr:colOff>34247</xdr:colOff>
      <xdr:row>1</xdr:row>
      <xdr:rowOff>153986</xdr:rowOff>
    </xdr:from>
    <xdr:to>
      <xdr:col>25</xdr:col>
      <xdr:colOff>762937</xdr:colOff>
      <xdr:row>4</xdr:row>
      <xdr:rowOff>140917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263D38-82B4-2553-B764-BD47D9780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55910" y="337600"/>
          <a:ext cx="728690" cy="537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19625</xdr:colOff>
      <xdr:row>3</xdr:row>
      <xdr:rowOff>175063</xdr:rowOff>
    </xdr:from>
    <xdr:to>
      <xdr:col>9</xdr:col>
      <xdr:colOff>296985</xdr:colOff>
      <xdr:row>27</xdr:row>
      <xdr:rowOff>143059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311D37-BCCA-ABC0-6858-FA38EF6ED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856" y="731909"/>
          <a:ext cx="5122897" cy="4422765"/>
        </a:xfrm>
        <a:prstGeom prst="rect">
          <a:avLst/>
        </a:prstGeom>
      </xdr:spPr>
    </xdr:pic>
    <xdr:clientData/>
  </xdr:twoCellAnchor>
  <xdr:twoCellAnchor editAs="oneCell">
    <xdr:from>
      <xdr:col>9</xdr:col>
      <xdr:colOff>596118</xdr:colOff>
      <xdr:row>3</xdr:row>
      <xdr:rowOff>178094</xdr:rowOff>
    </xdr:from>
    <xdr:to>
      <xdr:col>18</xdr:col>
      <xdr:colOff>160216</xdr:colOff>
      <xdr:row>27</xdr:row>
      <xdr:rowOff>96588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0552DB-660B-0A67-630D-1320D928D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3887" y="734940"/>
          <a:ext cx="5034867" cy="4373263"/>
        </a:xfrm>
        <a:prstGeom prst="rect">
          <a:avLst/>
        </a:prstGeom>
      </xdr:spPr>
    </xdr:pic>
    <xdr:clientData/>
  </xdr:twoCellAnchor>
  <xdr:twoCellAnchor editAs="oneCell">
    <xdr:from>
      <xdr:col>13</xdr:col>
      <xdr:colOff>7026</xdr:colOff>
      <xdr:row>30</xdr:row>
      <xdr:rowOff>71975</xdr:rowOff>
    </xdr:from>
    <xdr:to>
      <xdr:col>20</xdr:col>
      <xdr:colOff>202609</xdr:colOff>
      <xdr:row>76</xdr:row>
      <xdr:rowOff>1286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8FF25D-4AE8-D4B5-2336-DDDD1F50D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6024876" y="7643125"/>
          <a:ext cx="8460343" cy="4454968"/>
        </a:xfrm>
        <a:prstGeom prst="rect">
          <a:avLst/>
        </a:prstGeom>
      </xdr:spPr>
    </xdr:pic>
    <xdr:clientData/>
  </xdr:twoCellAnchor>
  <xdr:twoCellAnchor editAs="oneCell">
    <xdr:from>
      <xdr:col>1</xdr:col>
      <xdr:colOff>17735</xdr:colOff>
      <xdr:row>30</xdr:row>
      <xdr:rowOff>54931</xdr:rowOff>
    </xdr:from>
    <xdr:to>
      <xdr:col>12</xdr:col>
      <xdr:colOff>518118</xdr:colOff>
      <xdr:row>59</xdr:row>
      <xdr:rowOff>42378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BD18A-C823-3A2B-7C8A-8D0071E9D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773" y="5552906"/>
          <a:ext cx="7184763" cy="5302156"/>
        </a:xfrm>
        <a:prstGeom prst="rect">
          <a:avLst/>
        </a:prstGeom>
      </xdr:spPr>
    </xdr:pic>
    <xdr:clientData/>
  </xdr:twoCellAnchor>
  <xdr:twoCellAnchor editAs="oneCell">
    <xdr:from>
      <xdr:col>1</xdr:col>
      <xdr:colOff>13124</xdr:colOff>
      <xdr:row>59</xdr:row>
      <xdr:rowOff>157055</xdr:rowOff>
    </xdr:from>
    <xdr:to>
      <xdr:col>12</xdr:col>
      <xdr:colOff>507633</xdr:colOff>
      <xdr:row>85</xdr:row>
      <xdr:rowOff>76450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F6CBFC-7B8C-6FC5-845C-DDC762553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209" y="10825055"/>
          <a:ext cx="7171695" cy="4620548"/>
        </a:xfrm>
        <a:prstGeom prst="rect">
          <a:avLst/>
        </a:prstGeom>
      </xdr:spPr>
    </xdr:pic>
    <xdr:clientData/>
  </xdr:twoCellAnchor>
  <xdr:twoCellAnchor editAs="oneCell">
    <xdr:from>
      <xdr:col>39</xdr:col>
      <xdr:colOff>311574</xdr:colOff>
      <xdr:row>47</xdr:row>
      <xdr:rowOff>12700</xdr:rowOff>
    </xdr:from>
    <xdr:to>
      <xdr:col>55</xdr:col>
      <xdr:colOff>203913</xdr:colOff>
      <xdr:row>82</xdr:row>
      <xdr:rowOff>80278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C44EC4-A041-FFF7-E3E9-2492B7ECE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420407" y="8966200"/>
          <a:ext cx="9713672" cy="6735078"/>
        </a:xfrm>
        <a:prstGeom prst="rect">
          <a:avLst/>
        </a:prstGeom>
      </xdr:spPr>
    </xdr:pic>
    <xdr:clientData/>
  </xdr:twoCellAnchor>
  <xdr:twoCellAnchor editAs="oneCell">
    <xdr:from>
      <xdr:col>22</xdr:col>
      <xdr:colOff>592666</xdr:colOff>
      <xdr:row>31</xdr:row>
      <xdr:rowOff>42333</xdr:rowOff>
    </xdr:from>
    <xdr:to>
      <xdr:col>38</xdr:col>
      <xdr:colOff>196967</xdr:colOff>
      <xdr:row>60</xdr:row>
      <xdr:rowOff>140242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05FD6A-3F46-03DD-F2C4-74BCE2C7C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66333" y="5947833"/>
          <a:ext cx="9618408" cy="5622409"/>
        </a:xfrm>
        <a:prstGeom prst="rect">
          <a:avLst/>
        </a:prstGeom>
      </xdr:spPr>
    </xdr:pic>
    <xdr:clientData/>
  </xdr:twoCellAnchor>
  <xdr:twoCellAnchor editAs="oneCell">
    <xdr:from>
      <xdr:col>39</xdr:col>
      <xdr:colOff>254000</xdr:colOff>
      <xdr:row>2</xdr:row>
      <xdr:rowOff>105834</xdr:rowOff>
    </xdr:from>
    <xdr:to>
      <xdr:col>55</xdr:col>
      <xdr:colOff>51075</xdr:colOff>
      <xdr:row>45</xdr:row>
      <xdr:rowOff>84069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951E7E-EDAA-4B50-40AE-891D6888E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62833" y="486834"/>
          <a:ext cx="9618408" cy="8169735"/>
        </a:xfrm>
        <a:prstGeom prst="rect">
          <a:avLst/>
        </a:prstGeom>
      </xdr:spPr>
    </xdr:pic>
    <xdr:clientData/>
  </xdr:twoCellAnchor>
  <xdr:twoCellAnchor editAs="oneCell">
    <xdr:from>
      <xdr:col>23</xdr:col>
      <xdr:colOff>63500</xdr:colOff>
      <xdr:row>4</xdr:row>
      <xdr:rowOff>21167</xdr:rowOff>
    </xdr:from>
    <xdr:to>
      <xdr:col>38</xdr:col>
      <xdr:colOff>437419</xdr:colOff>
      <xdr:row>30</xdr:row>
      <xdr:rowOff>134241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FA98132-2941-D5FA-B324-78303DAC1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51000" y="783167"/>
          <a:ext cx="9780356" cy="50660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4611</xdr:colOff>
      <xdr:row>2</xdr:row>
      <xdr:rowOff>0</xdr:rowOff>
    </xdr:from>
    <xdr:to>
      <xdr:col>37</xdr:col>
      <xdr:colOff>555035</xdr:colOff>
      <xdr:row>30</xdr:row>
      <xdr:rowOff>143942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08F9A-894E-4DA6-8C12-A6D889BB8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54211" y="365760"/>
          <a:ext cx="7256024" cy="526458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75739</xdr:rowOff>
    </xdr:from>
    <xdr:to>
      <xdr:col>37</xdr:col>
      <xdr:colOff>544550</xdr:colOff>
      <xdr:row>56</xdr:row>
      <xdr:rowOff>154358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EA35C-F66A-4B69-9252-2318B090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45019"/>
          <a:ext cx="7250150" cy="4650619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46</xdr:col>
      <xdr:colOff>238801</xdr:colOff>
      <xdr:row>64</xdr:row>
      <xdr:rowOff>70338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8E4A56-D1E8-4FB3-BC03-85E3D6223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21877432" y="5371688"/>
          <a:ext cx="8299938" cy="4506001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13</xdr:row>
      <xdr:rowOff>0</xdr:rowOff>
    </xdr:from>
    <xdr:to>
      <xdr:col>66</xdr:col>
      <xdr:colOff>37275</xdr:colOff>
      <xdr:row>39</xdr:row>
      <xdr:rowOff>89417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B04577-E702-49CC-9B2A-9FA6C4DE0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0" y="2377440"/>
          <a:ext cx="9790875" cy="4844297"/>
        </a:xfrm>
        <a:prstGeom prst="rect">
          <a:avLst/>
        </a:prstGeom>
      </xdr:spPr>
    </xdr:pic>
    <xdr:clientData/>
  </xdr:twoCellAnchor>
  <xdr:twoCellAnchor editAs="oneCell">
    <xdr:from>
      <xdr:col>0</xdr:col>
      <xdr:colOff>407581</xdr:colOff>
      <xdr:row>3</xdr:row>
      <xdr:rowOff>144603</xdr:rowOff>
    </xdr:from>
    <xdr:to>
      <xdr:col>22</xdr:col>
      <xdr:colOff>155765</xdr:colOff>
      <xdr:row>38</xdr:row>
      <xdr:rowOff>67708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BECDAA-6A7B-BA6B-7E60-1BAFABF1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581" y="676231"/>
          <a:ext cx="13003440" cy="61254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intechopen.com/chapters/5334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5C0F-ABDB-40D5-B89A-D0547035802C}">
  <dimension ref="A1:Q109"/>
  <sheetViews>
    <sheetView zoomScale="66" workbookViewId="0">
      <selection activeCell="G71" sqref="G71"/>
    </sheetView>
  </sheetViews>
  <sheetFormatPr defaultRowHeight="14.4" x14ac:dyDescent="0.3"/>
  <cols>
    <col min="1" max="1" width="9.6640625" bestFit="1" customWidth="1"/>
    <col min="2" max="2" width="75.6640625" bestFit="1" customWidth="1"/>
    <col min="3" max="3" width="27.33203125" bestFit="1" customWidth="1"/>
    <col min="4" max="4" width="12.88671875" bestFit="1" customWidth="1"/>
    <col min="5" max="5" width="20.109375" customWidth="1"/>
    <col min="12" max="12" width="19.88671875" bestFit="1" customWidth="1"/>
    <col min="17" max="17" width="9.6640625" customWidth="1"/>
  </cols>
  <sheetData>
    <row r="1" spans="1:12" x14ac:dyDescent="0.3">
      <c r="A1" s="1" t="s">
        <v>0</v>
      </c>
      <c r="B1" t="s">
        <v>1</v>
      </c>
    </row>
    <row r="3" spans="1:12" x14ac:dyDescent="0.3">
      <c r="B3" s="2" t="s">
        <v>2</v>
      </c>
      <c r="L3" s="2" t="s">
        <v>3</v>
      </c>
    </row>
    <row r="21" spans="5:5" x14ac:dyDescent="0.3">
      <c r="E21" s="1" t="s">
        <v>142</v>
      </c>
    </row>
    <row r="22" spans="5:5" x14ac:dyDescent="0.3">
      <c r="E22" t="s">
        <v>143</v>
      </c>
    </row>
    <row r="27" spans="5:5" x14ac:dyDescent="0.3">
      <c r="E27" s="1" t="s">
        <v>145</v>
      </c>
    </row>
    <row r="33" spans="2:17" x14ac:dyDescent="0.3">
      <c r="B33" s="2" t="s">
        <v>4</v>
      </c>
    </row>
    <row r="35" spans="2:17" ht="15" thickBot="1" x14ac:dyDescent="0.35">
      <c r="L35" s="1" t="s">
        <v>131</v>
      </c>
      <c r="P35" s="1" t="s">
        <v>132</v>
      </c>
    </row>
    <row r="36" spans="2:17" x14ac:dyDescent="0.3">
      <c r="P36" s="73"/>
      <c r="Q36" s="68" t="s">
        <v>134</v>
      </c>
    </row>
    <row r="37" spans="2:17" x14ac:dyDescent="0.3">
      <c r="P37" s="60" t="s">
        <v>133</v>
      </c>
      <c r="Q37" s="69" t="s">
        <v>135</v>
      </c>
    </row>
    <row r="38" spans="2:17" x14ac:dyDescent="0.3">
      <c r="P38" s="60" t="s">
        <v>136</v>
      </c>
      <c r="Q38" s="69" t="s">
        <v>137</v>
      </c>
    </row>
    <row r="39" spans="2:17" ht="15" thickBot="1" x14ac:dyDescent="0.35">
      <c r="P39" s="63" t="s">
        <v>138</v>
      </c>
      <c r="Q39" s="72" t="s">
        <v>139</v>
      </c>
    </row>
    <row r="48" spans="2:17" x14ac:dyDescent="0.3">
      <c r="L48" s="1" t="s">
        <v>130</v>
      </c>
    </row>
    <row r="61" spans="2:4" x14ac:dyDescent="0.3">
      <c r="B61" s="2" t="s">
        <v>180</v>
      </c>
    </row>
    <row r="63" spans="2:4" x14ac:dyDescent="0.3">
      <c r="B63" s="9" t="s">
        <v>181</v>
      </c>
      <c r="C63" s="97" t="s">
        <v>191</v>
      </c>
      <c r="D63" s="7"/>
    </row>
    <row r="64" spans="2:4" x14ac:dyDescent="0.3">
      <c r="C64" s="1" t="s">
        <v>190</v>
      </c>
    </row>
    <row r="65" spans="3:4" x14ac:dyDescent="0.3">
      <c r="C65" t="s">
        <v>193</v>
      </c>
      <c r="D65">
        <f>2.1*10^9</f>
        <v>2100000000</v>
      </c>
    </row>
    <row r="66" spans="3:4" x14ac:dyDescent="0.3">
      <c r="C66" t="s">
        <v>192</v>
      </c>
      <c r="D66">
        <f>D65*E105*E106</f>
        <v>35168333.138896734</v>
      </c>
    </row>
    <row r="82" spans="2:4" x14ac:dyDescent="0.3">
      <c r="B82" s="9" t="s">
        <v>182</v>
      </c>
      <c r="C82" s="97" t="s">
        <v>183</v>
      </c>
    </row>
    <row r="83" spans="2:4" x14ac:dyDescent="0.3">
      <c r="C83" s="1" t="s">
        <v>190</v>
      </c>
    </row>
    <row r="84" spans="2:4" x14ac:dyDescent="0.3">
      <c r="C84" t="s">
        <v>194</v>
      </c>
      <c r="D84">
        <f>1.235*10^9</f>
        <v>1235000000</v>
      </c>
    </row>
    <row r="85" spans="2:4" x14ac:dyDescent="0.3">
      <c r="C85" t="s">
        <v>195</v>
      </c>
      <c r="D85">
        <f>D84*E105*E106</f>
        <v>20682329.250732128</v>
      </c>
    </row>
    <row r="104" spans="2:5" x14ac:dyDescent="0.3">
      <c r="D104" s="1" t="s">
        <v>185</v>
      </c>
      <c r="E104" s="1" t="s">
        <v>184</v>
      </c>
    </row>
    <row r="105" spans="2:5" x14ac:dyDescent="0.3">
      <c r="C105" t="s">
        <v>188</v>
      </c>
      <c r="D105" t="s">
        <v>186</v>
      </c>
      <c r="E105">
        <v>20.885400000000001</v>
      </c>
    </row>
    <row r="106" spans="2:5" x14ac:dyDescent="0.3">
      <c r="C106" t="s">
        <v>189</v>
      </c>
      <c r="D106" t="s">
        <v>187</v>
      </c>
      <c r="E106">
        <f xml:space="preserve"> (1/3.28084)^6</f>
        <v>8.0184364696086932E-4</v>
      </c>
    </row>
    <row r="109" spans="2:5" x14ac:dyDescent="0.3">
      <c r="B109" t="s">
        <v>197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D324-7D1E-410C-8CB4-BF7353A2AEAE}">
  <dimension ref="A2:I39"/>
  <sheetViews>
    <sheetView zoomScale="66" workbookViewId="0">
      <selection activeCell="E37" sqref="E37"/>
    </sheetView>
  </sheetViews>
  <sheetFormatPr defaultRowHeight="14.4" x14ac:dyDescent="0.3"/>
  <cols>
    <col min="1" max="1" width="10.77734375" bestFit="1" customWidth="1"/>
    <col min="2" max="2" width="28.5546875" customWidth="1"/>
    <col min="3" max="3" width="20" bestFit="1" customWidth="1"/>
    <col min="4" max="4" width="29.21875" bestFit="1" customWidth="1"/>
    <col min="5" max="5" width="38.33203125" bestFit="1" customWidth="1"/>
    <col min="6" max="6" width="27.77734375" bestFit="1" customWidth="1"/>
    <col min="7" max="7" width="22.21875" bestFit="1" customWidth="1"/>
    <col min="8" max="8" width="28.33203125" bestFit="1" customWidth="1"/>
    <col min="9" max="9" width="20.77734375" bestFit="1" customWidth="1"/>
  </cols>
  <sheetData>
    <row r="2" spans="1:9" x14ac:dyDescent="0.3">
      <c r="B2" s="2" t="s">
        <v>104</v>
      </c>
      <c r="C2" s="3"/>
    </row>
    <row r="3" spans="1:9" x14ac:dyDescent="0.3">
      <c r="A3" s="54"/>
    </row>
    <row r="4" spans="1:9" ht="15" thickBot="1" x14ac:dyDescent="0.35">
      <c r="A4" s="54" t="s">
        <v>114</v>
      </c>
      <c r="C4" s="54" t="s">
        <v>123</v>
      </c>
    </row>
    <row r="5" spans="1:9" x14ac:dyDescent="0.3">
      <c r="B5" s="57" t="s">
        <v>117</v>
      </c>
      <c r="C5" s="58" t="s">
        <v>115</v>
      </c>
      <c r="D5" s="58" t="s">
        <v>116</v>
      </c>
      <c r="E5" s="59" t="s">
        <v>140</v>
      </c>
    </row>
    <row r="6" spans="1:9" x14ac:dyDescent="0.3">
      <c r="A6" s="55" t="s">
        <v>112</v>
      </c>
      <c r="B6" s="60" t="s">
        <v>121</v>
      </c>
      <c r="C6" s="56">
        <v>4.1200000000000004E-3</v>
      </c>
      <c r="D6" s="56">
        <f>C6</f>
        <v>4.1200000000000004E-3</v>
      </c>
      <c r="E6" s="61">
        <f>C6</f>
        <v>4.1200000000000004E-3</v>
      </c>
      <c r="F6" t="s">
        <v>206</v>
      </c>
    </row>
    <row r="7" spans="1:9" x14ac:dyDescent="0.3">
      <c r="A7" s="55" t="s">
        <v>113</v>
      </c>
      <c r="B7" s="60" t="s">
        <v>122</v>
      </c>
      <c r="C7" s="56">
        <v>32</v>
      </c>
      <c r="D7" s="56">
        <v>120</v>
      </c>
      <c r="E7" s="61">
        <v>60</v>
      </c>
    </row>
    <row r="8" spans="1:9" x14ac:dyDescent="0.3">
      <c r="B8" s="62" t="s">
        <v>120</v>
      </c>
      <c r="C8" s="56">
        <f ca="1">OFFSET(E16,MATCH(C7,B17:B30,0),0)</f>
        <v>3.7320000000000002E-5</v>
      </c>
      <c r="D8" s="56">
        <f ca="1">OFFSET(E16,MATCH(D7,B17:B30,0),0)</f>
        <v>1.164E-5</v>
      </c>
      <c r="E8" s="61">
        <f ca="1">OFFSET(E16,MATCH(E7,B17:B30,0),0)</f>
        <v>2.3439999999999999E-5</v>
      </c>
    </row>
    <row r="9" spans="1:9" x14ac:dyDescent="0.3">
      <c r="B9" s="60" t="s">
        <v>119</v>
      </c>
      <c r="C9" s="56">
        <v>32.200000000000003</v>
      </c>
      <c r="D9" s="56">
        <v>32.200000000000003</v>
      </c>
      <c r="E9" s="61">
        <v>32.200000000000003</v>
      </c>
    </row>
    <row r="10" spans="1:9" x14ac:dyDescent="0.3">
      <c r="B10" s="60" t="s">
        <v>118</v>
      </c>
      <c r="C10" s="56">
        <f ca="1">OFFSET(C16,MATCH(C7,B17:B30,0),0)</f>
        <v>1.94</v>
      </c>
      <c r="D10" s="56">
        <f ca="1">OFFSET(C16,MATCH(D7,B17:B30,0),0)</f>
        <v>1.9179999999999999</v>
      </c>
      <c r="E10" s="61">
        <f ca="1">OFFSET(C16,MATCH(E7,B17:B30,0),0)</f>
        <v>1.9379999999999999</v>
      </c>
    </row>
    <row r="11" spans="1:9" x14ac:dyDescent="0.3">
      <c r="B11" s="60" t="s">
        <v>207</v>
      </c>
    </row>
    <row r="12" spans="1:9" x14ac:dyDescent="0.3">
      <c r="B12" t="s">
        <v>157</v>
      </c>
    </row>
    <row r="14" spans="1:9" x14ac:dyDescent="0.3">
      <c r="B14" s="2" t="s">
        <v>124</v>
      </c>
      <c r="C14" s="3"/>
    </row>
    <row r="15" spans="1:9" ht="15" thickBot="1" x14ac:dyDescent="0.35"/>
    <row r="16" spans="1:9" x14ac:dyDescent="0.3">
      <c r="B16" s="57" t="s">
        <v>108</v>
      </c>
      <c r="C16" s="67" t="s">
        <v>125</v>
      </c>
      <c r="D16" s="67" t="s">
        <v>105</v>
      </c>
      <c r="E16" s="67" t="s">
        <v>109</v>
      </c>
      <c r="F16" s="67" t="s">
        <v>110</v>
      </c>
      <c r="G16" s="67" t="s">
        <v>126</v>
      </c>
      <c r="H16" s="67" t="s">
        <v>106</v>
      </c>
      <c r="I16" s="68" t="s">
        <v>107</v>
      </c>
    </row>
    <row r="17" spans="2:9" x14ac:dyDescent="0.3">
      <c r="B17" s="60">
        <v>32</v>
      </c>
      <c r="C17">
        <v>1.94</v>
      </c>
      <c r="D17">
        <v>62.42</v>
      </c>
      <c r="E17" s="53">
        <v>3.7320000000000002E-5</v>
      </c>
      <c r="F17" s="53">
        <v>1.9239999999999999E-5</v>
      </c>
      <c r="G17" s="53">
        <v>5.1799999999999997E-3</v>
      </c>
      <c r="H17">
        <v>8.8539999999999994E-2</v>
      </c>
      <c r="I17" s="69">
        <v>4603</v>
      </c>
    </row>
    <row r="18" spans="2:9" x14ac:dyDescent="0.3">
      <c r="B18" s="60">
        <v>40</v>
      </c>
      <c r="C18">
        <v>1.94</v>
      </c>
      <c r="D18">
        <v>62.43</v>
      </c>
      <c r="E18" s="53">
        <v>3.2280000000000003E-5</v>
      </c>
      <c r="F18" s="53">
        <v>1.664E-5</v>
      </c>
      <c r="G18" s="53">
        <v>5.13E-3</v>
      </c>
      <c r="H18">
        <v>0.1217</v>
      </c>
      <c r="I18" s="69">
        <v>4672</v>
      </c>
    </row>
    <row r="19" spans="2:9" x14ac:dyDescent="0.3">
      <c r="B19" s="60">
        <v>50</v>
      </c>
      <c r="C19">
        <v>1.94</v>
      </c>
      <c r="D19">
        <v>62.41</v>
      </c>
      <c r="E19" s="53">
        <v>2.73E-5</v>
      </c>
      <c r="F19" s="53">
        <v>1.4070000000000001E-5</v>
      </c>
      <c r="G19" s="53">
        <v>5.0899999999999999E-3</v>
      </c>
      <c r="H19">
        <v>0.17810000000000001</v>
      </c>
      <c r="I19" s="69">
        <v>4748</v>
      </c>
    </row>
    <row r="20" spans="2:9" x14ac:dyDescent="0.3">
      <c r="B20" s="60">
        <v>60</v>
      </c>
      <c r="C20">
        <v>1.9379999999999999</v>
      </c>
      <c r="D20">
        <v>62.37</v>
      </c>
      <c r="E20" s="53">
        <v>2.3439999999999999E-5</v>
      </c>
      <c r="F20" s="53">
        <v>1.2099999999999999E-5</v>
      </c>
      <c r="G20" s="53">
        <v>5.0299999999999997E-3</v>
      </c>
      <c r="H20">
        <v>0.25629999999999997</v>
      </c>
      <c r="I20" s="69">
        <v>4814</v>
      </c>
    </row>
    <row r="21" spans="2:9" x14ac:dyDescent="0.3">
      <c r="B21" s="60">
        <v>70</v>
      </c>
      <c r="C21">
        <v>1.9359999999999999</v>
      </c>
      <c r="D21">
        <v>62.3</v>
      </c>
      <c r="E21" s="53">
        <v>2.037E-5</v>
      </c>
      <c r="F21" s="53">
        <v>1.0519999999999999E-5</v>
      </c>
      <c r="G21" s="53">
        <v>4.9699999999999996E-3</v>
      </c>
      <c r="H21">
        <v>0.36309999999999998</v>
      </c>
      <c r="I21" s="69">
        <v>4871</v>
      </c>
    </row>
    <row r="22" spans="2:9" x14ac:dyDescent="0.3">
      <c r="B22" s="60">
        <v>80</v>
      </c>
      <c r="C22">
        <v>1.9339999999999999</v>
      </c>
      <c r="D22">
        <v>62.22</v>
      </c>
      <c r="E22" s="53">
        <v>1.791E-5</v>
      </c>
      <c r="F22" s="53">
        <v>9.2620000000000004E-6</v>
      </c>
      <c r="G22" s="53">
        <v>4.9100000000000003E-3</v>
      </c>
      <c r="H22">
        <v>0.50690000000000002</v>
      </c>
      <c r="I22" s="69">
        <v>4819</v>
      </c>
    </row>
    <row r="23" spans="2:9" x14ac:dyDescent="0.3">
      <c r="B23" s="60">
        <v>90</v>
      </c>
      <c r="C23">
        <v>1.931</v>
      </c>
      <c r="D23">
        <v>62.11</v>
      </c>
      <c r="E23" s="53">
        <v>1.5E-5</v>
      </c>
      <c r="F23" s="53">
        <v>8.2330000000000006E-6</v>
      </c>
      <c r="G23" s="53">
        <v>4.8599999999999997E-3</v>
      </c>
      <c r="H23">
        <v>0.69789999999999996</v>
      </c>
      <c r="I23" s="69">
        <v>4960</v>
      </c>
    </row>
    <row r="24" spans="2:9" x14ac:dyDescent="0.3">
      <c r="B24" s="60">
        <v>100</v>
      </c>
      <c r="C24">
        <v>1.927</v>
      </c>
      <c r="D24">
        <v>62</v>
      </c>
      <c r="E24" s="53">
        <v>1.4229999999999999E-5</v>
      </c>
      <c r="F24" s="53">
        <v>7.3830000000000003E-6</v>
      </c>
      <c r="G24" s="53">
        <v>4.79E-3</v>
      </c>
      <c r="H24">
        <v>0.94930000000000003</v>
      </c>
      <c r="I24" s="69">
        <v>4995</v>
      </c>
    </row>
    <row r="25" spans="2:9" x14ac:dyDescent="0.3">
      <c r="B25" s="60">
        <v>120</v>
      </c>
      <c r="C25">
        <v>1.9179999999999999</v>
      </c>
      <c r="D25">
        <v>61.71</v>
      </c>
      <c r="E25" s="53">
        <v>1.164E-5</v>
      </c>
      <c r="F25" s="53">
        <v>6.0669999999999997E-6</v>
      </c>
      <c r="G25" s="53">
        <v>4.6699999999999997E-3</v>
      </c>
      <c r="H25">
        <v>1.6919999999999999</v>
      </c>
      <c r="I25" s="69">
        <v>5049</v>
      </c>
    </row>
    <row r="26" spans="2:9" x14ac:dyDescent="0.3">
      <c r="B26" s="60">
        <v>140</v>
      </c>
      <c r="C26">
        <v>1.9079999999999999</v>
      </c>
      <c r="D26">
        <v>61.38</v>
      </c>
      <c r="E26" s="53">
        <v>9.7429999999999997E-6</v>
      </c>
      <c r="F26" s="53">
        <v>5.1059999999999999E-6</v>
      </c>
      <c r="G26" s="53">
        <v>4.5300000000000002E-3</v>
      </c>
      <c r="H26">
        <v>2.8879999999999999</v>
      </c>
      <c r="I26" s="69">
        <v>5091</v>
      </c>
    </row>
    <row r="27" spans="2:9" x14ac:dyDescent="0.3">
      <c r="B27" s="60">
        <v>160</v>
      </c>
      <c r="C27">
        <v>1.8959999999999999</v>
      </c>
      <c r="D27">
        <v>61</v>
      </c>
      <c r="E27" s="53">
        <v>8.3149999999999992E-6</v>
      </c>
      <c r="F27" s="53">
        <v>4.3850000000000004E-6</v>
      </c>
      <c r="G27" s="53">
        <v>4.4000000000000003E-3</v>
      </c>
      <c r="H27">
        <v>4.7359999999999998</v>
      </c>
      <c r="I27" s="69">
        <v>5101</v>
      </c>
    </row>
    <row r="28" spans="2:9" x14ac:dyDescent="0.3">
      <c r="B28" s="60">
        <v>180</v>
      </c>
      <c r="C28">
        <v>1.883</v>
      </c>
      <c r="D28">
        <v>60.58</v>
      </c>
      <c r="E28" s="53">
        <v>7.2069999999999998E-6</v>
      </c>
      <c r="F28" s="53">
        <v>3.827E-6</v>
      </c>
      <c r="G28" s="53">
        <v>4.2599999999999999E-3</v>
      </c>
      <c r="H28">
        <v>7.5069999999999997</v>
      </c>
      <c r="I28" s="69">
        <v>5195</v>
      </c>
    </row>
    <row r="29" spans="2:9" x14ac:dyDescent="0.3">
      <c r="B29" s="60">
        <v>200</v>
      </c>
      <c r="C29">
        <v>1.869</v>
      </c>
      <c r="D29">
        <v>60.12</v>
      </c>
      <c r="E29" s="53">
        <v>6.3419999999999996E-6</v>
      </c>
      <c r="F29" s="53">
        <v>3.393E-6</v>
      </c>
      <c r="G29" s="53">
        <v>4.1200000000000004E-3</v>
      </c>
      <c r="H29">
        <v>11.52</v>
      </c>
      <c r="I29" s="69">
        <v>5089</v>
      </c>
    </row>
    <row r="30" spans="2:9" ht="15" thickBot="1" x14ac:dyDescent="0.35">
      <c r="B30" s="63">
        <v>212</v>
      </c>
      <c r="C30" s="70">
        <v>1.86</v>
      </c>
      <c r="D30" s="70">
        <v>59.83</v>
      </c>
      <c r="E30" s="71">
        <v>5.8860000000000001E-6</v>
      </c>
      <c r="F30" s="71">
        <v>3.1650000000000002E-6</v>
      </c>
      <c r="G30" s="71">
        <v>4.0400000000000002E-3</v>
      </c>
      <c r="H30" s="70">
        <v>14.69</v>
      </c>
      <c r="I30" s="72">
        <v>5062</v>
      </c>
    </row>
    <row r="31" spans="2:9" x14ac:dyDescent="0.3">
      <c r="E31" s="53"/>
      <c r="F31" s="53"/>
      <c r="G31" s="53"/>
    </row>
    <row r="32" spans="2:9" x14ac:dyDescent="0.3">
      <c r="B32" s="64" t="s">
        <v>0</v>
      </c>
      <c r="C32" s="65" t="s">
        <v>1</v>
      </c>
      <c r="D32" s="65"/>
      <c r="E32" s="66"/>
      <c r="F32" s="53"/>
      <c r="G32" s="53"/>
    </row>
    <row r="33" spans="2:7" x14ac:dyDescent="0.3">
      <c r="E33" s="53"/>
      <c r="F33" s="53"/>
      <c r="G33" s="53"/>
    </row>
    <row r="34" spans="2:7" x14ac:dyDescent="0.3">
      <c r="E34" s="53"/>
      <c r="F34" s="53"/>
      <c r="G34" s="53"/>
    </row>
    <row r="35" spans="2:7" x14ac:dyDescent="0.3">
      <c r="E35" s="53"/>
      <c r="F35" s="53"/>
      <c r="G35" s="53"/>
    </row>
    <row r="36" spans="2:7" x14ac:dyDescent="0.3">
      <c r="B36" s="2" t="s">
        <v>219</v>
      </c>
      <c r="E36" s="53"/>
      <c r="F36" s="53"/>
      <c r="G36" s="53"/>
    </row>
    <row r="37" spans="2:7" ht="15" thickBot="1" x14ac:dyDescent="0.35">
      <c r="E37" s="53"/>
      <c r="F37" s="53"/>
      <c r="G37" s="53"/>
    </row>
    <row r="38" spans="2:7" x14ac:dyDescent="0.3">
      <c r="B38" s="104" t="s">
        <v>220</v>
      </c>
    </row>
    <row r="39" spans="2:7" ht="15" thickBot="1" x14ac:dyDescent="0.35">
      <c r="B39" s="105">
        <f>0.75</f>
        <v>0.75</v>
      </c>
    </row>
  </sheetData>
  <dataValidations disablePrompts="1" count="1">
    <dataValidation type="list" allowBlank="1" showInputMessage="1" showErrorMessage="1" sqref="C7:E7" xr:uid="{263B40A3-0E5E-4FCE-A41E-9788D6F92C46}">
      <formula1>$B$17:$B$30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B73F-5A2B-4B24-9529-CA3184E536B5}">
  <dimension ref="A3:Z34"/>
  <sheetViews>
    <sheetView topLeftCell="A4" zoomScale="74" workbookViewId="0">
      <selection activeCell="C27" sqref="C27"/>
    </sheetView>
  </sheetViews>
  <sheetFormatPr defaultRowHeight="14.4" x14ac:dyDescent="0.3"/>
  <cols>
    <col min="1" max="1" width="11.77734375" bestFit="1" customWidth="1"/>
    <col min="2" max="2" width="20.44140625" bestFit="1" customWidth="1"/>
    <col min="3" max="3" width="44.21875" bestFit="1" customWidth="1"/>
    <col min="4" max="4" width="13.6640625" bestFit="1" customWidth="1"/>
    <col min="5" max="5" width="20.44140625" bestFit="1" customWidth="1"/>
    <col min="6" max="6" width="14.88671875" bestFit="1" customWidth="1"/>
    <col min="7" max="7" width="12.77734375" bestFit="1" customWidth="1"/>
    <col min="8" max="8" width="12.5546875" bestFit="1" customWidth="1"/>
    <col min="9" max="9" width="20.21875" bestFit="1" customWidth="1"/>
    <col min="10" max="10" width="12.88671875" bestFit="1" customWidth="1"/>
    <col min="12" max="12" width="11.88671875" bestFit="1" customWidth="1"/>
    <col min="13" max="13" width="14.44140625" bestFit="1" customWidth="1"/>
    <col min="14" max="14" width="50.33203125" bestFit="1" customWidth="1"/>
    <col min="15" max="15" width="17.44140625" bestFit="1" customWidth="1"/>
    <col min="16" max="16" width="19.33203125" bestFit="1" customWidth="1"/>
    <col min="17" max="18" width="19.33203125" customWidth="1"/>
    <col min="19" max="19" width="16.5546875" bestFit="1" customWidth="1"/>
    <col min="20" max="20" width="19.5546875" bestFit="1" customWidth="1"/>
    <col min="21" max="21" width="12.77734375" bestFit="1" customWidth="1"/>
    <col min="24" max="24" width="18.6640625" bestFit="1" customWidth="1"/>
    <col min="25" max="25" width="28.21875" bestFit="1" customWidth="1"/>
    <col min="26" max="26" width="11.21875" bestFit="1" customWidth="1"/>
  </cols>
  <sheetData>
    <row r="3" spans="1:26" x14ac:dyDescent="0.3">
      <c r="B3" s="2" t="s">
        <v>152</v>
      </c>
      <c r="M3" s="2" t="s">
        <v>3</v>
      </c>
      <c r="Q3" t="s">
        <v>175</v>
      </c>
      <c r="S3" t="s">
        <v>169</v>
      </c>
      <c r="X3" s="2" t="s">
        <v>177</v>
      </c>
      <c r="Y3" s="1"/>
    </row>
    <row r="4" spans="1:26" x14ac:dyDescent="0.3">
      <c r="Q4" t="s">
        <v>174</v>
      </c>
      <c r="S4" t="s">
        <v>168</v>
      </c>
    </row>
    <row r="5" spans="1:26" ht="72.599999999999994" thickBot="1" x14ac:dyDescent="0.35">
      <c r="A5" s="81" t="s">
        <v>129</v>
      </c>
      <c r="B5" s="82"/>
      <c r="C5" s="83" t="s">
        <v>150</v>
      </c>
      <c r="D5" s="83" t="s">
        <v>154</v>
      </c>
      <c r="E5" s="84" t="s">
        <v>156</v>
      </c>
      <c r="F5" s="83" t="s">
        <v>155</v>
      </c>
      <c r="G5" s="84" t="s">
        <v>203</v>
      </c>
      <c r="J5" s="94" t="s">
        <v>166</v>
      </c>
      <c r="L5" s="86" t="s">
        <v>129</v>
      </c>
      <c r="N5" s="84" t="s">
        <v>158</v>
      </c>
      <c r="O5" s="84" t="s">
        <v>156</v>
      </c>
      <c r="P5" s="84" t="s">
        <v>156</v>
      </c>
      <c r="S5" s="85" t="s">
        <v>173</v>
      </c>
      <c r="T5" s="85" t="s">
        <v>165</v>
      </c>
      <c r="U5" s="94" t="s">
        <v>166</v>
      </c>
      <c r="Z5" s="6" t="s">
        <v>202</v>
      </c>
    </row>
    <row r="6" spans="1:26" x14ac:dyDescent="0.3">
      <c r="B6" s="93" t="s">
        <v>127</v>
      </c>
      <c r="C6" s="58" t="s">
        <v>148</v>
      </c>
      <c r="D6" s="58" t="s">
        <v>128</v>
      </c>
      <c r="E6" s="58" t="s">
        <v>160</v>
      </c>
      <c r="F6" s="58" t="s">
        <v>146</v>
      </c>
      <c r="G6" s="58" t="s">
        <v>144</v>
      </c>
      <c r="H6" s="58" t="s">
        <v>141</v>
      </c>
      <c r="I6" s="58" t="s">
        <v>164</v>
      </c>
      <c r="J6" s="59" t="s">
        <v>151</v>
      </c>
      <c r="M6" s="93" t="s">
        <v>127</v>
      </c>
      <c r="N6" s="58" t="s">
        <v>167</v>
      </c>
      <c r="O6" s="58" t="s">
        <v>161</v>
      </c>
      <c r="P6" s="58" t="s">
        <v>162</v>
      </c>
      <c r="Q6" s="58" t="s">
        <v>171</v>
      </c>
      <c r="R6" s="58" t="s">
        <v>172</v>
      </c>
      <c r="S6" s="58" t="s">
        <v>144</v>
      </c>
      <c r="T6" s="58" t="s">
        <v>163</v>
      </c>
      <c r="U6" s="59" t="s">
        <v>151</v>
      </c>
      <c r="X6" s="99" t="s">
        <v>178</v>
      </c>
      <c r="Y6" s="100" t="s">
        <v>196</v>
      </c>
      <c r="Z6" s="101" t="s">
        <v>179</v>
      </c>
    </row>
    <row r="7" spans="1:26" x14ac:dyDescent="0.3">
      <c r="A7" s="55" t="s">
        <v>147</v>
      </c>
      <c r="B7" s="92">
        <v>300</v>
      </c>
      <c r="C7" s="87" t="s">
        <v>149</v>
      </c>
      <c r="D7" s="65" t="s">
        <v>116</v>
      </c>
      <c r="E7" s="77">
        <f>0.75/12</f>
        <v>6.25E-2</v>
      </c>
      <c r="F7" s="77">
        <v>6</v>
      </c>
      <c r="G7" s="77">
        <f>_xlfn.XLOOKUP(D7,'FLUIDS ASSUMED CONSTANTS '!$C$5:$E$5,'FLUIDS ASSUMED CONSTANTS '!$C$6:$E$6)/(PI()*E7^2/4)</f>
        <v>1.3429112126230709</v>
      </c>
      <c r="H7" s="78">
        <f ca="1">_xlfn.XLOOKUP(D7,'FLUIDS ASSUMED CONSTANTS '!$C$5:$E$5,'FLUIDS ASSUMED CONSTANTS '!$C$10:$E$10)*G7*E7/_xlfn.XLOOKUP(D7,'FLUIDS ASSUMED CONSTANTS '!$C$5:$E$5,'FLUIDS ASSUMED CONSTANTS '!$C$8:$E$8)</f>
        <v>13830.024193573077</v>
      </c>
      <c r="I7" s="79">
        <f ca="1">IF(H7&lt;=2000,64/H7,IF(H7&gt;=4000,0.316/(H7)^(1/4),"Transition"))</f>
        <v>2.9139449822088458E-2</v>
      </c>
      <c r="J7" s="89">
        <f ca="1">I7*(F7/E7)*(G7)^2/(2*('FLUIDS ASSUMED CONSTANTS '!C9))</f>
        <v>7.8335985840799538E-2</v>
      </c>
      <c r="L7" s="55" t="s">
        <v>159</v>
      </c>
      <c r="M7" s="92">
        <v>300</v>
      </c>
      <c r="N7" s="87" t="s">
        <v>170</v>
      </c>
      <c r="O7" s="65">
        <f>0.5/12</f>
        <v>4.1666666666666664E-2</v>
      </c>
      <c r="P7" s="65">
        <f>0.75/12</f>
        <v>6.25E-2</v>
      </c>
      <c r="Q7" s="65">
        <f>PI()/4*(O7)^2</f>
        <v>1.3635384781205699E-3</v>
      </c>
      <c r="R7" s="65">
        <f>PI()/4*(P7)^2</f>
        <v>3.0679615757712823E-3</v>
      </c>
      <c r="S7" s="65">
        <f>'FLUIDS ASSUMED CONSTANTS '!E6/'AER 27 HEAD CALCS'!Q7</f>
        <v>3.0215502284019098</v>
      </c>
      <c r="T7" s="65">
        <v>0.3</v>
      </c>
      <c r="U7" s="95">
        <f>(T7)*(S7^2)/(2*('FLUIDS ASSUMED CONSTANTS '!$E$9))</f>
        <v>4.2529964826501392E-2</v>
      </c>
      <c r="X7" s="60" t="s">
        <v>198</v>
      </c>
      <c r="Y7">
        <f>'FLUID REFERENCE TABLES'!D66</f>
        <v>35168333.138896734</v>
      </c>
      <c r="Z7" s="96">
        <f ca="1">Y7*('FLUIDS ASSUMED CONSTANTS '!E6)^2/(('FLUIDS ASSUMED CONSTANTS '!E10)*('FLUIDS ASSUMED CONSTANTS '!E9))</f>
        <v>9.5661364734228282</v>
      </c>
    </row>
    <row r="8" spans="1:26" x14ac:dyDescent="0.3">
      <c r="B8" s="60"/>
      <c r="C8" s="88"/>
      <c r="E8" s="74"/>
      <c r="F8" s="74"/>
      <c r="G8" s="74" t="e">
        <f>_xlfn.XLOOKUP(D8,'FLUIDS ASSUMED CONSTANTS '!$C$5:$E$5,'FLUIDS ASSUMED CONSTANTS '!$C$6:$E$6)/(PI()*E8^2/4)</f>
        <v>#N/A</v>
      </c>
      <c r="H8" s="75" t="e">
        <f>_xlfn.XLOOKUP(D8,'FLUIDS ASSUMED CONSTANTS '!$C$5:$E$5,'FLUIDS ASSUMED CONSTANTS '!$C$10:$E$10)*G8*E8/_xlfn.XLOOKUP(D8,'FLUIDS ASSUMED CONSTANTS '!$C$5:$E$5,'FLUIDS ASSUMED CONSTANTS '!$C$8:$E$8)</f>
        <v>#N/A</v>
      </c>
      <c r="I8" s="76" t="e">
        <f t="shared" ref="I8:I25" si="0">IF(H8&lt;=2000,64/H8,IF(H8&gt;=4000,0.316/(H8)^(1/4),"Transition"))</f>
        <v>#N/A</v>
      </c>
      <c r="J8" s="90" t="e">
        <f>I8*(F8/E8)*(G8)^2/(2*('FLUIDS ASSUMED CONSTANTS '!$C$9))</f>
        <v>#N/A</v>
      </c>
      <c r="M8" s="60"/>
      <c r="Q8">
        <f t="shared" ref="Q8:Q25" si="1">PI()/4*(O8)^2</f>
        <v>0</v>
      </c>
      <c r="R8">
        <f t="shared" ref="R8:R25" si="2">PI()/4*(P8)^2</f>
        <v>0</v>
      </c>
      <c r="U8" s="96">
        <f>(T8)*(S8^2)/(2*('FLUIDS ASSUMED CONSTANTS '!$E$9))</f>
        <v>0</v>
      </c>
      <c r="X8" s="60" t="s">
        <v>199</v>
      </c>
      <c r="Y8">
        <f>'FLUID REFERENCE TABLES'!D85</f>
        <v>20682329.250732128</v>
      </c>
      <c r="Z8" s="96">
        <f ca="1">Y8*('FLUIDS ASSUMED CONSTANTS '!E6)^2/(('FLUIDS ASSUMED CONSTANTS '!E10)*('FLUIDS ASSUMED CONSTANTS '!E9))</f>
        <v>5.6257993069891397</v>
      </c>
    </row>
    <row r="9" spans="1:26" x14ac:dyDescent="0.3">
      <c r="B9" s="60"/>
      <c r="C9" s="88"/>
      <c r="E9" s="74"/>
      <c r="F9" s="74"/>
      <c r="G9" s="74" t="e">
        <f>_xlfn.XLOOKUP(D9,'FLUIDS ASSUMED CONSTANTS '!$C$5:$E$5,'FLUIDS ASSUMED CONSTANTS '!$C$6:$E$6)/(PI()*E9^2/4)</f>
        <v>#N/A</v>
      </c>
      <c r="H9" s="75" t="e">
        <f>_xlfn.XLOOKUP(D9,'FLUIDS ASSUMED CONSTANTS '!$C$5:$E$5,'FLUIDS ASSUMED CONSTANTS '!$C$10:$E$10)*G9*E9/_xlfn.XLOOKUP(D9,'FLUIDS ASSUMED CONSTANTS '!$C$5:$E$5,'FLUIDS ASSUMED CONSTANTS '!$C$8:$E$8)</f>
        <v>#N/A</v>
      </c>
      <c r="I9" s="76" t="e">
        <f t="shared" si="0"/>
        <v>#N/A</v>
      </c>
      <c r="J9" s="90" t="e">
        <f>I9*(F9/E9)*(G9)^2/(2*('FLUIDS ASSUMED CONSTANTS '!$C$9))</f>
        <v>#N/A</v>
      </c>
      <c r="M9" s="60"/>
      <c r="Q9">
        <f t="shared" si="1"/>
        <v>0</v>
      </c>
      <c r="R9">
        <f t="shared" si="2"/>
        <v>0</v>
      </c>
      <c r="U9" s="96">
        <f>(T9)*(S9^2)/(2*('FLUIDS ASSUMED CONSTANTS '!$E$9))</f>
        <v>0</v>
      </c>
      <c r="X9" s="60" t="s">
        <v>200</v>
      </c>
      <c r="Z9" s="96"/>
    </row>
    <row r="10" spans="1:26" x14ac:dyDescent="0.3">
      <c r="B10" s="60"/>
      <c r="C10" s="88"/>
      <c r="E10" s="74"/>
      <c r="F10" s="74"/>
      <c r="G10" s="74" t="e">
        <f>_xlfn.XLOOKUP(D10,'FLUIDS ASSUMED CONSTANTS '!$C$5:$E$5,'FLUIDS ASSUMED CONSTANTS '!$C$6:$E$6)/(PI()*E10^2/4)</f>
        <v>#N/A</v>
      </c>
      <c r="H10" s="75" t="e">
        <f>_xlfn.XLOOKUP(D10,'FLUIDS ASSUMED CONSTANTS '!$C$5:$E$5,'FLUIDS ASSUMED CONSTANTS '!$C$10:$E$10)*G10*E10/_xlfn.XLOOKUP(D10,'FLUIDS ASSUMED CONSTANTS '!$C$5:$E$5,'FLUIDS ASSUMED CONSTANTS '!$C$8:$E$8)</f>
        <v>#N/A</v>
      </c>
      <c r="I10" s="76" t="e">
        <f t="shared" si="0"/>
        <v>#N/A</v>
      </c>
      <c r="J10" s="90" t="e">
        <f>I10*(F10/E10)*(G10)^2/(2*('FLUIDS ASSUMED CONSTANTS '!$C$9))</f>
        <v>#N/A</v>
      </c>
      <c r="M10" s="60"/>
      <c r="Q10">
        <f t="shared" si="1"/>
        <v>0</v>
      </c>
      <c r="R10">
        <f t="shared" si="2"/>
        <v>0</v>
      </c>
      <c r="U10" s="96">
        <f>(T10)*(S10^2)/(2*('FLUIDS ASSUMED CONSTANTS '!$E$9))</f>
        <v>0</v>
      </c>
      <c r="X10" s="60" t="s">
        <v>201</v>
      </c>
      <c r="Z10" s="96"/>
    </row>
    <row r="11" spans="1:26" x14ac:dyDescent="0.3">
      <c r="B11" s="60"/>
      <c r="C11" s="88"/>
      <c r="E11" s="74"/>
      <c r="F11" s="74"/>
      <c r="G11" s="74" t="e">
        <f>_xlfn.XLOOKUP(D11,'FLUIDS ASSUMED CONSTANTS '!$C$5:$E$5,'FLUIDS ASSUMED CONSTANTS '!$C$6:$E$6)/(PI()*E11^2/4)</f>
        <v>#N/A</v>
      </c>
      <c r="H11" s="75" t="e">
        <f>_xlfn.XLOOKUP(D11,'FLUIDS ASSUMED CONSTANTS '!$C$5:$E$5,'FLUIDS ASSUMED CONSTANTS '!$C$10:$E$10)*G11*E11/_xlfn.XLOOKUP(D11,'FLUIDS ASSUMED CONSTANTS '!$C$5:$E$5,'FLUIDS ASSUMED CONSTANTS '!$C$8:$E$8)</f>
        <v>#N/A</v>
      </c>
      <c r="I11" s="76" t="e">
        <f t="shared" si="0"/>
        <v>#N/A</v>
      </c>
      <c r="J11" s="90" t="e">
        <f>I11*(F11/E11)*(G11)^2/(2*('FLUIDS ASSUMED CONSTANTS '!$C$9))</f>
        <v>#N/A</v>
      </c>
      <c r="M11" s="60"/>
      <c r="Q11">
        <f t="shared" si="1"/>
        <v>0</v>
      </c>
      <c r="R11">
        <f t="shared" si="2"/>
        <v>0</v>
      </c>
      <c r="U11" s="96">
        <f>(T11)*(S11^2)/(2*('FLUIDS ASSUMED CONSTANTS '!$E$9))</f>
        <v>0</v>
      </c>
      <c r="X11" s="60"/>
      <c r="Z11" s="96"/>
    </row>
    <row r="12" spans="1:26" x14ac:dyDescent="0.3">
      <c r="B12" s="60"/>
      <c r="C12" s="88"/>
      <c r="E12" s="74"/>
      <c r="F12" s="74"/>
      <c r="G12" s="74" t="e">
        <f>_xlfn.XLOOKUP(D12,'FLUIDS ASSUMED CONSTANTS '!$C$5:$E$5,'FLUIDS ASSUMED CONSTANTS '!$C$6:$E$6)/(PI()*E12^2/4)</f>
        <v>#N/A</v>
      </c>
      <c r="H12" s="75" t="e">
        <f>_xlfn.XLOOKUP(D12,'FLUIDS ASSUMED CONSTANTS '!$C$5:$E$5,'FLUIDS ASSUMED CONSTANTS '!$C$10:$E$10)*G12*E12/_xlfn.XLOOKUP(D12,'FLUIDS ASSUMED CONSTANTS '!$C$5:$E$5,'FLUIDS ASSUMED CONSTANTS '!$C$8:$E$8)</f>
        <v>#N/A</v>
      </c>
      <c r="I12" s="76" t="e">
        <f t="shared" si="0"/>
        <v>#N/A</v>
      </c>
      <c r="J12" s="90" t="e">
        <f>I12*(F12/E12)*(G12)^2/(2*('FLUIDS ASSUMED CONSTANTS '!$C$9))</f>
        <v>#N/A</v>
      </c>
      <c r="M12" s="60"/>
      <c r="Q12">
        <f t="shared" si="1"/>
        <v>0</v>
      </c>
      <c r="R12">
        <f t="shared" si="2"/>
        <v>0</v>
      </c>
      <c r="U12" s="96">
        <f>(T12)*(S12^2)/(2*('FLUIDS ASSUMED CONSTANTS '!$E$9))</f>
        <v>0</v>
      </c>
      <c r="X12" s="60"/>
      <c r="Z12" s="96"/>
    </row>
    <row r="13" spans="1:26" x14ac:dyDescent="0.3">
      <c r="B13" s="60"/>
      <c r="C13" s="88"/>
      <c r="E13" s="74"/>
      <c r="F13" s="74"/>
      <c r="G13" s="74" t="e">
        <f>_xlfn.XLOOKUP(D13,'FLUIDS ASSUMED CONSTANTS '!$C$5:$E$5,'FLUIDS ASSUMED CONSTANTS '!$C$6:$E$6)/(PI()*E13^2/4)</f>
        <v>#N/A</v>
      </c>
      <c r="H13" s="75" t="e">
        <f>_xlfn.XLOOKUP(D13,'FLUIDS ASSUMED CONSTANTS '!$C$5:$E$5,'FLUIDS ASSUMED CONSTANTS '!$C$10:$E$10)*G13*E13/_xlfn.XLOOKUP(D13,'FLUIDS ASSUMED CONSTANTS '!$C$5:$E$5,'FLUIDS ASSUMED CONSTANTS '!$C$8:$E$8)</f>
        <v>#N/A</v>
      </c>
      <c r="I13" s="76" t="e">
        <f t="shared" si="0"/>
        <v>#N/A</v>
      </c>
      <c r="J13" s="90" t="e">
        <f>I13*(F13/E13)*(G13)^2/(2*('FLUIDS ASSUMED CONSTANTS '!$C$9))</f>
        <v>#N/A</v>
      </c>
      <c r="M13" s="60"/>
      <c r="Q13">
        <f t="shared" si="1"/>
        <v>0</v>
      </c>
      <c r="R13">
        <f t="shared" si="2"/>
        <v>0</v>
      </c>
      <c r="U13" s="96">
        <f>(T13)*(S13^2)/(2*('FLUIDS ASSUMED CONSTANTS '!$E$9))</f>
        <v>0</v>
      </c>
      <c r="X13" s="60"/>
      <c r="Z13" s="96"/>
    </row>
    <row r="14" spans="1:26" x14ac:dyDescent="0.3">
      <c r="B14" s="60"/>
      <c r="C14" s="88"/>
      <c r="E14" s="74"/>
      <c r="F14" s="74"/>
      <c r="G14" s="74" t="e">
        <f>_xlfn.XLOOKUP(D14,'FLUIDS ASSUMED CONSTANTS '!$C$5:$E$5,'FLUIDS ASSUMED CONSTANTS '!$C$6:$E$6)/(PI()*E14^2/4)</f>
        <v>#N/A</v>
      </c>
      <c r="H14" s="75" t="e">
        <f>_xlfn.XLOOKUP(D14,'FLUIDS ASSUMED CONSTANTS '!$C$5:$E$5,'FLUIDS ASSUMED CONSTANTS '!$C$10:$E$10)*G14*E14/_xlfn.XLOOKUP(D14,'FLUIDS ASSUMED CONSTANTS '!$C$5:$E$5,'FLUIDS ASSUMED CONSTANTS '!$C$8:$E$8)</f>
        <v>#N/A</v>
      </c>
      <c r="I14" s="76" t="e">
        <f t="shared" si="0"/>
        <v>#N/A</v>
      </c>
      <c r="J14" s="90" t="e">
        <f>I14*(F14/E14)*(G14)^2/(2*('FLUIDS ASSUMED CONSTANTS '!$C$9))</f>
        <v>#N/A</v>
      </c>
      <c r="M14" s="60"/>
      <c r="Q14">
        <f t="shared" si="1"/>
        <v>0</v>
      </c>
      <c r="R14">
        <f t="shared" si="2"/>
        <v>0</v>
      </c>
      <c r="U14" s="96">
        <f>(T14)*(S14^2)/(2*('FLUIDS ASSUMED CONSTANTS '!$E$9))</f>
        <v>0</v>
      </c>
      <c r="X14" s="60"/>
      <c r="Z14" s="96"/>
    </row>
    <row r="15" spans="1:26" x14ac:dyDescent="0.3">
      <c r="B15" s="60"/>
      <c r="C15" s="88"/>
      <c r="E15" s="74"/>
      <c r="F15" s="74"/>
      <c r="G15" s="74" t="e">
        <f>_xlfn.XLOOKUP(D15,'FLUIDS ASSUMED CONSTANTS '!$C$5:$E$5,'FLUIDS ASSUMED CONSTANTS '!$C$6:$E$6)/(PI()*E15^2/4)</f>
        <v>#N/A</v>
      </c>
      <c r="H15" s="75" t="e">
        <f>_xlfn.XLOOKUP(D15,'FLUIDS ASSUMED CONSTANTS '!$C$5:$E$5,'FLUIDS ASSUMED CONSTANTS '!$C$10:$E$10)*G15*E15/_xlfn.XLOOKUP(D15,'FLUIDS ASSUMED CONSTANTS '!$C$5:$E$5,'FLUIDS ASSUMED CONSTANTS '!$C$8:$E$8)</f>
        <v>#N/A</v>
      </c>
      <c r="I15" s="76" t="e">
        <f t="shared" si="0"/>
        <v>#N/A</v>
      </c>
      <c r="J15" s="90" t="e">
        <f>I15*(F15/E15)*(G15)^2/(2*('FLUIDS ASSUMED CONSTANTS '!$C$9))</f>
        <v>#N/A</v>
      </c>
      <c r="M15" s="60"/>
      <c r="Q15">
        <f t="shared" si="1"/>
        <v>0</v>
      </c>
      <c r="R15">
        <f t="shared" si="2"/>
        <v>0</v>
      </c>
      <c r="U15" s="96">
        <f>(T15)*(S15^2)/(2*('FLUIDS ASSUMED CONSTANTS '!$E$9))</f>
        <v>0</v>
      </c>
      <c r="X15" s="60"/>
      <c r="Z15" s="96"/>
    </row>
    <row r="16" spans="1:26" x14ac:dyDescent="0.3">
      <c r="B16" s="60"/>
      <c r="C16" s="88"/>
      <c r="E16" s="74"/>
      <c r="F16" s="74"/>
      <c r="G16" s="74" t="e">
        <f>_xlfn.XLOOKUP(D16,'FLUIDS ASSUMED CONSTANTS '!$C$5:$E$5,'FLUIDS ASSUMED CONSTANTS '!$C$6:$E$6)/(PI()*E16^2/4)</f>
        <v>#N/A</v>
      </c>
      <c r="H16" s="75" t="e">
        <f>_xlfn.XLOOKUP(D16,'FLUIDS ASSUMED CONSTANTS '!$C$5:$E$5,'FLUIDS ASSUMED CONSTANTS '!$C$10:$E$10)*G16*E16/_xlfn.XLOOKUP(D16,'FLUIDS ASSUMED CONSTANTS '!$C$5:$E$5,'FLUIDS ASSUMED CONSTANTS '!$C$8:$E$8)</f>
        <v>#N/A</v>
      </c>
      <c r="I16" s="76" t="e">
        <f t="shared" si="0"/>
        <v>#N/A</v>
      </c>
      <c r="J16" s="90" t="e">
        <f>I16*(F16/E16)*(G16)^2/(2*('FLUIDS ASSUMED CONSTANTS '!$C$9))</f>
        <v>#N/A</v>
      </c>
      <c r="M16" s="60"/>
      <c r="Q16">
        <f t="shared" si="1"/>
        <v>0</v>
      </c>
      <c r="R16">
        <f t="shared" si="2"/>
        <v>0</v>
      </c>
      <c r="U16" s="96">
        <f>(T16)*(S16^2)/(2*('FLUIDS ASSUMED CONSTANTS '!$E$9))</f>
        <v>0</v>
      </c>
      <c r="X16" s="60"/>
      <c r="Z16" s="96"/>
    </row>
    <row r="17" spans="2:26" x14ac:dyDescent="0.3">
      <c r="B17" s="60"/>
      <c r="C17" s="88"/>
      <c r="E17" s="74"/>
      <c r="F17" s="74"/>
      <c r="G17" s="74" t="e">
        <f>_xlfn.XLOOKUP(D17,'FLUIDS ASSUMED CONSTANTS '!$C$5:$E$5,'FLUIDS ASSUMED CONSTANTS '!$C$6:$E$6)/(PI()*E17^2/4)</f>
        <v>#N/A</v>
      </c>
      <c r="H17" s="75" t="e">
        <f>_xlfn.XLOOKUP(D17,'FLUIDS ASSUMED CONSTANTS '!$C$5:$E$5,'FLUIDS ASSUMED CONSTANTS '!$C$10:$E$10)*G17*E17/_xlfn.XLOOKUP(D17,'FLUIDS ASSUMED CONSTANTS '!$C$5:$E$5,'FLUIDS ASSUMED CONSTANTS '!$C$8:$E$8)</f>
        <v>#N/A</v>
      </c>
      <c r="I17" s="76" t="e">
        <f t="shared" si="0"/>
        <v>#N/A</v>
      </c>
      <c r="J17" s="90" t="e">
        <f>I17*(F17/E17)*(G17)^2/(2*('FLUIDS ASSUMED CONSTANTS '!$C$9))</f>
        <v>#N/A</v>
      </c>
      <c r="M17" s="60"/>
      <c r="Q17">
        <f t="shared" si="1"/>
        <v>0</v>
      </c>
      <c r="R17">
        <f t="shared" si="2"/>
        <v>0</v>
      </c>
      <c r="U17" s="96">
        <f>(T17)*(S17^2)/(2*('FLUIDS ASSUMED CONSTANTS '!$E$9))</f>
        <v>0</v>
      </c>
      <c r="X17" s="60"/>
      <c r="Z17" s="96"/>
    </row>
    <row r="18" spans="2:26" x14ac:dyDescent="0.3">
      <c r="B18" s="60"/>
      <c r="C18" s="88"/>
      <c r="E18" s="74"/>
      <c r="F18" s="74"/>
      <c r="G18" s="74" t="e">
        <f>_xlfn.XLOOKUP(D18,'FLUIDS ASSUMED CONSTANTS '!$C$5:$E$5,'FLUIDS ASSUMED CONSTANTS '!$C$6:$E$6)/(PI()*E18^2/4)</f>
        <v>#N/A</v>
      </c>
      <c r="H18" s="75" t="e">
        <f>_xlfn.XLOOKUP(D18,'FLUIDS ASSUMED CONSTANTS '!$C$5:$E$5,'FLUIDS ASSUMED CONSTANTS '!$C$10:$E$10)*G18*E18/_xlfn.XLOOKUP(D18,'FLUIDS ASSUMED CONSTANTS '!$C$5:$E$5,'FLUIDS ASSUMED CONSTANTS '!$C$8:$E$8)</f>
        <v>#N/A</v>
      </c>
      <c r="I18" s="76" t="e">
        <f t="shared" si="0"/>
        <v>#N/A</v>
      </c>
      <c r="J18" s="90" t="e">
        <f>I18*(F18/E18)*(G18)^2/(2*('FLUIDS ASSUMED CONSTANTS '!$C$9))</f>
        <v>#N/A</v>
      </c>
      <c r="M18" s="60"/>
      <c r="Q18">
        <f t="shared" si="1"/>
        <v>0</v>
      </c>
      <c r="R18">
        <f t="shared" si="2"/>
        <v>0</v>
      </c>
      <c r="U18" s="96">
        <f>(T18)*(S18^2)/(2*('FLUIDS ASSUMED CONSTANTS '!$E$9))</f>
        <v>0</v>
      </c>
      <c r="X18" s="60"/>
      <c r="Z18" s="96"/>
    </row>
    <row r="19" spans="2:26" x14ac:dyDescent="0.3">
      <c r="B19" s="60"/>
      <c r="C19" s="88"/>
      <c r="E19" s="74"/>
      <c r="F19" s="74"/>
      <c r="G19" s="74" t="e">
        <f>_xlfn.XLOOKUP(D19,'FLUIDS ASSUMED CONSTANTS '!$C$5:$E$5,'FLUIDS ASSUMED CONSTANTS '!$C$6:$E$6)/(PI()*E19^2/4)</f>
        <v>#N/A</v>
      </c>
      <c r="H19" s="75" t="e">
        <f>_xlfn.XLOOKUP(D19,'FLUIDS ASSUMED CONSTANTS '!$C$5:$E$5,'FLUIDS ASSUMED CONSTANTS '!$C$10:$E$10)*G19*E19/_xlfn.XLOOKUP(D19,'FLUIDS ASSUMED CONSTANTS '!$C$5:$E$5,'FLUIDS ASSUMED CONSTANTS '!$C$8:$E$8)</f>
        <v>#N/A</v>
      </c>
      <c r="I19" s="76" t="e">
        <f t="shared" si="0"/>
        <v>#N/A</v>
      </c>
      <c r="J19" s="90" t="e">
        <f>I19*(F19/E19)*(G19)^2/(2*('FLUIDS ASSUMED CONSTANTS '!$C$9))</f>
        <v>#N/A</v>
      </c>
      <c r="M19" s="60"/>
      <c r="Q19">
        <f t="shared" si="1"/>
        <v>0</v>
      </c>
      <c r="R19">
        <f t="shared" si="2"/>
        <v>0</v>
      </c>
      <c r="U19" s="96">
        <f>(T19)*(S19^2)/(2*('FLUIDS ASSUMED CONSTANTS '!$E$9))</f>
        <v>0</v>
      </c>
      <c r="X19" s="60"/>
      <c r="Z19" s="96"/>
    </row>
    <row r="20" spans="2:26" x14ac:dyDescent="0.3">
      <c r="B20" s="60"/>
      <c r="C20" s="88"/>
      <c r="E20" s="74"/>
      <c r="F20" s="74"/>
      <c r="G20" s="74" t="e">
        <f>_xlfn.XLOOKUP(D20,'FLUIDS ASSUMED CONSTANTS '!$C$5:$E$5,'FLUIDS ASSUMED CONSTANTS '!$C$6:$E$6)/(PI()*E20^2/4)</f>
        <v>#N/A</v>
      </c>
      <c r="H20" s="75" t="e">
        <f>_xlfn.XLOOKUP(D20,'FLUIDS ASSUMED CONSTANTS '!$C$5:$E$5,'FLUIDS ASSUMED CONSTANTS '!$C$10:$E$10)*G20*E20/_xlfn.XLOOKUP(D20,'FLUIDS ASSUMED CONSTANTS '!$C$5:$E$5,'FLUIDS ASSUMED CONSTANTS '!$C$8:$E$8)</f>
        <v>#N/A</v>
      </c>
      <c r="I20" s="76" t="e">
        <f t="shared" si="0"/>
        <v>#N/A</v>
      </c>
      <c r="J20" s="90" t="e">
        <f>I20*(F20/E20)*(G20)^2/(2*('FLUIDS ASSUMED CONSTANTS '!$C$9))</f>
        <v>#N/A</v>
      </c>
      <c r="M20" s="60"/>
      <c r="Q20">
        <f t="shared" si="1"/>
        <v>0</v>
      </c>
      <c r="R20">
        <f t="shared" si="2"/>
        <v>0</v>
      </c>
      <c r="U20" s="96">
        <f>(T20)*(S20^2)/(2*('FLUIDS ASSUMED CONSTANTS '!$E$9))</f>
        <v>0</v>
      </c>
      <c r="X20" s="60"/>
      <c r="Z20" s="96"/>
    </row>
    <row r="21" spans="2:26" x14ac:dyDescent="0.3">
      <c r="B21" s="60"/>
      <c r="C21" s="88"/>
      <c r="E21" s="74"/>
      <c r="F21" s="74"/>
      <c r="G21" s="74" t="e">
        <f>_xlfn.XLOOKUP(D21,'FLUIDS ASSUMED CONSTANTS '!$C$5:$E$5,'FLUIDS ASSUMED CONSTANTS '!$C$6:$E$6)/(PI()*E21^2/4)</f>
        <v>#N/A</v>
      </c>
      <c r="H21" s="75" t="e">
        <f>_xlfn.XLOOKUP(D21,'FLUIDS ASSUMED CONSTANTS '!$C$5:$E$5,'FLUIDS ASSUMED CONSTANTS '!$C$10:$E$10)*G21*E21/_xlfn.XLOOKUP(D21,'FLUIDS ASSUMED CONSTANTS '!$C$5:$E$5,'FLUIDS ASSUMED CONSTANTS '!$C$8:$E$8)</f>
        <v>#N/A</v>
      </c>
      <c r="I21" s="76" t="e">
        <f t="shared" si="0"/>
        <v>#N/A</v>
      </c>
      <c r="J21" s="90" t="e">
        <f>I21*(F21/E21)*(G21)^2/(2*('FLUIDS ASSUMED CONSTANTS '!$C$9))</f>
        <v>#N/A</v>
      </c>
      <c r="M21" s="60"/>
      <c r="Q21">
        <f t="shared" si="1"/>
        <v>0</v>
      </c>
      <c r="R21">
        <f t="shared" si="2"/>
        <v>0</v>
      </c>
      <c r="U21" s="96">
        <f>(T21)*(S21^2)/(2*('FLUIDS ASSUMED CONSTANTS '!$E$9))</f>
        <v>0</v>
      </c>
      <c r="X21" s="60"/>
      <c r="Z21" s="96"/>
    </row>
    <row r="22" spans="2:26" x14ac:dyDescent="0.3">
      <c r="B22" s="60"/>
      <c r="C22" s="88"/>
      <c r="E22" s="74"/>
      <c r="F22" s="74"/>
      <c r="G22" s="74" t="e">
        <f>_xlfn.XLOOKUP(D22,'FLUIDS ASSUMED CONSTANTS '!$C$5:$E$5,'FLUIDS ASSUMED CONSTANTS '!$C$6:$E$6)/(PI()*E22^2/4)</f>
        <v>#N/A</v>
      </c>
      <c r="H22" s="75" t="e">
        <f>_xlfn.XLOOKUP(D22,'FLUIDS ASSUMED CONSTANTS '!$C$5:$E$5,'FLUIDS ASSUMED CONSTANTS '!$C$10:$E$10)*G22*E22/_xlfn.XLOOKUP(D22,'FLUIDS ASSUMED CONSTANTS '!$C$5:$E$5,'FLUIDS ASSUMED CONSTANTS '!$C$8:$E$8)</f>
        <v>#N/A</v>
      </c>
      <c r="I22" s="76" t="e">
        <f t="shared" si="0"/>
        <v>#N/A</v>
      </c>
      <c r="J22" s="90" t="e">
        <f>I22*(F22/E22)*(G22)^2/(2*('FLUIDS ASSUMED CONSTANTS '!$C$9))</f>
        <v>#N/A</v>
      </c>
      <c r="M22" s="60"/>
      <c r="Q22">
        <f t="shared" si="1"/>
        <v>0</v>
      </c>
      <c r="R22">
        <f t="shared" si="2"/>
        <v>0</v>
      </c>
      <c r="U22" s="96">
        <f>(T22)*(S22^2)/(2*('FLUIDS ASSUMED CONSTANTS '!$E$9))</f>
        <v>0</v>
      </c>
      <c r="X22" s="60"/>
      <c r="Z22" s="96"/>
    </row>
    <row r="23" spans="2:26" x14ac:dyDescent="0.3">
      <c r="B23" s="60"/>
      <c r="C23" s="88"/>
      <c r="E23" s="74"/>
      <c r="F23" s="74"/>
      <c r="G23" s="74" t="e">
        <f>_xlfn.XLOOKUP(D23,'FLUIDS ASSUMED CONSTANTS '!$C$5:$E$5,'FLUIDS ASSUMED CONSTANTS '!$C$6:$E$6)/(PI()*E23^2/4)</f>
        <v>#N/A</v>
      </c>
      <c r="H23" s="75" t="e">
        <f>_xlfn.XLOOKUP(D23,'FLUIDS ASSUMED CONSTANTS '!$C$5:$E$5,'FLUIDS ASSUMED CONSTANTS '!$C$10:$E$10)*G23*E23/_xlfn.XLOOKUP(D23,'FLUIDS ASSUMED CONSTANTS '!$C$5:$E$5,'FLUIDS ASSUMED CONSTANTS '!$C$8:$E$8)</f>
        <v>#N/A</v>
      </c>
      <c r="I23" s="76" t="e">
        <f t="shared" si="0"/>
        <v>#N/A</v>
      </c>
      <c r="J23" s="90" t="e">
        <f>I23*(F23/E23)*(G23)^2/(2*('FLUIDS ASSUMED CONSTANTS '!$C$9))</f>
        <v>#N/A</v>
      </c>
      <c r="M23" s="60"/>
      <c r="Q23">
        <f t="shared" si="1"/>
        <v>0</v>
      </c>
      <c r="R23">
        <f t="shared" si="2"/>
        <v>0</v>
      </c>
      <c r="U23" s="96">
        <f>(T23)*(S23^2)/(2*('FLUIDS ASSUMED CONSTANTS '!$E$9))</f>
        <v>0</v>
      </c>
      <c r="X23" s="60"/>
      <c r="Z23" s="96"/>
    </row>
    <row r="24" spans="2:26" x14ac:dyDescent="0.3">
      <c r="B24" s="60"/>
      <c r="C24" s="88"/>
      <c r="E24" s="74"/>
      <c r="F24" s="74"/>
      <c r="G24" s="74" t="e">
        <f>_xlfn.XLOOKUP(D24,'FLUIDS ASSUMED CONSTANTS '!$C$5:$E$5,'FLUIDS ASSUMED CONSTANTS '!$C$6:$E$6)/(PI()*E24^2/4)</f>
        <v>#N/A</v>
      </c>
      <c r="H24" s="75" t="e">
        <f>_xlfn.XLOOKUP(D24,'FLUIDS ASSUMED CONSTANTS '!$C$5:$E$5,'FLUIDS ASSUMED CONSTANTS '!$C$10:$E$10)*G24*E24/_xlfn.XLOOKUP(D24,'FLUIDS ASSUMED CONSTANTS '!$C$5:$E$5,'FLUIDS ASSUMED CONSTANTS '!$C$8:$E$8)</f>
        <v>#N/A</v>
      </c>
      <c r="I24" s="76" t="e">
        <f t="shared" si="0"/>
        <v>#N/A</v>
      </c>
      <c r="J24" s="90" t="e">
        <f>I24*(F24/E24)*(G24)^2/(2*('FLUIDS ASSUMED CONSTANTS '!$C$9))</f>
        <v>#N/A</v>
      </c>
      <c r="M24" s="60"/>
      <c r="Q24">
        <f t="shared" si="1"/>
        <v>0</v>
      </c>
      <c r="R24">
        <f t="shared" si="2"/>
        <v>0</v>
      </c>
      <c r="U24" s="96">
        <f>(T24)*(S24^2)/(2*('FLUIDS ASSUMED CONSTANTS '!$E$9))</f>
        <v>0</v>
      </c>
      <c r="X24" s="60"/>
      <c r="Z24" s="96"/>
    </row>
    <row r="25" spans="2:26" x14ac:dyDescent="0.3">
      <c r="B25" s="60"/>
      <c r="C25" s="88"/>
      <c r="E25" s="74"/>
      <c r="F25" s="74"/>
      <c r="G25" s="74" t="e">
        <f>_xlfn.XLOOKUP(D25,'FLUIDS ASSUMED CONSTANTS '!$C$5:$E$5,'FLUIDS ASSUMED CONSTANTS '!$C$6:$E$6)/(PI()*E25^2/4)</f>
        <v>#N/A</v>
      </c>
      <c r="H25" s="75" t="e">
        <f>_xlfn.XLOOKUP(D25,'FLUIDS ASSUMED CONSTANTS '!$C$5:$E$5,'FLUIDS ASSUMED CONSTANTS '!$C$10:$E$10)*G25*E25/_xlfn.XLOOKUP(D25,'FLUIDS ASSUMED CONSTANTS '!$C$5:$E$5,'FLUIDS ASSUMED CONSTANTS '!$C$8:$E$8)</f>
        <v>#N/A</v>
      </c>
      <c r="I25" s="76" t="e">
        <f t="shared" si="0"/>
        <v>#N/A</v>
      </c>
      <c r="J25" s="90" t="e">
        <f>I25*(F25/E25)*(G25)^2/(2*('FLUIDS ASSUMED CONSTANTS '!$C$9))</f>
        <v>#N/A</v>
      </c>
      <c r="M25" s="60"/>
      <c r="Q25">
        <f t="shared" si="1"/>
        <v>0</v>
      </c>
      <c r="R25">
        <f t="shared" si="2"/>
        <v>0</v>
      </c>
      <c r="U25" s="96">
        <f>(T25)*(S25^2)/(2*('FLUIDS ASSUMED CONSTANTS '!$E$9))</f>
        <v>0</v>
      </c>
      <c r="X25" s="60"/>
      <c r="Z25" s="96"/>
    </row>
    <row r="26" spans="2:26" x14ac:dyDescent="0.3">
      <c r="Z26" s="98"/>
    </row>
    <row r="27" spans="2:26" x14ac:dyDescent="0.3">
      <c r="I27" s="80" t="s">
        <v>153</v>
      </c>
      <c r="J27" s="91" cm="1">
        <f t="array" ref="J27">SUM(IFERROR(J8:J25,0))</f>
        <v>0</v>
      </c>
      <c r="T27" s="88" t="s">
        <v>176</v>
      </c>
      <c r="U27" s="91">
        <f>SUM(U8:U25)</f>
        <v>0</v>
      </c>
      <c r="Y27" t="s">
        <v>204</v>
      </c>
      <c r="Z27" s="98">
        <f ca="1">SUM(Z7:Z10)</f>
        <v>15.191935780411967</v>
      </c>
    </row>
    <row r="28" spans="2:26" x14ac:dyDescent="0.3">
      <c r="B28" s="106" t="s">
        <v>215</v>
      </c>
    </row>
    <row r="29" spans="2:26" ht="15" thickBot="1" x14ac:dyDescent="0.35">
      <c r="C29" s="103"/>
    </row>
    <row r="30" spans="2:26" x14ac:dyDescent="0.3">
      <c r="B30" s="109" t="s">
        <v>216</v>
      </c>
      <c r="C30" s="107">
        <f ca="1">J27+U27+Z27</f>
        <v>15.191935780411967</v>
      </c>
    </row>
    <row r="31" spans="2:26" x14ac:dyDescent="0.3">
      <c r="B31" s="110" t="s">
        <v>217</v>
      </c>
      <c r="C31" s="108">
        <f ca="1">C30</f>
        <v>15.191935780411967</v>
      </c>
    </row>
    <row r="32" spans="2:26" x14ac:dyDescent="0.3">
      <c r="B32" s="110" t="s">
        <v>218</v>
      </c>
      <c r="C32" s="69"/>
    </row>
    <row r="33" spans="2:3" x14ac:dyDescent="0.3">
      <c r="B33" s="110" t="s">
        <v>226</v>
      </c>
      <c r="C33" s="69"/>
    </row>
    <row r="34" spans="2:3" ht="15" thickBot="1" x14ac:dyDescent="0.35">
      <c r="B34" s="115" t="s">
        <v>227</v>
      </c>
      <c r="C34" s="72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6048019-A4F7-4470-BA96-AF7AFD3436BC}">
          <x14:formula1>
            <xm:f>'FLUIDS ASSUMED CONSTANTS '!$C$5:$E$5</xm:f>
          </x14:formula1>
          <xm:sqref>D7:D25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F45A-6AAB-4C0E-8662-36974706CA17}">
  <dimension ref="B2"/>
  <sheetViews>
    <sheetView workbookViewId="0">
      <selection activeCell="A3" sqref="A3"/>
    </sheetView>
  </sheetViews>
  <sheetFormatPr defaultRowHeight="14.4" x14ac:dyDescent="0.3"/>
  <cols>
    <col min="2" max="2" width="38.44140625" bestFit="1" customWidth="1"/>
    <col min="3" max="3" width="20.44140625" bestFit="1" customWidth="1"/>
    <col min="4" max="4" width="18.109375" bestFit="1" customWidth="1"/>
  </cols>
  <sheetData>
    <row r="2" spans="2:2" x14ac:dyDescent="0.3">
      <c r="B2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DF7F-E375-42AE-B7A9-86CF2440C485}">
  <dimension ref="A1:N42"/>
  <sheetViews>
    <sheetView topLeftCell="A7" zoomScale="76" workbookViewId="0">
      <selection activeCell="J26" sqref="J26"/>
    </sheetView>
  </sheetViews>
  <sheetFormatPr defaultRowHeight="14.4" x14ac:dyDescent="0.3"/>
  <cols>
    <col min="1" max="1" width="12.33203125" bestFit="1" customWidth="1"/>
    <col min="2" max="2" width="8.5546875" bestFit="1" customWidth="1"/>
    <col min="3" max="3" width="32.21875" bestFit="1" customWidth="1"/>
    <col min="4" max="4" width="12" bestFit="1" customWidth="1"/>
    <col min="5" max="5" width="7.6640625" bestFit="1" customWidth="1"/>
    <col min="6" max="6" width="12" bestFit="1" customWidth="1"/>
    <col min="7" max="7" width="22.109375" customWidth="1"/>
    <col min="8" max="8" width="7.21875" bestFit="1" customWidth="1"/>
    <col min="9" max="9" width="6.44140625" bestFit="1" customWidth="1"/>
    <col min="10" max="10" width="39.33203125" bestFit="1" customWidth="1"/>
    <col min="11" max="11" width="8.6640625" bestFit="1" customWidth="1"/>
    <col min="12" max="12" width="23.21875" bestFit="1" customWidth="1"/>
  </cols>
  <sheetData>
    <row r="1" spans="1:14" ht="18" x14ac:dyDescent="0.35">
      <c r="A1" s="116" t="s">
        <v>102</v>
      </c>
      <c r="B1" s="117"/>
      <c r="C1" s="117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1" t="s">
        <v>111</v>
      </c>
      <c r="B2" s="11"/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3">
      <c r="A3" s="11"/>
      <c r="B3" s="11"/>
      <c r="C3" s="11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thickBot="1" x14ac:dyDescent="0.35">
      <c r="A4" s="11"/>
      <c r="B4" s="11"/>
      <c r="C4" s="11"/>
      <c r="D4" s="11"/>
      <c r="E4" s="11"/>
      <c r="F4" s="11"/>
      <c r="G4" s="13" t="s">
        <v>54</v>
      </c>
      <c r="H4" s="14">
        <v>150</v>
      </c>
      <c r="I4" s="11"/>
      <c r="J4" s="11"/>
      <c r="K4" s="11"/>
      <c r="L4" s="11"/>
      <c r="M4" s="11"/>
      <c r="N4" s="11"/>
    </row>
    <row r="5" spans="1:14" x14ac:dyDescent="0.3">
      <c r="A5" s="11"/>
      <c r="B5" s="11"/>
      <c r="C5" s="11"/>
      <c r="D5" s="11"/>
      <c r="E5" s="15"/>
      <c r="F5" s="16"/>
      <c r="G5" s="17" t="s">
        <v>55</v>
      </c>
      <c r="H5" s="18">
        <f>7*0.26417287472922</f>
        <v>1.8492101231045401</v>
      </c>
      <c r="I5" s="19" t="s">
        <v>56</v>
      </c>
      <c r="J5" s="11" t="s">
        <v>57</v>
      </c>
      <c r="K5" s="11"/>
      <c r="L5" s="11"/>
      <c r="M5" s="11"/>
      <c r="N5" s="11"/>
    </row>
    <row r="6" spans="1:14" x14ac:dyDescent="0.3">
      <c r="A6" s="11"/>
      <c r="B6" s="11"/>
      <c r="C6" s="11"/>
      <c r="D6" s="11"/>
      <c r="E6" s="20"/>
      <c r="F6" s="21"/>
      <c r="G6" s="22" t="s">
        <v>58</v>
      </c>
      <c r="H6" s="23">
        <v>0.85</v>
      </c>
      <c r="I6" s="24"/>
      <c r="J6" s="11" t="s">
        <v>59</v>
      </c>
      <c r="K6" s="12"/>
      <c r="L6" s="11"/>
      <c r="M6" s="11"/>
      <c r="N6" s="11"/>
    </row>
    <row r="7" spans="1:14" x14ac:dyDescent="0.3">
      <c r="A7" s="11"/>
      <c r="B7" s="11"/>
      <c r="C7" s="11"/>
      <c r="D7" s="11"/>
      <c r="E7" s="20"/>
      <c r="F7" s="21"/>
      <c r="G7" s="22" t="s">
        <v>60</v>
      </c>
      <c r="H7" s="25">
        <f>+SUM(H22,K22,D25:D30)</f>
        <v>19.060472634523041</v>
      </c>
      <c r="I7" s="26" t="s">
        <v>61</v>
      </c>
      <c r="J7" s="27"/>
      <c r="K7" s="11"/>
      <c r="L7" s="28"/>
      <c r="M7" s="11"/>
      <c r="N7" s="11"/>
    </row>
    <row r="8" spans="1:14" ht="15" thickBot="1" x14ac:dyDescent="0.35">
      <c r="A8" s="11"/>
      <c r="B8" s="11"/>
      <c r="C8" s="11"/>
      <c r="D8" s="11"/>
      <c r="E8" s="29"/>
      <c r="F8" s="30"/>
      <c r="G8" s="31" t="s">
        <v>62</v>
      </c>
      <c r="H8" s="32">
        <f>H5*H7/3960/(H6)</f>
        <v>1.0471425712096576E-2</v>
      </c>
      <c r="I8" s="33" t="s">
        <v>63</v>
      </c>
      <c r="J8" s="11"/>
      <c r="K8" s="11"/>
      <c r="L8" s="34"/>
      <c r="M8" s="11"/>
      <c r="N8" s="11"/>
    </row>
    <row r="9" spans="1:14" x14ac:dyDescent="0.3">
      <c r="A9" s="11"/>
      <c r="B9" s="11"/>
      <c r="C9" s="11"/>
      <c r="D9" s="12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ht="15.6" x14ac:dyDescent="0.3">
      <c r="A10" s="35" t="s">
        <v>64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55.2" x14ac:dyDescent="0.3">
      <c r="A11" s="51" t="s">
        <v>65</v>
      </c>
      <c r="B11" s="51" t="s">
        <v>66</v>
      </c>
      <c r="C11" s="51" t="s">
        <v>103</v>
      </c>
      <c r="D11" s="51" t="s">
        <v>67</v>
      </c>
      <c r="E11" s="51" t="s">
        <v>68</v>
      </c>
      <c r="F11" s="51" t="s">
        <v>69</v>
      </c>
      <c r="G11" s="51" t="s">
        <v>70</v>
      </c>
      <c r="H11" s="51" t="s">
        <v>71</v>
      </c>
      <c r="I11" s="51" t="s">
        <v>72</v>
      </c>
      <c r="J11" s="51" t="s">
        <v>73</v>
      </c>
      <c r="K11" s="51" t="s">
        <v>74</v>
      </c>
      <c r="L11" s="52" t="s">
        <v>75</v>
      </c>
      <c r="M11" s="37"/>
      <c r="N11" s="37"/>
    </row>
    <row r="12" spans="1:14" x14ac:dyDescent="0.3">
      <c r="A12" s="38">
        <v>1</v>
      </c>
      <c r="B12" s="38">
        <v>1</v>
      </c>
      <c r="C12" s="38" t="s">
        <v>76</v>
      </c>
      <c r="D12" s="36">
        <f>(A13*$H$5)</f>
        <v>1.8492101231045401</v>
      </c>
      <c r="E12" s="39">
        <f t="shared" ref="E12:E17" si="0">(D12/448.9)</f>
        <v>4.1194255359869461E-3</v>
      </c>
      <c r="F12" s="38">
        <f>8/12</f>
        <v>0.66666666666666663</v>
      </c>
      <c r="G12" s="40">
        <v>0.375</v>
      </c>
      <c r="H12" s="41">
        <f t="shared" ref="H12:H17" si="1">(E12^1.85*F12/(1.67*$H$4^1.85*(PI()*(G12/12)^2/4)^1.85*(G12/12/4)^1.17))</f>
        <v>0.24628930851625772</v>
      </c>
      <c r="I12" s="42">
        <v>0.3</v>
      </c>
      <c r="J12" s="41">
        <f t="shared" ref="J12:J17" si="2">E12/(PI()*(G12/12)^2/4)</f>
        <v>5.3708958658666734</v>
      </c>
      <c r="K12" s="41">
        <f t="shared" ref="K12:K17" si="3">(I12*J12^2/(2*32.2))</f>
        <v>0.13437820994712912</v>
      </c>
      <c r="L12" s="38" t="s">
        <v>77</v>
      </c>
      <c r="M12" s="43"/>
      <c r="N12" s="44"/>
    </row>
    <row r="13" spans="1:14" x14ac:dyDescent="0.3">
      <c r="A13" s="38">
        <v>1</v>
      </c>
      <c r="B13" s="38">
        <v>2</v>
      </c>
      <c r="C13" s="38" t="s">
        <v>78</v>
      </c>
      <c r="D13" s="36">
        <f>(A13*$H$5)</f>
        <v>1.8492101231045401</v>
      </c>
      <c r="E13" s="39">
        <f t="shared" si="0"/>
        <v>4.1194255359869461E-3</v>
      </c>
      <c r="F13" s="40">
        <f>4/12</f>
        <v>0.33333333333333331</v>
      </c>
      <c r="G13" s="40">
        <v>0.75</v>
      </c>
      <c r="H13" s="41">
        <f t="shared" si="1"/>
        <v>4.2111381093313041E-3</v>
      </c>
      <c r="I13" s="42">
        <v>1.1000000000000001</v>
      </c>
      <c r="J13" s="41">
        <f t="shared" si="2"/>
        <v>1.3427239664666684</v>
      </c>
      <c r="K13" s="41">
        <f t="shared" si="3"/>
        <v>3.0795006446217094E-2</v>
      </c>
      <c r="L13" s="38" t="s">
        <v>79</v>
      </c>
      <c r="M13" s="43"/>
      <c r="N13" s="44"/>
    </row>
    <row r="14" spans="1:14" x14ac:dyDescent="0.3">
      <c r="A14" s="38">
        <v>1</v>
      </c>
      <c r="B14" s="38">
        <v>3</v>
      </c>
      <c r="C14" s="38" t="s">
        <v>80</v>
      </c>
      <c r="D14" s="36">
        <f>(A14*$H$5)</f>
        <v>1.8492101231045401</v>
      </c>
      <c r="E14" s="39">
        <f t="shared" si="0"/>
        <v>4.1194255359869461E-3</v>
      </c>
      <c r="F14" s="40">
        <f>28.5/12</f>
        <v>2.375</v>
      </c>
      <c r="G14" s="40">
        <v>0.75</v>
      </c>
      <c r="H14" s="41">
        <f t="shared" si="1"/>
        <v>3.0004359028985541E-2</v>
      </c>
      <c r="I14" s="42">
        <v>1.1000000000000001</v>
      </c>
      <c r="J14" s="41">
        <f t="shared" si="2"/>
        <v>1.3427239664666684</v>
      </c>
      <c r="K14" s="41">
        <f t="shared" si="3"/>
        <v>3.0795006446217094E-2</v>
      </c>
      <c r="L14" s="38" t="s">
        <v>79</v>
      </c>
      <c r="M14" s="43"/>
      <c r="N14" s="44"/>
    </row>
    <row r="15" spans="1:14" x14ac:dyDescent="0.3">
      <c r="A15" s="38">
        <v>1</v>
      </c>
      <c r="B15" s="38">
        <v>4</v>
      </c>
      <c r="C15" s="38" t="s">
        <v>81</v>
      </c>
      <c r="D15" s="36">
        <f>(A15*$H$5)</f>
        <v>1.8492101231045401</v>
      </c>
      <c r="E15" s="39">
        <f t="shared" si="0"/>
        <v>4.1194255359869461E-3</v>
      </c>
      <c r="F15" s="38">
        <f>16.5/12</f>
        <v>1.375</v>
      </c>
      <c r="G15" s="40">
        <f>3/8</f>
        <v>0.375</v>
      </c>
      <c r="H15" s="41">
        <f t="shared" si="1"/>
        <v>0.50797169881478155</v>
      </c>
      <c r="I15" s="42">
        <v>0.25</v>
      </c>
      <c r="J15" s="41">
        <f t="shared" si="2"/>
        <v>5.3708958658666734</v>
      </c>
      <c r="K15" s="41">
        <f t="shared" si="3"/>
        <v>0.11198184162260762</v>
      </c>
      <c r="L15" s="38" t="s">
        <v>82</v>
      </c>
      <c r="M15" s="43"/>
      <c r="N15" s="44"/>
    </row>
    <row r="16" spans="1:14" x14ac:dyDescent="0.3">
      <c r="A16" s="38">
        <v>1</v>
      </c>
      <c r="B16" s="38">
        <v>5</v>
      </c>
      <c r="C16" s="38" t="s">
        <v>83</v>
      </c>
      <c r="D16" s="36">
        <f>(A16*$H$5)</f>
        <v>1.8492101231045401</v>
      </c>
      <c r="E16" s="39">
        <f t="shared" si="0"/>
        <v>4.1194255359869461E-3</v>
      </c>
      <c r="F16" s="38">
        <f>22/12</f>
        <v>1.8333333333333333</v>
      </c>
      <c r="G16" s="40">
        <f>3/8</f>
        <v>0.375</v>
      </c>
      <c r="H16" s="41">
        <f t="shared" si="1"/>
        <v>0.67729559841970877</v>
      </c>
      <c r="I16" s="42">
        <v>1.1000000000000001</v>
      </c>
      <c r="J16" s="41">
        <f t="shared" si="2"/>
        <v>5.3708958658666734</v>
      </c>
      <c r="K16" s="41">
        <f t="shared" si="3"/>
        <v>0.49272010313947351</v>
      </c>
      <c r="L16" s="38" t="s">
        <v>79</v>
      </c>
      <c r="M16" s="43"/>
      <c r="N16" s="44"/>
    </row>
    <row r="17" spans="1:14" x14ac:dyDescent="0.3">
      <c r="A17" s="38">
        <v>1</v>
      </c>
      <c r="B17" s="38">
        <v>6</v>
      </c>
      <c r="C17" s="38" t="s">
        <v>84</v>
      </c>
      <c r="D17" s="36">
        <f>(A17*$H$5)</f>
        <v>1.8492101231045401</v>
      </c>
      <c r="E17" s="39">
        <f t="shared" si="0"/>
        <v>4.1194255359869461E-3</v>
      </c>
      <c r="F17" s="38">
        <f>8/12</f>
        <v>0.66666666666666663</v>
      </c>
      <c r="G17" s="40">
        <f>3/8</f>
        <v>0.375</v>
      </c>
      <c r="H17" s="41">
        <f t="shared" si="1"/>
        <v>0.24628930851625772</v>
      </c>
      <c r="I17" s="42">
        <v>1.1000000000000001</v>
      </c>
      <c r="J17" s="41">
        <f t="shared" si="2"/>
        <v>5.3708958658666734</v>
      </c>
      <c r="K17" s="41">
        <f t="shared" si="3"/>
        <v>0.49272010313947351</v>
      </c>
      <c r="L17" s="38" t="s">
        <v>79</v>
      </c>
      <c r="M17" s="43"/>
      <c r="N17" s="44"/>
    </row>
    <row r="18" spans="1:14" x14ac:dyDescent="0.3">
      <c r="A18" s="38">
        <v>1</v>
      </c>
      <c r="B18" s="38"/>
      <c r="C18" s="38"/>
      <c r="D18" s="36"/>
      <c r="E18" s="41"/>
      <c r="F18" s="38"/>
      <c r="G18" s="45"/>
      <c r="H18" s="41"/>
      <c r="I18" s="42"/>
      <c r="J18" s="41"/>
      <c r="K18" s="41"/>
      <c r="L18" s="38"/>
      <c r="M18" s="43"/>
      <c r="N18" s="44"/>
    </row>
    <row r="19" spans="1:14" x14ac:dyDescent="0.3">
      <c r="A19" s="38">
        <v>1</v>
      </c>
      <c r="B19" s="38"/>
      <c r="C19" s="38"/>
      <c r="D19" s="36"/>
      <c r="E19" s="41"/>
      <c r="F19" s="38"/>
      <c r="G19" s="45"/>
      <c r="H19" s="41"/>
      <c r="I19" s="42"/>
      <c r="J19" s="41"/>
      <c r="K19" s="41"/>
      <c r="L19" s="38"/>
      <c r="M19" s="44"/>
      <c r="N19" s="44"/>
    </row>
    <row r="20" spans="1:14" x14ac:dyDescent="0.3">
      <c r="A20" s="38">
        <v>1</v>
      </c>
      <c r="B20" s="38"/>
      <c r="C20" s="38"/>
      <c r="D20" s="36"/>
      <c r="E20" s="41"/>
      <c r="F20" s="38"/>
      <c r="G20" s="45"/>
      <c r="H20" s="41"/>
      <c r="I20" s="42"/>
      <c r="J20" s="41"/>
      <c r="K20" s="41"/>
      <c r="L20" s="38"/>
      <c r="M20" s="44"/>
      <c r="N20" s="44"/>
    </row>
    <row r="21" spans="1:14" x14ac:dyDescent="0.3">
      <c r="A21" s="38">
        <v>1</v>
      </c>
      <c r="B21" s="38"/>
      <c r="C21" s="38"/>
      <c r="D21" s="36"/>
      <c r="E21" s="41"/>
      <c r="F21" s="38"/>
      <c r="G21" s="45"/>
      <c r="H21" s="41"/>
      <c r="I21" s="42"/>
      <c r="J21" s="41"/>
      <c r="K21" s="41"/>
      <c r="L21" s="38"/>
      <c r="M21" s="44"/>
      <c r="N21" s="44"/>
    </row>
    <row r="22" spans="1:14" x14ac:dyDescent="0.3">
      <c r="A22" s="46"/>
      <c r="B22" s="11"/>
      <c r="C22" s="11"/>
      <c r="D22" s="11"/>
      <c r="E22" s="11"/>
      <c r="F22" s="11"/>
      <c r="G22" s="47" t="s">
        <v>85</v>
      </c>
      <c r="H22" s="48">
        <f>+SUM(H13:H21)</f>
        <v>1.4657721028890649</v>
      </c>
      <c r="I22" s="11" t="s">
        <v>61</v>
      </c>
      <c r="J22" s="11"/>
      <c r="K22" s="48">
        <f>+SUM(K13:K21)</f>
        <v>1.1590120607939889</v>
      </c>
      <c r="L22" s="11" t="s">
        <v>61</v>
      </c>
      <c r="M22" s="11"/>
      <c r="N22" s="11"/>
    </row>
    <row r="23" spans="1:14" x14ac:dyDescent="0.3">
      <c r="A23" s="11"/>
      <c r="B23" s="11"/>
      <c r="C23" s="11"/>
      <c r="D23" s="11"/>
      <c r="E23" s="11"/>
      <c r="F23" s="11"/>
      <c r="G23" s="11"/>
      <c r="H23" s="44"/>
      <c r="I23" s="11"/>
      <c r="J23" s="11"/>
      <c r="K23" s="11"/>
      <c r="L23" s="11"/>
      <c r="M23" s="11"/>
      <c r="N23" s="11"/>
    </row>
    <row r="24" spans="1:14" x14ac:dyDescent="0.3">
      <c r="A24" s="11"/>
      <c r="B24" s="11"/>
      <c r="C24" s="49" t="s">
        <v>86</v>
      </c>
      <c r="D24" s="11"/>
      <c r="E24" s="44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3">
      <c r="A25" s="11"/>
      <c r="B25" s="11"/>
      <c r="C25" s="38" t="s">
        <v>87</v>
      </c>
      <c r="D25" s="40">
        <f>D38*E12^2</f>
        <v>9.5622026353115359</v>
      </c>
      <c r="E25" s="42" t="s">
        <v>88</v>
      </c>
      <c r="F25" s="11" t="s">
        <v>89</v>
      </c>
      <c r="G25" s="11"/>
      <c r="H25" s="11"/>
      <c r="I25" s="47"/>
      <c r="J25" s="44"/>
      <c r="K25" s="11"/>
      <c r="L25" s="11"/>
      <c r="M25" s="11"/>
      <c r="N25" s="11"/>
    </row>
    <row r="26" spans="1:14" x14ac:dyDescent="0.3">
      <c r="A26" s="11"/>
      <c r="B26" s="11"/>
      <c r="C26" s="38"/>
      <c r="D26" s="38"/>
      <c r="E26" s="42"/>
      <c r="F26" s="11"/>
      <c r="G26" s="11"/>
      <c r="H26" s="11"/>
      <c r="I26" s="47"/>
      <c r="J26" s="44"/>
      <c r="K26" s="11"/>
      <c r="L26" s="11"/>
      <c r="M26" s="11"/>
      <c r="N26" s="11"/>
    </row>
    <row r="27" spans="1:14" x14ac:dyDescent="0.3">
      <c r="A27" s="11"/>
      <c r="B27" s="11"/>
      <c r="C27" s="38" t="s">
        <v>90</v>
      </c>
      <c r="D27" s="40">
        <f>D39*E12^2</f>
        <v>5.6234858355284514</v>
      </c>
      <c r="E27" s="42" t="s">
        <v>88</v>
      </c>
      <c r="F27" s="11" t="s">
        <v>91</v>
      </c>
      <c r="G27" s="11"/>
      <c r="H27" s="11"/>
      <c r="I27" s="47"/>
      <c r="J27" s="44"/>
      <c r="K27" s="11"/>
      <c r="L27" s="11"/>
      <c r="M27" s="11"/>
      <c r="N27" s="44"/>
    </row>
    <row r="28" spans="1:14" x14ac:dyDescent="0.3">
      <c r="A28" s="11"/>
      <c r="B28" s="11"/>
      <c r="C28" s="38"/>
      <c r="D28" s="45"/>
      <c r="E28" s="42"/>
      <c r="G28" s="11"/>
      <c r="H28" s="11"/>
      <c r="I28" s="47"/>
      <c r="J28" s="44"/>
      <c r="K28" s="11"/>
      <c r="L28" s="11"/>
      <c r="M28" s="11"/>
      <c r="N28" s="44"/>
    </row>
    <row r="29" spans="1:14" x14ac:dyDescent="0.3">
      <c r="A29" s="11"/>
      <c r="B29" s="11"/>
      <c r="C29" s="38" t="s">
        <v>92</v>
      </c>
      <c r="D29" s="45"/>
      <c r="E29" s="42" t="s">
        <v>88</v>
      </c>
      <c r="F29" s="11"/>
      <c r="G29" s="11"/>
      <c r="H29" s="11"/>
      <c r="I29" s="47"/>
      <c r="J29" s="44"/>
      <c r="K29" s="11"/>
      <c r="L29" s="11"/>
      <c r="M29" s="11"/>
      <c r="N29" s="27"/>
    </row>
    <row r="30" spans="1:14" x14ac:dyDescent="0.3">
      <c r="A30" s="11"/>
      <c r="B30" s="11"/>
      <c r="C30" s="38" t="s">
        <v>93</v>
      </c>
      <c r="D30" s="38">
        <v>1.25</v>
      </c>
      <c r="E30" s="42" t="s">
        <v>88</v>
      </c>
      <c r="F30" s="11"/>
      <c r="G30" s="11"/>
      <c r="H30" s="11"/>
      <c r="I30" s="47"/>
      <c r="J30" s="47"/>
      <c r="K30" s="11"/>
      <c r="L30" s="44"/>
      <c r="M30" s="11"/>
      <c r="N30" s="44"/>
    </row>
    <row r="31" spans="1:14" x14ac:dyDescent="0.3">
      <c r="A31" s="11"/>
      <c r="B31" s="11"/>
      <c r="C31" s="11"/>
      <c r="D31" s="11"/>
      <c r="E31" s="11"/>
      <c r="F31" s="11"/>
      <c r="G31" s="11"/>
      <c r="H31" s="11"/>
      <c r="I31" s="47"/>
      <c r="J31" s="44"/>
      <c r="K31" s="11"/>
      <c r="L31" s="44"/>
      <c r="M31" s="11"/>
      <c r="N31" s="44"/>
    </row>
    <row r="32" spans="1:14" x14ac:dyDescent="0.3">
      <c r="A32" s="11"/>
      <c r="B32" s="11"/>
      <c r="C32" s="49" t="s">
        <v>94</v>
      </c>
      <c r="D32" s="11"/>
      <c r="E32" s="44"/>
      <c r="F32" s="11"/>
      <c r="G32" s="11"/>
      <c r="H32" s="11"/>
      <c r="I32" s="47"/>
      <c r="J32" s="44"/>
      <c r="K32" s="11"/>
      <c r="L32" s="11"/>
      <c r="M32" s="11"/>
      <c r="N32" s="44"/>
    </row>
    <row r="33" spans="1:14" x14ac:dyDescent="0.3">
      <c r="A33" s="11"/>
      <c r="B33" s="11"/>
      <c r="C33" s="38" t="s">
        <v>95</v>
      </c>
      <c r="D33" s="42">
        <f>14.696*2.31</f>
        <v>33.947760000000002</v>
      </c>
      <c r="E33" s="42" t="s">
        <v>88</v>
      </c>
      <c r="F33" s="11"/>
      <c r="G33" s="11"/>
      <c r="H33" s="11"/>
      <c r="I33" s="11"/>
      <c r="J33" s="11"/>
      <c r="K33" s="11"/>
      <c r="L33" s="11"/>
      <c r="M33" s="11"/>
      <c r="N33" s="44"/>
    </row>
    <row r="34" spans="1:14" x14ac:dyDescent="0.3">
      <c r="A34" s="11"/>
      <c r="B34" s="11"/>
      <c r="C34" s="38" t="s">
        <v>96</v>
      </c>
      <c r="D34" s="42">
        <v>0</v>
      </c>
      <c r="E34" s="42" t="s">
        <v>88</v>
      </c>
      <c r="F34" s="11"/>
      <c r="G34" s="11"/>
      <c r="H34" s="11"/>
      <c r="I34" s="47"/>
      <c r="J34" s="44"/>
      <c r="K34" s="11"/>
      <c r="L34" s="11"/>
      <c r="M34" s="11"/>
      <c r="N34" s="44"/>
    </row>
    <row r="35" spans="1:14" x14ac:dyDescent="0.3">
      <c r="A35" s="11"/>
      <c r="B35" s="11"/>
      <c r="C35" s="38" t="s">
        <v>97</v>
      </c>
      <c r="D35" s="42">
        <f>0.5*2.31</f>
        <v>1.155</v>
      </c>
      <c r="E35" s="42" t="s">
        <v>88</v>
      </c>
      <c r="F35" s="11"/>
      <c r="G35" s="11"/>
      <c r="H35" s="11"/>
      <c r="I35" s="47"/>
      <c r="J35" s="44"/>
      <c r="K35" s="11"/>
      <c r="L35" s="44"/>
      <c r="M35" s="11"/>
      <c r="N35" s="44"/>
    </row>
    <row r="36" spans="1:14" x14ac:dyDescent="0.3">
      <c r="A36" s="49"/>
      <c r="B36" s="11"/>
      <c r="C36" s="47" t="s">
        <v>98</v>
      </c>
      <c r="D36" s="27">
        <f>D33+D34-D35</f>
        <v>32.792760000000001</v>
      </c>
      <c r="E36" s="44" t="s">
        <v>88</v>
      </c>
      <c r="F36" s="11"/>
      <c r="G36" s="11"/>
      <c r="H36" s="11"/>
      <c r="I36" s="11"/>
      <c r="J36" s="11"/>
      <c r="K36" s="11"/>
      <c r="L36" s="11"/>
      <c r="M36" s="11"/>
      <c r="N36" s="44"/>
    </row>
    <row r="37" spans="1:14" x14ac:dyDescent="0.3">
      <c r="A37" s="49"/>
      <c r="B37" s="11"/>
      <c r="C37" s="47"/>
      <c r="D37" s="27"/>
      <c r="E37" s="44"/>
      <c r="F37" s="11"/>
      <c r="G37" s="11"/>
      <c r="H37" s="11"/>
      <c r="I37" s="47"/>
      <c r="J37" s="44"/>
      <c r="K37" s="11"/>
      <c r="L37" s="11"/>
      <c r="M37" s="11"/>
      <c r="N37" s="44"/>
    </row>
    <row r="38" spans="1:14" x14ac:dyDescent="0.3">
      <c r="A38" s="49"/>
      <c r="B38" s="11"/>
      <c r="C38" s="50" t="s">
        <v>99</v>
      </c>
      <c r="D38" s="118">
        <f>2.1*10^9*0.33463823293911*0.000801843801</f>
        <v>563487.94458562066</v>
      </c>
      <c r="E38" s="118"/>
      <c r="F38" s="11"/>
      <c r="G38" s="11"/>
      <c r="H38" s="11"/>
      <c r="I38" s="47"/>
      <c r="J38" s="44"/>
      <c r="K38" s="11"/>
      <c r="L38" s="11"/>
      <c r="M38" s="11"/>
      <c r="N38" s="44"/>
    </row>
    <row r="39" spans="1:14" x14ac:dyDescent="0.3">
      <c r="A39" s="11"/>
      <c r="B39" s="11"/>
      <c r="C39" s="50" t="s">
        <v>100</v>
      </c>
      <c r="D39" s="119">
        <f>1.235*10^9*0.33463823293911*0.000801843801</f>
        <v>331384.57693487697</v>
      </c>
      <c r="E39" s="119"/>
      <c r="F39" s="11"/>
      <c r="G39" s="11"/>
      <c r="H39" s="11"/>
      <c r="I39" s="47"/>
      <c r="J39" s="44"/>
      <c r="K39" s="11"/>
      <c r="L39" s="11"/>
      <c r="M39" s="11"/>
      <c r="N39" s="11"/>
    </row>
    <row r="40" spans="1:14" x14ac:dyDescent="0.3">
      <c r="A40" s="11"/>
      <c r="B40" s="11"/>
      <c r="C40" s="11" t="s">
        <v>101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3">
      <c r="A41" s="11"/>
      <c r="B41" s="11"/>
      <c r="C41" s="11"/>
      <c r="D41" s="120"/>
      <c r="E41" s="120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3">
      <c r="A42" s="11"/>
      <c r="B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</sheetData>
  <mergeCells count="4">
    <mergeCell ref="A1:C1"/>
    <mergeCell ref="D38:E38"/>
    <mergeCell ref="D39:E39"/>
    <mergeCell ref="D41:E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3C6E-0045-42D7-A0EF-F27A7BA8CF65}">
  <dimension ref="B2:D19"/>
  <sheetViews>
    <sheetView topLeftCell="A12" zoomScale="71" workbookViewId="0">
      <selection activeCell="J14" sqref="J14"/>
    </sheetView>
  </sheetViews>
  <sheetFormatPr defaultRowHeight="14.4" x14ac:dyDescent="0.3"/>
  <cols>
    <col min="2" max="2" width="15.88671875" bestFit="1" customWidth="1"/>
    <col min="3" max="3" width="70.33203125" bestFit="1" customWidth="1"/>
    <col min="4" max="4" width="22.21875" bestFit="1" customWidth="1"/>
  </cols>
  <sheetData>
    <row r="2" spans="2:4" x14ac:dyDescent="0.3">
      <c r="B2" s="1" t="s">
        <v>5</v>
      </c>
    </row>
    <row r="4" spans="2:4" x14ac:dyDescent="0.3">
      <c r="B4" s="7" t="s">
        <v>11</v>
      </c>
      <c r="C4" s="7" t="s">
        <v>8</v>
      </c>
      <c r="D4" s="7" t="s">
        <v>9</v>
      </c>
    </row>
    <row r="5" spans="2:4" ht="144" x14ac:dyDescent="0.3">
      <c r="B5" s="1" t="s">
        <v>6</v>
      </c>
      <c r="C5" s="1" t="s">
        <v>7</v>
      </c>
      <c r="D5" s="6" t="s">
        <v>10</v>
      </c>
    </row>
    <row r="6" spans="2:4" ht="129.6" x14ac:dyDescent="0.3">
      <c r="B6" s="9" t="s">
        <v>12</v>
      </c>
      <c r="C6" s="9" t="s">
        <v>13</v>
      </c>
      <c r="D6" s="10" t="s">
        <v>14</v>
      </c>
    </row>
    <row r="7" spans="2:4" ht="115.2" x14ac:dyDescent="0.3">
      <c r="B7" s="1" t="s">
        <v>15</v>
      </c>
      <c r="C7" s="1" t="s">
        <v>16</v>
      </c>
      <c r="D7" s="6" t="s">
        <v>17</v>
      </c>
    </row>
    <row r="8" spans="2:4" ht="72" x14ac:dyDescent="0.3">
      <c r="B8" s="1" t="s">
        <v>18</v>
      </c>
      <c r="C8" s="1" t="s">
        <v>19</v>
      </c>
      <c r="D8" s="6" t="s">
        <v>20</v>
      </c>
    </row>
    <row r="9" spans="2:4" ht="115.2" x14ac:dyDescent="0.3">
      <c r="B9" s="1" t="s">
        <v>21</v>
      </c>
      <c r="C9" s="1" t="s">
        <v>22</v>
      </c>
      <c r="D9" s="6" t="s">
        <v>23</v>
      </c>
    </row>
    <row r="10" spans="2:4" ht="86.4" x14ac:dyDescent="0.3">
      <c r="B10" s="1" t="s">
        <v>24</v>
      </c>
      <c r="C10" s="1" t="s">
        <v>25</v>
      </c>
      <c r="D10" s="6" t="s">
        <v>26</v>
      </c>
    </row>
    <row r="11" spans="2:4" ht="86.4" x14ac:dyDescent="0.3">
      <c r="B11" s="2" t="s">
        <v>27</v>
      </c>
      <c r="C11" s="2" t="s">
        <v>28</v>
      </c>
      <c r="D11" s="8" t="s">
        <v>29</v>
      </c>
    </row>
    <row r="12" spans="2:4" ht="72" x14ac:dyDescent="0.3">
      <c r="B12" s="9" t="s">
        <v>30</v>
      </c>
      <c r="C12" s="9" t="s">
        <v>31</v>
      </c>
      <c r="D12" s="10" t="s">
        <v>32</v>
      </c>
    </row>
    <row r="13" spans="2:4" ht="72" x14ac:dyDescent="0.3">
      <c r="B13" s="5" t="s">
        <v>33</v>
      </c>
      <c r="C13" s="5" t="s">
        <v>34</v>
      </c>
      <c r="D13" s="4" t="s">
        <v>35</v>
      </c>
    </row>
    <row r="14" spans="2:4" ht="86.4" x14ac:dyDescent="0.3">
      <c r="B14" s="5" t="s">
        <v>36</v>
      </c>
      <c r="C14" s="5" t="s">
        <v>37</v>
      </c>
      <c r="D14" s="4" t="s">
        <v>38</v>
      </c>
    </row>
    <row r="15" spans="2:4" ht="57.6" x14ac:dyDescent="0.3">
      <c r="B15" s="5" t="s">
        <v>39</v>
      </c>
      <c r="C15" s="5" t="s">
        <v>40</v>
      </c>
      <c r="D15" s="4" t="s">
        <v>41</v>
      </c>
    </row>
    <row r="16" spans="2:4" ht="100.8" x14ac:dyDescent="0.3">
      <c r="B16" s="5" t="s">
        <v>42</v>
      </c>
      <c r="C16" s="5" t="s">
        <v>43</v>
      </c>
      <c r="D16" s="4" t="s">
        <v>44</v>
      </c>
    </row>
    <row r="17" spans="2:4" ht="72" x14ac:dyDescent="0.3">
      <c r="B17" s="5" t="s">
        <v>45</v>
      </c>
      <c r="C17" s="5" t="s">
        <v>46</v>
      </c>
      <c r="D17" s="4" t="s">
        <v>47</v>
      </c>
    </row>
    <row r="18" spans="2:4" ht="57.6" x14ac:dyDescent="0.3">
      <c r="B18" s="5" t="s">
        <v>48</v>
      </c>
      <c r="C18" s="5" t="s">
        <v>49</v>
      </c>
      <c r="D18" s="4" t="s">
        <v>50</v>
      </c>
    </row>
    <row r="19" spans="2:4" ht="100.8" x14ac:dyDescent="0.3">
      <c r="B19" s="5" t="s">
        <v>51</v>
      </c>
      <c r="C19" s="5" t="s">
        <v>52</v>
      </c>
      <c r="D19" s="4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0E47-1502-4DF6-929E-3F7841655E3D}">
  <dimension ref="A1:AB30"/>
  <sheetViews>
    <sheetView topLeftCell="T1" zoomScale="67" workbookViewId="0">
      <selection activeCell="A39" sqref="A39"/>
    </sheetView>
  </sheetViews>
  <sheetFormatPr defaultRowHeight="14.4" x14ac:dyDescent="0.3"/>
  <cols>
    <col min="1" max="1" width="13.109375" customWidth="1"/>
    <col min="18" max="18" width="9.109375" customWidth="1"/>
    <col min="24" max="24" width="12" customWidth="1"/>
  </cols>
  <sheetData>
    <row r="1" spans="1:28" x14ac:dyDescent="0.3">
      <c r="A1" s="1" t="s">
        <v>210</v>
      </c>
      <c r="B1" t="s">
        <v>211</v>
      </c>
      <c r="X1" s="1" t="s">
        <v>208</v>
      </c>
      <c r="Y1" s="102" t="s">
        <v>209</v>
      </c>
    </row>
    <row r="3" spans="1:28" x14ac:dyDescent="0.3">
      <c r="B3" s="2" t="s">
        <v>213</v>
      </c>
      <c r="C3" s="3"/>
      <c r="X3" s="2" t="s">
        <v>212</v>
      </c>
      <c r="Y3" s="3"/>
      <c r="Z3" s="3"/>
      <c r="AA3" s="3"/>
      <c r="AB3" s="3"/>
    </row>
    <row r="30" spans="2:5" x14ac:dyDescent="0.3">
      <c r="B30" s="2" t="s">
        <v>214</v>
      </c>
      <c r="C30" s="3"/>
      <c r="D30" s="3"/>
      <c r="E30" s="3"/>
    </row>
  </sheetData>
  <hyperlinks>
    <hyperlink ref="Y1" r:id="rId1" xr:uid="{E7E4A231-59F2-4BB5-A760-F2B5DCA23A9A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BC06-98F4-4E55-A229-40A68EF9ADEF}">
  <dimension ref="B2:AA3"/>
  <sheetViews>
    <sheetView zoomScale="83" workbookViewId="0">
      <selection activeCell="B4" sqref="B4"/>
    </sheetView>
  </sheetViews>
  <sheetFormatPr defaultRowHeight="14.4" x14ac:dyDescent="0.3"/>
  <sheetData>
    <row r="2" spans="2:27" x14ac:dyDescent="0.3">
      <c r="AA2" t="s">
        <v>228</v>
      </c>
    </row>
    <row r="3" spans="2:27" x14ac:dyDescent="0.3">
      <c r="B3" t="s">
        <v>269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2B68-F381-4ECC-BF45-E39FF48F5E03}">
  <dimension ref="A1:H29"/>
  <sheetViews>
    <sheetView tabSelected="1" zoomScale="78" workbookViewId="0">
      <selection activeCell="B17" sqref="B17"/>
    </sheetView>
  </sheetViews>
  <sheetFormatPr defaultRowHeight="14.4" x14ac:dyDescent="0.3"/>
  <cols>
    <col min="2" max="2" width="30.88671875" bestFit="1" customWidth="1"/>
    <col min="3" max="3" width="33.77734375" bestFit="1" customWidth="1"/>
    <col min="4" max="4" width="38.44140625" bestFit="1" customWidth="1"/>
    <col min="5" max="5" width="44.88671875" bestFit="1" customWidth="1"/>
    <col min="6" max="6" width="48.109375" bestFit="1" customWidth="1"/>
    <col min="7" max="7" width="31.5546875" bestFit="1" customWidth="1"/>
    <col min="8" max="8" width="28" bestFit="1" customWidth="1"/>
  </cols>
  <sheetData>
    <row r="1" spans="1:7" x14ac:dyDescent="0.3">
      <c r="A1" t="s">
        <v>221</v>
      </c>
    </row>
    <row r="2" spans="1:7" x14ac:dyDescent="0.3">
      <c r="A2" t="s">
        <v>223</v>
      </c>
    </row>
    <row r="3" spans="1:7" x14ac:dyDescent="0.3">
      <c r="A3" t="s">
        <v>268</v>
      </c>
    </row>
    <row r="4" spans="1:7" x14ac:dyDescent="0.3">
      <c r="B4" s="2" t="s">
        <v>222</v>
      </c>
    </row>
    <row r="5" spans="1:7" ht="15" thickBot="1" x14ac:dyDescent="0.35"/>
    <row r="6" spans="1:7" x14ac:dyDescent="0.3">
      <c r="B6" s="112" t="s">
        <v>264</v>
      </c>
      <c r="C6" s="113" t="s">
        <v>265</v>
      </c>
      <c r="D6" s="113" t="s">
        <v>234</v>
      </c>
      <c r="E6" s="114" t="s">
        <v>235</v>
      </c>
    </row>
    <row r="7" spans="1:7" ht="15" thickBot="1" x14ac:dyDescent="0.35">
      <c r="B7" s="63"/>
      <c r="C7" s="70"/>
      <c r="D7" s="70"/>
      <c r="E7" s="72"/>
    </row>
    <row r="9" spans="1:7" ht="15" thickBot="1" x14ac:dyDescent="0.35">
      <c r="B9" s="111" t="s">
        <v>112</v>
      </c>
      <c r="C9" s="111" t="s">
        <v>224</v>
      </c>
      <c r="D9" s="55" t="s">
        <v>225</v>
      </c>
      <c r="E9" s="55" t="s">
        <v>225</v>
      </c>
    </row>
    <row r="10" spans="1:7" x14ac:dyDescent="0.3">
      <c r="B10" s="112" t="s">
        <v>236</v>
      </c>
      <c r="C10" s="113" t="s">
        <v>237</v>
      </c>
      <c r="D10" s="113" t="s">
        <v>238</v>
      </c>
      <c r="E10" s="113" t="s">
        <v>239</v>
      </c>
      <c r="F10" s="113" t="s">
        <v>240</v>
      </c>
      <c r="G10" s="114" t="s">
        <v>241</v>
      </c>
    </row>
    <row r="11" spans="1:7" ht="15" thickBot="1" x14ac:dyDescent="0.35">
      <c r="B11" s="63"/>
      <c r="C11" s="70"/>
      <c r="D11" s="70"/>
      <c r="E11" s="70"/>
      <c r="F11" s="70"/>
      <c r="G11" s="72"/>
    </row>
    <row r="13" spans="1:7" ht="15" thickBot="1" x14ac:dyDescent="0.35">
      <c r="B13" s="111" t="s">
        <v>224</v>
      </c>
      <c r="C13" s="111" t="s">
        <v>112</v>
      </c>
      <c r="D13" t="s">
        <v>229</v>
      </c>
      <c r="E13" t="s">
        <v>230</v>
      </c>
      <c r="F13" t="s">
        <v>231</v>
      </c>
    </row>
    <row r="14" spans="1:7" x14ac:dyDescent="0.3">
      <c r="B14" s="112" t="s">
        <v>242</v>
      </c>
      <c r="C14" s="113" t="s">
        <v>243</v>
      </c>
      <c r="D14" s="113" t="s">
        <v>244</v>
      </c>
      <c r="E14" s="113" t="s">
        <v>245</v>
      </c>
      <c r="F14" s="114" t="s">
        <v>246</v>
      </c>
    </row>
    <row r="15" spans="1:7" ht="15" thickBot="1" x14ac:dyDescent="0.35">
      <c r="B15" s="63"/>
      <c r="C15" s="70"/>
      <c r="D15" s="70"/>
      <c r="E15" s="70"/>
      <c r="F15" s="72"/>
    </row>
    <row r="16" spans="1:7" x14ac:dyDescent="0.3">
      <c r="A16" s="3" t="s">
        <v>233</v>
      </c>
    </row>
    <row r="17" spans="1:8" x14ac:dyDescent="0.3">
      <c r="A17" s="3" t="s">
        <v>232</v>
      </c>
    </row>
    <row r="18" spans="1:8" x14ac:dyDescent="0.3">
      <c r="A18" s="3"/>
    </row>
    <row r="19" spans="1:8" x14ac:dyDescent="0.3">
      <c r="A19" s="3"/>
    </row>
    <row r="20" spans="1:8" ht="15" thickBot="1" x14ac:dyDescent="0.35">
      <c r="C20" s="111" t="s">
        <v>224</v>
      </c>
      <c r="D20" s="111" t="s">
        <v>224</v>
      </c>
      <c r="E20" s="111" t="s">
        <v>224</v>
      </c>
    </row>
    <row r="21" spans="1:8" x14ac:dyDescent="0.3">
      <c r="B21" s="112" t="s">
        <v>247</v>
      </c>
      <c r="C21" s="113" t="s">
        <v>257</v>
      </c>
      <c r="D21" s="113" t="s">
        <v>266</v>
      </c>
      <c r="E21" s="114" t="s">
        <v>267</v>
      </c>
    </row>
    <row r="22" spans="1:8" ht="15" thickBot="1" x14ac:dyDescent="0.35">
      <c r="B22" s="63">
        <f>B11</f>
        <v>0</v>
      </c>
      <c r="C22" s="70"/>
      <c r="D22" s="70"/>
      <c r="E22" s="72"/>
    </row>
    <row r="24" spans="1:8" ht="15" thickBot="1" x14ac:dyDescent="0.35">
      <c r="B24" t="s">
        <v>254</v>
      </c>
      <c r="C24" t="s">
        <v>254</v>
      </c>
      <c r="D24" t="s">
        <v>254</v>
      </c>
      <c r="E24" t="s">
        <v>256</v>
      </c>
      <c r="F24" t="s">
        <v>253</v>
      </c>
      <c r="G24" t="s">
        <v>253</v>
      </c>
      <c r="H24" t="s">
        <v>255</v>
      </c>
    </row>
    <row r="25" spans="1:8" x14ac:dyDescent="0.3">
      <c r="B25" s="57" t="s">
        <v>262</v>
      </c>
      <c r="C25" s="67" t="s">
        <v>263</v>
      </c>
      <c r="D25" s="67" t="s">
        <v>261</v>
      </c>
      <c r="E25" s="67" t="s">
        <v>260</v>
      </c>
      <c r="F25" s="67" t="s">
        <v>249</v>
      </c>
      <c r="G25" s="67" t="s">
        <v>250</v>
      </c>
      <c r="H25" s="68" t="s">
        <v>248</v>
      </c>
    </row>
    <row r="26" spans="1:8" ht="15" thickBot="1" x14ac:dyDescent="0.35">
      <c r="B26" s="63"/>
      <c r="C26" s="70"/>
      <c r="D26" s="70"/>
      <c r="E26" s="70"/>
      <c r="F26" s="70">
        <f>B26*D26</f>
        <v>0</v>
      </c>
      <c r="G26" s="70">
        <f>C26*E26</f>
        <v>0</v>
      </c>
      <c r="H26" s="72"/>
    </row>
    <row r="27" spans="1:8" ht="15" thickBot="1" x14ac:dyDescent="0.35"/>
    <row r="28" spans="1:8" x14ac:dyDescent="0.3">
      <c r="B28" s="57" t="s">
        <v>251</v>
      </c>
      <c r="C28" s="67" t="s">
        <v>252</v>
      </c>
      <c r="D28" s="67" t="s">
        <v>258</v>
      </c>
      <c r="E28" s="68" t="s">
        <v>259</v>
      </c>
    </row>
    <row r="29" spans="1:8" ht="15" thickBot="1" x14ac:dyDescent="0.35">
      <c r="B29" s="63"/>
      <c r="C29" s="70"/>
      <c r="D29" s="70"/>
      <c r="E29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FLUID REFERENCE TABLES</vt:lpstr>
      <vt:lpstr>FLUIDS ASSUMED CONSTANTS </vt:lpstr>
      <vt:lpstr>AER 27 HEAD CALCS</vt:lpstr>
      <vt:lpstr>PUMP CURVE </vt:lpstr>
      <vt:lpstr>AER 26 HEAD LOSS CALCS</vt:lpstr>
      <vt:lpstr>FITTINGS TERMS</vt:lpstr>
      <vt:lpstr>HEAT TRANSFER REFERENCE TABLES</vt:lpstr>
      <vt:lpstr>HEAT TRANSFER ASSUMED CONSTANTS</vt:lpstr>
      <vt:lpstr>AER 27 HEAT TRANSFER 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Chavez</dc:creator>
  <cp:lastModifiedBy>Charlie Chavez</cp:lastModifiedBy>
  <dcterms:created xsi:type="dcterms:W3CDTF">2026-05-15T23:29:36Z</dcterms:created>
  <dcterms:modified xsi:type="dcterms:W3CDTF">2026-06-03T05:37:33Z</dcterms:modified>
</cp:coreProperties>
</file>