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Plan Evaluation\Test Data\"/>
    </mc:Choice>
  </mc:AlternateContent>
  <bookViews>
    <workbookView xWindow="11055" yWindow="-225" windowWidth="12900" windowHeight="13650" tabRatio="893"/>
  </bookViews>
  <sheets>
    <sheet name="EvalutionSheet 48Gy4F or 60Gy5F" sheetId="16" r:id="rId1"/>
    <sheet name="Evalution Sheet 60Gy 8F" sheetId="18" r:id="rId2"/>
    <sheet name="Calculations 48Gy4F_ or_ 60Gy5F" sheetId="24" r:id="rId3"/>
    <sheet name="Calculations 60Gy_8F" sheetId="21" r:id="rId4"/>
    <sheet name="RTOG Conformality Table" sheetId="20" r:id="rId5"/>
    <sheet name="EvalutionSheet 54Gy 3F" sheetId="26" r:id="rId6"/>
    <sheet name="Calculations 54Gy 3F" sheetId="25" r:id="rId7"/>
  </sheets>
  <definedNames>
    <definedName name="B">#REF!</definedName>
    <definedName name="_xlnm.Print_Area" localSheetId="1">'Evalution Sheet 60Gy 8F'!$B$2:$L$54</definedName>
    <definedName name="_xlnm.Print_Area" localSheetId="0">'EvalutionSheet 48Gy4F or 60Gy5F'!$B$2:$L$62</definedName>
    <definedName name="_xlnm.Print_Area" localSheetId="5">'EvalutionSheet 54Gy 3F'!$B$2:$L$52</definedName>
  </definedNames>
  <calcPr calcId="152511"/>
</workbook>
</file>

<file path=xl/calcChain.xml><?xml version="1.0" encoding="utf-8"?>
<calcChain xmlns="http://schemas.openxmlformats.org/spreadsheetml/2006/main">
  <c r="J31" i="24" l="1"/>
  <c r="K31" i="24"/>
  <c r="G38" i="16"/>
  <c r="G48" i="18"/>
  <c r="G46" i="18"/>
  <c r="L46" i="18" s="1"/>
  <c r="G44" i="18"/>
  <c r="L44" i="18" s="1"/>
  <c r="G41" i="18"/>
  <c r="G39" i="18"/>
  <c r="L39" i="18" s="1"/>
  <c r="G36" i="18"/>
  <c r="L36" i="18" s="1"/>
  <c r="L41" i="18"/>
  <c r="L48" i="18"/>
  <c r="L47" i="18"/>
  <c r="G34" i="18"/>
  <c r="L34" i="18" s="1"/>
  <c r="L15" i="18"/>
  <c r="G57" i="16"/>
  <c r="G55" i="16"/>
  <c r="L55" i="16" s="1"/>
  <c r="G52" i="16"/>
  <c r="G51" i="16"/>
  <c r="G49" i="16"/>
  <c r="G41" i="16"/>
  <c r="G40" i="16"/>
  <c r="G47" i="16"/>
  <c r="G44" i="16"/>
  <c r="G36" i="16"/>
  <c r="I34" i="24"/>
  <c r="K34" i="24" s="1"/>
  <c r="L31" i="16" s="1"/>
  <c r="I34" i="21"/>
  <c r="K34" i="21"/>
  <c r="L31" i="18" s="1"/>
  <c r="L56" i="16"/>
  <c r="L45" i="18"/>
  <c r="L43" i="18"/>
  <c r="L42" i="18"/>
  <c r="L40" i="18"/>
  <c r="L38" i="18"/>
  <c r="L37" i="18"/>
  <c r="L35" i="18"/>
  <c r="L33" i="18"/>
  <c r="L53" i="16"/>
  <c r="L50" i="16"/>
  <c r="L19" i="18"/>
  <c r="L18" i="18"/>
  <c r="L17" i="18"/>
  <c r="L14" i="18"/>
  <c r="L38" i="16"/>
  <c r="L36" i="16"/>
  <c r="L32" i="16"/>
  <c r="L33" i="16"/>
  <c r="L39" i="16"/>
  <c r="L37" i="16"/>
  <c r="L35" i="16"/>
  <c r="L19" i="16"/>
  <c r="L18" i="16"/>
  <c r="L17" i="16"/>
  <c r="L15" i="16"/>
  <c r="L14" i="16"/>
  <c r="L57" i="16"/>
  <c r="L51" i="16"/>
  <c r="L49" i="16"/>
  <c r="H24" i="26"/>
  <c r="I34" i="25"/>
  <c r="G44" i="26"/>
  <c r="L44" i="26"/>
  <c r="G45" i="26"/>
  <c r="L45" i="26" s="1"/>
  <c r="G14" i="26"/>
  <c r="L52" i="16"/>
  <c r="I33" i="25"/>
  <c r="J33" i="25" s="1"/>
  <c r="I32" i="25"/>
  <c r="I31" i="25"/>
  <c r="I30" i="25"/>
  <c r="O27" i="25" s="1"/>
  <c r="I30" i="24"/>
  <c r="L27" i="24" s="1"/>
  <c r="K24" i="16" s="1"/>
  <c r="I33" i="24"/>
  <c r="J33" i="24" s="1"/>
  <c r="I14" i="26"/>
  <c r="L14" i="26"/>
  <c r="H15" i="26"/>
  <c r="I15" i="26" s="1"/>
  <c r="L15" i="26" s="1"/>
  <c r="H17" i="26"/>
  <c r="I17" i="26" s="1"/>
  <c r="L17" i="26" s="1"/>
  <c r="G18" i="26"/>
  <c r="L18" i="26"/>
  <c r="G19" i="26"/>
  <c r="L19" i="26"/>
  <c r="H21" i="26"/>
  <c r="L21" i="26" s="1"/>
  <c r="I31" i="24"/>
  <c r="I32" i="24"/>
  <c r="L32" i="26"/>
  <c r="L33" i="26"/>
  <c r="L35" i="26"/>
  <c r="L36" i="26"/>
  <c r="L37" i="26"/>
  <c r="L38" i="26"/>
  <c r="L39" i="26"/>
  <c r="L40" i="26"/>
  <c r="L41" i="26"/>
  <c r="L42" i="26"/>
  <c r="L43" i="26"/>
  <c r="L46" i="26"/>
  <c r="J27" i="25"/>
  <c r="M27" i="25"/>
  <c r="P27" i="25"/>
  <c r="I30" i="21"/>
  <c r="L27" i="21"/>
  <c r="K24" i="18" s="1"/>
  <c r="I31" i="21"/>
  <c r="I33" i="21"/>
  <c r="J33" i="21"/>
  <c r="I32" i="21"/>
  <c r="K32" i="21" s="1"/>
  <c r="L25" i="18" s="1"/>
  <c r="H21" i="18"/>
  <c r="L21" i="18"/>
  <c r="H22" i="18"/>
  <c r="H25" i="18"/>
  <c r="H21" i="16"/>
  <c r="L21" i="16"/>
  <c r="L27" i="25"/>
  <c r="K24" i="26" s="1"/>
  <c r="G27" i="25"/>
  <c r="I27" i="25"/>
  <c r="K32" i="25" s="1"/>
  <c r="L25" i="26" s="1"/>
  <c r="J32" i="25"/>
  <c r="H25" i="26"/>
  <c r="F27" i="25"/>
  <c r="K31" i="25" s="1"/>
  <c r="L22" i="26" s="1"/>
  <c r="J31" i="25"/>
  <c r="I27" i="21"/>
  <c r="K25" i="18" s="1"/>
  <c r="G27" i="24"/>
  <c r="G27" i="21"/>
  <c r="H22" i="26"/>
  <c r="J27" i="21"/>
  <c r="F27" i="21"/>
  <c r="I27" i="24"/>
  <c r="K25" i="16" s="1"/>
  <c r="J32" i="24"/>
  <c r="H25" i="16" s="1"/>
  <c r="O27" i="21"/>
  <c r="P27" i="21"/>
  <c r="P27" i="24"/>
  <c r="O27" i="24"/>
  <c r="H22" i="16"/>
  <c r="F27" i="24"/>
  <c r="M27" i="24"/>
  <c r="K33" i="24"/>
  <c r="L24" i="16"/>
  <c r="J27" i="24"/>
  <c r="K31" i="21"/>
  <c r="L22" i="18" s="1"/>
  <c r="J31" i="21"/>
  <c r="J32" i="21"/>
  <c r="M27" i="21"/>
  <c r="K33" i="21"/>
  <c r="L24" i="18" s="1"/>
  <c r="L41" i="16"/>
  <c r="L40" i="16"/>
  <c r="L22" i="16"/>
  <c r="L42" i="16"/>
  <c r="L43" i="16"/>
  <c r="L46" i="16"/>
  <c r="L44" i="16"/>
  <c r="L45" i="16"/>
  <c r="L48" i="16"/>
  <c r="L47" i="16"/>
  <c r="K25" i="26" l="1"/>
  <c r="K32" i="24"/>
  <c r="L25" i="16" s="1"/>
  <c r="K33" i="25"/>
  <c r="L24" i="26" s="1"/>
  <c r="K31" i="26"/>
  <c r="K34" i="25"/>
  <c r="L31" i="26" s="1"/>
</calcChain>
</file>

<file path=xl/sharedStrings.xml><?xml version="1.0" encoding="utf-8"?>
<sst xmlns="http://schemas.openxmlformats.org/spreadsheetml/2006/main" count="735" uniqueCount="217">
  <si>
    <t>Patient:</t>
  </si>
  <si>
    <t>CR#:</t>
  </si>
  <si>
    <t>Fracttions: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</si>
  <si>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</si>
  <si>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</si>
  <si>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</si>
  <si>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</si>
  <si>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</si>
  <si>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</si>
  <si>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</si>
  <si>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</si>
  <si>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</si>
  <si>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</si>
  <si>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</si>
  <si>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</si>
  <si>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</si>
  <si>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</si>
  <si>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Proximal Trachea</t>
  </si>
  <si>
    <t>Heart</t>
  </si>
  <si>
    <t>Requirement</t>
  </si>
  <si>
    <t>Protocol</t>
  </si>
  <si>
    <t>Calculated</t>
  </si>
  <si>
    <t>Dose (cGy)</t>
  </si>
  <si>
    <t>DOSE TO OARs</t>
  </si>
  <si>
    <t>60%-90%</t>
  </si>
  <si>
    <t>Lung Dose</t>
  </si>
  <si>
    <t>Mean Dose (contralateral lung)</t>
  </si>
  <si>
    <t>Mean Dose (Total lung)</t>
  </si>
  <si>
    <t>V20 (Total Lung)</t>
  </si>
  <si>
    <t>RTOG0236</t>
  </si>
  <si>
    <t>Maximum Point</t>
  </si>
  <si>
    <t>PTV Dose Inhomogeneity:</t>
  </si>
  <si>
    <t>PTV (V48Gy)</t>
  </si>
  <si>
    <t>PTV (V43.2Gy)</t>
  </si>
  <si>
    <t>Artery-Pulmnory</t>
  </si>
  <si>
    <t xml:space="preserve">Tolerance </t>
  </si>
  <si>
    <t>Spinal Canal-PRV 5mm</t>
  </si>
  <si>
    <t>(Tumours located within the lung parenchyma, away from the OAR’s and chest wall)</t>
  </si>
  <si>
    <t xml:space="preserve"> </t>
  </si>
  <si>
    <t>LOW Dose Spillage:</t>
  </si>
  <si>
    <t>HIGH Dose Spillage:</t>
  </si>
  <si>
    <t>Location</t>
  </si>
  <si>
    <t>PTV- Minimum Dose</t>
  </si>
  <si>
    <t>100% Dose covers 95% of Target Volume</t>
  </si>
  <si>
    <t>Volume</t>
  </si>
  <si>
    <t>Comments</t>
  </si>
  <si>
    <t>Total Prescr. Dose (cGy):</t>
  </si>
  <si>
    <t>Plan Normalization Value (%)</t>
  </si>
  <si>
    <t>See "Prescription" on Eclipse</t>
  </si>
  <si>
    <t>111.1%-166.7%</t>
  </si>
  <si>
    <t>VALUE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</si>
  <si>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</si>
  <si>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</si>
  <si>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</si>
  <si>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Other OARs</t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</si>
  <si>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</si>
  <si>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</si>
  <si>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</si>
  <si>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</si>
  <si>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Preferebly &lt;140%</t>
  </si>
  <si>
    <t>Dosimetrist:</t>
  </si>
  <si>
    <t>Physicist:</t>
  </si>
  <si>
    <t>Radiation Oncologist:</t>
  </si>
  <si>
    <t>ref volume (cc)</t>
  </si>
  <si>
    <t>Max Dose (cGy)/ volume</t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</si>
  <si>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</si>
  <si>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</si>
  <si>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</si>
  <si>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</si>
  <si>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</si>
  <si>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</si>
  <si>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</si>
  <si>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t>Chestwall (rib)</t>
  </si>
  <si>
    <r>
      <t>£</t>
    </r>
    <r>
      <rPr>
        <sz val="10"/>
        <rFont val="Arial"/>
        <family val="2"/>
      </rPr>
      <t>10%</t>
    </r>
  </si>
  <si>
    <t>PTV - V100(%)</t>
  </si>
  <si>
    <t>PTV - V90 (%)</t>
  </si>
  <si>
    <t>R or L Lung volume getting &gt;1160cGy</t>
  </si>
  <si>
    <t>R or L Lung volume getting&gt;1240cGy</t>
  </si>
  <si>
    <t>LUNG</t>
  </si>
  <si>
    <t>The spreadsheet is protected so that information/farmula can not be change inadverently.</t>
  </si>
  <si>
    <t>(There is no password to unprotect the sheet.</t>
  </si>
  <si>
    <t>NOTE:</t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</si>
  <si>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</si>
  <si>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</si>
  <si>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</si>
  <si>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</si>
  <si>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</si>
  <si>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</si>
  <si>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</si>
  <si>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</si>
  <si>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</si>
  <si>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</si>
  <si>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</si>
  <si>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</si>
  <si>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</si>
  <si>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</si>
  <si>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</si>
  <si>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</si>
  <si>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</si>
  <si>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</si>
  <si>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</si>
  <si>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</si>
  <si>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</si>
  <si>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</si>
  <si>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</si>
  <si>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</si>
  <si>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</si>
  <si>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</si>
  <si>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</si>
  <si>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</si>
  <si>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</si>
  <si>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</si>
  <si>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</si>
  <si>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</si>
  <si>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</si>
  <si>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</si>
  <si>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</si>
  <si>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</si>
  <si>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</si>
  <si>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</si>
  <si>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</si>
  <si>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</si>
  <si>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</si>
  <si>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</si>
  <si>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</si>
  <si>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</si>
  <si>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t>V20 (Total Lung) in %</t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</si>
  <si>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</si>
  <si>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</si>
  <si>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</si>
  <si>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</si>
  <si>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and Bronchial Tree</t>
  </si>
  <si>
    <t>Chestwall (including rib) limit may be exceeded if structure lies within PTV</t>
  </si>
  <si>
    <t>*Chestwall (rib)</t>
  </si>
  <si>
    <t>*NOTE:</t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</si>
  <si>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</si>
  <si>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</si>
  <si>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</si>
  <si>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</si>
  <si>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t>V11.6Gy=</t>
  </si>
  <si>
    <t>V12.4Gy=</t>
  </si>
  <si>
    <t>SABR Plan Evaluation Sheet for 12Gy/fr Schedules (48 Gy in 4F) or (60Gy/5F)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</si>
  <si>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</si>
  <si>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</si>
  <si>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</si>
  <si>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</si>
  <si>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SABR Plan Evaluation Sheet for 7.5Gy/fr Schedules: (60 Gy in 8F)</t>
  </si>
  <si>
    <t>NOTES:</t>
  </si>
  <si>
    <t>SABR Plan Evaluation Sheet for 18Gy/fr Schedules (54Gy/3F)</t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</si>
  <si>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</si>
  <si>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t>Dose @COM-PTV (cGy)</t>
  </si>
  <si>
    <t xml:space="preserve"> ref Dose (cGy or %) /</t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</si>
  <si>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</si>
  <si>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</si>
  <si>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</si>
  <si>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V12.4Gy≤1500cc (R or L Lung)</t>
  </si>
  <si>
    <t>V20Gy (%)=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</si>
  <si>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</si>
  <si>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</si>
  <si>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</si>
  <si>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</si>
  <si>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</si>
  <si>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r>
      <t>V28.2Gy</t>
    </r>
    <r>
      <rPr>
        <sz val="10"/>
        <rFont val="Arial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</rPr>
      <t xml:space="preserve"> 1cc</t>
    </r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</si>
  <si>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</si>
  <si>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</si>
  <si>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Use the ORIGINAL file for each NEW PLAN or modification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</si>
  <si>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</si>
  <si>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 xml:space="preserve">Location </t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</si>
  <si>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</si>
  <si>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</si>
  <si>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</si>
  <si>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</si>
  <si>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</si>
  <si>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</si>
  <si>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</si>
  <si>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</si>
  <si>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Artery-Pulmonary</t>
  </si>
  <si>
    <t>Dose @COM-PTV (%)</t>
  </si>
  <si>
    <t>Fractions:</t>
  </si>
  <si>
    <t>PTV- Minimum Dose (%)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</si>
  <si>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</si>
  <si>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</si>
  <si>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</si>
  <si>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</si>
  <si>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 =</t>
    </r>
  </si>
  <si>
    <t>(cGy) / (cc)</t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</si>
  <si>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</si>
  <si>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</si>
  <si>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</si>
  <si>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</si>
  <si>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</si>
  <si>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</si>
  <si>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</si>
  <si>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 xml:space="preserve"> ??</t>
  </si>
  <si>
    <t>The spreadsheet is protected so that information/farmula can not be change inadvertently.</t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</si>
  <si>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</si>
  <si>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</si>
  <si>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</si>
  <si>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</si>
  <si>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</si>
  <si>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</si>
  <si>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</si>
  <si>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</si>
  <si>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</si>
  <si>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</si>
  <si>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</si>
  <si>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</si>
  <si>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</si>
  <si>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</si>
  <si>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</si>
  <si>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</si>
  <si>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</si>
  <si>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</si>
  <si>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</si>
  <si>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r>
      <t xml:space="preserve">&amp; Bronch. Tree: V60Gy </t>
    </r>
    <r>
      <rPr>
        <sz val="10"/>
        <rFont val="Symbol"/>
        <family val="1"/>
        <charset val="2"/>
      </rPr>
      <t>£ 5</t>
    </r>
    <r>
      <rPr>
        <sz val="10"/>
        <rFont val="Arial"/>
      </rPr>
      <t>cc</t>
    </r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</si>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</sst>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80" formatCode="0.0%"/>
  </numFmts>
  <fonts count="4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sz val="9"/>
      <name val="Symbol"/>
      <family val="1"/>
      <charset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8"/>
      <name val="Calibri"/>
      <family val="2"/>
    </font>
    <font>
      <b/>
      <sz val="10"/>
      <color indexed="13"/>
      <name val="Arial"/>
      <family val="2"/>
    </font>
    <font>
      <b/>
      <sz val="10"/>
      <color indexed="9"/>
      <name val="Arial"/>
      <family val="2"/>
    </font>
    <font>
      <vertAlign val="subscript"/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1" xfId="0" applyFont="1" applyBorder="1"/>
    <xf numFmtId="0" fontId="3" fillId="0" borderId="6" xfId="0" applyFont="1" applyBorder="1"/>
    <xf numFmtId="2" fontId="1" fillId="0" borderId="7" xfId="1" applyNumberFormat="1" applyFont="1" applyBorder="1"/>
    <xf numFmtId="2" fontId="1" fillId="0" borderId="7" xfId="0" applyNumberFormat="1" applyFont="1" applyBorder="1" applyAlignment="1">
      <alignment horizontal="center"/>
    </xf>
    <xf numFmtId="2" fontId="0" fillId="0" borderId="7" xfId="0" applyNumberFormat="1" applyBorder="1"/>
    <xf numFmtId="0" fontId="5" fillId="0" borderId="0" xfId="0" applyFont="1" applyBorder="1" applyAlignment="1">
      <alignment horizontal="center"/>
    </xf>
    <xf numFmtId="9" fontId="0" fillId="0" borderId="7" xfId="0" applyNumberFormat="1" applyBorder="1"/>
    <xf numFmtId="0" fontId="4" fillId="0" borderId="0" xfId="0" applyFont="1" applyFill="1" applyAlignment="1">
      <alignment horizontal="left"/>
    </xf>
    <xf numFmtId="0" fontId="0" fillId="0" borderId="9" xfId="0" applyBorder="1"/>
    <xf numFmtId="0" fontId="0" fillId="0" borderId="10" xfId="0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/>
    <xf numFmtId="9" fontId="0" fillId="0" borderId="16" xfId="0" applyNumberFormat="1" applyBorder="1" applyAlignment="1">
      <alignment horizontal="center"/>
    </xf>
    <xf numFmtId="0" fontId="3" fillId="0" borderId="18" xfId="0" applyFont="1" applyBorder="1"/>
    <xf numFmtId="0" fontId="0" fillId="0" borderId="19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77" fontId="0" fillId="0" borderId="13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3" fillId="0" borderId="23" xfId="0" applyFont="1" applyBorder="1"/>
    <xf numFmtId="0" fontId="3" fillId="0" borderId="20" xfId="0" applyFont="1" applyBorder="1"/>
    <xf numFmtId="0" fontId="0" fillId="0" borderId="20" xfId="0" applyBorder="1" applyAlignment="1"/>
    <xf numFmtId="0" fontId="0" fillId="0" borderId="22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180" fontId="0" fillId="0" borderId="10" xfId="0" applyNumberFormat="1" applyBorder="1" applyAlignment="1">
      <alignment horizontal="center"/>
    </xf>
    <xf numFmtId="0" fontId="3" fillId="0" borderId="2" xfId="0" applyFont="1" applyBorder="1"/>
    <xf numFmtId="9" fontId="0" fillId="0" borderId="2" xfId="0" applyNumberFormat="1" applyBorder="1" applyAlignment="1">
      <alignment horizontal="center"/>
    </xf>
    <xf numFmtId="177" fontId="0" fillId="0" borderId="24" xfId="0" applyNumberFormat="1" applyBorder="1" applyAlignment="1">
      <alignment horizontal="center"/>
    </xf>
    <xf numFmtId="9" fontId="0" fillId="0" borderId="2" xfId="0" applyNumberFormat="1" applyBorder="1"/>
    <xf numFmtId="0" fontId="0" fillId="0" borderId="2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5" xfId="0" applyBorder="1"/>
    <xf numFmtId="0" fontId="5" fillId="0" borderId="26" xfId="0" applyFont="1" applyBorder="1"/>
    <xf numFmtId="0" fontId="0" fillId="0" borderId="26" xfId="0" applyBorder="1"/>
    <xf numFmtId="0" fontId="0" fillId="0" borderId="27" xfId="0" applyBorder="1"/>
    <xf numFmtId="0" fontId="5" fillId="0" borderId="4" xfId="0" applyFont="1" applyBorder="1"/>
    <xf numFmtId="0" fontId="14" fillId="0" borderId="0" xfId="0" applyFont="1"/>
    <xf numFmtId="0" fontId="5" fillId="0" borderId="21" xfId="0" applyFont="1" applyBorder="1" applyAlignment="1">
      <alignment horizontal="center"/>
    </xf>
    <xf numFmtId="0" fontId="5" fillId="0" borderId="0" xfId="0" applyFont="1"/>
    <xf numFmtId="0" fontId="4" fillId="2" borderId="13" xfId="0" applyFont="1" applyFill="1" applyBorder="1" applyAlignment="1" applyProtection="1">
      <alignment horizontal="center"/>
      <protection locked="0"/>
    </xf>
    <xf numFmtId="0" fontId="4" fillId="2" borderId="21" xfId="0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177" fontId="0" fillId="2" borderId="13" xfId="0" applyNumberFormat="1" applyFill="1" applyBorder="1" applyAlignment="1" applyProtection="1">
      <alignment horizontal="center"/>
      <protection locked="0"/>
    </xf>
    <xf numFmtId="0" fontId="1" fillId="2" borderId="21" xfId="0" applyFont="1" applyFill="1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3" borderId="0" xfId="0" applyFill="1"/>
    <xf numFmtId="0" fontId="0" fillId="2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4" borderId="2" xfId="0" applyFill="1" applyBorder="1"/>
    <xf numFmtId="10" fontId="1" fillId="0" borderId="20" xfId="1" applyNumberFormat="1" applyBorder="1" applyAlignment="1">
      <alignment horizontal="center"/>
    </xf>
    <xf numFmtId="0" fontId="15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16" fillId="4" borderId="0" xfId="0" applyFont="1" applyFill="1" applyBorder="1"/>
    <xf numFmtId="0" fontId="0" fillId="4" borderId="5" xfId="0" applyFill="1" applyBorder="1"/>
    <xf numFmtId="0" fontId="17" fillId="4" borderId="2" xfId="0" applyFont="1" applyFill="1" applyBorder="1"/>
    <xf numFmtId="0" fontId="17" fillId="4" borderId="0" xfId="0" applyFont="1" applyFill="1" applyBorder="1"/>
    <xf numFmtId="0" fontId="0" fillId="4" borderId="4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left" indent="3"/>
    </xf>
    <xf numFmtId="0" fontId="0" fillId="4" borderId="1" xfId="0" applyFill="1" applyBorder="1" applyAlignment="1">
      <alignment horizontal="left" indent="5"/>
    </xf>
    <xf numFmtId="0" fontId="0" fillId="4" borderId="2" xfId="0" applyFill="1" applyBorder="1" applyAlignment="1">
      <alignment horizontal="left" indent="5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177" fontId="18" fillId="4" borderId="0" xfId="0" applyNumberFormat="1" applyFont="1" applyFill="1" applyBorder="1" applyAlignment="1" applyProtection="1">
      <alignment horizontal="center"/>
    </xf>
    <xf numFmtId="0" fontId="18" fillId="4" borderId="4" xfId="0" applyNumberFormat="1" applyFont="1" applyFill="1" applyBorder="1" applyAlignment="1" applyProtection="1">
      <alignment horizontal="center"/>
    </xf>
    <xf numFmtId="0" fontId="18" fillId="4" borderId="0" xfId="0" applyNumberFormat="1" applyFont="1" applyFill="1" applyBorder="1" applyAlignment="1" applyProtection="1">
      <alignment horizontal="center"/>
    </xf>
    <xf numFmtId="0" fontId="0" fillId="4" borderId="5" xfId="0" applyFill="1" applyBorder="1" applyAlignment="1">
      <alignment horizontal="center"/>
    </xf>
    <xf numFmtId="2" fontId="18" fillId="4" borderId="0" xfId="0" applyNumberFormat="1" applyFont="1" applyFill="1" applyBorder="1" applyAlignment="1" applyProtection="1">
      <alignment horizontal="center"/>
    </xf>
    <xf numFmtId="177" fontId="18" fillId="4" borderId="7" xfId="0" applyNumberFormat="1" applyFont="1" applyFill="1" applyBorder="1" applyAlignment="1" applyProtection="1">
      <alignment horizontal="center"/>
    </xf>
    <xf numFmtId="0" fontId="18" fillId="4" borderId="6" xfId="0" applyNumberFormat="1" applyFont="1" applyFill="1" applyBorder="1" applyAlignment="1" applyProtection="1">
      <alignment horizontal="center"/>
    </xf>
    <xf numFmtId="0" fontId="18" fillId="4" borderId="7" xfId="0" applyNumberFormat="1" applyFont="1" applyFill="1" applyBorder="1" applyAlignment="1" applyProtection="1">
      <alignment horizontal="center"/>
    </xf>
    <xf numFmtId="2" fontId="18" fillId="4" borderId="7" xfId="0" applyNumberFormat="1" applyFont="1" applyFill="1" applyBorder="1" applyAlignment="1" applyProtection="1">
      <alignment horizontal="center"/>
    </xf>
    <xf numFmtId="0" fontId="0" fillId="4" borderId="7" xfId="0" applyFill="1" applyBorder="1"/>
    <xf numFmtId="0" fontId="0" fillId="4" borderId="8" xfId="0" applyFill="1" applyBorder="1"/>
    <xf numFmtId="0" fontId="19" fillId="2" borderId="1" xfId="0" applyFont="1" applyFill="1" applyBorder="1"/>
    <xf numFmtId="0" fontId="0" fillId="2" borderId="2" xfId="0" applyFill="1" applyBorder="1"/>
    <xf numFmtId="0" fontId="19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2" borderId="0" xfId="0" applyFont="1" applyFill="1" applyBorder="1"/>
    <xf numFmtId="0" fontId="0" fillId="2" borderId="5" xfId="0" applyFill="1" applyBorder="1"/>
    <xf numFmtId="0" fontId="20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1" fillId="2" borderId="5" xfId="0" applyFont="1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19" fillId="2" borderId="4" xfId="0" applyFont="1" applyFill="1" applyBorder="1"/>
    <xf numFmtId="0" fontId="0" fillId="2" borderId="0" xfId="0" applyFill="1" applyBorder="1" applyAlignment="1">
      <alignment horizontal="center"/>
    </xf>
    <xf numFmtId="0" fontId="19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9" fillId="2" borderId="0" xfId="0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3" fillId="0" borderId="22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" xfId="0" applyBorder="1" applyProtection="1"/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7" xfId="0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4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" xfId="0" applyFont="1" applyBorder="1" applyProtection="1"/>
    <xf numFmtId="0" fontId="0" fillId="0" borderId="5" xfId="0" applyBorder="1" applyAlignment="1" applyProtection="1">
      <alignment horizontal="center"/>
    </xf>
    <xf numFmtId="0" fontId="0" fillId="3" borderId="0" xfId="0" applyFill="1" applyProtection="1"/>
    <xf numFmtId="0" fontId="3" fillId="0" borderId="4" xfId="0" applyFont="1" applyBorder="1" applyProtection="1"/>
    <xf numFmtId="0" fontId="3" fillId="5" borderId="0" xfId="0" applyFont="1" applyFill="1" applyBorder="1" applyProtection="1"/>
    <xf numFmtId="0" fontId="0" fillId="5" borderId="0" xfId="0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5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0" fontId="4" fillId="0" borderId="13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4" fillId="0" borderId="10" xfId="0" applyFont="1" applyBorder="1" applyProtection="1"/>
    <xf numFmtId="0" fontId="4" fillId="0" borderId="17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0" fillId="0" borderId="11" xfId="0" applyBorder="1" applyProtection="1"/>
    <xf numFmtId="0" fontId="4" fillId="0" borderId="14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3" fillId="0" borderId="2" xfId="0" applyFon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20" xfId="0" applyBorder="1" applyProtection="1"/>
    <xf numFmtId="9" fontId="0" fillId="0" borderId="21" xfId="0" applyNumberFormat="1" applyBorder="1" applyAlignment="1" applyProtection="1">
      <alignment horizontal="center"/>
    </xf>
    <xf numFmtId="0" fontId="0" fillId="0" borderId="18" xfId="0" applyBorder="1" applyProtection="1"/>
    <xf numFmtId="0" fontId="0" fillId="0" borderId="30" xfId="0" applyBorder="1" applyAlignment="1" applyProtection="1">
      <alignment horizontal="center"/>
    </xf>
    <xf numFmtId="9" fontId="0" fillId="0" borderId="7" xfId="0" applyNumberFormat="1" applyBorder="1" applyProtection="1"/>
    <xf numFmtId="9" fontId="0" fillId="0" borderId="16" xfId="0" applyNumberForma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0" fontId="3" fillId="0" borderId="23" xfId="0" applyFont="1" applyBorder="1" applyProtection="1"/>
    <xf numFmtId="0" fontId="0" fillId="0" borderId="20" xfId="0" applyBorder="1" applyAlignment="1" applyProtection="1">
      <alignment horizontal="center"/>
    </xf>
    <xf numFmtId="0" fontId="3" fillId="0" borderId="6" xfId="0" applyFont="1" applyBorder="1" applyProtection="1"/>
    <xf numFmtId="0" fontId="3" fillId="0" borderId="18" xfId="0" applyFont="1" applyBorder="1" applyProtection="1"/>
    <xf numFmtId="2" fontId="1" fillId="0" borderId="7" xfId="1" applyNumberFormat="1" applyFont="1" applyBorder="1" applyProtection="1"/>
    <xf numFmtId="0" fontId="0" fillId="0" borderId="16" xfId="0" applyBorder="1" applyAlignment="1" applyProtection="1">
      <alignment horizontal="center"/>
    </xf>
    <xf numFmtId="0" fontId="3" fillId="0" borderId="20" xfId="0" applyFont="1" applyBorder="1" applyProtection="1"/>
    <xf numFmtId="0" fontId="0" fillId="0" borderId="31" xfId="0" applyBorder="1" applyAlignment="1" applyProtection="1">
      <alignment horizontal="center"/>
    </xf>
    <xf numFmtId="180" fontId="1" fillId="0" borderId="20" xfId="1" applyNumberFormat="1" applyBorder="1" applyAlignment="1" applyProtection="1">
      <alignment horizontal="center"/>
    </xf>
    <xf numFmtId="0" fontId="0" fillId="0" borderId="20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7" xfId="0" applyNumberFormat="1" applyFont="1" applyBorder="1" applyAlignment="1" applyProtection="1">
      <alignment horizontal="center"/>
    </xf>
    <xf numFmtId="2" fontId="0" fillId="0" borderId="7" xfId="0" applyNumberFormat="1" applyBorder="1" applyProtection="1"/>
    <xf numFmtId="0" fontId="5" fillId="0" borderId="0" xfId="0" applyFont="1" applyBorder="1" applyProtection="1"/>
    <xf numFmtId="0" fontId="5" fillId="0" borderId="14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12" xfId="0" applyBorder="1" applyProtection="1"/>
    <xf numFmtId="0" fontId="0" fillId="0" borderId="15" xfId="0" applyBorder="1" applyAlignment="1" applyProtection="1">
      <alignment horizontal="center"/>
    </xf>
    <xf numFmtId="0" fontId="2" fillId="0" borderId="1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6" xfId="0" applyBorder="1" applyProtection="1"/>
    <xf numFmtId="0" fontId="12" fillId="0" borderId="0" xfId="0" applyFont="1" applyBorder="1" applyProtection="1"/>
    <xf numFmtId="0" fontId="14" fillId="0" borderId="0" xfId="0" applyFont="1" applyProtection="1"/>
    <xf numFmtId="0" fontId="0" fillId="0" borderId="0" xfId="0" applyAlignment="1" applyProtection="1">
      <alignment horizontal="center"/>
    </xf>
    <xf numFmtId="0" fontId="8" fillId="0" borderId="10" xfId="0" applyFont="1" applyBorder="1" applyAlignment="1" applyProtection="1">
      <alignment horizontal="center" shrinkToFit="1"/>
    </xf>
    <xf numFmtId="9" fontId="0" fillId="0" borderId="2" xfId="0" applyNumberFormat="1" applyBorder="1" applyAlignment="1" applyProtection="1">
      <alignment shrinkToFit="1"/>
    </xf>
    <xf numFmtId="180" fontId="1" fillId="0" borderId="21" xfId="1" applyNumberFormat="1" applyFont="1" applyFill="1" applyBorder="1" applyAlignment="1" applyProtection="1">
      <alignment horizontal="center"/>
    </xf>
    <xf numFmtId="2" fontId="1" fillId="0" borderId="16" xfId="0" applyNumberFormat="1" applyFont="1" applyFill="1" applyBorder="1" applyAlignment="1" applyProtection="1">
      <alignment horizontal="center"/>
    </xf>
    <xf numFmtId="0" fontId="19" fillId="2" borderId="4" xfId="0" applyFont="1" applyFill="1" applyBorder="1" applyAlignment="1">
      <alignment horizontal="right"/>
    </xf>
    <xf numFmtId="0" fontId="21" fillId="2" borderId="0" xfId="0" applyFont="1" applyFill="1" applyBorder="1" applyAlignment="1">
      <alignment shrinkToFit="1"/>
    </xf>
    <xf numFmtId="10" fontId="1" fillId="0" borderId="21" xfId="1" applyNumberFormat="1" applyFill="1" applyBorder="1" applyAlignment="1" applyProtection="1">
      <alignment horizontal="center"/>
    </xf>
    <xf numFmtId="2" fontId="0" fillId="0" borderId="16" xfId="0" applyNumberFormat="1" applyFill="1" applyBorder="1" applyAlignment="1" applyProtection="1">
      <alignment horizontal="center"/>
    </xf>
    <xf numFmtId="0" fontId="12" fillId="0" borderId="0" xfId="0" applyFont="1" applyBorder="1"/>
    <xf numFmtId="0" fontId="0" fillId="0" borderId="0" xfId="0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77" fontId="0" fillId="0" borderId="21" xfId="0" applyNumberFormat="1" applyBorder="1" applyAlignment="1">
      <alignment horizontal="center"/>
    </xf>
    <xf numFmtId="177" fontId="0" fillId="0" borderId="16" xfId="0" applyNumberFormat="1" applyBorder="1" applyAlignment="1">
      <alignment horizontal="center"/>
    </xf>
    <xf numFmtId="0" fontId="3" fillId="5" borderId="2" xfId="0" applyFont="1" applyFill="1" applyBorder="1"/>
    <xf numFmtId="0" fontId="0" fillId="5" borderId="2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6" fillId="0" borderId="7" xfId="0" applyFont="1" applyBorder="1"/>
    <xf numFmtId="0" fontId="26" fillId="0" borderId="8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5" fillId="0" borderId="25" xfId="0" applyFont="1" applyBorder="1"/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3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22" xfId="0" applyFont="1" applyBorder="1" applyAlignment="1">
      <alignment horizontal="center" shrinkToFit="1"/>
    </xf>
    <xf numFmtId="0" fontId="28" fillId="0" borderId="0" xfId="0" applyFont="1"/>
    <xf numFmtId="0" fontId="4" fillId="2" borderId="15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</xf>
    <xf numFmtId="180" fontId="0" fillId="2" borderId="10" xfId="1" applyNumberFormat="1" applyFont="1" applyFill="1" applyBorder="1" applyAlignment="1" applyProtection="1">
      <alignment horizontal="center"/>
      <protection locked="0"/>
    </xf>
    <xf numFmtId="0" fontId="0" fillId="5" borderId="33" xfId="0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5" fillId="0" borderId="12" xfId="0" applyFont="1" applyBorder="1"/>
    <xf numFmtId="0" fontId="3" fillId="0" borderId="34" xfId="0" applyFont="1" applyBorder="1" applyAlignment="1">
      <alignment horizontal="center"/>
    </xf>
    <xf numFmtId="0" fontId="5" fillId="2" borderId="14" xfId="0" applyFont="1" applyFill="1" applyBorder="1" applyAlignment="1" applyProtection="1">
      <alignment horizontal="center"/>
      <protection locked="0"/>
    </xf>
    <xf numFmtId="0" fontId="5" fillId="2" borderId="13" xfId="0" applyFont="1" applyFill="1" applyBorder="1" applyAlignment="1" applyProtection="1">
      <alignment horizontal="center"/>
      <protection locked="0"/>
    </xf>
    <xf numFmtId="0" fontId="3" fillId="0" borderId="35" xfId="0" applyFont="1" applyBorder="1" applyAlignment="1">
      <alignment horizontal="center"/>
    </xf>
    <xf numFmtId="0" fontId="30" fillId="0" borderId="10" xfId="0" applyFont="1" applyBorder="1" applyAlignment="1">
      <alignment horizontal="right"/>
    </xf>
    <xf numFmtId="0" fontId="0" fillId="2" borderId="34" xfId="0" applyFill="1" applyBorder="1" applyAlignment="1" applyProtection="1">
      <alignment horizontal="center"/>
      <protection locked="0"/>
    </xf>
    <xf numFmtId="10" fontId="5" fillId="0" borderId="20" xfId="1" applyNumberFormat="1" applyFont="1" applyBorder="1" applyAlignment="1" applyProtection="1">
      <alignment horizontal="center"/>
    </xf>
    <xf numFmtId="176" fontId="5" fillId="0" borderId="7" xfId="0" applyNumberFormat="1" applyFont="1" applyBorder="1" applyAlignment="1" applyProtection="1">
      <alignment horizontal="center"/>
    </xf>
    <xf numFmtId="10" fontId="5" fillId="2" borderId="20" xfId="0" applyNumberFormat="1" applyFont="1" applyFill="1" applyBorder="1" applyAlignment="1" applyProtection="1">
      <alignment horizontal="center"/>
      <protection locked="0"/>
    </xf>
    <xf numFmtId="10" fontId="5" fillId="2" borderId="7" xfId="0" applyNumberFormat="1" applyFont="1" applyFill="1" applyBorder="1" applyAlignment="1" applyProtection="1">
      <alignment horizontal="center"/>
      <protection locked="0"/>
    </xf>
    <xf numFmtId="10" fontId="30" fillId="0" borderId="20" xfId="0" applyNumberFormat="1" applyFont="1" applyFill="1" applyBorder="1" applyAlignment="1">
      <alignment horizontal="left"/>
    </xf>
    <xf numFmtId="180" fontId="5" fillId="0" borderId="10" xfId="0" applyNumberFormat="1" applyFont="1" applyFill="1" applyBorder="1" applyAlignment="1">
      <alignment horizontal="center"/>
    </xf>
    <xf numFmtId="10" fontId="5" fillId="0" borderId="20" xfId="1" applyNumberFormat="1" applyFont="1" applyBorder="1" applyAlignment="1">
      <alignment horizontal="center"/>
    </xf>
    <xf numFmtId="176" fontId="5" fillId="0" borderId="7" xfId="0" applyNumberFormat="1" applyFont="1" applyBorder="1" applyAlignment="1">
      <alignment horizontal="center"/>
    </xf>
    <xf numFmtId="0" fontId="30" fillId="0" borderId="7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30" fillId="0" borderId="0" xfId="0" applyFont="1" applyBorder="1" applyProtection="1"/>
    <xf numFmtId="0" fontId="0" fillId="0" borderId="25" xfId="0" applyBorder="1" applyProtection="1"/>
    <xf numFmtId="0" fontId="30" fillId="0" borderId="31" xfId="0" applyFont="1" applyBorder="1" applyAlignment="1">
      <alignment horizontal="right"/>
    </xf>
    <xf numFmtId="0" fontId="30" fillId="0" borderId="31" xfId="0" applyFont="1" applyBorder="1" applyAlignment="1" applyProtection="1">
      <alignment horizontal="right"/>
    </xf>
    <xf numFmtId="0" fontId="2" fillId="0" borderId="31" xfId="0" applyFont="1" applyBorder="1" applyAlignment="1" applyProtection="1">
      <alignment horizontal="right"/>
    </xf>
    <xf numFmtId="0" fontId="29" fillId="0" borderId="20" xfId="0" applyFont="1" applyFill="1" applyBorder="1"/>
    <xf numFmtId="0" fontId="29" fillId="0" borderId="20" xfId="0" applyFont="1" applyFill="1" applyBorder="1" applyAlignment="1">
      <alignment horizontal="center"/>
    </xf>
    <xf numFmtId="0" fontId="29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2" borderId="21" xfId="0" applyFont="1" applyFill="1" applyBorder="1" applyAlignment="1" applyProtection="1">
      <alignment horizontal="center"/>
      <protection locked="0"/>
    </xf>
    <xf numFmtId="0" fontId="26" fillId="0" borderId="0" xfId="0" applyFont="1" applyBorder="1" applyAlignment="1">
      <alignment horizontal="left"/>
    </xf>
    <xf numFmtId="0" fontId="5" fillId="0" borderId="26" xfId="0" applyFont="1" applyFill="1" applyBorder="1"/>
    <xf numFmtId="0" fontId="5" fillId="0" borderId="20" xfId="0" applyFont="1" applyFill="1" applyBorder="1"/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" borderId="0" xfId="0" applyFont="1" applyFill="1" applyBorder="1" applyProtection="1">
      <protection locked="0"/>
    </xf>
    <xf numFmtId="0" fontId="30" fillId="0" borderId="20" xfId="0" applyFont="1" applyBorder="1"/>
    <xf numFmtId="0" fontId="5" fillId="0" borderId="20" xfId="0" applyFont="1" applyBorder="1" applyAlignment="1" applyProtection="1">
      <alignment horizontal="center"/>
    </xf>
    <xf numFmtId="0" fontId="5" fillId="0" borderId="10" xfId="0" applyFont="1" applyBorder="1" applyAlignment="1">
      <alignment horizontal="center"/>
    </xf>
    <xf numFmtId="10" fontId="31" fillId="0" borderId="20" xfId="0" applyNumberFormat="1" applyFont="1" applyFill="1" applyBorder="1" applyAlignment="1" applyProtection="1">
      <alignment horizontal="center"/>
    </xf>
    <xf numFmtId="10" fontId="5" fillId="2" borderId="21" xfId="0" applyNumberFormat="1" applyFont="1" applyFill="1" applyBorder="1" applyAlignment="1" applyProtection="1">
      <alignment horizontal="center"/>
      <protection locked="0"/>
    </xf>
    <xf numFmtId="0" fontId="30" fillId="0" borderId="7" xfId="0" applyFont="1" applyBorder="1" applyAlignment="1" applyProtection="1">
      <alignment horizontal="right"/>
    </xf>
    <xf numFmtId="0" fontId="0" fillId="0" borderId="32" xfId="0" applyBorder="1" applyProtection="1"/>
    <xf numFmtId="0" fontId="12" fillId="0" borderId="36" xfId="0" applyFont="1" applyBorder="1" applyAlignment="1" applyProtection="1">
      <alignment horizontal="center"/>
    </xf>
    <xf numFmtId="10" fontId="31" fillId="0" borderId="32" xfId="0" applyNumberFormat="1" applyFont="1" applyFill="1" applyBorder="1" applyAlignment="1" applyProtection="1">
      <alignment horizontal="center"/>
    </xf>
    <xf numFmtId="10" fontId="5" fillId="0" borderId="20" xfId="0" applyNumberFormat="1" applyFont="1" applyFill="1" applyBorder="1" applyAlignment="1" applyProtection="1">
      <alignment horizontal="center"/>
    </xf>
    <xf numFmtId="0" fontId="36" fillId="6" borderId="0" xfId="0" applyFont="1" applyFill="1"/>
    <xf numFmtId="0" fontId="37" fillId="6" borderId="0" xfId="0" applyFont="1" applyFill="1"/>
    <xf numFmtId="0" fontId="37" fillId="6" borderId="0" xfId="0" applyFont="1" applyFill="1" applyAlignment="1">
      <alignment horizontal="center"/>
    </xf>
    <xf numFmtId="0" fontId="36" fillId="6" borderId="0" xfId="0" applyFont="1" applyFill="1" applyAlignment="1">
      <alignment horizontal="left"/>
    </xf>
    <xf numFmtId="0" fontId="36" fillId="6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0" fillId="0" borderId="7" xfId="0" applyFont="1" applyBorder="1" applyAlignment="1">
      <alignment horizontal="right"/>
    </xf>
    <xf numFmtId="0" fontId="5" fillId="0" borderId="7" xfId="0" applyFont="1" applyBorder="1" applyAlignment="1" applyProtection="1">
      <alignment horizontal="right"/>
    </xf>
    <xf numFmtId="0" fontId="5" fillId="0" borderId="4" xfId="0" applyFont="1" applyBorder="1" applyProtection="1"/>
    <xf numFmtId="0" fontId="3" fillId="0" borderId="35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0" fillId="2" borderId="36" xfId="0" applyFill="1" applyBorder="1" applyAlignment="1" applyProtection="1">
      <alignment horizontal="center"/>
      <protection locked="0"/>
    </xf>
    <xf numFmtId="0" fontId="5" fillId="2" borderId="21" xfId="0" applyFont="1" applyFill="1" applyBorder="1" applyAlignment="1" applyProtection="1">
      <alignment horizontal="center"/>
      <protection locked="0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16" xfId="0" applyFont="1" applyFill="1" applyBorder="1" applyAlignment="1" applyProtection="1">
      <alignment horizontal="center"/>
      <protection locked="0"/>
    </xf>
    <xf numFmtId="0" fontId="4" fillId="0" borderId="40" xfId="0" applyFont="1" applyBorder="1" applyAlignment="1">
      <alignment horizontal="center"/>
    </xf>
    <xf numFmtId="0" fontId="3" fillId="0" borderId="12" xfId="0" applyFont="1" applyBorder="1"/>
    <xf numFmtId="180" fontId="5" fillId="0" borderId="41" xfId="0" applyNumberFormat="1" applyFont="1" applyFill="1" applyBorder="1" applyAlignment="1">
      <alignment horizontal="center"/>
    </xf>
    <xf numFmtId="180" fontId="5" fillId="2" borderId="36" xfId="0" applyNumberFormat="1" applyFont="1" applyFill="1" applyBorder="1" applyAlignment="1" applyProtection="1">
      <alignment horizontal="center"/>
      <protection locked="0"/>
    </xf>
    <xf numFmtId="180" fontId="5" fillId="2" borderId="21" xfId="0" applyNumberFormat="1" applyFont="1" applyFill="1" applyBorder="1" applyAlignment="1" applyProtection="1">
      <alignment horizontal="center"/>
      <protection locked="0"/>
    </xf>
    <xf numFmtId="180" fontId="5" fillId="2" borderId="13" xfId="0" applyNumberFormat="1" applyFont="1" applyFill="1" applyBorder="1" applyAlignment="1" applyProtection="1">
      <alignment horizontal="center"/>
      <protection locked="0"/>
    </xf>
    <xf numFmtId="180" fontId="5" fillId="0" borderId="20" xfId="1" applyNumberFormat="1" applyFont="1" applyBorder="1" applyAlignment="1">
      <alignment horizontal="center"/>
    </xf>
    <xf numFmtId="180" fontId="1" fillId="0" borderId="21" xfId="1" applyNumberFormat="1" applyFill="1" applyBorder="1" applyAlignment="1" applyProtection="1">
      <alignment horizontal="center"/>
    </xf>
    <xf numFmtId="0" fontId="0" fillId="0" borderId="42" xfId="0" applyBorder="1" applyAlignment="1">
      <alignment horizontal="center"/>
    </xf>
    <xf numFmtId="180" fontId="5" fillId="2" borderId="21" xfId="1" applyNumberFormat="1" applyFont="1" applyFill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alignment horizontal="center"/>
    </xf>
    <xf numFmtId="0" fontId="0" fillId="0" borderId="23" xfId="0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9" xfId="0" applyFont="1" applyBorder="1" applyAlignment="1" applyProtection="1">
      <alignment horizontal="center"/>
    </xf>
    <xf numFmtId="0" fontId="5" fillId="2" borderId="31" xfId="0" applyFont="1" applyFill="1" applyBorder="1" applyAlignment="1" applyProtection="1">
      <alignment horizontal="center"/>
      <protection locked="0"/>
    </xf>
    <xf numFmtId="0" fontId="5" fillId="0" borderId="1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2" fillId="0" borderId="21" xfId="0" applyFont="1" applyBorder="1" applyAlignment="1" applyProtection="1">
      <alignment horizontal="center"/>
    </xf>
    <xf numFmtId="0" fontId="30" fillId="0" borderId="3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2" fillId="0" borderId="31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0" fillId="0" borderId="20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34" xfId="0" applyFont="1" applyBorder="1" applyAlignment="1">
      <alignment horizontal="right" vertical="center"/>
    </xf>
    <xf numFmtId="0" fontId="4" fillId="0" borderId="15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20" xfId="0" applyFont="1" applyBorder="1"/>
    <xf numFmtId="0" fontId="5" fillId="0" borderId="4" xfId="0" applyFont="1" applyBorder="1" applyAlignment="1">
      <alignment horizontal="left"/>
    </xf>
    <xf numFmtId="0" fontId="5" fillId="3" borderId="0" xfId="0" applyFont="1" applyFill="1" applyProtection="1"/>
    <xf numFmtId="10" fontId="5" fillId="0" borderId="4" xfId="0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2" xfId="0" applyFont="1" applyBorder="1" applyAlignment="1"/>
    <xf numFmtId="0" fontId="0" fillId="0" borderId="7" xfId="0" applyFill="1" applyBorder="1" applyProtection="1"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5" fillId="0" borderId="26" xfId="0" applyFont="1" applyBorder="1" applyProtection="1"/>
    <xf numFmtId="0" fontId="3" fillId="0" borderId="0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29" xfId="0" applyFont="1" applyBorder="1" applyAlignment="1" applyProtection="1">
      <alignment horizontal="center"/>
    </xf>
    <xf numFmtId="0" fontId="3" fillId="0" borderId="7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5" fillId="0" borderId="0" xfId="0" applyFont="1" applyBorder="1" applyAlignment="1" applyProtection="1">
      <protection locked="0"/>
    </xf>
    <xf numFmtId="0" fontId="5" fillId="0" borderId="0" xfId="0" applyFont="1" applyAlignment="1"/>
    <xf numFmtId="0" fontId="3" fillId="0" borderId="7" xfId="0" applyFont="1" applyBorder="1" applyAlignment="1" applyProtection="1">
      <alignment horizontal="center"/>
    </xf>
    <xf numFmtId="0" fontId="3" fillId="0" borderId="30" xfId="0" applyFont="1" applyBorder="1" applyAlignment="1" applyProtection="1">
      <alignment horizontal="center"/>
    </xf>
    <xf numFmtId="0" fontId="5" fillId="4" borderId="4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Ratio of 50% Isodose Volume to the PTV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00FF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56104"/>
        <c:axId val="550955320"/>
      </c:scatterChart>
      <c:valAx>
        <c:axId val="550956104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PTV Volume (cc)</a:t>
                </a:r>
              </a:p>
            </c:rich>
          </c:tx>
          <c:layout>
            <c:manualLayout>
              <c:xMode val="edge"/>
              <c:yMode val="edge"/>
              <c:x val="0.43897749960742088"/>
              <c:y val="0.94793651324844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55320"/>
        <c:crosses val="autoZero"/>
        <c:crossBetween val="midCat"/>
      </c:valAx>
      <c:valAx>
        <c:axId val="5509553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71448082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56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54596166932127"/>
          <c:y val="0.14313515472452124"/>
          <c:w val="0.28408431852001403"/>
          <c:h val="0.212540757656236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Maximum dose within 2cm from PTV</a:t>
            </a:r>
          </a:p>
        </c:rich>
      </c:tx>
      <c:layout>
        <c:manualLayout>
          <c:xMode val="edge"/>
          <c:yMode val="edge"/>
          <c:x val="0.277777777777777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60Gy5F'!$L$8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00FF"/>
                </a:solidFill>
                <a:prstDash val="sysDash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9634639687133125E-2"/>
                  <c:y val="0.1960720016046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60Gy5F'!$L$9:$L$19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73</c:v>
                </c:pt>
                <c:pt idx="10">
                  <c:v>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60Gy5F'!$M$8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22421308447555166"/>
                  <c:y val="-1.5480920448115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60Gy5F'!$M$9:$M$19</c:f>
              <c:numCache>
                <c:formatCode>General</c:formatCode>
                <c:ptCount val="11"/>
                <c:pt idx="0">
                  <c:v>57</c:v>
                </c:pt>
                <c:pt idx="1">
                  <c:v>57</c:v>
                </c:pt>
                <c:pt idx="2">
                  <c:v>58</c:v>
                </c:pt>
                <c:pt idx="3">
                  <c:v>58</c:v>
                </c:pt>
                <c:pt idx="4">
                  <c:v>63</c:v>
                </c:pt>
                <c:pt idx="5">
                  <c:v>68</c:v>
                </c:pt>
                <c:pt idx="6">
                  <c:v>77</c:v>
                </c:pt>
                <c:pt idx="7">
                  <c:v>86</c:v>
                </c:pt>
                <c:pt idx="8">
                  <c:v>89</c:v>
                </c:pt>
                <c:pt idx="9">
                  <c:v>91</c:v>
                </c:pt>
                <c:pt idx="10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17456"/>
        <c:axId val="558720984"/>
      </c:scatterChart>
      <c:valAx>
        <c:axId val="558717456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PTV Volume (cc)</a:t>
                </a:r>
              </a:p>
            </c:rich>
          </c:tx>
          <c:layout>
            <c:manualLayout>
              <c:xMode val="edge"/>
              <c:yMode val="edge"/>
              <c:x val="0.43897749960742088"/>
              <c:y val="0.94793651324844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20984"/>
        <c:crosses val="autoZero"/>
        <c:crossBetween val="midCat"/>
      </c:valAx>
      <c:valAx>
        <c:axId val="5587209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71448082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4718875952472"/>
          <c:y val="0.64848009830606901"/>
          <c:w val="0.28408431852001403"/>
          <c:h val="0.173668069688424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0</xdr:row>
      <xdr:rowOff>195261</xdr:rowOff>
    </xdr:from>
    <xdr:to>
      <xdr:col>28</xdr:col>
      <xdr:colOff>476250</xdr:colOff>
      <xdr:row>26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27</xdr:row>
      <xdr:rowOff>200025</xdr:rowOff>
    </xdr:from>
    <xdr:to>
      <xdr:col>28</xdr:col>
      <xdr:colOff>514350</xdr:colOff>
      <xdr:row>54</xdr:row>
      <xdr:rowOff>109538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847725</xdr:colOff>
      <xdr:row>35</xdr:row>
      <xdr:rowOff>95250</xdr:rowOff>
    </xdr:from>
    <xdr:to>
      <xdr:col>17</xdr:col>
      <xdr:colOff>600075</xdr:colOff>
      <xdr:row>40</xdr:row>
      <xdr:rowOff>95250</xdr:rowOff>
    </xdr:to>
    <xdr:sp macro="" textlink="">
      <xdr:nvSpPr>
        <xdr:cNvPr id="11265" name="WordArt 1"/>
        <xdr:cNvSpPr>
          <a:spLocks noChangeArrowheads="1" noChangeShapeType="1" noTextEdit="1"/>
        </xdr:cNvSpPr>
      </xdr:nvSpPr>
      <xdr:spPr bwMode="auto">
        <a:xfrm rot="-1970248">
          <a:off x="8639175" y="6172200"/>
          <a:ext cx="3124200" cy="15716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969696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Draft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V62"/>
  <sheetViews>
    <sheetView tabSelected="1" zoomScaleNormal="100" workbookViewId="0">
      <selection activeCell="C4" sqref="C4:L10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3" customWidth="1"/>
    <col min="5" max="5" width="3.85546875" customWidth="1"/>
    <col min="6" max="6" width="8" style="1" customWidth="1"/>
    <col min="7" max="7" width="18.85546875" style="1" customWidth="1"/>
    <col min="8" max="8" width="19.7109375" style="1" customWidth="1"/>
    <col min="9" max="9" width="6.140625" hidden="1" customWidth="1"/>
    <col min="10" max="10" width="1" hidden="1" customWidth="1"/>
    <col min="11" max="11" width="14.42578125" style="1" customWidth="1"/>
    <col min="12" max="12" width="18.140625" style="1" customWidth="1"/>
    <col min="13" max="13" width="14" style="2" customWidth="1"/>
  </cols>
  <sheetData>
    <row r="1" spans="2:21" ht="13.5" thickBot="1" x14ac:dyDescent="0.25">
      <c r="B1" s="329" t="s">
        <v>166</v>
      </c>
      <c r="C1" s="330"/>
      <c r="D1" s="329"/>
      <c r="E1" s="330"/>
      <c r="F1" s="331"/>
      <c r="G1" s="331"/>
      <c r="H1" s="332" t="s">
        <v>165</v>
      </c>
      <c r="I1" s="329"/>
      <c r="J1" s="329"/>
      <c r="K1" s="333"/>
      <c r="L1" s="333"/>
    </row>
    <row r="2" spans="2:21" x14ac:dyDescent="0.2">
      <c r="B2" s="5"/>
      <c r="C2" s="6"/>
      <c r="D2" s="6"/>
      <c r="E2" s="6"/>
      <c r="F2" s="7"/>
      <c r="G2" s="8" t="s">
        <v>141</v>
      </c>
      <c r="H2" s="7"/>
      <c r="I2" s="6"/>
      <c r="J2" s="6"/>
      <c r="K2" s="7"/>
      <c r="L2" s="9"/>
    </row>
    <row r="3" spans="2:21" ht="13.5" thickBot="1" x14ac:dyDescent="0.25">
      <c r="B3" s="20"/>
      <c r="C3" s="21"/>
      <c r="D3" s="21"/>
      <c r="E3" s="21"/>
      <c r="F3" s="22"/>
      <c r="G3" s="24" t="s">
        <v>37</v>
      </c>
      <c r="H3" s="22"/>
      <c r="I3" s="21"/>
      <c r="J3" s="21"/>
      <c r="K3" s="22"/>
      <c r="L3" s="23"/>
    </row>
    <row r="4" spans="2:21" x14ac:dyDescent="0.2">
      <c r="B4" s="10"/>
      <c r="C4" s="15" t="s">
        <v>0</v>
      </c>
      <c r="D4" s="104"/>
      <c r="E4" s="11"/>
      <c r="F4" s="15" t="s">
        <v>180</v>
      </c>
      <c r="G4" s="12"/>
      <c r="H4" s="269"/>
      <c r="I4" s="11"/>
      <c r="J4" s="11"/>
      <c r="K4" s="15" t="s">
        <v>3</v>
      </c>
      <c r="L4" s="102"/>
    </row>
    <row r="5" spans="2:21" ht="13.5" thickBot="1" x14ac:dyDescent="0.25">
      <c r="B5" s="10"/>
      <c r="C5" s="15" t="s">
        <v>1</v>
      </c>
      <c r="D5" s="105"/>
      <c r="E5" s="11"/>
      <c r="F5" s="15" t="s">
        <v>178</v>
      </c>
      <c r="G5" s="12"/>
      <c r="H5" s="269"/>
      <c r="I5" s="11"/>
      <c r="J5" s="11"/>
      <c r="K5" s="15" t="s">
        <v>4</v>
      </c>
      <c r="L5" s="103"/>
    </row>
    <row r="6" spans="2:21" x14ac:dyDescent="0.2">
      <c r="B6" s="25" t="s">
        <v>10</v>
      </c>
      <c r="C6" s="6"/>
      <c r="D6" s="6"/>
      <c r="E6" s="6"/>
      <c r="F6" s="7"/>
      <c r="G6" s="7"/>
      <c r="H6" s="7"/>
      <c r="I6" s="6"/>
      <c r="J6" s="6"/>
      <c r="K6" s="7"/>
      <c r="L6" s="9"/>
    </row>
    <row r="7" spans="2:21" x14ac:dyDescent="0.2">
      <c r="B7" s="10"/>
      <c r="C7" s="11" t="s">
        <v>5</v>
      </c>
      <c r="D7" s="11"/>
      <c r="E7" s="11"/>
      <c r="F7" s="12"/>
      <c r="G7" s="298"/>
      <c r="H7" s="12"/>
      <c r="I7" s="11"/>
      <c r="J7" s="11"/>
      <c r="K7" s="12"/>
      <c r="L7" s="13"/>
      <c r="N7" s="106" t="s">
        <v>81</v>
      </c>
      <c r="O7" s="106"/>
      <c r="P7" s="106"/>
      <c r="Q7" s="106"/>
      <c r="R7" s="106"/>
      <c r="S7" s="106"/>
      <c r="T7" s="106"/>
      <c r="U7" s="106"/>
    </row>
    <row r="8" spans="2:21" x14ac:dyDescent="0.2">
      <c r="B8" s="10"/>
      <c r="C8" s="11" t="s">
        <v>6</v>
      </c>
      <c r="D8" s="11"/>
      <c r="E8" s="11"/>
      <c r="F8" s="12"/>
      <c r="G8" s="298"/>
      <c r="H8" s="12"/>
      <c r="I8" s="11"/>
      <c r="J8" s="11"/>
      <c r="K8" s="12"/>
      <c r="L8" s="13"/>
      <c r="N8" s="106" t="s">
        <v>79</v>
      </c>
      <c r="O8" s="106"/>
      <c r="P8" s="106"/>
      <c r="Q8" s="106"/>
      <c r="R8" s="106"/>
      <c r="S8" s="106"/>
      <c r="T8" s="106"/>
      <c r="U8" s="106"/>
    </row>
    <row r="9" spans="2:21" x14ac:dyDescent="0.2">
      <c r="B9" s="10"/>
      <c r="C9" s="11" t="s">
        <v>7</v>
      </c>
      <c r="D9" s="11"/>
      <c r="E9" s="11"/>
      <c r="F9" s="12"/>
      <c r="G9" s="298"/>
      <c r="H9" s="12"/>
      <c r="I9" s="11"/>
      <c r="J9" s="11"/>
      <c r="K9" s="12"/>
      <c r="L9" s="13"/>
      <c r="N9" s="106" t="s">
        <v>80</v>
      </c>
      <c r="O9" s="106"/>
      <c r="P9" s="106"/>
      <c r="Q9" s="106"/>
      <c r="R9" s="106"/>
      <c r="S9" s="106"/>
      <c r="T9" s="106"/>
      <c r="U9" s="106"/>
    </row>
    <row r="10" spans="2:21" ht="13.5" thickBot="1" x14ac:dyDescent="0.25">
      <c r="B10" s="20"/>
      <c r="C10" s="21" t="s">
        <v>8</v>
      </c>
      <c r="D10" s="21"/>
      <c r="E10" s="21"/>
      <c r="F10" s="22"/>
      <c r="G10" s="111"/>
      <c r="H10" s="22"/>
      <c r="I10" s="21"/>
      <c r="J10" s="21"/>
      <c r="K10" s="22"/>
      <c r="L10" s="23"/>
    </row>
    <row r="11" spans="2:21" x14ac:dyDescent="0.2">
      <c r="B11" s="25" t="s">
        <v>9</v>
      </c>
      <c r="C11" s="6"/>
      <c r="D11" s="6"/>
      <c r="E11" s="260" t="s">
        <v>43</v>
      </c>
      <c r="F11" s="261"/>
      <c r="G11" s="280"/>
      <c r="H11" s="261"/>
      <c r="I11" s="72" t="s">
        <v>38</v>
      </c>
      <c r="J11" s="6"/>
      <c r="K11" s="262" t="s">
        <v>38</v>
      </c>
      <c r="L11" s="263" t="s">
        <v>38</v>
      </c>
    </row>
    <row r="12" spans="2:21" x14ac:dyDescent="0.2">
      <c r="B12" s="16"/>
      <c r="C12" s="33"/>
      <c r="D12" s="34"/>
      <c r="E12" s="34"/>
      <c r="F12" s="34"/>
      <c r="G12" s="43" t="s">
        <v>189</v>
      </c>
      <c r="H12" s="35" t="s">
        <v>195</v>
      </c>
      <c r="I12" s="36"/>
      <c r="J12" s="34"/>
      <c r="K12" s="42" t="s">
        <v>20</v>
      </c>
      <c r="L12" s="49" t="s">
        <v>12</v>
      </c>
      <c r="M12" s="32" t="s">
        <v>45</v>
      </c>
    </row>
    <row r="13" spans="2:21" x14ac:dyDescent="0.2">
      <c r="B13" s="16"/>
      <c r="C13" s="37"/>
      <c r="D13" s="11"/>
      <c r="E13" s="11"/>
      <c r="F13" s="12"/>
      <c r="G13" s="43" t="s">
        <v>190</v>
      </c>
      <c r="H13" s="346"/>
      <c r="I13" s="347"/>
      <c r="J13" s="11"/>
      <c r="K13" s="43" t="s">
        <v>19</v>
      </c>
      <c r="L13" s="13"/>
      <c r="P13" s="2"/>
    </row>
    <row r="14" spans="2:21" x14ac:dyDescent="0.2">
      <c r="B14" s="16"/>
      <c r="C14" s="33" t="s">
        <v>47</v>
      </c>
      <c r="D14" s="34"/>
      <c r="E14" s="34"/>
      <c r="F14" s="40"/>
      <c r="G14" s="355" t="s">
        <v>71</v>
      </c>
      <c r="H14" s="12"/>
      <c r="I14" s="11"/>
      <c r="J14" s="34"/>
      <c r="K14" s="344" t="s">
        <v>171</v>
      </c>
      <c r="L14" s="93" t="str">
        <f>IF(G14="??","??",IF((AND((G14&gt;59.99%),(G14&lt;95.01%))),"Yes", "No"))</f>
        <v>??</v>
      </c>
      <c r="M14" s="3" t="s">
        <v>200</v>
      </c>
    </row>
    <row r="15" spans="2:21" ht="13.5" thickBot="1" x14ac:dyDescent="0.25">
      <c r="B15" s="10"/>
      <c r="C15" s="33" t="s">
        <v>177</v>
      </c>
      <c r="D15" s="34"/>
      <c r="E15" s="34"/>
      <c r="F15" s="40"/>
      <c r="G15" s="351" t="s">
        <v>71</v>
      </c>
      <c r="H15" s="71"/>
      <c r="I15" s="41"/>
      <c r="J15" s="34" t="s">
        <v>38</v>
      </c>
      <c r="K15" s="45" t="s">
        <v>49</v>
      </c>
      <c r="L15" s="93" t="str">
        <f>IF(G15="??","??",IF((AND((G15&gt;111.19%),(G15&lt;166.7%))),"Yes", "No"))</f>
        <v>??</v>
      </c>
      <c r="M15" s="2" t="s">
        <v>59</v>
      </c>
    </row>
    <row r="16" spans="2:21" x14ac:dyDescent="0.2">
      <c r="B16" s="25" t="s">
        <v>31</v>
      </c>
      <c r="C16" s="72"/>
      <c r="D16" s="6"/>
      <c r="E16" s="6"/>
      <c r="F16" s="73"/>
      <c r="G16" s="74"/>
      <c r="H16" s="7"/>
      <c r="I16" s="75"/>
      <c r="J16" s="6"/>
      <c r="K16" s="76"/>
      <c r="L16" s="94"/>
    </row>
    <row r="17" spans="2:15" x14ac:dyDescent="0.2">
      <c r="B17" s="10"/>
      <c r="C17" s="33" t="s">
        <v>179</v>
      </c>
      <c r="D17" s="34"/>
      <c r="E17" s="34"/>
      <c r="F17" s="40"/>
      <c r="G17" s="351" t="s">
        <v>71</v>
      </c>
      <c r="H17" s="294"/>
      <c r="I17" s="41"/>
      <c r="J17" s="34"/>
      <c r="K17" s="45" t="s">
        <v>171</v>
      </c>
      <c r="L17" s="93" t="str">
        <f>IF(G17="??","??",IF((AND((G17&gt;=60%),(G17&lt;=95%))),"Yes", "No"))</f>
        <v>??</v>
      </c>
    </row>
    <row r="18" spans="2:15" ht="13.5" thickBot="1" x14ac:dyDescent="0.25">
      <c r="B18" s="10"/>
      <c r="C18" s="37" t="s">
        <v>74</v>
      </c>
      <c r="D18" s="11"/>
      <c r="E18" s="11"/>
      <c r="F18" s="12"/>
      <c r="G18" s="350" t="s">
        <v>71</v>
      </c>
      <c r="H18" s="294"/>
      <c r="I18" s="60"/>
      <c r="J18" s="60"/>
      <c r="K18" s="64">
        <v>0.95</v>
      </c>
      <c r="L18" s="339" t="str">
        <f>IF(G18="??","??",(IF(G18&gt;=95%,"Yes","No")))</f>
        <v>??</v>
      </c>
      <c r="M18" t="s">
        <v>32</v>
      </c>
    </row>
    <row r="19" spans="2:15" ht="13.5" thickBot="1" x14ac:dyDescent="0.25">
      <c r="B19" s="20"/>
      <c r="C19" s="51" t="s">
        <v>75</v>
      </c>
      <c r="D19" s="21"/>
      <c r="E19" s="21"/>
      <c r="F19" s="22"/>
      <c r="G19" s="349" t="s">
        <v>71</v>
      </c>
      <c r="H19" s="348"/>
      <c r="I19" s="31"/>
      <c r="J19" s="21"/>
      <c r="K19" s="52">
        <v>0.99</v>
      </c>
      <c r="L19" s="339" t="str">
        <f>IF(G19="??","??",(IF(G19&gt;=99%,"Yes","No")))</f>
        <v>??</v>
      </c>
      <c r="M19" t="s">
        <v>33</v>
      </c>
    </row>
    <row r="20" spans="2:15" x14ac:dyDescent="0.2">
      <c r="B20" s="16" t="s">
        <v>40</v>
      </c>
      <c r="C20" s="11"/>
      <c r="D20" s="11"/>
      <c r="E20" s="11"/>
      <c r="F20" s="12"/>
      <c r="G20" s="44"/>
      <c r="H20" s="12"/>
      <c r="I20" s="11"/>
      <c r="J20" s="11"/>
      <c r="K20" s="47"/>
      <c r="L20" s="97"/>
    </row>
    <row r="21" spans="2:15" ht="15.75" x14ac:dyDescent="0.3">
      <c r="B21" s="16" t="s">
        <v>38</v>
      </c>
      <c r="C21" s="65" t="s">
        <v>41</v>
      </c>
      <c r="D21" s="60" t="s">
        <v>121</v>
      </c>
      <c r="E21" s="60"/>
      <c r="F21" s="61"/>
      <c r="G21" s="341" t="s">
        <v>71</v>
      </c>
      <c r="H21" s="352" t="e">
        <f>G21/G9</f>
        <v>#VALUE!</v>
      </c>
      <c r="I21" s="60"/>
      <c r="J21" s="60"/>
      <c r="K21" s="62" t="s">
        <v>11</v>
      </c>
      <c r="L21" s="95" t="str">
        <f>IF(G21="??","??",IF(H21&lt;15%,"Yes","No"))</f>
        <v>??</v>
      </c>
      <c r="M21" s="3" t="s">
        <v>197</v>
      </c>
    </row>
    <row r="22" spans="2:15" ht="16.5" thickBot="1" x14ac:dyDescent="0.35">
      <c r="B22" s="26" t="s">
        <v>38</v>
      </c>
      <c r="C22" s="53" t="s">
        <v>44</v>
      </c>
      <c r="D22" s="21" t="s">
        <v>120</v>
      </c>
      <c r="E22" s="21"/>
      <c r="F22" s="22"/>
      <c r="G22" s="92" t="s">
        <v>71</v>
      </c>
      <c r="H22" s="296" t="e">
        <f>'Calculations 48Gy4F_ or_ 60Gy5F'!J31</f>
        <v>#VALUE!</v>
      </c>
      <c r="I22" s="27" t="s">
        <v>38</v>
      </c>
      <c r="J22" s="21"/>
      <c r="K22" s="48" t="s">
        <v>13</v>
      </c>
      <c r="L22" s="96" t="str">
        <f>'Calculations 48Gy4F_ or_ 60Gy5F'!K31</f>
        <v>??</v>
      </c>
      <c r="M22" s="2" t="s">
        <v>56</v>
      </c>
    </row>
    <row r="23" spans="2:15" x14ac:dyDescent="0.2">
      <c r="B23" s="25" t="s">
        <v>39</v>
      </c>
      <c r="C23" s="6"/>
      <c r="D23" s="6"/>
      <c r="E23" s="6"/>
      <c r="F23" s="7"/>
      <c r="G23" s="76"/>
      <c r="H23" s="7"/>
      <c r="I23" s="6"/>
      <c r="J23" s="6"/>
      <c r="K23" s="76"/>
      <c r="L23" s="94"/>
    </row>
    <row r="24" spans="2:15" ht="15.75" x14ac:dyDescent="0.3">
      <c r="B24" s="16" t="s">
        <v>38</v>
      </c>
      <c r="C24" s="65" t="s">
        <v>41</v>
      </c>
      <c r="D24" s="376" t="s">
        <v>192</v>
      </c>
      <c r="E24" s="60"/>
      <c r="F24" s="61"/>
      <c r="G24" s="341" t="s">
        <v>71</v>
      </c>
      <c r="H24" s="114"/>
      <c r="I24" s="67"/>
      <c r="J24" s="60"/>
      <c r="K24" s="353" t="e">
        <f ca="1">'Calculations 48Gy4F_ or_ 60Gy5F'!L27/100</f>
        <v>#N/A</v>
      </c>
      <c r="L24" s="95" t="str">
        <f>'Calculations 48Gy4F_ or_ 60Gy5F'!K33</f>
        <v>??</v>
      </c>
      <c r="M24" s="3" t="s">
        <v>198</v>
      </c>
      <c r="N24" s="4"/>
      <c r="O24" s="4"/>
    </row>
    <row r="25" spans="2:15" ht="16.5" thickBot="1" x14ac:dyDescent="0.35">
      <c r="B25" s="26" t="s">
        <v>38</v>
      </c>
      <c r="C25" s="53" t="s">
        <v>44</v>
      </c>
      <c r="D25" s="375" t="s">
        <v>191</v>
      </c>
      <c r="E25" s="21"/>
      <c r="F25" s="354"/>
      <c r="G25" s="345" t="s">
        <v>193</v>
      </c>
      <c r="H25" s="28" t="e">
        <f>'Calculations 48Gy4F_ or_ 60Gy5F'!J32</f>
        <v>#VALUE!</v>
      </c>
      <c r="I25" s="29" t="s">
        <v>38</v>
      </c>
      <c r="J25" s="21"/>
      <c r="K25" s="253" t="e">
        <f ca="1">'Calculations 48Gy4F_ or_ 60Gy5F'!I27</f>
        <v>#N/A</v>
      </c>
      <c r="L25" s="170" t="e">
        <f ca="1">'Calculations 48Gy4F_ or_ 60Gy5F'!K32</f>
        <v>#VALUE!</v>
      </c>
      <c r="M25" s="3" t="s">
        <v>199</v>
      </c>
    </row>
    <row r="26" spans="2:15" x14ac:dyDescent="0.2">
      <c r="B26" s="16" t="s">
        <v>23</v>
      </c>
      <c r="C26" s="11"/>
      <c r="D26" s="11"/>
      <c r="E26" s="11"/>
      <c r="F26" s="12"/>
      <c r="G26" s="43" t="s">
        <v>187</v>
      </c>
      <c r="H26" s="19" t="s">
        <v>195</v>
      </c>
      <c r="I26" s="18"/>
      <c r="J26" s="18"/>
      <c r="K26" s="56" t="s">
        <v>35</v>
      </c>
      <c r="L26" s="55"/>
    </row>
    <row r="27" spans="2:15" ht="13.5" thickBot="1" x14ac:dyDescent="0.25">
      <c r="B27" s="16" t="s">
        <v>38</v>
      </c>
      <c r="C27" s="11"/>
      <c r="D27" s="11"/>
      <c r="E27" s="11"/>
      <c r="F27" s="12"/>
      <c r="G27" s="43" t="s">
        <v>188</v>
      </c>
      <c r="H27" s="19"/>
      <c r="I27" s="18"/>
      <c r="J27" s="18"/>
      <c r="K27" s="356" t="s">
        <v>185</v>
      </c>
      <c r="L27" s="55"/>
    </row>
    <row r="28" spans="2:15" x14ac:dyDescent="0.2">
      <c r="B28" s="16" t="s">
        <v>38</v>
      </c>
      <c r="C28" s="25" t="s">
        <v>25</v>
      </c>
      <c r="D28" s="6"/>
      <c r="E28" s="6"/>
      <c r="F28" s="7"/>
      <c r="G28" s="76"/>
      <c r="H28" s="7"/>
      <c r="I28" s="6"/>
      <c r="J28" s="6"/>
      <c r="K28" s="76"/>
      <c r="L28" s="77"/>
    </row>
    <row r="29" spans="2:15" x14ac:dyDescent="0.2">
      <c r="B29" s="10"/>
      <c r="C29" s="10" t="s">
        <v>26</v>
      </c>
      <c r="D29" s="11"/>
      <c r="E29" s="11"/>
      <c r="F29" s="12"/>
      <c r="G29" s="89" t="s">
        <v>71</v>
      </c>
      <c r="H29" s="61"/>
      <c r="I29" s="60"/>
      <c r="J29" s="60"/>
      <c r="K29" s="62"/>
      <c r="L29" s="63" t="s">
        <v>71</v>
      </c>
    </row>
    <row r="30" spans="2:15" x14ac:dyDescent="0.2">
      <c r="B30" s="10"/>
      <c r="C30" s="10" t="s">
        <v>27</v>
      </c>
      <c r="D30" s="11"/>
      <c r="E30" s="11"/>
      <c r="F30" s="12"/>
      <c r="G30" s="90" t="s">
        <v>71</v>
      </c>
      <c r="H30" s="39"/>
      <c r="I30" s="38"/>
      <c r="J30" s="38"/>
      <c r="K30" s="46"/>
      <c r="L30" s="362" t="s">
        <v>71</v>
      </c>
    </row>
    <row r="31" spans="2:15" ht="14.25" x14ac:dyDescent="0.25">
      <c r="B31" s="10"/>
      <c r="C31" s="10" t="s">
        <v>126</v>
      </c>
      <c r="D31" s="11"/>
      <c r="E31" s="389" t="s">
        <v>181</v>
      </c>
      <c r="F31" s="390"/>
      <c r="G31" s="350" t="s">
        <v>71</v>
      </c>
      <c r="H31" s="322" t="s">
        <v>38</v>
      </c>
      <c r="I31" s="60"/>
      <c r="J31" s="60"/>
      <c r="K31" s="363" t="s">
        <v>73</v>
      </c>
      <c r="L31" s="275" t="str">
        <f>'Calculations 48Gy4F_ or_ 60Gy5F'!K34</f>
        <v>??</v>
      </c>
      <c r="M31" s="267" t="s">
        <v>55</v>
      </c>
    </row>
    <row r="32" spans="2:15" ht="14.25" x14ac:dyDescent="0.25">
      <c r="B32" s="10"/>
      <c r="C32" s="10" t="s">
        <v>69</v>
      </c>
      <c r="D32" s="11"/>
      <c r="E32" s="387" t="s">
        <v>183</v>
      </c>
      <c r="F32" s="388"/>
      <c r="G32" s="341" t="s">
        <v>71</v>
      </c>
      <c r="H32" s="293"/>
      <c r="I32" s="60"/>
      <c r="J32" s="60"/>
      <c r="K32" s="361">
        <v>1500</v>
      </c>
      <c r="L32" s="286" t="str">
        <f>IF(G32="??","??",IF(G32&lt;=K32,"Yes","No"))</f>
        <v>??</v>
      </c>
      <c r="M32" s="379" t="s">
        <v>201</v>
      </c>
      <c r="N32" s="85"/>
      <c r="O32" s="85"/>
    </row>
    <row r="33" spans="2:22" ht="15" thickBot="1" x14ac:dyDescent="0.3">
      <c r="B33" s="10"/>
      <c r="C33" s="82" t="s">
        <v>70</v>
      </c>
      <c r="D33" s="11"/>
      <c r="E33" s="391" t="s">
        <v>182</v>
      </c>
      <c r="F33" s="392"/>
      <c r="G33" s="284" t="s">
        <v>71</v>
      </c>
      <c r="H33" s="293"/>
      <c r="I33" s="11"/>
      <c r="J33" s="11"/>
      <c r="K33" s="56">
        <v>1000</v>
      </c>
      <c r="L33" s="286" t="str">
        <f>IF(G33="??","??",IF(G33&lt;=K33,"Yes","No"))</f>
        <v>??</v>
      </c>
      <c r="M33" s="379" t="s">
        <v>201</v>
      </c>
      <c r="N33" s="85"/>
      <c r="O33" s="85"/>
    </row>
    <row r="34" spans="2:22" x14ac:dyDescent="0.2">
      <c r="B34" s="16" t="s">
        <v>38</v>
      </c>
      <c r="C34" s="25" t="s">
        <v>54</v>
      </c>
      <c r="D34" s="6"/>
      <c r="E34" s="6"/>
      <c r="F34" s="7"/>
      <c r="G34" s="100"/>
      <c r="H34" s="7"/>
      <c r="I34" s="6"/>
      <c r="J34" s="6"/>
      <c r="K34" s="76"/>
      <c r="L34" s="9"/>
    </row>
    <row r="35" spans="2:22" x14ac:dyDescent="0.2">
      <c r="B35" s="10"/>
      <c r="C35" s="79" t="s">
        <v>138</v>
      </c>
      <c r="D35" s="34" t="s">
        <v>38</v>
      </c>
      <c r="E35" s="60"/>
      <c r="F35" s="364" t="s">
        <v>65</v>
      </c>
      <c r="G35" s="86" t="s">
        <v>71</v>
      </c>
      <c r="H35" s="40"/>
      <c r="I35" s="34"/>
      <c r="J35" s="34"/>
      <c r="K35" s="42">
        <v>4800</v>
      </c>
      <c r="L35" s="63" t="str">
        <f>IF(G35="??","??",IF(G35&lt;=4800,"Yes","No"))</f>
        <v>??</v>
      </c>
      <c r="M35" s="3" t="s">
        <v>173</v>
      </c>
    </row>
    <row r="36" spans="2:22" ht="14.25" x14ac:dyDescent="0.2">
      <c r="B36" s="10"/>
      <c r="C36" s="268"/>
      <c r="D36" s="282" t="s">
        <v>206</v>
      </c>
      <c r="E36" s="38"/>
      <c r="F36" s="365" t="s">
        <v>145</v>
      </c>
      <c r="G36" s="87" t="str">
        <f>IF(G35&lt;=4000,"OK","??")</f>
        <v>??</v>
      </c>
      <c r="H36" s="61" t="s">
        <v>38</v>
      </c>
      <c r="I36" s="60"/>
      <c r="J36" s="60"/>
      <c r="K36" s="69">
        <v>10</v>
      </c>
      <c r="L36" s="63" t="str">
        <f>IF(G36="??","??",IF(G36&lt;=10,"Yes",IF(G36="OK","Yes","No")))</f>
        <v>??</v>
      </c>
      <c r="M36" s="2" t="s">
        <v>173</v>
      </c>
      <c r="O36" s="276" t="s">
        <v>38</v>
      </c>
    </row>
    <row r="37" spans="2:22" x14ac:dyDescent="0.2">
      <c r="B37" s="10"/>
      <c r="C37" s="82" t="s">
        <v>176</v>
      </c>
      <c r="D37" s="11"/>
      <c r="E37" s="319"/>
      <c r="F37" s="364" t="s">
        <v>65</v>
      </c>
      <c r="G37" s="87" t="s">
        <v>71</v>
      </c>
      <c r="H37" s="316" t="s">
        <v>38</v>
      </c>
      <c r="I37" s="60"/>
      <c r="J37" s="60"/>
      <c r="K37" s="69">
        <v>4800</v>
      </c>
      <c r="L37" s="63" t="str">
        <f>IF(G37="??","??",IF(G37&lt;=4800,"Yes","No"))</f>
        <v>??</v>
      </c>
      <c r="M37" s="2" t="s">
        <v>173</v>
      </c>
    </row>
    <row r="38" spans="2:22" ht="14.25" x14ac:dyDescent="0.2">
      <c r="B38" s="10"/>
      <c r="C38" s="268"/>
      <c r="D38" s="282" t="s">
        <v>206</v>
      </c>
      <c r="E38" s="38"/>
      <c r="F38" s="365" t="s">
        <v>145</v>
      </c>
      <c r="G38" s="87" t="str">
        <f>IF(G37&lt;=4000,"OK","??")</f>
        <v>??</v>
      </c>
      <c r="H38" s="61"/>
      <c r="I38" s="60"/>
      <c r="J38" s="60"/>
      <c r="K38" s="69">
        <v>10</v>
      </c>
      <c r="L38" s="63" t="str">
        <f>IF(G38="??","??",IF(G38&lt;=10,"Yes",IF(G38="OK","Yes","No")))</f>
        <v>??</v>
      </c>
      <c r="M38" s="3" t="s">
        <v>173</v>
      </c>
      <c r="T38" s="85" t="s">
        <v>38</v>
      </c>
      <c r="V38" s="85" t="s">
        <v>38</v>
      </c>
    </row>
    <row r="39" spans="2:22" x14ac:dyDescent="0.2">
      <c r="B39" s="10"/>
      <c r="C39" s="10" t="s">
        <v>16</v>
      </c>
      <c r="D39" s="11"/>
      <c r="E39" s="60"/>
      <c r="F39" s="366" t="s">
        <v>65</v>
      </c>
      <c r="G39" s="284" t="s">
        <v>71</v>
      </c>
      <c r="H39" s="12"/>
      <c r="I39" s="18" t="s">
        <v>38</v>
      </c>
      <c r="J39" s="11"/>
      <c r="K39" s="44">
        <v>2600</v>
      </c>
      <c r="L39" s="63" t="str">
        <f>IF(G39="??","??",IF(G39&lt;=2600,"Yes","No"))</f>
        <v>??</v>
      </c>
      <c r="M39" s="2" t="s">
        <v>66</v>
      </c>
    </row>
    <row r="40" spans="2:22" ht="14.25" x14ac:dyDescent="0.2">
      <c r="B40" s="10"/>
      <c r="C40" s="10"/>
      <c r="D40" s="393" t="s">
        <v>203</v>
      </c>
      <c r="E40" s="394"/>
      <c r="F40" s="367" t="s">
        <v>152</v>
      </c>
      <c r="G40" s="87" t="str">
        <f>IF(G39&lt;=2080,"OK","??")</f>
        <v>??</v>
      </c>
      <c r="H40" s="61"/>
      <c r="I40" s="60"/>
      <c r="J40" s="60"/>
      <c r="K40" s="62">
        <v>0.35</v>
      </c>
      <c r="L40" s="63" t="str">
        <f>IF(G40="??","??",IF(G40&lt;=0.35,"Yes",IF(G40="OK","Yes","No")))</f>
        <v>??</v>
      </c>
      <c r="M40" s="2" t="s">
        <v>66</v>
      </c>
    </row>
    <row r="41" spans="2:22" ht="14.25" x14ac:dyDescent="0.2">
      <c r="B41" s="10"/>
      <c r="C41" s="78"/>
      <c r="D41" s="18" t="s">
        <v>205</v>
      </c>
      <c r="E41" s="38"/>
      <c r="F41" s="368" t="s">
        <v>153</v>
      </c>
      <c r="G41" s="87" t="str">
        <f>IF(G39&lt;=1360,"OK","??")</f>
        <v>??</v>
      </c>
      <c r="H41" s="39"/>
      <c r="I41" s="38"/>
      <c r="J41" s="38"/>
      <c r="K41" s="46">
        <v>1.2</v>
      </c>
      <c r="L41" s="63" t="str">
        <f>IF(G41="??","??",IF(G41&lt;=1.2,"Yes",IF(G41="OK","Yes","No")))</f>
        <v>??</v>
      </c>
      <c r="M41" s="2" t="s">
        <v>66</v>
      </c>
    </row>
    <row r="42" spans="2:22" x14ac:dyDescent="0.2">
      <c r="B42" s="10"/>
      <c r="C42" s="81" t="s">
        <v>36</v>
      </c>
      <c r="D42" s="60"/>
      <c r="E42" s="60"/>
      <c r="F42" s="369" t="s">
        <v>65</v>
      </c>
      <c r="G42" s="341" t="s">
        <v>71</v>
      </c>
      <c r="H42" s="61"/>
      <c r="I42" s="60"/>
      <c r="J42" s="60"/>
      <c r="K42" s="62">
        <v>2900</v>
      </c>
      <c r="L42" s="63" t="str">
        <f>IF(G42="??","??",IF(G42&lt;=2900,"Yes","No"))</f>
        <v>??</v>
      </c>
    </row>
    <row r="43" spans="2:22" x14ac:dyDescent="0.2">
      <c r="B43" s="10"/>
      <c r="C43" s="79" t="s">
        <v>196</v>
      </c>
      <c r="D43" s="34"/>
      <c r="E43" s="60"/>
      <c r="F43" s="364" t="s">
        <v>65</v>
      </c>
      <c r="G43" s="285" t="s">
        <v>71</v>
      </c>
      <c r="H43" s="40"/>
      <c r="I43" s="34"/>
      <c r="J43" s="34"/>
      <c r="K43" s="45">
        <v>2700</v>
      </c>
      <c r="L43" s="63" t="str">
        <f>IF(G43="??","??",IF(G43&lt;=2700,"Yes","No"))</f>
        <v>??</v>
      </c>
      <c r="M43" s="3" t="s">
        <v>173</v>
      </c>
    </row>
    <row r="44" spans="2:22" ht="14.25" customHeight="1" x14ac:dyDescent="0.2">
      <c r="B44" s="10"/>
      <c r="C44" s="10"/>
      <c r="D44" s="18" t="s">
        <v>207</v>
      </c>
      <c r="E44" s="254" t="s">
        <v>38</v>
      </c>
      <c r="F44" s="368" t="s">
        <v>154</v>
      </c>
      <c r="G44" s="87" t="str">
        <f>IF(G43&lt;=2360,"OK","??")</f>
        <v>??</v>
      </c>
      <c r="H44" s="61"/>
      <c r="I44" s="60"/>
      <c r="J44" s="60"/>
      <c r="K44" s="62">
        <v>3</v>
      </c>
      <c r="L44" s="63" t="str">
        <f>IF(G44="??","??",IF(G44&lt;=3,"Yes",IF(G44="OK","Yes","No")))</f>
        <v>??</v>
      </c>
      <c r="M44" s="3" t="s">
        <v>202</v>
      </c>
    </row>
    <row r="45" spans="2:22" ht="14.25" x14ac:dyDescent="0.2">
      <c r="B45" s="10"/>
      <c r="C45" s="81" t="s">
        <v>15</v>
      </c>
      <c r="D45" s="376" t="s">
        <v>208</v>
      </c>
      <c r="E45" s="60"/>
      <c r="F45" s="367" t="s">
        <v>127</v>
      </c>
      <c r="G45" s="341" t="s">
        <v>71</v>
      </c>
      <c r="H45" s="61" t="s">
        <v>38</v>
      </c>
      <c r="I45" s="60"/>
      <c r="J45" s="60"/>
      <c r="K45" s="62">
        <v>10</v>
      </c>
      <c r="L45" s="63" t="str">
        <f>IF(G45="??","??",IF(G45&lt;=10,"Yes",IF(G45="OK","Yes","No")))</f>
        <v>??</v>
      </c>
      <c r="M45" s="3" t="s">
        <v>202</v>
      </c>
    </row>
    <row r="46" spans="2:22" x14ac:dyDescent="0.2">
      <c r="B46" s="10"/>
      <c r="C46" s="80" t="s">
        <v>18</v>
      </c>
      <c r="D46" s="34"/>
      <c r="E46" s="60"/>
      <c r="F46" s="366" t="s">
        <v>65</v>
      </c>
      <c r="G46" s="285" t="s">
        <v>71</v>
      </c>
      <c r="H46" s="40"/>
      <c r="I46" s="34"/>
      <c r="J46" s="34"/>
      <c r="K46" s="45">
        <v>3400</v>
      </c>
      <c r="L46" s="63" t="str">
        <f>IF(G46="??","??",IF(G46&lt;=3400,"Yes","No"))</f>
        <v>??</v>
      </c>
      <c r="M46" s="2" t="s">
        <v>66</v>
      </c>
    </row>
    <row r="47" spans="2:22" ht="14.25" x14ac:dyDescent="0.2">
      <c r="B47" s="10"/>
      <c r="C47" s="268" t="s">
        <v>38</v>
      </c>
      <c r="D47" s="282" t="s">
        <v>209</v>
      </c>
      <c r="E47" s="38"/>
      <c r="F47" s="370" t="s">
        <v>128</v>
      </c>
      <c r="G47" s="87" t="str">
        <f>IF(G46&lt;=2800,"OK","??")</f>
        <v>??</v>
      </c>
      <c r="H47" s="61"/>
      <c r="I47" s="60"/>
      <c r="J47" s="60"/>
      <c r="K47" s="62">
        <v>15</v>
      </c>
      <c r="L47" s="63" t="str">
        <f>IF(G47="??","??",IF(G47&lt;=15,"Yes",IF(G47="OK","Yes","No")))</f>
        <v>??</v>
      </c>
      <c r="M47" s="2" t="s">
        <v>66</v>
      </c>
    </row>
    <row r="48" spans="2:22" x14ac:dyDescent="0.2">
      <c r="B48" s="10"/>
      <c r="C48" s="10" t="s">
        <v>14</v>
      </c>
      <c r="D48" s="11"/>
      <c r="E48" s="60"/>
      <c r="F48" s="366" t="s">
        <v>65</v>
      </c>
      <c r="G48" s="285" t="s">
        <v>71</v>
      </c>
      <c r="H48" s="40"/>
      <c r="I48" s="34"/>
      <c r="J48" s="34"/>
      <c r="K48" s="45">
        <v>3000</v>
      </c>
      <c r="L48" s="63" t="str">
        <f>IF(G48="??","??",IF(G48&lt;=3000,"Yes","No"))</f>
        <v>??</v>
      </c>
      <c r="M48" s="3" t="s">
        <v>202</v>
      </c>
    </row>
    <row r="49" spans="2:13" ht="14.25" x14ac:dyDescent="0.2">
      <c r="B49" s="10"/>
      <c r="C49" s="78"/>
      <c r="D49" s="281" t="s">
        <v>210</v>
      </c>
      <c r="E49" s="38"/>
      <c r="F49" s="370" t="s">
        <v>129</v>
      </c>
      <c r="G49" s="87" t="str">
        <f>IF(G48&lt;=1880,"OK","??")</f>
        <v>??</v>
      </c>
      <c r="H49" s="61"/>
      <c r="I49" s="60"/>
      <c r="J49" s="60"/>
      <c r="K49" s="62">
        <v>5</v>
      </c>
      <c r="L49" s="63" t="str">
        <f>IF(G49="??","??",IF(G49&lt;=5,"Yes",IF(G49="OK","Yes","No")))</f>
        <v>??</v>
      </c>
    </row>
    <row r="50" spans="2:13" x14ac:dyDescent="0.2">
      <c r="B50" s="10"/>
      <c r="C50" s="80" t="s">
        <v>133</v>
      </c>
      <c r="D50" s="34"/>
      <c r="E50" s="60"/>
      <c r="F50" s="366" t="s">
        <v>65</v>
      </c>
      <c r="G50" s="285" t="s">
        <v>71</v>
      </c>
      <c r="H50" s="40"/>
      <c r="I50" s="34"/>
      <c r="J50" s="34"/>
      <c r="K50" s="45">
        <v>5000</v>
      </c>
      <c r="L50" s="63" t="str">
        <f>IF(G50="??","??",IF(G50&lt;=5000,"Yes","No"))</f>
        <v>??</v>
      </c>
      <c r="M50" s="3" t="s">
        <v>173</v>
      </c>
    </row>
    <row r="51" spans="2:13" ht="14.25" x14ac:dyDescent="0.2">
      <c r="B51" s="10"/>
      <c r="C51" s="10"/>
      <c r="D51" s="18" t="s">
        <v>211</v>
      </c>
      <c r="E51" s="11"/>
      <c r="F51" s="368" t="s">
        <v>145</v>
      </c>
      <c r="G51" s="87" t="str">
        <f>IF(G50&lt;=4000,"OK","??")</f>
        <v>??</v>
      </c>
      <c r="H51" s="61"/>
      <c r="I51" s="60"/>
      <c r="J51" s="60"/>
      <c r="K51" s="62">
        <v>5</v>
      </c>
      <c r="L51" s="63" t="str">
        <f>IF(G51="??","??",IF(G51&lt;=5,"Yes",IF(G51="OK","Yes","No")))</f>
        <v>??</v>
      </c>
      <c r="M51" s="2" t="s">
        <v>173</v>
      </c>
    </row>
    <row r="52" spans="2:13" ht="14.25" x14ac:dyDescent="0.2">
      <c r="B52" s="10"/>
      <c r="C52" s="10"/>
      <c r="D52" s="380" t="s">
        <v>204</v>
      </c>
      <c r="E52" s="255" t="s">
        <v>38</v>
      </c>
      <c r="F52" s="371" t="s">
        <v>127</v>
      </c>
      <c r="G52" s="90" t="str">
        <f>IF(G50&lt;=3000,"OK","??")</f>
        <v>??</v>
      </c>
      <c r="H52" s="39"/>
      <c r="I52" s="38"/>
      <c r="J52" s="38"/>
      <c r="K52" s="46">
        <v>30</v>
      </c>
      <c r="L52" s="63" t="str">
        <f>IF(G52="??","??",IF(G52&lt;=30,"Yes",IF(G52="OK","Yes","No")))</f>
        <v>??</v>
      </c>
      <c r="M52" s="2" t="s">
        <v>66</v>
      </c>
    </row>
    <row r="53" spans="2:13" x14ac:dyDescent="0.2">
      <c r="B53" s="10"/>
      <c r="C53" s="80" t="s">
        <v>17</v>
      </c>
      <c r="D53" s="34"/>
      <c r="E53" s="34"/>
      <c r="F53" s="372" t="s">
        <v>65</v>
      </c>
      <c r="G53" s="285" t="s">
        <v>71</v>
      </c>
      <c r="H53" s="40" t="s">
        <v>38</v>
      </c>
      <c r="I53" s="34"/>
      <c r="J53" s="34"/>
      <c r="K53" s="45">
        <v>3480</v>
      </c>
      <c r="L53" s="342" t="str">
        <f>IF(G53="??","??",IF(G53&lt;=3480,"Yes","No"))</f>
        <v>??</v>
      </c>
      <c r="M53" s="2" t="s">
        <v>66</v>
      </c>
    </row>
    <row r="54" spans="2:13" x14ac:dyDescent="0.2">
      <c r="B54" s="10"/>
      <c r="C54" s="10" t="s">
        <v>131</v>
      </c>
      <c r="D54" s="11"/>
      <c r="E54" s="38"/>
      <c r="F54" s="373"/>
      <c r="G54" s="288" t="s">
        <v>38</v>
      </c>
      <c r="H54" s="39"/>
      <c r="I54" s="38"/>
      <c r="J54" s="38"/>
      <c r="K54" s="46"/>
      <c r="L54" s="343"/>
    </row>
    <row r="55" spans="2:13" ht="14.25" x14ac:dyDescent="0.2">
      <c r="B55" s="10"/>
      <c r="C55" s="78"/>
      <c r="D55" s="282" t="s">
        <v>212</v>
      </c>
      <c r="E55" s="38"/>
      <c r="F55" s="370" t="s">
        <v>130</v>
      </c>
      <c r="G55" s="90" t="str">
        <f>IF(G53&lt;=1560,"OK","??")</f>
        <v>??</v>
      </c>
      <c r="H55" s="39" t="s">
        <v>38</v>
      </c>
      <c r="I55" s="38"/>
      <c r="J55" s="38"/>
      <c r="K55" s="46">
        <v>4</v>
      </c>
      <c r="L55" s="63" t="str">
        <f>IF(G55="??","??",IF(G55&lt;=4,"Yes",IF(G55="OK","Yes","No")))</f>
        <v>??</v>
      </c>
      <c r="M55" s="2" t="s">
        <v>66</v>
      </c>
    </row>
    <row r="56" spans="2:13" x14ac:dyDescent="0.2">
      <c r="B56" s="10"/>
      <c r="C56" s="10" t="s">
        <v>136</v>
      </c>
      <c r="D56" s="11"/>
      <c r="E56" s="60"/>
      <c r="F56" s="366" t="s">
        <v>65</v>
      </c>
      <c r="G56" s="341" t="s">
        <v>71</v>
      </c>
      <c r="H56" s="12"/>
      <c r="I56" s="11"/>
      <c r="J56" s="11"/>
      <c r="K56" s="44">
        <v>2800</v>
      </c>
      <c r="L56" s="63" t="str">
        <f>IF(G56="??","??",IF(G56&lt;=2800,"Yes","No"))</f>
        <v>??</v>
      </c>
      <c r="M56" s="2" t="s">
        <v>173</v>
      </c>
    </row>
    <row r="57" spans="2:13" ht="16.5" thickBot="1" x14ac:dyDescent="0.35">
      <c r="B57" s="10"/>
      <c r="C57" s="377" t="s">
        <v>144</v>
      </c>
      <c r="D57" s="381" t="s">
        <v>216</v>
      </c>
      <c r="E57" s="11"/>
      <c r="F57" s="368" t="s">
        <v>172</v>
      </c>
      <c r="G57" s="277" t="str">
        <f>IF(G56&lt;=2100,"OK","??")</f>
        <v>??</v>
      </c>
      <c r="H57" s="12" t="s">
        <v>38</v>
      </c>
      <c r="I57" s="11"/>
      <c r="J57" s="11"/>
      <c r="K57" s="48">
        <v>1</v>
      </c>
      <c r="L57" s="63" t="str">
        <f>IF(G57="??","??",IF(G57&lt;=1,"Yes",IF(G57="OK","Yes","No")))</f>
        <v>??</v>
      </c>
      <c r="M57" s="2" t="s">
        <v>173</v>
      </c>
    </row>
    <row r="58" spans="2:13" x14ac:dyDescent="0.2">
      <c r="B58" s="5"/>
      <c r="C58" s="72" t="s">
        <v>60</v>
      </c>
      <c r="D58" s="6"/>
      <c r="E58" s="6"/>
      <c r="F58" s="7"/>
      <c r="G58" s="14" t="s">
        <v>61</v>
      </c>
      <c r="H58" s="7"/>
      <c r="I58" s="6"/>
      <c r="J58" s="72" t="s">
        <v>62</v>
      </c>
      <c r="K58" s="7"/>
      <c r="L58" s="9"/>
    </row>
    <row r="59" spans="2:13" x14ac:dyDescent="0.2">
      <c r="B59" s="10"/>
      <c r="C59" s="110" t="s">
        <v>71</v>
      </c>
      <c r="D59" s="108"/>
      <c r="E59" s="108"/>
      <c r="F59" s="109"/>
      <c r="G59" s="110" t="s">
        <v>71</v>
      </c>
      <c r="H59" s="109"/>
      <c r="I59" s="108"/>
      <c r="J59" s="108"/>
      <c r="K59" s="110" t="s">
        <v>71</v>
      </c>
      <c r="L59" s="13"/>
    </row>
    <row r="60" spans="2:13" x14ac:dyDescent="0.2">
      <c r="B60" s="16" t="s">
        <v>147</v>
      </c>
      <c r="C60" s="107"/>
      <c r="D60" s="318" t="s">
        <v>38</v>
      </c>
      <c r="E60" s="107"/>
      <c r="F60" s="110"/>
      <c r="G60" s="110"/>
      <c r="H60" s="110"/>
      <c r="I60" s="107"/>
      <c r="J60" s="107"/>
      <c r="K60" s="110"/>
      <c r="L60" s="102"/>
    </row>
    <row r="61" spans="2:13" ht="13.5" thickBot="1" x14ac:dyDescent="0.25">
      <c r="B61" s="20"/>
      <c r="C61" s="21"/>
      <c r="D61" s="21"/>
      <c r="E61" s="21"/>
      <c r="F61" s="264" t="s">
        <v>134</v>
      </c>
      <c r="G61" s="265" t="s">
        <v>132</v>
      </c>
      <c r="H61" s="264"/>
      <c r="I61" s="265"/>
      <c r="J61" s="265"/>
      <c r="K61" s="264"/>
      <c r="L61" s="266"/>
    </row>
    <row r="62" spans="2:13" x14ac:dyDescent="0.2">
      <c r="B62" s="83" t="s">
        <v>170</v>
      </c>
    </row>
  </sheetData>
  <mergeCells count="4">
    <mergeCell ref="E32:F32"/>
    <mergeCell ref="E31:F31"/>
    <mergeCell ref="E33:F33"/>
    <mergeCell ref="D40:E40"/>
  </mergeCells>
  <phoneticPr fontId="2" type="noConversion"/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L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U54"/>
  <sheetViews>
    <sheetView zoomScaleNormal="100" workbookViewId="0">
      <selection activeCell="F36" sqref="F36"/>
    </sheetView>
  </sheetViews>
  <sheetFormatPr defaultRowHeight="12.75" x14ac:dyDescent="0.2"/>
  <cols>
    <col min="1" max="1" width="6.85546875" customWidth="1"/>
    <col min="4" max="4" width="11.7109375" customWidth="1"/>
    <col min="5" max="5" width="3.85546875" customWidth="1"/>
    <col min="6" max="6" width="8.140625" style="1" customWidth="1"/>
    <col min="7" max="7" width="19.28515625" style="1" customWidth="1"/>
    <col min="8" max="8" width="19.5703125" style="1" customWidth="1"/>
    <col min="9" max="9" width="0" hidden="1" customWidth="1"/>
    <col min="10" max="10" width="3.85546875" hidden="1" customWidth="1"/>
    <col min="11" max="11" width="14.42578125" style="1" customWidth="1"/>
    <col min="12" max="12" width="17.42578125" style="1" customWidth="1"/>
    <col min="13" max="13" width="14" style="2" customWidth="1"/>
    <col min="21" max="21" width="10.140625" customWidth="1"/>
  </cols>
  <sheetData>
    <row r="1" spans="2:21" ht="13.5" thickBot="1" x14ac:dyDescent="0.25">
      <c r="B1" s="329" t="s">
        <v>166</v>
      </c>
      <c r="C1" s="330"/>
      <c r="D1" s="329"/>
      <c r="E1" s="330"/>
      <c r="F1" s="331"/>
      <c r="G1" s="331"/>
      <c r="H1" s="332" t="s">
        <v>165</v>
      </c>
      <c r="I1" s="329"/>
      <c r="J1" s="329"/>
      <c r="K1" s="333"/>
      <c r="L1" s="333"/>
      <c r="M1" s="176"/>
    </row>
    <row r="2" spans="2:21" x14ac:dyDescent="0.2">
      <c r="B2" s="171"/>
      <c r="C2" s="172"/>
      <c r="D2" s="172"/>
      <c r="E2" s="172"/>
      <c r="F2" s="173"/>
      <c r="G2" s="174" t="s">
        <v>146</v>
      </c>
      <c r="H2" s="173"/>
      <c r="I2" s="172"/>
      <c r="J2" s="172"/>
      <c r="K2" s="173"/>
      <c r="L2" s="175"/>
      <c r="M2" s="176"/>
      <c r="N2" s="177"/>
      <c r="O2" s="177"/>
      <c r="P2" s="177"/>
      <c r="Q2" s="177"/>
      <c r="R2" s="177"/>
      <c r="S2" s="177"/>
      <c r="T2" s="177"/>
    </row>
    <row r="3" spans="2:21" ht="13.5" thickBot="1" x14ac:dyDescent="0.25">
      <c r="B3" s="178"/>
      <c r="C3" s="179"/>
      <c r="D3" s="179"/>
      <c r="E3" s="179"/>
      <c r="F3" s="180"/>
      <c r="G3" s="181" t="s">
        <v>37</v>
      </c>
      <c r="H3" s="180"/>
      <c r="I3" s="179"/>
      <c r="J3" s="179"/>
      <c r="K3" s="180"/>
      <c r="L3" s="182"/>
      <c r="M3" s="176"/>
      <c r="N3" s="177"/>
      <c r="O3" s="177"/>
      <c r="P3" s="177"/>
      <c r="Q3" s="177"/>
      <c r="R3" s="177"/>
      <c r="S3" s="177"/>
      <c r="T3" s="177"/>
    </row>
    <row r="4" spans="2:21" x14ac:dyDescent="0.2">
      <c r="B4" s="183"/>
      <c r="C4" s="184" t="s">
        <v>0</v>
      </c>
      <c r="D4" s="104"/>
      <c r="E4" s="185"/>
      <c r="F4" s="184" t="s">
        <v>180</v>
      </c>
      <c r="G4" s="186"/>
      <c r="H4" s="269"/>
      <c r="I4" s="185"/>
      <c r="J4" s="185"/>
      <c r="K4" s="187" t="s">
        <v>3</v>
      </c>
      <c r="L4" s="102"/>
      <c r="M4" s="176"/>
      <c r="N4" s="177"/>
      <c r="O4" s="177"/>
      <c r="P4" s="177"/>
      <c r="Q4" s="177"/>
      <c r="R4" s="177"/>
      <c r="S4" s="177"/>
      <c r="T4" s="177"/>
    </row>
    <row r="5" spans="2:21" ht="13.5" thickBot="1" x14ac:dyDescent="0.25">
      <c r="B5" s="183"/>
      <c r="C5" s="184" t="s">
        <v>1</v>
      </c>
      <c r="D5" s="105"/>
      <c r="E5" s="185"/>
      <c r="F5" s="184" t="s">
        <v>178</v>
      </c>
      <c r="G5" s="186"/>
      <c r="H5" s="269"/>
      <c r="I5" s="185"/>
      <c r="J5" s="185"/>
      <c r="K5" s="187" t="s">
        <v>4</v>
      </c>
      <c r="L5" s="103"/>
      <c r="M5" s="176"/>
      <c r="N5" s="177"/>
      <c r="O5" s="177"/>
      <c r="P5" s="177"/>
      <c r="Q5" s="177"/>
      <c r="R5" s="177"/>
      <c r="S5" s="177"/>
      <c r="T5" s="177"/>
    </row>
    <row r="6" spans="2:21" x14ac:dyDescent="0.2">
      <c r="B6" s="188" t="s">
        <v>10</v>
      </c>
      <c r="C6" s="172"/>
      <c r="D6" s="172"/>
      <c r="E6" s="172"/>
      <c r="F6" s="173"/>
      <c r="G6" s="173"/>
      <c r="H6" s="173"/>
      <c r="I6" s="172"/>
      <c r="J6" s="172"/>
      <c r="K6" s="173"/>
      <c r="L6" s="175"/>
      <c r="M6" s="176"/>
      <c r="N6" s="177"/>
      <c r="O6" s="177"/>
      <c r="P6" s="177"/>
      <c r="Q6" s="177"/>
      <c r="R6" s="177"/>
      <c r="S6" s="177"/>
      <c r="T6" s="177"/>
    </row>
    <row r="7" spans="2:21" x14ac:dyDescent="0.2">
      <c r="B7" s="183"/>
      <c r="C7" s="185" t="s">
        <v>5</v>
      </c>
      <c r="D7" s="185"/>
      <c r="E7" s="185"/>
      <c r="F7" s="186"/>
      <c r="G7" s="298"/>
      <c r="H7" s="186"/>
      <c r="I7" s="185"/>
      <c r="J7" s="185"/>
      <c r="K7" s="186"/>
      <c r="L7" s="189"/>
      <c r="M7" s="176"/>
      <c r="N7" s="190" t="s">
        <v>81</v>
      </c>
      <c r="O7" s="190"/>
      <c r="P7" s="190"/>
      <c r="Q7" s="190"/>
      <c r="R7" s="190"/>
      <c r="S7" s="190"/>
      <c r="T7" s="190"/>
      <c r="U7" s="106"/>
    </row>
    <row r="8" spans="2:21" x14ac:dyDescent="0.2">
      <c r="B8" s="183"/>
      <c r="C8" s="185" t="s">
        <v>6</v>
      </c>
      <c r="D8" s="185"/>
      <c r="E8" s="185"/>
      <c r="F8" s="186"/>
      <c r="G8" s="110"/>
      <c r="H8" s="186"/>
      <c r="I8" s="185"/>
      <c r="J8" s="185"/>
      <c r="K8" s="186"/>
      <c r="L8" s="189" t="s">
        <v>38</v>
      </c>
      <c r="M8" s="176"/>
      <c r="N8" s="378" t="s">
        <v>194</v>
      </c>
      <c r="O8" s="190"/>
      <c r="P8" s="190"/>
      <c r="Q8" s="190"/>
      <c r="R8" s="190"/>
      <c r="S8" s="190"/>
      <c r="T8" s="190"/>
      <c r="U8" s="106"/>
    </row>
    <row r="9" spans="2:21" x14ac:dyDescent="0.2">
      <c r="B9" s="183"/>
      <c r="C9" s="185" t="s">
        <v>7</v>
      </c>
      <c r="D9" s="185"/>
      <c r="E9" s="185"/>
      <c r="F9" s="186"/>
      <c r="G9" s="298"/>
      <c r="H9" s="186"/>
      <c r="I9" s="185"/>
      <c r="J9" s="185"/>
      <c r="K9" s="186"/>
      <c r="L9" s="189"/>
      <c r="M9" s="176"/>
      <c r="N9" s="190" t="s">
        <v>80</v>
      </c>
      <c r="O9" s="190"/>
      <c r="P9" s="190"/>
      <c r="Q9" s="190"/>
      <c r="R9" s="190"/>
      <c r="S9" s="190"/>
      <c r="T9" s="190"/>
      <c r="U9" s="106"/>
    </row>
    <row r="10" spans="2:21" ht="13.5" thickBot="1" x14ac:dyDescent="0.25">
      <c r="B10" s="178"/>
      <c r="C10" s="179" t="s">
        <v>8</v>
      </c>
      <c r="D10" s="179"/>
      <c r="E10" s="179"/>
      <c r="F10" s="180"/>
      <c r="G10" s="111"/>
      <c r="H10" s="180"/>
      <c r="I10" s="179"/>
      <c r="J10" s="179"/>
      <c r="K10" s="180"/>
      <c r="L10" s="182"/>
      <c r="M10" s="176"/>
      <c r="N10" s="177"/>
      <c r="O10" s="177"/>
      <c r="P10" s="177"/>
      <c r="Q10" s="177"/>
      <c r="R10" s="177"/>
      <c r="S10" s="177"/>
      <c r="T10" s="177"/>
    </row>
    <row r="11" spans="2:21" x14ac:dyDescent="0.2">
      <c r="B11" s="191" t="s">
        <v>9</v>
      </c>
      <c r="C11" s="185"/>
      <c r="D11" s="185"/>
      <c r="E11" s="192" t="s">
        <v>43</v>
      </c>
      <c r="F11" s="193"/>
      <c r="G11" s="193"/>
      <c r="H11" s="193"/>
      <c r="I11" s="184" t="s">
        <v>38</v>
      </c>
      <c r="J11" s="185"/>
      <c r="K11" s="194" t="s">
        <v>38</v>
      </c>
      <c r="L11" s="195" t="s">
        <v>38</v>
      </c>
      <c r="M11" s="176"/>
      <c r="N11" s="177"/>
      <c r="O11" s="177"/>
      <c r="P11" s="177"/>
      <c r="Q11" s="177"/>
      <c r="R11" s="177"/>
      <c r="S11" s="177"/>
      <c r="T11" s="177"/>
    </row>
    <row r="12" spans="2:21" x14ac:dyDescent="0.2">
      <c r="B12" s="191"/>
      <c r="C12" s="196"/>
      <c r="D12" s="197"/>
      <c r="E12" s="197"/>
      <c r="F12" s="197"/>
      <c r="G12" s="42" t="s">
        <v>189</v>
      </c>
      <c r="H12" s="199" t="s">
        <v>195</v>
      </c>
      <c r="I12" s="200" t="s">
        <v>21</v>
      </c>
      <c r="J12" s="197"/>
      <c r="K12" s="198" t="s">
        <v>20</v>
      </c>
      <c r="L12" s="201" t="s">
        <v>12</v>
      </c>
      <c r="M12" s="202" t="s">
        <v>45</v>
      </c>
      <c r="N12" s="177"/>
      <c r="O12" s="177"/>
      <c r="P12" s="177"/>
      <c r="Q12" s="177"/>
      <c r="R12" s="177"/>
      <c r="S12" s="177"/>
      <c r="T12" s="177"/>
    </row>
    <row r="13" spans="2:21" x14ac:dyDescent="0.2">
      <c r="B13" s="191"/>
      <c r="C13" s="203"/>
      <c r="D13" s="185"/>
      <c r="E13" s="185"/>
      <c r="F13" s="186"/>
      <c r="G13" s="374" t="s">
        <v>190</v>
      </c>
      <c r="H13" s="194"/>
      <c r="I13" s="184"/>
      <c r="J13" s="185"/>
      <c r="K13" s="204" t="s">
        <v>19</v>
      </c>
      <c r="L13" s="189"/>
      <c r="M13" s="176"/>
      <c r="N13" s="177"/>
      <c r="O13" s="177"/>
      <c r="P13" s="176"/>
      <c r="Q13" s="177"/>
      <c r="R13" s="177"/>
      <c r="S13" s="177"/>
      <c r="T13" s="177"/>
    </row>
    <row r="14" spans="2:21" x14ac:dyDescent="0.2">
      <c r="B14" s="191"/>
      <c r="C14" s="33" t="s">
        <v>47</v>
      </c>
      <c r="D14" s="34"/>
      <c r="E14" s="34"/>
      <c r="F14" s="40"/>
      <c r="G14" s="355" t="s">
        <v>71</v>
      </c>
      <c r="H14" s="357"/>
      <c r="I14" s="41"/>
      <c r="J14" s="34"/>
      <c r="K14" s="344" t="s">
        <v>171</v>
      </c>
      <c r="L14" s="93" t="str">
        <f>IF(G14="??","??",IF((AND((G14&gt;59.99%),(G14&lt;95.01%))),"Yes", "No"))</f>
        <v>??</v>
      </c>
      <c r="M14" s="176" t="s">
        <v>48</v>
      </c>
      <c r="N14" s="177"/>
      <c r="O14" s="177"/>
      <c r="P14" s="177"/>
      <c r="Q14" s="177"/>
      <c r="R14" s="177"/>
      <c r="S14" s="177"/>
      <c r="T14" s="177"/>
    </row>
    <row r="15" spans="2:21" ht="13.5" thickBot="1" x14ac:dyDescent="0.25">
      <c r="B15" s="183"/>
      <c r="C15" s="196" t="s">
        <v>150</v>
      </c>
      <c r="D15" s="197"/>
      <c r="E15" s="197"/>
      <c r="F15" s="205"/>
      <c r="G15" s="351" t="s">
        <v>71</v>
      </c>
      <c r="H15" s="71"/>
      <c r="I15" s="246"/>
      <c r="J15" s="197" t="s">
        <v>38</v>
      </c>
      <c r="K15" s="206" t="s">
        <v>49</v>
      </c>
      <c r="L15" s="93" t="str">
        <f>IF(G15="??","??",IF((AND((G15&gt;=111.1%),(G15&lt;=166.7%))),"Yes", "No"))</f>
        <v>??</v>
      </c>
      <c r="M15" s="176" t="s">
        <v>59</v>
      </c>
      <c r="N15" s="177"/>
      <c r="O15" s="177"/>
      <c r="P15" s="177"/>
      <c r="Q15" s="177"/>
      <c r="R15" s="177"/>
      <c r="S15" s="177"/>
      <c r="T15" s="177"/>
    </row>
    <row r="16" spans="2:21" x14ac:dyDescent="0.2">
      <c r="B16" s="188" t="s">
        <v>31</v>
      </c>
      <c r="C16" s="207"/>
      <c r="D16" s="172"/>
      <c r="E16" s="172"/>
      <c r="F16" s="208"/>
      <c r="G16" s="74"/>
      <c r="H16" s="7"/>
      <c r="I16" s="247"/>
      <c r="J16" s="172"/>
      <c r="K16" s="209"/>
      <c r="L16" s="94"/>
      <c r="M16" s="176"/>
      <c r="N16" s="177"/>
      <c r="O16" s="177"/>
      <c r="P16" s="177"/>
      <c r="Q16" s="177"/>
      <c r="R16" s="177"/>
      <c r="S16" s="177"/>
      <c r="T16" s="177"/>
    </row>
    <row r="17" spans="2:20" x14ac:dyDescent="0.2">
      <c r="B17" s="183"/>
      <c r="C17" s="196" t="s">
        <v>42</v>
      </c>
      <c r="D17" s="197"/>
      <c r="E17" s="197"/>
      <c r="F17" s="210"/>
      <c r="G17" s="351" t="s">
        <v>71</v>
      </c>
      <c r="H17" s="294"/>
      <c r="I17" s="246"/>
      <c r="J17" s="197"/>
      <c r="K17" s="206" t="s">
        <v>171</v>
      </c>
      <c r="L17" s="93" t="str">
        <f>IF(G17="??","??",IF((AND((G17&gt;=60%),(G17&lt;=95%))),"Yes", "No"))</f>
        <v>??</v>
      </c>
      <c r="M17" s="176"/>
      <c r="N17" s="177"/>
      <c r="O17" s="177"/>
      <c r="P17" s="177"/>
      <c r="Q17" s="177"/>
      <c r="R17" s="177"/>
      <c r="S17" s="177"/>
      <c r="T17" s="177"/>
    </row>
    <row r="18" spans="2:20" ht="13.5" thickBot="1" x14ac:dyDescent="0.25">
      <c r="B18" s="183"/>
      <c r="C18" s="203" t="s">
        <v>74</v>
      </c>
      <c r="D18" s="185"/>
      <c r="E18" s="185"/>
      <c r="F18" s="211"/>
      <c r="G18" s="350" t="s">
        <v>71</v>
      </c>
      <c r="H18" s="294"/>
      <c r="I18" s="212"/>
      <c r="J18" s="212"/>
      <c r="K18" s="213">
        <v>0.95</v>
      </c>
      <c r="L18" s="339" t="str">
        <f>IF(G18="??","??",(IF(G18&gt;=95%,"Yes","No")))</f>
        <v>??</v>
      </c>
      <c r="M18" s="177" t="s">
        <v>32</v>
      </c>
      <c r="N18" s="177"/>
      <c r="O18" s="177"/>
      <c r="P18" s="177"/>
      <c r="Q18" s="177"/>
      <c r="R18" s="177"/>
      <c r="S18" s="177"/>
      <c r="T18" s="177"/>
    </row>
    <row r="19" spans="2:20" ht="13.5" thickBot="1" x14ac:dyDescent="0.25">
      <c r="B19" s="178"/>
      <c r="C19" s="214" t="s">
        <v>75</v>
      </c>
      <c r="D19" s="179"/>
      <c r="E19" s="179"/>
      <c r="F19" s="215"/>
      <c r="G19" s="349" t="s">
        <v>71</v>
      </c>
      <c r="H19" s="348"/>
      <c r="I19" s="216"/>
      <c r="J19" s="179"/>
      <c r="K19" s="217">
        <v>0.99</v>
      </c>
      <c r="L19" s="339" t="str">
        <f>IF(G19="??","??",(IF(G19&gt;=99%,"Yes","No")))</f>
        <v>??</v>
      </c>
      <c r="M19" s="177" t="s">
        <v>33</v>
      </c>
      <c r="N19" s="177"/>
      <c r="O19" s="177"/>
      <c r="P19" s="177"/>
      <c r="Q19" s="177"/>
      <c r="R19" s="177"/>
      <c r="S19" s="177"/>
      <c r="T19" s="177"/>
    </row>
    <row r="20" spans="2:20" x14ac:dyDescent="0.2">
      <c r="B20" s="191" t="s">
        <v>40</v>
      </c>
      <c r="C20" s="185"/>
      <c r="D20" s="185"/>
      <c r="E20" s="185"/>
      <c r="F20" s="186"/>
      <c r="G20" s="218"/>
      <c r="H20" s="186"/>
      <c r="I20" s="185"/>
      <c r="J20" s="185"/>
      <c r="K20" s="219"/>
      <c r="L20" s="97"/>
      <c r="M20" s="176"/>
      <c r="N20" s="177"/>
      <c r="O20" s="177"/>
      <c r="P20" s="177"/>
      <c r="Q20" s="177"/>
      <c r="R20" s="177"/>
      <c r="S20" s="177"/>
      <c r="T20" s="177"/>
    </row>
    <row r="21" spans="2:20" ht="15.75" x14ac:dyDescent="0.3">
      <c r="B21" s="191" t="s">
        <v>38</v>
      </c>
      <c r="C21" s="220" t="s">
        <v>41</v>
      </c>
      <c r="D21" s="212" t="s">
        <v>121</v>
      </c>
      <c r="E21" s="212"/>
      <c r="F21" s="221"/>
      <c r="G21" s="341" t="s">
        <v>71</v>
      </c>
      <c r="H21" s="289" t="e">
        <f>G21/G9</f>
        <v>#VALUE!</v>
      </c>
      <c r="I21" s="212"/>
      <c r="J21" s="212"/>
      <c r="K21" s="101" t="s">
        <v>11</v>
      </c>
      <c r="L21" s="95" t="str">
        <f>IF(G21="??","??",IF(H21&lt;15%,"Yes","No"))</f>
        <v>??</v>
      </c>
      <c r="M21" s="3" t="s">
        <v>197</v>
      </c>
      <c r="N21" s="177"/>
      <c r="O21" s="177"/>
      <c r="P21" s="177"/>
      <c r="Q21" s="177"/>
      <c r="R21" s="177"/>
      <c r="S21" s="177"/>
      <c r="T21" s="177"/>
    </row>
    <row r="22" spans="2:20" ht="16.5" thickBot="1" x14ac:dyDescent="0.35">
      <c r="B22" s="222" t="s">
        <v>38</v>
      </c>
      <c r="C22" s="223" t="s">
        <v>44</v>
      </c>
      <c r="D22" s="179" t="s">
        <v>120</v>
      </c>
      <c r="E22" s="179"/>
      <c r="F22" s="297" t="s">
        <v>38</v>
      </c>
      <c r="G22" s="345" t="s">
        <v>71</v>
      </c>
      <c r="H22" s="290" t="e">
        <f>G22/G9</f>
        <v>#VALUE!</v>
      </c>
      <c r="I22" s="224" t="s">
        <v>38</v>
      </c>
      <c r="J22" s="179"/>
      <c r="K22" s="225" t="s">
        <v>13</v>
      </c>
      <c r="L22" s="96" t="str">
        <f>'Calculations 60Gy_8F'!K31</f>
        <v>??</v>
      </c>
      <c r="M22" s="2" t="s">
        <v>56</v>
      </c>
      <c r="N22" s="177"/>
      <c r="O22" s="177"/>
      <c r="P22" s="177"/>
      <c r="Q22" s="177"/>
      <c r="R22" s="177"/>
      <c r="S22" s="177"/>
      <c r="T22" s="177"/>
    </row>
    <row r="23" spans="2:20" x14ac:dyDescent="0.2">
      <c r="B23" s="188" t="s">
        <v>39</v>
      </c>
      <c r="C23" s="172"/>
      <c r="D23" s="172"/>
      <c r="E23" s="172"/>
      <c r="F23" s="173"/>
      <c r="G23" s="209"/>
      <c r="H23" s="173"/>
      <c r="I23" s="172"/>
      <c r="J23" s="172"/>
      <c r="K23" s="209"/>
      <c r="L23" s="94"/>
      <c r="M23" s="176"/>
      <c r="N23" s="177"/>
      <c r="O23" s="177"/>
      <c r="P23" s="177"/>
      <c r="Q23" s="177"/>
      <c r="R23" s="177"/>
      <c r="S23" s="177"/>
      <c r="T23" s="177"/>
    </row>
    <row r="24" spans="2:20" ht="14.25" x14ac:dyDescent="0.25">
      <c r="B24" s="191" t="s">
        <v>38</v>
      </c>
      <c r="C24" s="220" t="s">
        <v>41</v>
      </c>
      <c r="D24" s="226" t="s">
        <v>53</v>
      </c>
      <c r="E24" s="212"/>
      <c r="F24" s="227"/>
      <c r="G24" s="360" t="s">
        <v>71</v>
      </c>
      <c r="H24" s="228"/>
      <c r="I24" s="229"/>
      <c r="J24" s="212"/>
      <c r="K24" s="248" t="e">
        <f ca="1">'Calculations 60Gy_8F'!L27/100</f>
        <v>#N/A</v>
      </c>
      <c r="L24" s="169" t="str">
        <f>'Calculations 60Gy_8F'!K33</f>
        <v>??</v>
      </c>
      <c r="M24" s="3" t="s">
        <v>198</v>
      </c>
      <c r="N24" s="231"/>
      <c r="O24" s="231"/>
      <c r="P24" s="177"/>
      <c r="Q24" s="177"/>
      <c r="R24" s="177"/>
      <c r="S24" s="177"/>
      <c r="T24" s="177"/>
    </row>
    <row r="25" spans="2:20" ht="16.5" thickBot="1" x14ac:dyDescent="0.35">
      <c r="B25" s="222" t="s">
        <v>38</v>
      </c>
      <c r="C25" s="53" t="s">
        <v>44</v>
      </c>
      <c r="D25" s="358" t="s">
        <v>186</v>
      </c>
      <c r="E25" s="179"/>
      <c r="F25" s="336"/>
      <c r="G25" s="345" t="s">
        <v>71</v>
      </c>
      <c r="H25" s="232" t="e">
        <f>G25/G9</f>
        <v>#VALUE!</v>
      </c>
      <c r="I25" s="233" t="s">
        <v>38</v>
      </c>
      <c r="J25" s="179"/>
      <c r="K25" s="249" t="e">
        <f ca="1">'Calculations 60Gy_8F'!I27</f>
        <v>#N/A</v>
      </c>
      <c r="L25" s="170" t="str">
        <f>'Calculations 60Gy_8F'!K32</f>
        <v>??</v>
      </c>
      <c r="M25" s="3" t="s">
        <v>199</v>
      </c>
      <c r="N25" s="177"/>
      <c r="O25" s="177"/>
      <c r="P25" s="177"/>
      <c r="Q25" s="177"/>
      <c r="R25" s="177"/>
      <c r="S25" s="177"/>
      <c r="T25" s="177"/>
    </row>
    <row r="26" spans="2:20" x14ac:dyDescent="0.2">
      <c r="B26" s="191" t="s">
        <v>23</v>
      </c>
      <c r="C26" s="185"/>
      <c r="D26" s="185"/>
      <c r="E26" s="185"/>
      <c r="F26" s="186"/>
      <c r="G26" s="43" t="s">
        <v>187</v>
      </c>
      <c r="H26" s="194" t="s">
        <v>195</v>
      </c>
      <c r="I26" s="234"/>
      <c r="J26" s="234"/>
      <c r="K26" s="235" t="s">
        <v>35</v>
      </c>
      <c r="L26" s="236"/>
      <c r="M26" s="176"/>
      <c r="N26" s="177"/>
      <c r="O26" s="177"/>
      <c r="P26" s="177"/>
      <c r="Q26" s="177"/>
      <c r="R26" s="177"/>
      <c r="S26" s="177"/>
      <c r="T26" s="177"/>
    </row>
    <row r="27" spans="2:20" ht="13.5" thickBot="1" x14ac:dyDescent="0.25">
      <c r="B27" s="191" t="s">
        <v>38</v>
      </c>
      <c r="C27" s="185"/>
      <c r="D27" s="185"/>
      <c r="E27" s="185"/>
      <c r="F27" s="186"/>
      <c r="G27" s="43" t="s">
        <v>188</v>
      </c>
      <c r="H27" s="194"/>
      <c r="I27" s="234"/>
      <c r="J27" s="234"/>
      <c r="K27" s="356" t="s">
        <v>185</v>
      </c>
      <c r="L27" s="236"/>
      <c r="M27" s="176"/>
      <c r="N27" s="177"/>
      <c r="O27" s="177"/>
      <c r="P27" s="177"/>
      <c r="Q27" s="177"/>
      <c r="R27" s="177"/>
      <c r="S27" s="177"/>
      <c r="T27" s="177"/>
    </row>
    <row r="28" spans="2:20" x14ac:dyDescent="0.2">
      <c r="B28" s="191" t="s">
        <v>38</v>
      </c>
      <c r="C28" s="188" t="s">
        <v>25</v>
      </c>
      <c r="D28" s="172"/>
      <c r="E28" s="172"/>
      <c r="F28" s="173"/>
      <c r="G28" s="209"/>
      <c r="H28" s="173"/>
      <c r="I28" s="172"/>
      <c r="J28" s="172"/>
      <c r="K28" s="209"/>
      <c r="L28" s="94"/>
      <c r="M28" s="176"/>
      <c r="N28" s="177"/>
      <c r="O28" s="177"/>
      <c r="P28" s="177"/>
      <c r="Q28" s="177"/>
      <c r="R28" s="177"/>
      <c r="S28" s="177"/>
      <c r="T28" s="177"/>
    </row>
    <row r="29" spans="2:20" x14ac:dyDescent="0.2">
      <c r="B29" s="183"/>
      <c r="C29" s="183" t="s">
        <v>26</v>
      </c>
      <c r="D29" s="185"/>
      <c r="E29" s="185"/>
      <c r="F29" s="186"/>
      <c r="G29" s="89" t="s">
        <v>71</v>
      </c>
      <c r="H29" s="221"/>
      <c r="I29" s="212"/>
      <c r="J29" s="212"/>
      <c r="K29" s="101"/>
      <c r="L29" s="95" t="s">
        <v>71</v>
      </c>
      <c r="M29" s="176"/>
      <c r="N29" s="177"/>
      <c r="O29" s="177"/>
      <c r="P29" s="177"/>
      <c r="Q29" s="177"/>
      <c r="R29" s="177"/>
      <c r="S29" s="177"/>
      <c r="T29" s="177"/>
    </row>
    <row r="30" spans="2:20" x14ac:dyDescent="0.2">
      <c r="B30" s="183"/>
      <c r="C30" s="183" t="s">
        <v>27</v>
      </c>
      <c r="D30" s="185"/>
      <c r="E30" s="185"/>
      <c r="F30" s="186"/>
      <c r="G30" s="90" t="s">
        <v>71</v>
      </c>
      <c r="H30" s="237"/>
      <c r="I30" s="238"/>
      <c r="J30" s="238"/>
      <c r="K30" s="239"/>
      <c r="L30" s="359" t="s">
        <v>71</v>
      </c>
      <c r="M30" s="176"/>
      <c r="N30" s="177"/>
      <c r="O30" s="177"/>
      <c r="P30" s="177"/>
      <c r="Q30" s="177"/>
      <c r="R30" s="177"/>
      <c r="S30" s="177"/>
      <c r="T30" s="177"/>
    </row>
    <row r="31" spans="2:20" ht="15" thickBot="1" x14ac:dyDescent="0.3">
      <c r="B31" s="183"/>
      <c r="C31" s="178" t="s">
        <v>28</v>
      </c>
      <c r="D31" s="179"/>
      <c r="E31" s="395" t="s">
        <v>181</v>
      </c>
      <c r="F31" s="396"/>
      <c r="G31" s="349" t="s">
        <v>71</v>
      </c>
      <c r="H31" s="327" t="s">
        <v>38</v>
      </c>
      <c r="I31" s="325"/>
      <c r="J31" s="325"/>
      <c r="K31" s="326" t="s">
        <v>73</v>
      </c>
      <c r="L31" s="339" t="str">
        <f>'Calculations 60Gy_8F'!K34</f>
        <v>??</v>
      </c>
      <c r="M31" s="176" t="s">
        <v>55</v>
      </c>
      <c r="N31" s="177"/>
      <c r="O31" s="177"/>
      <c r="P31" s="177"/>
      <c r="Q31" s="177"/>
      <c r="R31" s="177"/>
      <c r="S31" s="177"/>
      <c r="T31" s="177"/>
    </row>
    <row r="32" spans="2:20" x14ac:dyDescent="0.2">
      <c r="B32" s="191" t="s">
        <v>38</v>
      </c>
      <c r="C32" s="191" t="s">
        <v>54</v>
      </c>
      <c r="D32" s="185"/>
      <c r="E32" s="185"/>
      <c r="F32" s="186"/>
      <c r="G32" s="218"/>
      <c r="H32" s="186"/>
      <c r="I32" s="185"/>
      <c r="J32" s="185"/>
      <c r="K32" s="218"/>
      <c r="L32" s="189"/>
      <c r="M32" s="176"/>
      <c r="N32" s="177"/>
      <c r="O32" s="177"/>
      <c r="P32" s="177"/>
      <c r="Q32" s="177"/>
      <c r="R32" s="177"/>
      <c r="S32" s="177"/>
      <c r="T32" s="177"/>
    </row>
    <row r="33" spans="2:20" x14ac:dyDescent="0.2">
      <c r="B33" s="183"/>
      <c r="C33" s="79" t="s">
        <v>138</v>
      </c>
      <c r="D33" s="34" t="s">
        <v>38</v>
      </c>
      <c r="E33" s="60"/>
      <c r="F33" s="301" t="s">
        <v>65</v>
      </c>
      <c r="G33" s="86" t="s">
        <v>71</v>
      </c>
      <c r="H33" s="205"/>
      <c r="I33" s="197"/>
      <c r="J33" s="197"/>
      <c r="K33" s="198">
        <v>6400</v>
      </c>
      <c r="L33" s="338" t="str">
        <f>IF(G33="??","??",IF(G33&lt;=6400,"Yes","No"))</f>
        <v>??</v>
      </c>
      <c r="M33" s="230" t="s">
        <v>173</v>
      </c>
      <c r="N33" s="177"/>
      <c r="O33" s="177"/>
      <c r="P33" s="177"/>
      <c r="Q33" s="177"/>
      <c r="R33" s="177"/>
      <c r="S33" s="177"/>
      <c r="T33" s="177"/>
    </row>
    <row r="34" spans="2:20" ht="14.25" x14ac:dyDescent="0.25">
      <c r="B34" s="183"/>
      <c r="C34" s="268"/>
      <c r="D34" s="282" t="s">
        <v>158</v>
      </c>
      <c r="E34" s="38"/>
      <c r="F34" s="283" t="s">
        <v>159</v>
      </c>
      <c r="G34" s="87" t="str">
        <f>IF(G33&lt;=6000,"OK","??")</f>
        <v>??</v>
      </c>
      <c r="H34" s="205"/>
      <c r="I34" s="197"/>
      <c r="J34" s="197"/>
      <c r="K34" s="198">
        <v>10</v>
      </c>
      <c r="L34" s="338" t="str">
        <f>IF(G34="??","??",IF(G34&lt;=10,"Yes",IF(G34="OK","Yes","No")))</f>
        <v>??</v>
      </c>
      <c r="M34" s="176"/>
      <c r="N34" s="177"/>
      <c r="O34" s="177"/>
      <c r="P34" s="177"/>
      <c r="Q34" s="177"/>
      <c r="R34" s="177"/>
      <c r="S34" s="177"/>
      <c r="T34" s="177"/>
    </row>
    <row r="35" spans="2:20" x14ac:dyDescent="0.2">
      <c r="B35" s="183"/>
      <c r="C35" s="79" t="s">
        <v>176</v>
      </c>
      <c r="D35" s="34"/>
      <c r="E35" s="60"/>
      <c r="F35" s="301" t="s">
        <v>65</v>
      </c>
      <c r="G35" s="86" t="s">
        <v>71</v>
      </c>
      <c r="H35" s="205"/>
      <c r="I35" s="197"/>
      <c r="J35" s="197"/>
      <c r="K35" s="198">
        <v>6400</v>
      </c>
      <c r="L35" s="338" t="str">
        <f>IF(G35="??","??",IF(G35&lt;=6400,"Yes","No"))</f>
        <v>??</v>
      </c>
      <c r="M35" s="230" t="s">
        <v>173</v>
      </c>
      <c r="N35" s="177"/>
      <c r="O35" s="177"/>
      <c r="P35" s="177"/>
      <c r="Q35" s="177"/>
      <c r="R35" s="177"/>
      <c r="S35" s="177"/>
      <c r="T35" s="177"/>
    </row>
    <row r="36" spans="2:20" ht="14.25" x14ac:dyDescent="0.25">
      <c r="B36" s="183"/>
      <c r="C36" s="268"/>
      <c r="D36" s="282" t="s">
        <v>158</v>
      </c>
      <c r="E36" s="38"/>
      <c r="F36" s="283" t="s">
        <v>159</v>
      </c>
      <c r="G36" s="87" t="str">
        <f>IF(G35&lt;=6000,"OK","??")</f>
        <v>??</v>
      </c>
      <c r="H36" s="205"/>
      <c r="I36" s="197"/>
      <c r="J36" s="197"/>
      <c r="K36" s="198">
        <v>10</v>
      </c>
      <c r="L36" s="338" t="str">
        <f>IF(G36="??","??",IF(G36&lt;=10,"Yes",IF(G36="OK","Yes","No")))</f>
        <v>??</v>
      </c>
      <c r="M36" s="176"/>
      <c r="N36" s="177"/>
      <c r="O36" s="177"/>
      <c r="P36" s="177"/>
      <c r="Q36" s="177"/>
      <c r="R36" s="177"/>
      <c r="S36" s="177"/>
      <c r="T36" s="177"/>
    </row>
    <row r="37" spans="2:20" x14ac:dyDescent="0.2">
      <c r="B37" s="183"/>
      <c r="C37" s="183" t="s">
        <v>16</v>
      </c>
      <c r="D37" s="185"/>
      <c r="E37" s="299"/>
      <c r="F37" s="241" t="s">
        <v>65</v>
      </c>
      <c r="G37" s="285" t="s">
        <v>71</v>
      </c>
      <c r="H37" s="205"/>
      <c r="I37" s="197"/>
      <c r="J37" s="197"/>
      <c r="K37" s="206">
        <v>3200</v>
      </c>
      <c r="L37" s="338" t="str">
        <f>IF(G37="??","??",IF(G37&lt;=3200,"Yes","No"))</f>
        <v>??</v>
      </c>
      <c r="M37" s="176" t="s">
        <v>29</v>
      </c>
      <c r="N37" s="177"/>
      <c r="O37" s="177"/>
      <c r="P37" s="177"/>
      <c r="Q37" s="177"/>
      <c r="R37" s="177"/>
      <c r="S37" s="177"/>
      <c r="T37" s="177"/>
    </row>
    <row r="38" spans="2:20" x14ac:dyDescent="0.2">
      <c r="B38" s="183"/>
      <c r="C38" s="386" t="s">
        <v>196</v>
      </c>
      <c r="D38" s="197"/>
      <c r="E38" s="212"/>
      <c r="F38" s="302" t="s">
        <v>65</v>
      </c>
      <c r="G38" s="285" t="s">
        <v>71</v>
      </c>
      <c r="H38" s="205"/>
      <c r="I38" s="197"/>
      <c r="J38" s="197"/>
      <c r="K38" s="206">
        <v>3800</v>
      </c>
      <c r="L38" s="338" t="str">
        <f>IF(G38="??","??",IF(G38&lt;=3800,"Yes","No"))</f>
        <v>??</v>
      </c>
      <c r="M38" s="230" t="s">
        <v>173</v>
      </c>
      <c r="N38" s="177"/>
      <c r="O38" s="177"/>
      <c r="P38" s="177"/>
      <c r="Q38" s="177"/>
      <c r="R38" s="177"/>
      <c r="S38" s="177"/>
      <c r="T38" s="177"/>
    </row>
    <row r="39" spans="2:20" ht="14.25" x14ac:dyDescent="0.25">
      <c r="B39" s="183"/>
      <c r="C39" s="300"/>
      <c r="D39" s="282" t="s">
        <v>213</v>
      </c>
      <c r="E39" s="238"/>
      <c r="F39" s="256" t="s">
        <v>127</v>
      </c>
      <c r="G39" s="87" t="str">
        <f>IF(G38&lt;=3000,"OK","??")</f>
        <v>??</v>
      </c>
      <c r="H39" s="205"/>
      <c r="I39" s="197"/>
      <c r="J39" s="197"/>
      <c r="K39" s="206">
        <v>3</v>
      </c>
      <c r="L39" s="338" t="str">
        <f>IF(G39="??","??",IF(G39&lt;=3,"Yes",IF(G39="OK","Yes","No")))</f>
        <v>??</v>
      </c>
      <c r="M39" s="230"/>
      <c r="N39" s="177"/>
      <c r="O39" s="177"/>
      <c r="P39" s="177"/>
      <c r="Q39" s="177"/>
      <c r="R39" s="177"/>
      <c r="S39" s="177"/>
      <c r="T39" s="177"/>
    </row>
    <row r="40" spans="2:20" x14ac:dyDescent="0.2">
      <c r="B40" s="183"/>
      <c r="C40" s="242" t="s">
        <v>18</v>
      </c>
      <c r="D40" s="197"/>
      <c r="E40" s="212"/>
      <c r="F40" s="303" t="s">
        <v>65</v>
      </c>
      <c r="G40" s="285" t="s">
        <v>71</v>
      </c>
      <c r="H40" s="205"/>
      <c r="I40" s="197"/>
      <c r="J40" s="197"/>
      <c r="K40" s="206">
        <v>6400</v>
      </c>
      <c r="L40" s="338" t="str">
        <f>IF(G40="??","??",IF(G40&lt;=6400,"Yes","No"))</f>
        <v>??</v>
      </c>
      <c r="M40" s="176" t="s">
        <v>29</v>
      </c>
      <c r="N40" s="177"/>
      <c r="O40" s="177"/>
      <c r="P40" s="177"/>
      <c r="Q40" s="177"/>
      <c r="R40" s="177"/>
      <c r="S40" s="177"/>
      <c r="T40" s="177"/>
    </row>
    <row r="41" spans="2:20" ht="14.25" x14ac:dyDescent="0.25">
      <c r="B41" s="183"/>
      <c r="C41" s="268"/>
      <c r="D41" s="282" t="s">
        <v>158</v>
      </c>
      <c r="E41" s="38"/>
      <c r="F41" s="283" t="s">
        <v>159</v>
      </c>
      <c r="G41" s="87" t="str">
        <f>IF(G40&lt;=6000,"OK","??")</f>
        <v>??</v>
      </c>
      <c r="H41" s="205"/>
      <c r="I41" s="197"/>
      <c r="J41" s="197"/>
      <c r="K41" s="198">
        <v>10</v>
      </c>
      <c r="L41" s="338" t="str">
        <f>IF(G41="??","??",IF(G41&lt;=10,"Yes",IF(G41="OK","Yes","No")))</f>
        <v>??</v>
      </c>
      <c r="M41" s="230" t="s">
        <v>173</v>
      </c>
      <c r="N41" s="177"/>
      <c r="O41" s="177"/>
      <c r="P41" s="177"/>
      <c r="Q41" s="177"/>
      <c r="R41" s="177"/>
      <c r="S41" s="177"/>
      <c r="T41" s="177"/>
    </row>
    <row r="42" spans="2:20" x14ac:dyDescent="0.2">
      <c r="B42" s="183"/>
      <c r="C42" s="242" t="s">
        <v>14</v>
      </c>
      <c r="D42" s="197"/>
      <c r="E42" s="197"/>
      <c r="F42" s="240" t="s">
        <v>65</v>
      </c>
      <c r="G42" s="285" t="s">
        <v>71</v>
      </c>
      <c r="H42" s="205"/>
      <c r="I42" s="197"/>
      <c r="J42" s="197"/>
      <c r="K42" s="206">
        <v>4000</v>
      </c>
      <c r="L42" s="338" t="str">
        <f>IF(G42="??","??",IF(G42&lt;=4000,"Yes","No"))</f>
        <v>??</v>
      </c>
      <c r="M42" s="230" t="s">
        <v>173</v>
      </c>
      <c r="N42" s="177"/>
      <c r="O42" s="177"/>
      <c r="P42" s="177"/>
      <c r="Q42" s="177"/>
      <c r="R42" s="177"/>
      <c r="S42" s="177"/>
      <c r="T42" s="177"/>
    </row>
    <row r="43" spans="2:20" x14ac:dyDescent="0.2">
      <c r="B43" s="183"/>
      <c r="C43" s="242" t="s">
        <v>72</v>
      </c>
      <c r="D43" s="197"/>
      <c r="E43" s="212"/>
      <c r="F43" s="303" t="s">
        <v>65</v>
      </c>
      <c r="G43" s="285" t="s">
        <v>71</v>
      </c>
      <c r="H43" s="205"/>
      <c r="I43" s="197"/>
      <c r="J43" s="197"/>
      <c r="K43" s="206">
        <v>6000</v>
      </c>
      <c r="L43" s="338" t="str">
        <f>IF(G43="??","??",IF(G43&lt;=6000,"Yes","No"))</f>
        <v>??</v>
      </c>
      <c r="M43" s="230" t="s">
        <v>173</v>
      </c>
      <c r="N43" s="177"/>
      <c r="O43" s="177"/>
      <c r="P43" s="177"/>
      <c r="Q43" s="177"/>
      <c r="R43" s="177"/>
      <c r="S43" s="177"/>
      <c r="T43" s="177"/>
    </row>
    <row r="44" spans="2:20" ht="14.25" x14ac:dyDescent="0.25">
      <c r="B44" s="183"/>
      <c r="C44" s="183"/>
      <c r="D44" s="18" t="s">
        <v>174</v>
      </c>
      <c r="E44" s="38"/>
      <c r="F44" s="283" t="s">
        <v>175</v>
      </c>
      <c r="G44" s="87" t="str">
        <f>IF(G43&lt;=5000,"OK","??")</f>
        <v>??</v>
      </c>
      <c r="H44" s="205"/>
      <c r="I44" s="197"/>
      <c r="J44" s="197"/>
      <c r="K44" s="198">
        <v>5</v>
      </c>
      <c r="L44" s="338" t="str">
        <f>IF(G44="??","??",IF(G44&lt;=5,"Yes",IF(G44="OK","Yes","No")))</f>
        <v>??</v>
      </c>
      <c r="M44" s="230" t="s">
        <v>173</v>
      </c>
      <c r="N44" s="177"/>
      <c r="O44" s="177"/>
      <c r="P44" s="177"/>
      <c r="Q44" s="177"/>
      <c r="R44" s="177"/>
      <c r="S44" s="177"/>
      <c r="T44" s="177"/>
    </row>
    <row r="45" spans="2:20" x14ac:dyDescent="0.2">
      <c r="B45" s="183"/>
      <c r="C45" s="242" t="s">
        <v>17</v>
      </c>
      <c r="D45" s="197"/>
      <c r="E45" s="197"/>
      <c r="F45" s="240" t="s">
        <v>65</v>
      </c>
      <c r="G45" s="341" t="s">
        <v>71</v>
      </c>
      <c r="H45" s="320" t="s">
        <v>38</v>
      </c>
      <c r="I45" s="212"/>
      <c r="J45" s="212"/>
      <c r="K45" s="101">
        <v>6400</v>
      </c>
      <c r="L45" s="338" t="str">
        <f>IF(G45="??","??",IF(G45&lt;=6400,"Yes","No"))</f>
        <v>??</v>
      </c>
      <c r="M45" s="176" t="s">
        <v>29</v>
      </c>
      <c r="N45" s="177"/>
      <c r="O45" s="177"/>
      <c r="P45" s="177"/>
      <c r="Q45" s="177"/>
      <c r="R45" s="177"/>
      <c r="S45" s="177"/>
      <c r="T45" s="177"/>
    </row>
    <row r="46" spans="2:20" ht="14.25" x14ac:dyDescent="0.25">
      <c r="B46" s="183"/>
      <c r="C46" s="337" t="s">
        <v>214</v>
      </c>
      <c r="D46" s="185"/>
      <c r="E46" s="185"/>
      <c r="F46" s="187" t="s">
        <v>184</v>
      </c>
      <c r="G46" s="90" t="str">
        <f>IF(G45&lt;=6000,"OK","??")</f>
        <v>??</v>
      </c>
      <c r="H46" s="186" t="s">
        <v>38</v>
      </c>
      <c r="I46" s="185"/>
      <c r="J46" s="185"/>
      <c r="K46" s="206">
        <v>5</v>
      </c>
      <c r="L46" s="338" t="str">
        <f>IF(G46="??","??",IF(G46&lt;=5,"Yes",IF(G46="OK","Yes","No")))</f>
        <v>??</v>
      </c>
      <c r="M46" s="230" t="s">
        <v>173</v>
      </c>
      <c r="N46" s="177"/>
      <c r="O46" s="177"/>
      <c r="P46" s="177"/>
      <c r="Q46" s="177"/>
      <c r="R46" s="177"/>
      <c r="S46" s="177"/>
      <c r="T46" s="177"/>
    </row>
    <row r="47" spans="2:20" x14ac:dyDescent="0.2">
      <c r="B47" s="183"/>
      <c r="C47" s="242" t="s">
        <v>143</v>
      </c>
      <c r="D47" s="197"/>
      <c r="E47" s="212"/>
      <c r="F47" s="240" t="s">
        <v>65</v>
      </c>
      <c r="G47" s="341" t="s">
        <v>71</v>
      </c>
      <c r="H47" s="221"/>
      <c r="I47" s="212"/>
      <c r="J47" s="212"/>
      <c r="K47" s="101">
        <v>4000</v>
      </c>
      <c r="L47" s="338" t="str">
        <f>IF(G47="??","??",IF(G47&lt;=4000,"Yes","No"))</f>
        <v>??</v>
      </c>
      <c r="M47" s="230" t="s">
        <v>173</v>
      </c>
      <c r="N47" s="177"/>
      <c r="O47" s="177"/>
      <c r="P47" s="177"/>
      <c r="Q47" s="177"/>
      <c r="R47" s="177"/>
      <c r="S47" s="177"/>
      <c r="T47" s="177"/>
    </row>
    <row r="48" spans="2:20" ht="15" thickBot="1" x14ac:dyDescent="0.3">
      <c r="B48" s="183"/>
      <c r="C48" s="178" t="s">
        <v>144</v>
      </c>
      <c r="D48" s="375" t="s">
        <v>215</v>
      </c>
      <c r="E48" s="179" t="s">
        <v>38</v>
      </c>
      <c r="F48" s="270" t="s">
        <v>137</v>
      </c>
      <c r="G48" s="340" t="str">
        <f>IF(G47&lt;=3600,"OK","??")</f>
        <v>??</v>
      </c>
      <c r="H48" s="180"/>
      <c r="I48" s="179"/>
      <c r="J48" s="179"/>
      <c r="K48" s="225">
        <v>1</v>
      </c>
      <c r="L48" s="339" t="str">
        <f>IF(G48="??","??",IF(G48&lt;=1,"Yes",IF(G48="OK","Yes","No")))</f>
        <v>??</v>
      </c>
      <c r="M48" s="230" t="s">
        <v>173</v>
      </c>
      <c r="N48" s="177"/>
      <c r="O48" s="177"/>
      <c r="P48" s="177"/>
      <c r="Q48" s="177"/>
      <c r="R48" s="177"/>
      <c r="S48" s="177"/>
      <c r="T48" s="177"/>
    </row>
    <row r="49" spans="2:20" x14ac:dyDescent="0.2">
      <c r="B49" s="171"/>
      <c r="C49" s="185"/>
      <c r="D49" s="185"/>
      <c r="E49" s="185"/>
      <c r="F49" s="243"/>
      <c r="G49" s="278"/>
      <c r="H49" s="186"/>
      <c r="I49" s="185"/>
      <c r="J49" s="185"/>
      <c r="K49" s="186"/>
      <c r="L49" s="97"/>
      <c r="M49" s="176"/>
      <c r="N49" s="177"/>
      <c r="O49" s="177"/>
      <c r="P49" s="177"/>
      <c r="Q49" s="177"/>
      <c r="R49" s="177"/>
      <c r="S49" s="177"/>
      <c r="T49" s="177"/>
    </row>
    <row r="50" spans="2:20" x14ac:dyDescent="0.2">
      <c r="B50" s="183"/>
      <c r="C50" s="184" t="s">
        <v>60</v>
      </c>
      <c r="D50" s="185"/>
      <c r="E50" s="185"/>
      <c r="F50" s="186"/>
      <c r="G50" s="187" t="s">
        <v>61</v>
      </c>
      <c r="H50" s="186"/>
      <c r="I50" s="185"/>
      <c r="J50" s="184" t="s">
        <v>62</v>
      </c>
      <c r="K50" s="186"/>
      <c r="L50" s="189"/>
      <c r="M50" s="176"/>
      <c r="N50" s="177"/>
      <c r="O50" s="177"/>
      <c r="P50" s="177"/>
      <c r="Q50" s="177"/>
      <c r="R50" s="177"/>
      <c r="S50" s="177"/>
      <c r="T50" s="177"/>
    </row>
    <row r="51" spans="2:20" x14ac:dyDescent="0.2">
      <c r="B51" s="183"/>
      <c r="C51" s="110" t="s">
        <v>71</v>
      </c>
      <c r="D51" s="185"/>
      <c r="E51" s="185"/>
      <c r="F51" s="186"/>
      <c r="G51" s="110" t="s">
        <v>71</v>
      </c>
      <c r="H51" s="186"/>
      <c r="I51" s="185"/>
      <c r="J51" s="185"/>
      <c r="K51" s="110" t="s">
        <v>71</v>
      </c>
      <c r="L51" s="189"/>
      <c r="M51" s="176"/>
      <c r="N51" s="177"/>
      <c r="O51" s="177"/>
      <c r="P51" s="177"/>
      <c r="Q51" s="177"/>
      <c r="R51" s="177"/>
      <c r="S51" s="177"/>
      <c r="T51" s="177"/>
    </row>
    <row r="52" spans="2:20" x14ac:dyDescent="0.2">
      <c r="B52" s="191" t="s">
        <v>147</v>
      </c>
      <c r="C52" s="107"/>
      <c r="D52" s="107"/>
      <c r="E52" s="107"/>
      <c r="F52" s="110"/>
      <c r="G52" s="110"/>
      <c r="H52" s="110"/>
      <c r="I52" s="107"/>
      <c r="J52" s="107"/>
      <c r="K52" s="110"/>
      <c r="L52" s="102"/>
      <c r="M52" s="176"/>
      <c r="N52" s="177"/>
      <c r="O52" s="177"/>
      <c r="P52" s="177"/>
      <c r="Q52" s="177"/>
      <c r="R52" s="177"/>
      <c r="S52" s="177"/>
      <c r="T52" s="177"/>
    </row>
    <row r="53" spans="2:20" ht="13.5" thickBot="1" x14ac:dyDescent="0.25">
      <c r="B53" s="178"/>
      <c r="C53" s="382"/>
      <c r="D53" s="382"/>
      <c r="E53" s="382"/>
      <c r="F53" s="383"/>
      <c r="G53" s="383"/>
      <c r="H53" s="384" t="s">
        <v>38</v>
      </c>
      <c r="I53" s="382"/>
      <c r="J53" s="382"/>
      <c r="K53" s="383"/>
      <c r="L53" s="385"/>
      <c r="M53" s="176"/>
      <c r="N53" s="177"/>
      <c r="O53" s="177"/>
      <c r="P53" s="177"/>
      <c r="Q53" s="177"/>
      <c r="R53" s="177"/>
      <c r="S53" s="177"/>
      <c r="T53" s="177"/>
    </row>
    <row r="54" spans="2:20" x14ac:dyDescent="0.2">
      <c r="B54" s="244" t="s">
        <v>170</v>
      </c>
      <c r="C54" s="177"/>
      <c r="D54" s="177"/>
      <c r="E54" s="177"/>
      <c r="F54" s="245"/>
      <c r="G54" s="245"/>
      <c r="H54" s="245"/>
      <c r="I54" s="177"/>
      <c r="J54" s="177"/>
      <c r="K54" s="245"/>
      <c r="L54" s="245"/>
      <c r="M54" s="176"/>
      <c r="N54" s="177"/>
      <c r="O54" s="177"/>
      <c r="P54" s="177"/>
      <c r="Q54" s="177"/>
      <c r="R54" s="177"/>
      <c r="S54" s="177"/>
      <c r="T54" s="177"/>
    </row>
  </sheetData>
  <sheetProtection sheet="1"/>
  <mergeCells count="1">
    <mergeCell ref="E31:F31"/>
  </mergeCells>
  <phoneticPr fontId="2" type="noConversion"/>
  <conditionalFormatting sqref="L33:L48">
    <cfRule type="containsText" dxfId="9" priority="12" stopIfTrue="1" operator="containsText" text="No">
      <formula>NOT(ISERROR(SEARCH("No",L33)))</formula>
    </cfRule>
  </conditionalFormatting>
  <conditionalFormatting sqref="L20:L30">
    <cfRule type="containsText" dxfId="8" priority="10" stopIfTrue="1" operator="containsText" text="No">
      <formula>NOT(ISERROR(SEARCH("No",L20)))</formula>
    </cfRule>
    <cfRule type="containsText" dxfId="7" priority="11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topLeftCell="C1" workbookViewId="0">
      <selection activeCell="J10" sqref="J10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12"/>
      <c r="D1" s="113"/>
      <c r="E1" s="113"/>
      <c r="F1" s="113"/>
      <c r="G1" s="113"/>
      <c r="H1" s="113"/>
      <c r="I1" s="115" t="s">
        <v>119</v>
      </c>
      <c r="J1" s="113"/>
      <c r="K1" s="113"/>
      <c r="L1" s="113"/>
      <c r="M1" s="113"/>
      <c r="N1" s="113"/>
      <c r="O1" s="113"/>
      <c r="P1" s="113"/>
      <c r="Q1" s="116"/>
    </row>
    <row r="2" spans="3:17" ht="15.75" thickBot="1" x14ac:dyDescent="0.3">
      <c r="C2" s="117"/>
      <c r="D2" s="118"/>
      <c r="E2" s="119" t="s">
        <v>87</v>
      </c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20"/>
    </row>
    <row r="3" spans="3:17" ht="15" x14ac:dyDescent="0.25">
      <c r="C3" s="112"/>
      <c r="D3" s="121"/>
      <c r="E3" s="113"/>
      <c r="F3" s="112"/>
      <c r="G3" s="113"/>
      <c r="H3" s="116"/>
      <c r="I3" s="113"/>
      <c r="J3" s="113"/>
      <c r="K3" s="113"/>
      <c r="L3" s="112" t="s">
        <v>88</v>
      </c>
      <c r="M3" s="113"/>
      <c r="N3" s="116"/>
      <c r="O3" s="113" t="s">
        <v>89</v>
      </c>
      <c r="P3" s="113"/>
      <c r="Q3" s="116"/>
    </row>
    <row r="4" spans="3:17" ht="15" x14ac:dyDescent="0.25">
      <c r="C4" s="117"/>
      <c r="D4" s="122"/>
      <c r="E4" s="118"/>
      <c r="F4" s="123" t="s">
        <v>90</v>
      </c>
      <c r="G4" s="118"/>
      <c r="H4" s="120"/>
      <c r="I4" s="118" t="s">
        <v>91</v>
      </c>
      <c r="J4" s="118"/>
      <c r="K4" s="118"/>
      <c r="L4" s="117" t="s">
        <v>92</v>
      </c>
      <c r="M4" s="118"/>
      <c r="N4" s="120"/>
      <c r="O4" s="118" t="s">
        <v>93</v>
      </c>
      <c r="P4" s="118"/>
      <c r="Q4" s="120"/>
    </row>
    <row r="5" spans="3:17" x14ac:dyDescent="0.2">
      <c r="C5" s="117"/>
      <c r="D5" s="118"/>
      <c r="E5" s="118"/>
      <c r="F5" s="123" t="s">
        <v>94</v>
      </c>
      <c r="G5" s="118"/>
      <c r="H5" s="120"/>
      <c r="I5" s="124" t="s">
        <v>95</v>
      </c>
      <c r="J5" s="118"/>
      <c r="K5" s="118"/>
      <c r="L5" s="117" t="s">
        <v>96</v>
      </c>
      <c r="M5" s="118"/>
      <c r="N5" s="120"/>
      <c r="O5" s="118"/>
      <c r="P5" s="118"/>
      <c r="Q5" s="120"/>
    </row>
    <row r="6" spans="3:17" ht="13.5" thickBot="1" x14ac:dyDescent="0.25">
      <c r="C6" s="117"/>
      <c r="D6" s="125" t="s">
        <v>82</v>
      </c>
      <c r="E6" s="118"/>
      <c r="F6" s="397" t="s">
        <v>97</v>
      </c>
      <c r="G6" s="118"/>
      <c r="H6" s="120"/>
      <c r="I6" s="124"/>
      <c r="J6" s="118"/>
      <c r="K6" s="118"/>
      <c r="L6" s="117"/>
      <c r="M6" s="118"/>
      <c r="N6" s="120"/>
      <c r="O6" s="118"/>
      <c r="P6" s="118"/>
      <c r="Q6" s="120"/>
    </row>
    <row r="7" spans="3:17" x14ac:dyDescent="0.2">
      <c r="C7" s="117"/>
      <c r="D7" s="125" t="s">
        <v>98</v>
      </c>
      <c r="E7" s="118"/>
      <c r="F7" s="126" t="s">
        <v>99</v>
      </c>
      <c r="G7" s="113"/>
      <c r="H7" s="116"/>
      <c r="I7" s="113"/>
      <c r="J7" s="113" t="s">
        <v>100</v>
      </c>
      <c r="K7" s="113"/>
      <c r="L7" s="127" t="s">
        <v>101</v>
      </c>
      <c r="M7" s="113"/>
      <c r="N7" s="116"/>
      <c r="O7" s="128" t="s">
        <v>102</v>
      </c>
      <c r="P7" s="113"/>
      <c r="Q7" s="116"/>
    </row>
    <row r="8" spans="3:17" ht="13.5" thickBot="1" x14ac:dyDescent="0.25">
      <c r="C8" s="129"/>
      <c r="D8" s="130" t="s">
        <v>83</v>
      </c>
      <c r="E8" s="130"/>
      <c r="F8" s="131" t="s">
        <v>84</v>
      </c>
      <c r="G8" s="130" t="s">
        <v>103</v>
      </c>
      <c r="H8" s="132"/>
      <c r="I8" s="130" t="s">
        <v>84</v>
      </c>
      <c r="J8" s="130" t="s">
        <v>103</v>
      </c>
      <c r="K8" s="130"/>
      <c r="L8" s="131" t="s">
        <v>84</v>
      </c>
      <c r="M8" s="130" t="s">
        <v>103</v>
      </c>
      <c r="N8" s="132"/>
      <c r="O8" s="130" t="s">
        <v>84</v>
      </c>
      <c r="P8" s="133" t="s">
        <v>103</v>
      </c>
      <c r="Q8" s="132"/>
    </row>
    <row r="9" spans="3:17" ht="15" x14ac:dyDescent="0.25">
      <c r="C9" s="117"/>
      <c r="D9" s="134">
        <v>1.8</v>
      </c>
      <c r="E9" s="125"/>
      <c r="F9" s="135">
        <v>1.2</v>
      </c>
      <c r="G9" s="136">
        <v>1.5</v>
      </c>
      <c r="H9" s="137"/>
      <c r="I9" s="138">
        <v>5.9</v>
      </c>
      <c r="J9" s="138">
        <v>7.5</v>
      </c>
      <c r="K9" s="125"/>
      <c r="L9" s="135">
        <v>50</v>
      </c>
      <c r="M9" s="136">
        <v>57</v>
      </c>
      <c r="N9" s="137"/>
      <c r="O9" s="125">
        <v>10</v>
      </c>
      <c r="P9" s="125">
        <v>15</v>
      </c>
      <c r="Q9" s="137"/>
    </row>
    <row r="10" spans="3:17" ht="15" x14ac:dyDescent="0.25">
      <c r="C10" s="117"/>
      <c r="D10" s="134">
        <v>3.8</v>
      </c>
      <c r="E10" s="125"/>
      <c r="F10" s="135">
        <v>1.2</v>
      </c>
      <c r="G10" s="136">
        <v>1.5</v>
      </c>
      <c r="H10" s="137"/>
      <c r="I10" s="138">
        <v>5.5</v>
      </c>
      <c r="J10" s="138">
        <v>6.5</v>
      </c>
      <c r="K10" s="125"/>
      <c r="L10" s="135">
        <v>50</v>
      </c>
      <c r="M10" s="136">
        <v>57</v>
      </c>
      <c r="N10" s="137"/>
      <c r="O10" s="125">
        <v>10</v>
      </c>
      <c r="P10" s="125">
        <v>15</v>
      </c>
      <c r="Q10" s="137"/>
    </row>
    <row r="11" spans="3:17" ht="15" x14ac:dyDescent="0.25">
      <c r="C11" s="117"/>
      <c r="D11" s="134">
        <v>7.4</v>
      </c>
      <c r="E11" s="125"/>
      <c r="F11" s="135">
        <v>1.2</v>
      </c>
      <c r="G11" s="136">
        <v>1.5</v>
      </c>
      <c r="H11" s="137"/>
      <c r="I11" s="138">
        <v>5.0999999999999996</v>
      </c>
      <c r="J11" s="138">
        <v>6</v>
      </c>
      <c r="K11" s="125"/>
      <c r="L11" s="135">
        <v>50</v>
      </c>
      <c r="M11" s="136">
        <v>58</v>
      </c>
      <c r="N11" s="137"/>
      <c r="O11" s="125">
        <v>10</v>
      </c>
      <c r="P11" s="125">
        <v>15</v>
      </c>
      <c r="Q11" s="137"/>
    </row>
    <row r="12" spans="3:17" ht="15" x14ac:dyDescent="0.25">
      <c r="C12" s="117"/>
      <c r="D12" s="134">
        <v>13.2</v>
      </c>
      <c r="E12" s="125"/>
      <c r="F12" s="135">
        <v>1.2</v>
      </c>
      <c r="G12" s="136">
        <v>1.5</v>
      </c>
      <c r="H12" s="137"/>
      <c r="I12" s="138">
        <v>4.7</v>
      </c>
      <c r="J12" s="138">
        <v>5.8</v>
      </c>
      <c r="K12" s="125"/>
      <c r="L12" s="135">
        <v>50</v>
      </c>
      <c r="M12" s="136">
        <v>58</v>
      </c>
      <c r="N12" s="137"/>
      <c r="O12" s="125">
        <v>10</v>
      </c>
      <c r="P12" s="125">
        <v>15</v>
      </c>
      <c r="Q12" s="137"/>
    </row>
    <row r="13" spans="3:17" ht="15" x14ac:dyDescent="0.25">
      <c r="C13" s="117"/>
      <c r="D13" s="134">
        <v>22</v>
      </c>
      <c r="E13" s="125"/>
      <c r="F13" s="135">
        <v>1.2</v>
      </c>
      <c r="G13" s="136">
        <v>1.5</v>
      </c>
      <c r="H13" s="137"/>
      <c r="I13" s="138">
        <v>4.5</v>
      </c>
      <c r="J13" s="138">
        <v>5.5</v>
      </c>
      <c r="K13" s="125"/>
      <c r="L13" s="135">
        <v>54</v>
      </c>
      <c r="M13" s="136">
        <v>63</v>
      </c>
      <c r="N13" s="137"/>
      <c r="O13" s="125">
        <v>10</v>
      </c>
      <c r="P13" s="125">
        <v>15</v>
      </c>
      <c r="Q13" s="137"/>
    </row>
    <row r="14" spans="3:17" ht="15" x14ac:dyDescent="0.25">
      <c r="C14" s="117"/>
      <c r="D14" s="134">
        <v>34</v>
      </c>
      <c r="E14" s="125"/>
      <c r="F14" s="135">
        <v>1.2</v>
      </c>
      <c r="G14" s="136">
        <v>1.5</v>
      </c>
      <c r="H14" s="137"/>
      <c r="I14" s="138">
        <v>4.3</v>
      </c>
      <c r="J14" s="138">
        <v>5.3</v>
      </c>
      <c r="K14" s="125"/>
      <c r="L14" s="135">
        <v>58</v>
      </c>
      <c r="M14" s="136">
        <v>68</v>
      </c>
      <c r="N14" s="137"/>
      <c r="O14" s="125">
        <v>10</v>
      </c>
      <c r="P14" s="125">
        <v>15</v>
      </c>
      <c r="Q14" s="137"/>
    </row>
    <row r="15" spans="3:17" ht="15" x14ac:dyDescent="0.25">
      <c r="C15" s="117"/>
      <c r="D15" s="134">
        <v>50</v>
      </c>
      <c r="E15" s="125"/>
      <c r="F15" s="135">
        <v>1.2</v>
      </c>
      <c r="G15" s="136">
        <v>1.5</v>
      </c>
      <c r="H15" s="137"/>
      <c r="I15" s="138">
        <v>4</v>
      </c>
      <c r="J15" s="138">
        <v>5</v>
      </c>
      <c r="K15" s="125"/>
      <c r="L15" s="135">
        <v>62</v>
      </c>
      <c r="M15" s="136">
        <v>77</v>
      </c>
      <c r="N15" s="137"/>
      <c r="O15" s="125">
        <v>10</v>
      </c>
      <c r="P15" s="125">
        <v>15</v>
      </c>
      <c r="Q15" s="137"/>
    </row>
    <row r="16" spans="3:17" ht="15" x14ac:dyDescent="0.25">
      <c r="C16" s="117"/>
      <c r="D16" s="134">
        <v>70</v>
      </c>
      <c r="E16" s="125"/>
      <c r="F16" s="135">
        <v>1.2</v>
      </c>
      <c r="G16" s="136">
        <v>1.5</v>
      </c>
      <c r="H16" s="137"/>
      <c r="I16" s="138">
        <v>3.5</v>
      </c>
      <c r="J16" s="138">
        <v>4.8</v>
      </c>
      <c r="K16" s="125"/>
      <c r="L16" s="135">
        <v>66</v>
      </c>
      <c r="M16" s="136">
        <v>86</v>
      </c>
      <c r="N16" s="137"/>
      <c r="O16" s="125">
        <v>10</v>
      </c>
      <c r="P16" s="125">
        <v>15</v>
      </c>
      <c r="Q16" s="137"/>
    </row>
    <row r="17" spans="3:17" ht="15" x14ac:dyDescent="0.25">
      <c r="C17" s="117"/>
      <c r="D17" s="134">
        <v>95</v>
      </c>
      <c r="E17" s="125"/>
      <c r="F17" s="135">
        <v>1.2</v>
      </c>
      <c r="G17" s="136">
        <v>1.5</v>
      </c>
      <c r="H17" s="137"/>
      <c r="I17" s="138">
        <v>3.3</v>
      </c>
      <c r="J17" s="138">
        <v>4.4000000000000004</v>
      </c>
      <c r="K17" s="125"/>
      <c r="L17" s="135">
        <v>70</v>
      </c>
      <c r="M17" s="136">
        <v>89</v>
      </c>
      <c r="N17" s="137"/>
      <c r="O17" s="125">
        <v>10</v>
      </c>
      <c r="P17" s="125">
        <v>15</v>
      </c>
      <c r="Q17" s="137"/>
    </row>
    <row r="18" spans="3:17" ht="15" x14ac:dyDescent="0.25">
      <c r="C18" s="117"/>
      <c r="D18" s="134">
        <v>126</v>
      </c>
      <c r="E18" s="125"/>
      <c r="F18" s="135">
        <v>1.2</v>
      </c>
      <c r="G18" s="136">
        <v>1.5</v>
      </c>
      <c r="H18" s="137"/>
      <c r="I18" s="138">
        <v>3.1</v>
      </c>
      <c r="J18" s="138">
        <v>4</v>
      </c>
      <c r="K18" s="125"/>
      <c r="L18" s="135">
        <v>73</v>
      </c>
      <c r="M18" s="136">
        <v>91</v>
      </c>
      <c r="N18" s="137"/>
      <c r="O18" s="125">
        <v>10</v>
      </c>
      <c r="P18" s="125">
        <v>15</v>
      </c>
      <c r="Q18" s="137"/>
    </row>
    <row r="19" spans="3:17" ht="15.75" thickBot="1" x14ac:dyDescent="0.3">
      <c r="C19" s="129"/>
      <c r="D19" s="139">
        <v>163</v>
      </c>
      <c r="E19" s="130"/>
      <c r="F19" s="140">
        <v>1.2</v>
      </c>
      <c r="G19" s="141">
        <v>1.5</v>
      </c>
      <c r="H19" s="132"/>
      <c r="I19" s="142">
        <v>2.9</v>
      </c>
      <c r="J19" s="142">
        <v>3.7</v>
      </c>
      <c r="K19" s="130"/>
      <c r="L19" s="140">
        <v>77</v>
      </c>
      <c r="M19" s="141">
        <v>94</v>
      </c>
      <c r="N19" s="132"/>
      <c r="O19" s="130">
        <v>10</v>
      </c>
      <c r="P19" s="130">
        <v>15</v>
      </c>
      <c r="Q19" s="132"/>
    </row>
    <row r="20" spans="3:17" ht="15" x14ac:dyDescent="0.25">
      <c r="C20" s="117"/>
      <c r="D20" s="134"/>
      <c r="E20" s="125"/>
      <c r="F20" s="136"/>
      <c r="G20" s="136"/>
      <c r="H20" s="125"/>
      <c r="I20" s="138"/>
      <c r="J20" s="138"/>
      <c r="K20" s="125"/>
      <c r="L20" s="136"/>
      <c r="M20" s="136"/>
      <c r="N20" s="125"/>
      <c r="O20" s="125"/>
      <c r="P20" s="125"/>
      <c r="Q20" s="137"/>
    </row>
    <row r="21" spans="3:17" ht="15" x14ac:dyDescent="0.25">
      <c r="C21" s="117" t="s">
        <v>85</v>
      </c>
      <c r="D21" s="134"/>
      <c r="E21" s="125"/>
      <c r="F21" s="136"/>
      <c r="G21" s="136"/>
      <c r="H21" s="125"/>
      <c r="I21" s="138"/>
      <c r="J21" s="138"/>
      <c r="K21" s="125"/>
      <c r="L21" s="136"/>
      <c r="M21" s="136"/>
      <c r="N21" s="125"/>
      <c r="O21" s="125"/>
      <c r="P21" s="125"/>
      <c r="Q21" s="137"/>
    </row>
    <row r="22" spans="3:17" x14ac:dyDescent="0.2">
      <c r="C22" s="117" t="s">
        <v>104</v>
      </c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37"/>
    </row>
    <row r="23" spans="3:17" ht="13.5" thickBot="1" x14ac:dyDescent="0.25">
      <c r="C23" s="129" t="s">
        <v>38</v>
      </c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4"/>
    </row>
    <row r="24" spans="3:17" ht="18.75" x14ac:dyDescent="0.3">
      <c r="C24" s="145" t="s">
        <v>105</v>
      </c>
      <c r="D24" s="146"/>
      <c r="E24" s="146"/>
      <c r="F24" s="146"/>
      <c r="G24" s="146"/>
      <c r="H24" s="146"/>
      <c r="I24" s="146"/>
      <c r="J24" s="147" t="s">
        <v>38</v>
      </c>
      <c r="K24" s="146"/>
      <c r="L24" s="146"/>
      <c r="M24" s="146"/>
      <c r="N24" s="146"/>
      <c r="O24" s="146"/>
      <c r="P24" s="146"/>
      <c r="Q24" s="148"/>
    </row>
    <row r="25" spans="3:17" ht="18" x14ac:dyDescent="0.35">
      <c r="C25" s="149"/>
      <c r="D25" s="150"/>
      <c r="E25" s="150"/>
      <c r="F25" s="151" t="s">
        <v>106</v>
      </c>
      <c r="G25" s="152"/>
      <c r="H25" s="153"/>
      <c r="I25" s="151" t="s">
        <v>106</v>
      </c>
      <c r="J25" s="152"/>
      <c r="K25" s="153"/>
      <c r="L25" s="151" t="s">
        <v>107</v>
      </c>
      <c r="M25" s="152"/>
      <c r="N25" s="153"/>
      <c r="O25" s="151" t="s">
        <v>142</v>
      </c>
      <c r="P25" s="152"/>
      <c r="Q25" s="154"/>
    </row>
    <row r="26" spans="3:17" ht="15" x14ac:dyDescent="0.25">
      <c r="C26" s="149"/>
      <c r="D26" s="150"/>
      <c r="E26" s="150"/>
      <c r="F26" s="152" t="s">
        <v>108</v>
      </c>
      <c r="G26" s="155" t="s">
        <v>103</v>
      </c>
      <c r="H26" s="251" t="s">
        <v>109</v>
      </c>
      <c r="I26" s="152" t="s">
        <v>108</v>
      </c>
      <c r="J26" s="155" t="s">
        <v>103</v>
      </c>
      <c r="K26" s="156" t="s">
        <v>109</v>
      </c>
      <c r="L26" s="152" t="s">
        <v>108</v>
      </c>
      <c r="M26" s="155" t="s">
        <v>103</v>
      </c>
      <c r="N26" s="156" t="s">
        <v>109</v>
      </c>
      <c r="O26" s="152" t="s">
        <v>108</v>
      </c>
      <c r="P26" s="155" t="s">
        <v>103</v>
      </c>
      <c r="Q26" s="157" t="s">
        <v>109</v>
      </c>
    </row>
    <row r="27" spans="3:17" ht="13.5" thickBot="1" x14ac:dyDescent="0.25">
      <c r="C27" s="158"/>
      <c r="D27" s="159"/>
      <c r="E27" s="160"/>
      <c r="F27" s="159" t="e">
        <f ca="1">FORECAST(I30,OFFSET(F9:F19,MATCH(I30,D9:D19,1)-1,0,2),OFFSET(D9:D19,MATCH(I30,D9:D19,1)-1,0,2))</f>
        <v>#N/A</v>
      </c>
      <c r="G27" s="159" t="e">
        <f ca="1">FORECAST(I30,OFFSET(G9:G19,MATCH(I30,D9:D19,1)-1,0,2),OFFSET(D9:D19,MATCH(I30,D9:D19,1)-1,0,2))</f>
        <v>#N/A</v>
      </c>
      <c r="H27" s="160"/>
      <c r="I27" s="159" t="e">
        <f ca="1">FORECAST(I30,OFFSET(I9:I19,MATCH(I30,D9:D19,1)-1,0,2),OFFSET(D9:D19,MATCH(I30,D9:D19,1)-1,0,2))</f>
        <v>#N/A</v>
      </c>
      <c r="J27" s="159" t="e">
        <f ca="1">FORECAST(I30,OFFSET(J9:J19,MATCH(I30,D9:D19,1)-1,0,2),OFFSET(D9:D19,MATCH(I30,D9:D19,1)-1,0,2))</f>
        <v>#N/A</v>
      </c>
      <c r="K27" s="160"/>
      <c r="L27" s="159" t="e">
        <f ca="1">FORECAST(I30,OFFSET(L9:L19,MATCH(I30,D9:D19,1)-1,0,2),OFFSET(D9:D19,MATCH(I30,D9:D19,1)-1,0,2))</f>
        <v>#N/A</v>
      </c>
      <c r="M27" s="159" t="e">
        <f ca="1">FORECAST(I30,OFFSET(M9:M19,MATCH(I30,D9:D19,1)-1,0,2),OFFSET(D9:D19,MATCH(I30,D9:D19,1)-1,0,2))</f>
        <v>#N/A</v>
      </c>
      <c r="N27" s="160"/>
      <c r="O27" s="159" t="e">
        <f ca="1">FORECAST(I30,OFFSET(O9:O19,MATCH(I30,D9:D19,1)-1,0,2),OFFSET(D9:D19,MATCH(I30,D9:D19,1)-1,0,2))</f>
        <v>#N/A</v>
      </c>
      <c r="P27" s="159" t="e">
        <f ca="1">FORECAST(I30,OFFSET(P9:P19,MATCH(I30,D9:D19,1)-1,0,2),OFFSET(D9:D19,MATCH(I30,D9:D19,1)-1,0,2))</f>
        <v>#N/A</v>
      </c>
      <c r="Q27" s="161"/>
    </row>
    <row r="28" spans="3:17" ht="18.75" x14ac:dyDescent="0.3">
      <c r="C28" s="162" t="s">
        <v>110</v>
      </c>
      <c r="D28" s="163"/>
      <c r="E28" s="150"/>
      <c r="F28" s="163"/>
      <c r="G28" s="163"/>
      <c r="H28" s="150"/>
      <c r="I28" s="163"/>
      <c r="J28" s="163"/>
      <c r="K28" s="150"/>
      <c r="L28" s="163"/>
      <c r="M28" s="163"/>
      <c r="N28" s="150"/>
      <c r="O28" s="163"/>
      <c r="P28" s="163"/>
      <c r="Q28" s="154"/>
    </row>
    <row r="29" spans="3:17" ht="18.75" x14ac:dyDescent="0.3">
      <c r="C29" s="149"/>
      <c r="D29" s="150"/>
      <c r="E29" s="150"/>
      <c r="F29" s="150"/>
      <c r="G29" s="150"/>
      <c r="H29" s="163"/>
      <c r="I29" s="152" t="s">
        <v>111</v>
      </c>
      <c r="J29" s="152" t="s">
        <v>112</v>
      </c>
      <c r="K29" s="164" t="s">
        <v>113</v>
      </c>
      <c r="L29" s="150"/>
      <c r="M29" s="150"/>
      <c r="N29" s="150"/>
      <c r="O29" s="150"/>
      <c r="P29" s="150"/>
      <c r="Q29" s="154"/>
    </row>
    <row r="30" spans="3:17" ht="18.75" x14ac:dyDescent="0.3">
      <c r="C30" s="149"/>
      <c r="D30" s="150"/>
      <c r="E30" s="150"/>
      <c r="F30" s="150"/>
      <c r="G30" s="150"/>
      <c r="H30" s="250" t="s">
        <v>114</v>
      </c>
      <c r="I30" s="163">
        <f>'EvalutionSheet 48Gy4F or 60Gy5F'!G9</f>
        <v>0</v>
      </c>
      <c r="J30" s="163"/>
      <c r="K30" s="150" t="s">
        <v>38</v>
      </c>
      <c r="L30" s="150"/>
      <c r="M30" s="150"/>
      <c r="N30" s="150"/>
      <c r="O30" s="150"/>
      <c r="P30" s="150"/>
      <c r="Q30" s="154"/>
    </row>
    <row r="31" spans="3:17" ht="20.25" x14ac:dyDescent="0.35">
      <c r="C31" s="149"/>
      <c r="D31" s="150"/>
      <c r="E31" s="150"/>
      <c r="F31" s="150"/>
      <c r="G31" s="150"/>
      <c r="H31" s="166" t="s">
        <v>122</v>
      </c>
      <c r="I31" s="163" t="str">
        <f>'EvalutionSheet 48Gy4F or 60Gy5F'!G22</f>
        <v>??</v>
      </c>
      <c r="J31" s="165" t="e">
        <f>I31/I30</f>
        <v>#VALUE!</v>
      </c>
      <c r="K31" s="163" t="str">
        <f>IF(I31="??","??",IF(J31&lt;F27,F26,IF(J31&lt;=G27,G26,H26)))</f>
        <v>??</v>
      </c>
      <c r="L31" s="150"/>
      <c r="M31" s="150"/>
      <c r="N31" s="150"/>
      <c r="O31" s="150"/>
      <c r="P31" s="150"/>
      <c r="Q31" s="154"/>
    </row>
    <row r="32" spans="3:17" ht="20.25" x14ac:dyDescent="0.35">
      <c r="C32" s="149"/>
      <c r="D32" s="150"/>
      <c r="E32" s="150"/>
      <c r="F32" s="150"/>
      <c r="G32" s="150"/>
      <c r="H32" s="166" t="s">
        <v>123</v>
      </c>
      <c r="I32" s="163" t="str">
        <f>'EvalutionSheet 48Gy4F or 60Gy5F'!G25</f>
        <v xml:space="preserve"> ??</v>
      </c>
      <c r="J32" s="165" t="e">
        <f>I32/I30</f>
        <v>#VALUE!</v>
      </c>
      <c r="K32" s="163" t="e">
        <f ca="1">IF(I32="??","??",IF(J32&lt;=I27,I26,IF(J32&lt;=J27,J26,K26)))</f>
        <v>#VALUE!</v>
      </c>
      <c r="L32" s="150"/>
      <c r="M32" s="150"/>
      <c r="N32" s="150"/>
      <c r="O32" s="150"/>
      <c r="P32" s="150"/>
      <c r="Q32" s="154"/>
    </row>
    <row r="33" spans="3:17" ht="20.25" x14ac:dyDescent="0.35">
      <c r="C33" s="149"/>
      <c r="D33" s="150"/>
      <c r="E33" s="150"/>
      <c r="F33" s="150"/>
      <c r="G33" s="150"/>
      <c r="H33" s="166" t="s">
        <v>124</v>
      </c>
      <c r="I33" s="163" t="str">
        <f>'EvalutionSheet 48Gy4F or 60Gy5F'!G24</f>
        <v>??</v>
      </c>
      <c r="J33" s="165" t="str">
        <f>I33</f>
        <v>??</v>
      </c>
      <c r="K33" s="163" t="str">
        <f>IF(I33="??","??",IF(J33&lt;=L27,L26,IF(J33&lt;=M27,M26,N26)))</f>
        <v>??</v>
      </c>
      <c r="L33" s="150"/>
      <c r="M33" s="150"/>
      <c r="N33" s="150"/>
      <c r="O33" s="150"/>
      <c r="P33" s="150"/>
      <c r="Q33" s="154"/>
    </row>
    <row r="34" spans="3:17" ht="20.25" x14ac:dyDescent="0.35">
      <c r="C34" s="149"/>
      <c r="D34" s="150"/>
      <c r="E34" s="150"/>
      <c r="F34" s="150"/>
      <c r="G34" s="150"/>
      <c r="H34" s="166" t="s">
        <v>125</v>
      </c>
      <c r="I34" s="165" t="str">
        <f>'EvalutionSheet 48Gy4F or 60Gy5F'!G31</f>
        <v>??</v>
      </c>
      <c r="J34" s="163"/>
      <c r="K34" s="163" t="str">
        <f>IF(I34="??","??",IF(I34&lt;=0.1,O26,IF(I34&lt;=0.15,P26,Q26)))</f>
        <v>??</v>
      </c>
      <c r="L34" s="150"/>
      <c r="M34" s="150"/>
      <c r="N34" s="150"/>
      <c r="O34" s="150"/>
      <c r="P34" s="150"/>
      <c r="Q34" s="154"/>
    </row>
    <row r="35" spans="3:17" ht="13.5" thickBot="1" x14ac:dyDescent="0.25">
      <c r="C35" s="158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1"/>
    </row>
    <row r="43" spans="3:17" x14ac:dyDescent="0.2">
      <c r="C43" s="244" t="s">
        <v>170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12"/>
      <c r="D1" s="113"/>
      <c r="E1" s="113"/>
      <c r="F1" s="113"/>
      <c r="G1" s="113"/>
      <c r="H1" s="113"/>
      <c r="I1" s="115" t="s">
        <v>119</v>
      </c>
      <c r="J1" s="113"/>
      <c r="K1" s="113"/>
      <c r="L1" s="113"/>
      <c r="M1" s="113"/>
      <c r="N1" s="113"/>
      <c r="O1" s="113"/>
      <c r="P1" s="113"/>
      <c r="Q1" s="116"/>
    </row>
    <row r="2" spans="3:17" ht="15.75" thickBot="1" x14ac:dyDescent="0.3">
      <c r="C2" s="117"/>
      <c r="D2" s="118"/>
      <c r="E2" s="119" t="s">
        <v>87</v>
      </c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20"/>
    </row>
    <row r="3" spans="3:17" ht="15" x14ac:dyDescent="0.25">
      <c r="C3" s="112"/>
      <c r="D3" s="121"/>
      <c r="E3" s="113"/>
      <c r="F3" s="112"/>
      <c r="G3" s="113"/>
      <c r="H3" s="116"/>
      <c r="I3" s="113"/>
      <c r="J3" s="113"/>
      <c r="K3" s="113"/>
      <c r="L3" s="112" t="s">
        <v>88</v>
      </c>
      <c r="M3" s="113"/>
      <c r="N3" s="116"/>
      <c r="O3" s="113" t="s">
        <v>89</v>
      </c>
      <c r="P3" s="113"/>
      <c r="Q3" s="116"/>
    </row>
    <row r="4" spans="3:17" ht="15" x14ac:dyDescent="0.25">
      <c r="C4" s="117"/>
      <c r="D4" s="122"/>
      <c r="E4" s="118"/>
      <c r="F4" s="123" t="s">
        <v>90</v>
      </c>
      <c r="G4" s="118"/>
      <c r="H4" s="120"/>
      <c r="I4" s="118" t="s">
        <v>91</v>
      </c>
      <c r="J4" s="118"/>
      <c r="K4" s="118"/>
      <c r="L4" s="117" t="s">
        <v>92</v>
      </c>
      <c r="M4" s="118"/>
      <c r="N4" s="120"/>
      <c r="O4" s="118" t="s">
        <v>93</v>
      </c>
      <c r="P4" s="118"/>
      <c r="Q4" s="120"/>
    </row>
    <row r="5" spans="3:17" x14ac:dyDescent="0.2">
      <c r="C5" s="117"/>
      <c r="D5" s="118"/>
      <c r="E5" s="118"/>
      <c r="F5" s="123" t="s">
        <v>94</v>
      </c>
      <c r="G5" s="118"/>
      <c r="H5" s="120"/>
      <c r="I5" s="124" t="s">
        <v>95</v>
      </c>
      <c r="J5" s="118"/>
      <c r="K5" s="118"/>
      <c r="L5" s="117" t="s">
        <v>96</v>
      </c>
      <c r="M5" s="118"/>
      <c r="N5" s="120"/>
      <c r="O5" s="118"/>
      <c r="P5" s="118"/>
      <c r="Q5" s="120"/>
    </row>
    <row r="6" spans="3:17" ht="13.5" thickBot="1" x14ac:dyDescent="0.25">
      <c r="C6" s="117"/>
      <c r="D6" s="125" t="s">
        <v>82</v>
      </c>
      <c r="E6" s="118"/>
      <c r="F6" s="123" t="s">
        <v>97</v>
      </c>
      <c r="G6" s="118"/>
      <c r="H6" s="120"/>
      <c r="I6" s="124"/>
      <c r="J6" s="118"/>
      <c r="K6" s="118"/>
      <c r="L6" s="117"/>
      <c r="M6" s="118"/>
      <c r="N6" s="120"/>
      <c r="O6" s="118"/>
      <c r="P6" s="118"/>
      <c r="Q6" s="120"/>
    </row>
    <row r="7" spans="3:17" x14ac:dyDescent="0.2">
      <c r="C7" s="117"/>
      <c r="D7" s="125" t="s">
        <v>98</v>
      </c>
      <c r="E7" s="118"/>
      <c r="F7" s="126" t="s">
        <v>99</v>
      </c>
      <c r="G7" s="113"/>
      <c r="H7" s="116"/>
      <c r="I7" s="113"/>
      <c r="J7" s="113" t="s">
        <v>100</v>
      </c>
      <c r="K7" s="113"/>
      <c r="L7" s="127" t="s">
        <v>101</v>
      </c>
      <c r="M7" s="113"/>
      <c r="N7" s="116"/>
      <c r="O7" s="128" t="s">
        <v>102</v>
      </c>
      <c r="P7" s="113"/>
      <c r="Q7" s="116"/>
    </row>
    <row r="8" spans="3:17" ht="13.5" thickBot="1" x14ac:dyDescent="0.25">
      <c r="C8" s="129"/>
      <c r="D8" s="130" t="s">
        <v>83</v>
      </c>
      <c r="E8" s="130"/>
      <c r="F8" s="131" t="s">
        <v>84</v>
      </c>
      <c r="G8" s="130" t="s">
        <v>103</v>
      </c>
      <c r="H8" s="132"/>
      <c r="I8" s="130" t="s">
        <v>84</v>
      </c>
      <c r="J8" s="130" t="s">
        <v>103</v>
      </c>
      <c r="K8" s="130"/>
      <c r="L8" s="131" t="s">
        <v>84</v>
      </c>
      <c r="M8" s="130" t="s">
        <v>103</v>
      </c>
      <c r="N8" s="132"/>
      <c r="O8" s="130" t="s">
        <v>84</v>
      </c>
      <c r="P8" s="133" t="s">
        <v>103</v>
      </c>
      <c r="Q8" s="132"/>
    </row>
    <row r="9" spans="3:17" ht="15" x14ac:dyDescent="0.25">
      <c r="C9" s="117"/>
      <c r="D9" s="134">
        <v>1.8</v>
      </c>
      <c r="E9" s="125"/>
      <c r="F9" s="135">
        <v>1.2</v>
      </c>
      <c r="G9" s="136">
        <v>1.5</v>
      </c>
      <c r="H9" s="137"/>
      <c r="I9" s="138">
        <v>5.9</v>
      </c>
      <c r="J9" s="138">
        <v>7.5</v>
      </c>
      <c r="K9" s="125"/>
      <c r="L9" s="135">
        <v>50</v>
      </c>
      <c r="M9" s="136">
        <v>57</v>
      </c>
      <c r="N9" s="137"/>
      <c r="O9" s="125">
        <v>10</v>
      </c>
      <c r="P9" s="125">
        <v>15</v>
      </c>
      <c r="Q9" s="137"/>
    </row>
    <row r="10" spans="3:17" ht="15" x14ac:dyDescent="0.25">
      <c r="C10" s="117"/>
      <c r="D10" s="134">
        <v>3.8</v>
      </c>
      <c r="E10" s="125"/>
      <c r="F10" s="135">
        <v>1.2</v>
      </c>
      <c r="G10" s="136">
        <v>1.5</v>
      </c>
      <c r="H10" s="137"/>
      <c r="I10" s="138">
        <v>5.5</v>
      </c>
      <c r="J10" s="138">
        <v>6.5</v>
      </c>
      <c r="K10" s="125"/>
      <c r="L10" s="135">
        <v>50</v>
      </c>
      <c r="M10" s="136">
        <v>57</v>
      </c>
      <c r="N10" s="137"/>
      <c r="O10" s="125">
        <v>10</v>
      </c>
      <c r="P10" s="125">
        <v>15</v>
      </c>
      <c r="Q10" s="137"/>
    </row>
    <row r="11" spans="3:17" ht="15" x14ac:dyDescent="0.25">
      <c r="C11" s="117"/>
      <c r="D11" s="134">
        <v>7.4</v>
      </c>
      <c r="E11" s="125"/>
      <c r="F11" s="135">
        <v>1.2</v>
      </c>
      <c r="G11" s="136">
        <v>1.5</v>
      </c>
      <c r="H11" s="137"/>
      <c r="I11" s="138">
        <v>5.0999999999999996</v>
      </c>
      <c r="J11" s="138">
        <v>6</v>
      </c>
      <c r="K11" s="125"/>
      <c r="L11" s="135">
        <v>50</v>
      </c>
      <c r="M11" s="136">
        <v>58</v>
      </c>
      <c r="N11" s="137"/>
      <c r="O11" s="125">
        <v>10</v>
      </c>
      <c r="P11" s="125">
        <v>15</v>
      </c>
      <c r="Q11" s="137"/>
    </row>
    <row r="12" spans="3:17" ht="15" x14ac:dyDescent="0.25">
      <c r="C12" s="117"/>
      <c r="D12" s="134">
        <v>13.2</v>
      </c>
      <c r="E12" s="125"/>
      <c r="F12" s="135">
        <v>1.2</v>
      </c>
      <c r="G12" s="136">
        <v>1.5</v>
      </c>
      <c r="H12" s="137"/>
      <c r="I12" s="138">
        <v>4.7</v>
      </c>
      <c r="J12" s="138">
        <v>5.8</v>
      </c>
      <c r="K12" s="125"/>
      <c r="L12" s="135">
        <v>50</v>
      </c>
      <c r="M12" s="136">
        <v>58</v>
      </c>
      <c r="N12" s="137"/>
      <c r="O12" s="125">
        <v>10</v>
      </c>
      <c r="P12" s="125">
        <v>15</v>
      </c>
      <c r="Q12" s="137"/>
    </row>
    <row r="13" spans="3:17" ht="15" x14ac:dyDescent="0.25">
      <c r="C13" s="117"/>
      <c r="D13" s="134">
        <v>22</v>
      </c>
      <c r="E13" s="125"/>
      <c r="F13" s="135">
        <v>1.2</v>
      </c>
      <c r="G13" s="136">
        <v>1.5</v>
      </c>
      <c r="H13" s="137"/>
      <c r="I13" s="138">
        <v>4.5</v>
      </c>
      <c r="J13" s="138">
        <v>5.5</v>
      </c>
      <c r="K13" s="125"/>
      <c r="L13" s="135">
        <v>54</v>
      </c>
      <c r="M13" s="136">
        <v>63</v>
      </c>
      <c r="N13" s="137"/>
      <c r="O13" s="125">
        <v>10</v>
      </c>
      <c r="P13" s="125">
        <v>15</v>
      </c>
      <c r="Q13" s="137"/>
    </row>
    <row r="14" spans="3:17" ht="15" x14ac:dyDescent="0.25">
      <c r="C14" s="117"/>
      <c r="D14" s="134">
        <v>34</v>
      </c>
      <c r="E14" s="125"/>
      <c r="F14" s="135">
        <v>1.2</v>
      </c>
      <c r="G14" s="136">
        <v>1.5</v>
      </c>
      <c r="H14" s="137"/>
      <c r="I14" s="138">
        <v>4.3</v>
      </c>
      <c r="J14" s="138">
        <v>5.3</v>
      </c>
      <c r="K14" s="125"/>
      <c r="L14" s="135">
        <v>58</v>
      </c>
      <c r="M14" s="136">
        <v>68</v>
      </c>
      <c r="N14" s="137"/>
      <c r="O14" s="125">
        <v>10</v>
      </c>
      <c r="P14" s="125">
        <v>15</v>
      </c>
      <c r="Q14" s="137"/>
    </row>
    <row r="15" spans="3:17" ht="15" x14ac:dyDescent="0.25">
      <c r="C15" s="117"/>
      <c r="D15" s="134">
        <v>50</v>
      </c>
      <c r="E15" s="125"/>
      <c r="F15" s="135">
        <v>1.2</v>
      </c>
      <c r="G15" s="136">
        <v>1.5</v>
      </c>
      <c r="H15" s="137"/>
      <c r="I15" s="138">
        <v>4</v>
      </c>
      <c r="J15" s="138">
        <v>5</v>
      </c>
      <c r="K15" s="125"/>
      <c r="L15" s="135">
        <v>62</v>
      </c>
      <c r="M15" s="136">
        <v>77</v>
      </c>
      <c r="N15" s="137"/>
      <c r="O15" s="125">
        <v>10</v>
      </c>
      <c r="P15" s="125">
        <v>15</v>
      </c>
      <c r="Q15" s="137"/>
    </row>
    <row r="16" spans="3:17" ht="15" x14ac:dyDescent="0.25">
      <c r="C16" s="117"/>
      <c r="D16" s="134">
        <v>70</v>
      </c>
      <c r="E16" s="125"/>
      <c r="F16" s="135">
        <v>1.2</v>
      </c>
      <c r="G16" s="136">
        <v>1.5</v>
      </c>
      <c r="H16" s="137"/>
      <c r="I16" s="138">
        <v>3.5</v>
      </c>
      <c r="J16" s="138">
        <v>4.8</v>
      </c>
      <c r="K16" s="125"/>
      <c r="L16" s="135">
        <v>66</v>
      </c>
      <c r="M16" s="136">
        <v>86</v>
      </c>
      <c r="N16" s="137"/>
      <c r="O16" s="125">
        <v>10</v>
      </c>
      <c r="P16" s="125">
        <v>15</v>
      </c>
      <c r="Q16" s="137"/>
    </row>
    <row r="17" spans="3:17" ht="15" x14ac:dyDescent="0.25">
      <c r="C17" s="117"/>
      <c r="D17" s="134">
        <v>95</v>
      </c>
      <c r="E17" s="125"/>
      <c r="F17" s="135">
        <v>1.2</v>
      </c>
      <c r="G17" s="136">
        <v>1.5</v>
      </c>
      <c r="H17" s="137"/>
      <c r="I17" s="138">
        <v>3.3</v>
      </c>
      <c r="J17" s="138">
        <v>4.4000000000000004</v>
      </c>
      <c r="K17" s="125"/>
      <c r="L17" s="135">
        <v>70</v>
      </c>
      <c r="M17" s="136">
        <v>89</v>
      </c>
      <c r="N17" s="137"/>
      <c r="O17" s="125">
        <v>10</v>
      </c>
      <c r="P17" s="125">
        <v>15</v>
      </c>
      <c r="Q17" s="137"/>
    </row>
    <row r="18" spans="3:17" ht="15" x14ac:dyDescent="0.25">
      <c r="C18" s="117"/>
      <c r="D18" s="134">
        <v>126</v>
      </c>
      <c r="E18" s="125"/>
      <c r="F18" s="135">
        <v>1.2</v>
      </c>
      <c r="G18" s="136">
        <v>1.5</v>
      </c>
      <c r="H18" s="137"/>
      <c r="I18" s="138">
        <v>3.1</v>
      </c>
      <c r="J18" s="138">
        <v>4</v>
      </c>
      <c r="K18" s="125"/>
      <c r="L18" s="135">
        <v>73</v>
      </c>
      <c r="M18" s="136">
        <v>91</v>
      </c>
      <c r="N18" s="137"/>
      <c r="O18" s="125">
        <v>10</v>
      </c>
      <c r="P18" s="125">
        <v>15</v>
      </c>
      <c r="Q18" s="137"/>
    </row>
    <row r="19" spans="3:17" ht="15.75" thickBot="1" x14ac:dyDescent="0.3">
      <c r="C19" s="129"/>
      <c r="D19" s="139">
        <v>163</v>
      </c>
      <c r="E19" s="130"/>
      <c r="F19" s="140">
        <v>1.2</v>
      </c>
      <c r="G19" s="141">
        <v>1.5</v>
      </c>
      <c r="H19" s="132"/>
      <c r="I19" s="142">
        <v>2.9</v>
      </c>
      <c r="J19" s="142">
        <v>3.7</v>
      </c>
      <c r="K19" s="130"/>
      <c r="L19" s="140">
        <v>77</v>
      </c>
      <c r="M19" s="141">
        <v>94</v>
      </c>
      <c r="N19" s="132"/>
      <c r="O19" s="130">
        <v>10</v>
      </c>
      <c r="P19" s="130">
        <v>15</v>
      </c>
      <c r="Q19" s="132"/>
    </row>
    <row r="20" spans="3:17" ht="15" x14ac:dyDescent="0.25">
      <c r="C20" s="117"/>
      <c r="D20" s="134"/>
      <c r="E20" s="125"/>
      <c r="F20" s="136"/>
      <c r="G20" s="136"/>
      <c r="H20" s="125"/>
      <c r="I20" s="138"/>
      <c r="J20" s="138"/>
      <c r="K20" s="125"/>
      <c r="L20" s="136"/>
      <c r="M20" s="136"/>
      <c r="N20" s="125"/>
      <c r="O20" s="125"/>
      <c r="P20" s="125"/>
      <c r="Q20" s="137"/>
    </row>
    <row r="21" spans="3:17" ht="15" x14ac:dyDescent="0.25">
      <c r="C21" s="117" t="s">
        <v>85</v>
      </c>
      <c r="D21" s="134"/>
      <c r="E21" s="125"/>
      <c r="F21" s="136"/>
      <c r="G21" s="136"/>
      <c r="H21" s="125"/>
      <c r="I21" s="138"/>
      <c r="J21" s="138"/>
      <c r="K21" s="125"/>
      <c r="L21" s="136"/>
      <c r="M21" s="136"/>
      <c r="N21" s="125"/>
      <c r="O21" s="125"/>
      <c r="P21" s="125"/>
      <c r="Q21" s="137"/>
    </row>
    <row r="22" spans="3:17" x14ac:dyDescent="0.2">
      <c r="C22" s="117" t="s">
        <v>104</v>
      </c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37"/>
    </row>
    <row r="23" spans="3:17" ht="13.5" thickBot="1" x14ac:dyDescent="0.25">
      <c r="C23" s="129" t="s">
        <v>38</v>
      </c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4"/>
    </row>
    <row r="24" spans="3:17" ht="18.75" x14ac:dyDescent="0.3">
      <c r="C24" s="145" t="s">
        <v>105</v>
      </c>
      <c r="D24" s="146"/>
      <c r="E24" s="146"/>
      <c r="F24" s="146"/>
      <c r="G24" s="146"/>
      <c r="H24" s="146"/>
      <c r="I24" s="146"/>
      <c r="J24" s="147" t="s">
        <v>38</v>
      </c>
      <c r="K24" s="146"/>
      <c r="L24" s="146"/>
      <c r="M24" s="146"/>
      <c r="N24" s="146"/>
      <c r="O24" s="146"/>
      <c r="P24" s="146"/>
      <c r="Q24" s="148"/>
    </row>
    <row r="25" spans="3:17" ht="15" x14ac:dyDescent="0.25">
      <c r="C25" s="149"/>
      <c r="D25" s="150"/>
      <c r="E25" s="150"/>
      <c r="F25" s="151" t="s">
        <v>106</v>
      </c>
      <c r="G25" s="152"/>
      <c r="H25" s="153"/>
      <c r="I25" s="151" t="s">
        <v>106</v>
      </c>
      <c r="J25" s="152"/>
      <c r="K25" s="153"/>
      <c r="L25" s="151" t="s">
        <v>107</v>
      </c>
      <c r="M25" s="152"/>
      <c r="N25" s="153"/>
      <c r="O25" s="151" t="s">
        <v>107</v>
      </c>
      <c r="P25" s="152"/>
      <c r="Q25" s="154"/>
    </row>
    <row r="26" spans="3:17" ht="15" x14ac:dyDescent="0.25">
      <c r="C26" s="149"/>
      <c r="D26" s="150"/>
      <c r="E26" s="150"/>
      <c r="F26" s="152" t="s">
        <v>108</v>
      </c>
      <c r="G26" s="155" t="s">
        <v>103</v>
      </c>
      <c r="H26" s="156" t="s">
        <v>109</v>
      </c>
      <c r="I26" s="152" t="s">
        <v>108</v>
      </c>
      <c r="J26" s="155" t="s">
        <v>103</v>
      </c>
      <c r="K26" s="156" t="s">
        <v>109</v>
      </c>
      <c r="L26" s="152" t="s">
        <v>108</v>
      </c>
      <c r="M26" s="155" t="s">
        <v>103</v>
      </c>
      <c r="N26" s="156" t="s">
        <v>109</v>
      </c>
      <c r="O26" s="152" t="s">
        <v>108</v>
      </c>
      <c r="P26" s="155" t="s">
        <v>103</v>
      </c>
      <c r="Q26" s="157" t="s">
        <v>109</v>
      </c>
    </row>
    <row r="27" spans="3:17" ht="13.5" thickBot="1" x14ac:dyDescent="0.25">
      <c r="C27" s="158"/>
      <c r="D27" s="159"/>
      <c r="E27" s="160"/>
      <c r="F27" s="159" t="e">
        <f ca="1">FORECAST(I30,OFFSET(F9:F19,MATCH(I30,D9:D19,1)-1,0,2),OFFSET(D9:D19,MATCH(I30,D9:D19,1)-1,0,2))</f>
        <v>#N/A</v>
      </c>
      <c r="G27" s="159" t="e">
        <f ca="1">FORECAST(I30,OFFSET(G9:G19,MATCH(I30,D9:D19,1)-1,0,2),OFFSET(D9:D19,MATCH(I30,D9:D19,1)-1,0,2))</f>
        <v>#N/A</v>
      </c>
      <c r="H27" s="160"/>
      <c r="I27" s="159" t="e">
        <f ca="1">FORECAST(I30,OFFSET(I9:I19,MATCH(I30,D9:D19,1)-1,0,2),OFFSET(D9:D19,MATCH(I30,D9:D19,1)-1,0,2))</f>
        <v>#N/A</v>
      </c>
      <c r="J27" s="159" t="e">
        <f ca="1">FORECAST(I30,OFFSET(J9:J19,MATCH(I30,D9:D19,1)-1,0,2),OFFSET(D9:D19,MATCH(I30,D9:D19,1)-1,0,2))</f>
        <v>#N/A</v>
      </c>
      <c r="K27" s="160"/>
      <c r="L27" s="159" t="e">
        <f ca="1">FORECAST(I30,OFFSET(L9:L19,MATCH(I30,D9:D19,1)-1,0,2),OFFSET(D9:D19,MATCH(I30,D9:D19,1)-1,0,2))</f>
        <v>#N/A</v>
      </c>
      <c r="M27" s="159" t="e">
        <f ca="1">FORECAST(I30,OFFSET(M9:M19,MATCH(I30,D9:D19,1)-1,0,2),OFFSET(D9:D19,MATCH(I30,D9:D19,1)-1,0,2))</f>
        <v>#N/A</v>
      </c>
      <c r="N27" s="160"/>
      <c r="O27" s="159" t="e">
        <f ca="1">FORECAST(I30,OFFSET(O9:O19,MATCH(I30,D9:D19,1)-1,0,2),OFFSET(D9:D19,MATCH(I30,D9:D19,1)-1,0,2))</f>
        <v>#N/A</v>
      </c>
      <c r="P27" s="159" t="e">
        <f ca="1">FORECAST(I30,OFFSET(P9:P19,MATCH(I30,D9:D19,1)-1,0,2),OFFSET(D9:D19,MATCH(I30,D9:D19,1)-1,0,2))</f>
        <v>#N/A</v>
      </c>
      <c r="Q27" s="161"/>
    </row>
    <row r="28" spans="3:17" ht="18.75" x14ac:dyDescent="0.3">
      <c r="C28" s="162" t="s">
        <v>110</v>
      </c>
      <c r="D28" s="163"/>
      <c r="E28" s="150"/>
      <c r="F28" s="163"/>
      <c r="G28" s="163"/>
      <c r="H28" s="150"/>
      <c r="I28" s="163"/>
      <c r="J28" s="163"/>
      <c r="K28" s="150"/>
      <c r="L28" s="163"/>
      <c r="M28" s="163"/>
      <c r="N28" s="150"/>
      <c r="O28" s="163"/>
      <c r="P28" s="163"/>
      <c r="Q28" s="154"/>
    </row>
    <row r="29" spans="3:17" ht="18.75" x14ac:dyDescent="0.3">
      <c r="C29" s="149"/>
      <c r="D29" s="150"/>
      <c r="E29" s="150"/>
      <c r="F29" s="150"/>
      <c r="G29" s="150"/>
      <c r="H29" s="163"/>
      <c r="I29" s="152" t="s">
        <v>111</v>
      </c>
      <c r="J29" s="152" t="s">
        <v>112</v>
      </c>
      <c r="K29" s="164" t="s">
        <v>113</v>
      </c>
      <c r="L29" s="150"/>
      <c r="M29" s="150"/>
      <c r="N29" s="150"/>
      <c r="O29" s="150"/>
      <c r="P29" s="150"/>
      <c r="Q29" s="154"/>
    </row>
    <row r="30" spans="3:17" ht="18.75" x14ac:dyDescent="0.3">
      <c r="C30" s="149"/>
      <c r="D30" s="150"/>
      <c r="E30" s="150"/>
      <c r="F30" s="150"/>
      <c r="G30" s="150"/>
      <c r="H30" s="250" t="s">
        <v>114</v>
      </c>
      <c r="I30" s="163">
        <f>'Evalution Sheet 60Gy 8F'!G9</f>
        <v>0</v>
      </c>
      <c r="J30" s="163"/>
      <c r="K30" s="150" t="s">
        <v>38</v>
      </c>
      <c r="L30" s="150"/>
      <c r="M30" s="150"/>
      <c r="N30" s="150"/>
      <c r="O30" s="150"/>
      <c r="P30" s="150"/>
      <c r="Q30" s="154"/>
    </row>
    <row r="31" spans="3:17" ht="20.25" x14ac:dyDescent="0.35">
      <c r="C31" s="149"/>
      <c r="D31" s="150"/>
      <c r="E31" s="150"/>
      <c r="F31" s="150"/>
      <c r="G31" s="150"/>
      <c r="H31" s="166" t="s">
        <v>122</v>
      </c>
      <c r="I31" s="163" t="str">
        <f>'Evalution Sheet 60Gy 8F'!G22</f>
        <v>??</v>
      </c>
      <c r="J31" s="165" t="e">
        <f>I31/I30</f>
        <v>#VALUE!</v>
      </c>
      <c r="K31" s="163" t="str">
        <f>IF(I31="??","??",IF(J31&lt;F27,F26,IF(J31&lt;=G27,G26,H26)))</f>
        <v>??</v>
      </c>
      <c r="L31" s="150"/>
      <c r="M31" s="150"/>
      <c r="N31" s="150"/>
      <c r="O31" s="150"/>
      <c r="P31" s="150"/>
      <c r="Q31" s="154"/>
    </row>
    <row r="32" spans="3:17" ht="20.25" x14ac:dyDescent="0.35">
      <c r="C32" s="149"/>
      <c r="D32" s="150"/>
      <c r="E32" s="150"/>
      <c r="F32" s="150"/>
      <c r="G32" s="150"/>
      <c r="H32" s="166" t="s">
        <v>123</v>
      </c>
      <c r="I32" s="163" t="str">
        <f>'Evalution Sheet 60Gy 8F'!G25</f>
        <v>??</v>
      </c>
      <c r="J32" s="165" t="e">
        <f>I32/I30</f>
        <v>#VALUE!</v>
      </c>
      <c r="K32" s="163" t="str">
        <f>IF(I32="??", "??",IF(J32&lt;=I27,I26,IF(J32&lt;=J27,J26,K26)))</f>
        <v>??</v>
      </c>
      <c r="L32" s="150"/>
      <c r="M32" s="150"/>
      <c r="N32" s="150"/>
      <c r="O32" s="150"/>
      <c r="P32" s="150"/>
      <c r="Q32" s="154"/>
    </row>
    <row r="33" spans="3:17" ht="20.25" x14ac:dyDescent="0.35">
      <c r="C33" s="149"/>
      <c r="D33" s="150"/>
      <c r="E33" s="150"/>
      <c r="F33" s="150"/>
      <c r="G33" s="150"/>
      <c r="H33" s="166" t="s">
        <v>124</v>
      </c>
      <c r="I33" s="163" t="str">
        <f>'Evalution Sheet 60Gy 8F'!G24</f>
        <v>??</v>
      </c>
      <c r="J33" s="165" t="str">
        <f>I33</f>
        <v>??</v>
      </c>
      <c r="K33" s="163" t="str">
        <f>IF(I33="??","??",IF(J33&lt;=L27,L26,IF(J33&lt;=M27,M26,N26)))</f>
        <v>??</v>
      </c>
      <c r="L33" s="150"/>
      <c r="M33" s="150"/>
      <c r="N33" s="150"/>
      <c r="O33" s="150"/>
      <c r="P33" s="150"/>
      <c r="Q33" s="154"/>
    </row>
    <row r="34" spans="3:17" ht="20.25" x14ac:dyDescent="0.35">
      <c r="C34" s="149"/>
      <c r="D34" s="150"/>
      <c r="E34" s="150"/>
      <c r="F34" s="150"/>
      <c r="G34" s="150"/>
      <c r="H34" s="166" t="s">
        <v>125</v>
      </c>
      <c r="I34" s="165" t="str">
        <f>'Evalution Sheet 60Gy 8F'!G31</f>
        <v>??</v>
      </c>
      <c r="J34" s="163"/>
      <c r="K34" s="163" t="str">
        <f>IF(I34="??","??",IF(I34&lt;=0.1,O26,IF(I34&lt;=0.15,P26,Q26)))</f>
        <v>??</v>
      </c>
      <c r="L34" s="150"/>
      <c r="M34" s="150"/>
      <c r="N34" s="150"/>
      <c r="O34" s="150"/>
      <c r="P34" s="150"/>
      <c r="Q34" s="154"/>
    </row>
    <row r="35" spans="3:17" ht="13.5" thickBot="1" x14ac:dyDescent="0.25">
      <c r="C35" s="158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1"/>
    </row>
    <row r="46" spans="3:17" x14ac:dyDescent="0.2">
      <c r="C46" s="244" t="s">
        <v>170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167" t="s">
        <v>86</v>
      </c>
      <c r="P2" t="s">
        <v>115</v>
      </c>
    </row>
    <row r="3" spans="8:16" x14ac:dyDescent="0.2">
      <c r="O3" t="s">
        <v>116</v>
      </c>
    </row>
    <row r="5" spans="8:16" ht="15.75" x14ac:dyDescent="0.3">
      <c r="O5" s="168" t="s">
        <v>117</v>
      </c>
    </row>
    <row r="6" spans="8:16" ht="15.75" x14ac:dyDescent="0.3">
      <c r="O6" s="168" t="s">
        <v>118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U55"/>
  <sheetViews>
    <sheetView zoomScaleNormal="100" workbookViewId="0">
      <selection activeCell="G9" sqref="G9"/>
    </sheetView>
  </sheetViews>
  <sheetFormatPr defaultRowHeight="12.75" x14ac:dyDescent="0.2"/>
  <cols>
    <col min="1" max="1" width="6.85546875" customWidth="1"/>
    <col min="2" max="2" width="7.5703125" customWidth="1"/>
    <col min="3" max="3" width="10" customWidth="1"/>
    <col min="4" max="4" width="11.7109375" customWidth="1"/>
    <col min="5" max="5" width="3.85546875" customWidth="1"/>
    <col min="6" max="6" width="8.7109375" style="1" customWidth="1"/>
    <col min="7" max="7" width="17.7109375" style="1" customWidth="1"/>
    <col min="8" max="8" width="13.85546875" style="1" customWidth="1"/>
    <col min="9" max="9" width="6.140625" customWidth="1"/>
    <col min="10" max="10" width="3.140625" customWidth="1"/>
    <col min="11" max="11" width="13.85546875" style="1" customWidth="1"/>
    <col min="12" max="12" width="15.5703125" style="1" customWidth="1"/>
    <col min="13" max="13" width="14" style="2" customWidth="1"/>
  </cols>
  <sheetData>
    <row r="1" spans="2:21" ht="13.5" thickBot="1" x14ac:dyDescent="0.25">
      <c r="B1" s="329" t="s">
        <v>166</v>
      </c>
      <c r="C1" s="330"/>
      <c r="D1" s="329"/>
      <c r="E1" s="330"/>
      <c r="F1" s="331"/>
      <c r="G1" s="331"/>
      <c r="H1" s="332" t="s">
        <v>165</v>
      </c>
      <c r="I1" s="329"/>
      <c r="J1" s="329"/>
      <c r="K1" s="333"/>
      <c r="L1" s="333"/>
    </row>
    <row r="2" spans="2:21" x14ac:dyDescent="0.2">
      <c r="B2" s="5"/>
      <c r="C2" s="6"/>
      <c r="D2" s="6"/>
      <c r="E2" s="6"/>
      <c r="F2" s="7"/>
      <c r="G2" s="8" t="s">
        <v>148</v>
      </c>
      <c r="H2" s="7"/>
      <c r="I2" s="6"/>
      <c r="J2" s="6"/>
      <c r="K2" s="7"/>
      <c r="L2" s="9"/>
    </row>
    <row r="3" spans="2:21" ht="13.5" thickBot="1" x14ac:dyDescent="0.25">
      <c r="B3" s="20"/>
      <c r="C3" s="21"/>
      <c r="D3" s="21"/>
      <c r="E3" s="21"/>
      <c r="F3" s="22"/>
      <c r="G3" s="24" t="s">
        <v>37</v>
      </c>
      <c r="H3" s="22"/>
      <c r="I3" s="21"/>
      <c r="J3" s="21"/>
      <c r="K3" s="22"/>
      <c r="L3" s="23"/>
    </row>
    <row r="4" spans="2:21" x14ac:dyDescent="0.2">
      <c r="B4" s="10"/>
      <c r="C4" s="15" t="s">
        <v>0</v>
      </c>
      <c r="D4" s="104" t="s">
        <v>71</v>
      </c>
      <c r="E4" s="11"/>
      <c r="F4" s="15" t="s">
        <v>46</v>
      </c>
      <c r="G4" s="12"/>
      <c r="H4" s="274">
        <v>5400</v>
      </c>
      <c r="I4" s="11"/>
      <c r="J4" s="11"/>
      <c r="K4" s="15" t="s">
        <v>3</v>
      </c>
      <c r="L4" s="102" t="s">
        <v>78</v>
      </c>
    </row>
    <row r="5" spans="2:21" ht="13.5" thickBot="1" x14ac:dyDescent="0.25">
      <c r="B5" s="10"/>
      <c r="C5" s="15" t="s">
        <v>1</v>
      </c>
      <c r="D5" s="105" t="s">
        <v>71</v>
      </c>
      <c r="E5" s="11"/>
      <c r="F5" s="15" t="s">
        <v>2</v>
      </c>
      <c r="G5" s="12"/>
      <c r="H5" s="274">
        <v>3</v>
      </c>
      <c r="I5" s="11"/>
      <c r="J5" s="11"/>
      <c r="K5" s="15" t="s">
        <v>4</v>
      </c>
      <c r="L5" s="103" t="s">
        <v>71</v>
      </c>
    </row>
    <row r="6" spans="2:21" x14ac:dyDescent="0.2">
      <c r="B6" s="25" t="s">
        <v>10</v>
      </c>
      <c r="C6" s="6"/>
      <c r="D6" s="6"/>
      <c r="E6" s="6"/>
      <c r="F6" s="7"/>
      <c r="G6" s="7"/>
      <c r="H6" s="7"/>
      <c r="I6" s="6"/>
      <c r="J6" s="6"/>
      <c r="K6" s="7"/>
      <c r="L6" s="9"/>
    </row>
    <row r="7" spans="2:21" x14ac:dyDescent="0.2">
      <c r="B7" s="10"/>
      <c r="C7" s="11" t="s">
        <v>5</v>
      </c>
      <c r="D7" s="11"/>
      <c r="E7" s="11"/>
      <c r="F7" s="12"/>
      <c r="G7" s="110" t="s">
        <v>38</v>
      </c>
      <c r="H7" s="12"/>
      <c r="I7" s="11"/>
      <c r="J7" s="11"/>
      <c r="K7" s="12"/>
      <c r="L7" s="13"/>
      <c r="N7" s="106" t="s">
        <v>81</v>
      </c>
      <c r="O7" s="106"/>
      <c r="P7" s="106"/>
      <c r="Q7" s="106"/>
      <c r="R7" s="106"/>
      <c r="S7" s="106"/>
      <c r="T7" s="106"/>
      <c r="U7" s="106"/>
    </row>
    <row r="8" spans="2:21" x14ac:dyDescent="0.2">
      <c r="B8" s="10"/>
      <c r="C8" s="11" t="s">
        <v>6</v>
      </c>
      <c r="D8" s="11"/>
      <c r="E8" s="11"/>
      <c r="F8" s="12"/>
      <c r="G8" s="110" t="s">
        <v>71</v>
      </c>
      <c r="H8" s="12"/>
      <c r="I8" s="11"/>
      <c r="J8" s="11"/>
      <c r="K8" s="12"/>
      <c r="L8" s="13"/>
      <c r="N8" s="106" t="s">
        <v>79</v>
      </c>
      <c r="O8" s="106"/>
      <c r="P8" s="106"/>
      <c r="Q8" s="106"/>
      <c r="R8" s="106"/>
      <c r="S8" s="106"/>
      <c r="T8" s="106"/>
      <c r="U8" s="106"/>
    </row>
    <row r="9" spans="2:21" x14ac:dyDescent="0.2">
      <c r="B9" s="10"/>
      <c r="C9" s="11" t="s">
        <v>7</v>
      </c>
      <c r="D9" s="11"/>
      <c r="E9" s="11"/>
      <c r="F9" s="12"/>
      <c r="G9" s="298" t="s">
        <v>71</v>
      </c>
      <c r="H9" s="12"/>
      <c r="I9" s="11"/>
      <c r="J9" s="11"/>
      <c r="K9" s="12"/>
      <c r="L9" s="13"/>
      <c r="N9" s="106" t="s">
        <v>80</v>
      </c>
      <c r="O9" s="106"/>
      <c r="P9" s="106"/>
      <c r="Q9" s="106"/>
      <c r="R9" s="106"/>
      <c r="S9" s="106"/>
      <c r="T9" s="106"/>
      <c r="U9" s="106"/>
    </row>
    <row r="10" spans="2:21" ht="13.5" thickBot="1" x14ac:dyDescent="0.25">
      <c r="B10" s="20"/>
      <c r="C10" s="21" t="s">
        <v>8</v>
      </c>
      <c r="D10" s="21"/>
      <c r="E10" s="21"/>
      <c r="F10" s="22"/>
      <c r="G10" s="111" t="s">
        <v>71</v>
      </c>
      <c r="H10" s="22"/>
      <c r="I10" s="21"/>
      <c r="J10" s="21"/>
      <c r="K10" s="22"/>
      <c r="L10" s="23"/>
    </row>
    <row r="11" spans="2:21" x14ac:dyDescent="0.2">
      <c r="B11" s="25" t="s">
        <v>9</v>
      </c>
      <c r="C11" s="6"/>
      <c r="D11" s="6"/>
      <c r="E11" s="260" t="s">
        <v>43</v>
      </c>
      <c r="F11" s="261"/>
      <c r="G11" s="261"/>
      <c r="H11" s="261"/>
      <c r="I11" s="72" t="s">
        <v>38</v>
      </c>
      <c r="J11" s="6"/>
      <c r="K11" s="262" t="s">
        <v>38</v>
      </c>
      <c r="L11" s="263" t="s">
        <v>38</v>
      </c>
    </row>
    <row r="12" spans="2:21" x14ac:dyDescent="0.2">
      <c r="B12" s="16"/>
      <c r="C12" s="33"/>
      <c r="D12" s="34"/>
      <c r="E12" s="34"/>
      <c r="F12" s="34"/>
      <c r="G12" s="42" t="s">
        <v>151</v>
      </c>
      <c r="H12" s="35" t="s">
        <v>51</v>
      </c>
      <c r="I12" s="36" t="s">
        <v>21</v>
      </c>
      <c r="J12" s="34"/>
      <c r="K12" s="42" t="s">
        <v>20</v>
      </c>
      <c r="L12" s="49" t="s">
        <v>12</v>
      </c>
      <c r="M12" s="32" t="s">
        <v>45</v>
      </c>
    </row>
    <row r="13" spans="2:21" x14ac:dyDescent="0.2">
      <c r="B13" s="16"/>
      <c r="C13" s="37"/>
      <c r="D13" s="11"/>
      <c r="E13" s="11"/>
      <c r="F13" s="12"/>
      <c r="G13" s="43" t="s">
        <v>63</v>
      </c>
      <c r="H13" s="19" t="s">
        <v>50</v>
      </c>
      <c r="I13" s="15"/>
      <c r="J13" s="11"/>
      <c r="K13" s="43" t="s">
        <v>19</v>
      </c>
      <c r="L13" s="13"/>
      <c r="P13" s="2"/>
    </row>
    <row r="14" spans="2:21" x14ac:dyDescent="0.2">
      <c r="B14" s="16"/>
      <c r="C14" s="33" t="s">
        <v>47</v>
      </c>
      <c r="D14" s="34"/>
      <c r="E14" s="34"/>
      <c r="F14" s="40"/>
      <c r="G14" s="59" t="e">
        <f>H14*$H$4</f>
        <v>#VALUE!</v>
      </c>
      <c r="H14" s="279" t="s">
        <v>71</v>
      </c>
      <c r="I14" s="41" t="b">
        <f>AND((H14&gt;59.99%),(H14&lt;90.01%))</f>
        <v>0</v>
      </c>
      <c r="J14" s="34"/>
      <c r="K14" s="45" t="s">
        <v>24</v>
      </c>
      <c r="L14" s="93" t="str">
        <f>IF(I14=TRUE, "Yes", "No")</f>
        <v>No</v>
      </c>
      <c r="M14" s="2" t="s">
        <v>48</v>
      </c>
    </row>
    <row r="15" spans="2:21" ht="13.5" thickBot="1" x14ac:dyDescent="0.25">
      <c r="B15" s="10"/>
      <c r="C15" s="33" t="s">
        <v>150</v>
      </c>
      <c r="D15" s="34"/>
      <c r="E15" s="34"/>
      <c r="F15" s="40"/>
      <c r="G15" s="98" t="s">
        <v>71</v>
      </c>
      <c r="H15" s="71" t="e">
        <f>G15/$H$4</f>
        <v>#VALUE!</v>
      </c>
      <c r="I15" s="41" t="e">
        <f>AND((H15&gt;111%),(H15&lt;166.8%))</f>
        <v>#VALUE!</v>
      </c>
      <c r="J15" s="34" t="s">
        <v>38</v>
      </c>
      <c r="K15" s="45" t="s">
        <v>49</v>
      </c>
      <c r="L15" s="93" t="e">
        <f>IF(I15=TRUE, "Yes", "No")</f>
        <v>#VALUE!</v>
      </c>
      <c r="M15" s="2" t="s">
        <v>59</v>
      </c>
    </row>
    <row r="16" spans="2:21" x14ac:dyDescent="0.2">
      <c r="B16" s="25" t="s">
        <v>31</v>
      </c>
      <c r="C16" s="72"/>
      <c r="D16" s="6"/>
      <c r="E16" s="6"/>
      <c r="F16" s="73"/>
      <c r="G16" s="74"/>
      <c r="H16" s="7"/>
      <c r="I16" s="75"/>
      <c r="J16" s="6"/>
      <c r="K16" s="76"/>
      <c r="L16" s="94"/>
    </row>
    <row r="17" spans="2:15" x14ac:dyDescent="0.2">
      <c r="B17" s="10"/>
      <c r="C17" s="33" t="s">
        <v>42</v>
      </c>
      <c r="D17" s="34"/>
      <c r="E17" s="34"/>
      <c r="F17" s="40"/>
      <c r="G17" s="88" t="s">
        <v>71</v>
      </c>
      <c r="H17" s="294" t="e">
        <f>G17/$H$4</f>
        <v>#VALUE!</v>
      </c>
      <c r="I17" s="41" t="e">
        <f>AND((H17&gt;59.99%),(H17&lt;90.01%))</f>
        <v>#VALUE!</v>
      </c>
      <c r="J17" s="34"/>
      <c r="K17" s="45" t="s">
        <v>24</v>
      </c>
      <c r="L17" s="93" t="e">
        <f>IF(I17=TRUE, "Yes", "No")</f>
        <v>#VALUE!</v>
      </c>
    </row>
    <row r="18" spans="2:15" x14ac:dyDescent="0.2">
      <c r="B18" s="10"/>
      <c r="C18" s="37" t="s">
        <v>74</v>
      </c>
      <c r="D18" s="11"/>
      <c r="E18" s="11"/>
      <c r="F18" s="12"/>
      <c r="G18" s="258">
        <f>H4</f>
        <v>5400</v>
      </c>
      <c r="H18" s="291" t="s">
        <v>71</v>
      </c>
      <c r="I18" s="60"/>
      <c r="J18" s="60"/>
      <c r="K18" s="64">
        <v>0.95</v>
      </c>
      <c r="L18" s="95" t="str">
        <f>IF(H18&gt;=K18,"Yes","No")</f>
        <v>Yes</v>
      </c>
      <c r="M18" t="s">
        <v>160</v>
      </c>
    </row>
    <row r="19" spans="2:15" ht="13.5" thickBot="1" x14ac:dyDescent="0.25">
      <c r="B19" s="20"/>
      <c r="C19" s="51" t="s">
        <v>75</v>
      </c>
      <c r="D19" s="21"/>
      <c r="E19" s="21"/>
      <c r="F19" s="22"/>
      <c r="G19" s="259">
        <f>0.9*H4</f>
        <v>4860</v>
      </c>
      <c r="H19" s="292" t="s">
        <v>71</v>
      </c>
      <c r="I19" s="31"/>
      <c r="J19" s="21"/>
      <c r="K19" s="52">
        <v>0.99</v>
      </c>
      <c r="L19" s="96" t="str">
        <f>IF(H19&gt;=K19,"Yes","No")</f>
        <v>Yes</v>
      </c>
      <c r="M19" t="s">
        <v>161</v>
      </c>
    </row>
    <row r="20" spans="2:15" x14ac:dyDescent="0.2">
      <c r="B20" s="16" t="s">
        <v>40</v>
      </c>
      <c r="C20" s="11"/>
      <c r="D20" s="11"/>
      <c r="E20" s="11"/>
      <c r="F20" s="12"/>
      <c r="G20" s="44"/>
      <c r="H20" s="30"/>
      <c r="I20" s="11"/>
      <c r="J20" s="11"/>
      <c r="K20" s="47"/>
      <c r="L20" s="97"/>
    </row>
    <row r="21" spans="2:15" ht="15.75" x14ac:dyDescent="0.3">
      <c r="B21" s="16" t="s">
        <v>38</v>
      </c>
      <c r="C21" s="65" t="s">
        <v>41</v>
      </c>
      <c r="D21" s="60" t="s">
        <v>121</v>
      </c>
      <c r="E21" s="60"/>
      <c r="F21" s="61"/>
      <c r="G21" s="99" t="s">
        <v>71</v>
      </c>
      <c r="H21" s="295" t="e">
        <f>G21/G9</f>
        <v>#VALUE!</v>
      </c>
      <c r="I21" s="60"/>
      <c r="J21" s="60"/>
      <c r="K21" s="62" t="s">
        <v>11</v>
      </c>
      <c r="L21" s="95" t="e">
        <f>IF(H21&lt;=15%,"Yes","No")</f>
        <v>#VALUE!</v>
      </c>
      <c r="M21" s="2" t="s">
        <v>52</v>
      </c>
    </row>
    <row r="22" spans="2:15" ht="16.5" thickBot="1" x14ac:dyDescent="0.35">
      <c r="B22" s="26" t="s">
        <v>38</v>
      </c>
      <c r="C22" s="53" t="s">
        <v>44</v>
      </c>
      <c r="D22" s="21" t="s">
        <v>120</v>
      </c>
      <c r="E22" s="21"/>
      <c r="F22" s="22"/>
      <c r="G22" s="92" t="s">
        <v>71</v>
      </c>
      <c r="H22" s="296" t="e">
        <f>'Calculations 54Gy 3F'!J31</f>
        <v>#VALUE!</v>
      </c>
      <c r="I22" s="27" t="s">
        <v>38</v>
      </c>
      <c r="J22" s="21"/>
      <c r="K22" s="48" t="s">
        <v>13</v>
      </c>
      <c r="L22" s="170" t="e">
        <f ca="1">'Calculations 54Gy 3F'!K31</f>
        <v>#VALUE!</v>
      </c>
      <c r="M22" s="2" t="s">
        <v>56</v>
      </c>
    </row>
    <row r="23" spans="2:15" x14ac:dyDescent="0.2">
      <c r="B23" s="25" t="s">
        <v>39</v>
      </c>
      <c r="C23" s="6"/>
      <c r="D23" s="6"/>
      <c r="E23" s="6"/>
      <c r="F23" s="7"/>
      <c r="G23" s="76"/>
      <c r="H23" s="314"/>
      <c r="I23" s="6"/>
      <c r="J23" s="6"/>
      <c r="K23" s="76"/>
      <c r="L23" s="94"/>
    </row>
    <row r="24" spans="2:15" ht="14.25" x14ac:dyDescent="0.25">
      <c r="B24" s="16" t="s">
        <v>38</v>
      </c>
      <c r="C24" s="65" t="s">
        <v>167</v>
      </c>
      <c r="D24" s="66" t="s">
        <v>53</v>
      </c>
      <c r="E24" s="60"/>
      <c r="F24" s="61"/>
      <c r="G24" s="89" t="s">
        <v>71</v>
      </c>
      <c r="H24" s="295" t="e">
        <f>G24/H4</f>
        <v>#VALUE!</v>
      </c>
      <c r="I24" s="67"/>
      <c r="J24" s="60"/>
      <c r="K24" s="252" t="e">
        <f ca="1">'Calculations 54Gy 3F'!L27/100</f>
        <v>#VALUE!</v>
      </c>
      <c r="L24" s="169" t="e">
        <f ca="1">'Calculations 54Gy 3F'!K33</f>
        <v>#VALUE!</v>
      </c>
      <c r="M24" s="3" t="s">
        <v>58</v>
      </c>
      <c r="N24" s="4"/>
      <c r="O24" s="4"/>
    </row>
    <row r="25" spans="2:15" ht="16.5" thickBot="1" x14ac:dyDescent="0.35">
      <c r="B25" s="26" t="s">
        <v>38</v>
      </c>
      <c r="C25" s="53" t="s">
        <v>168</v>
      </c>
      <c r="D25" s="21"/>
      <c r="E25" s="21"/>
      <c r="F25" s="335" t="s">
        <v>169</v>
      </c>
      <c r="G25" s="92" t="s">
        <v>71</v>
      </c>
      <c r="H25" s="315" t="e">
        <f>'Calculations 54Gy 3F'!J32</f>
        <v>#VALUE!</v>
      </c>
      <c r="I25" s="29" t="s">
        <v>38</v>
      </c>
      <c r="J25" s="21"/>
      <c r="K25" s="253" t="e">
        <f ca="1">'Calculations 54Gy 3F'!I27</f>
        <v>#VALUE!</v>
      </c>
      <c r="L25" s="170" t="e">
        <f ca="1">'Calculations 54Gy 3F'!K32</f>
        <v>#VALUE!</v>
      </c>
      <c r="M25" s="2" t="s">
        <v>57</v>
      </c>
    </row>
    <row r="26" spans="2:15" x14ac:dyDescent="0.2">
      <c r="B26" s="16" t="s">
        <v>23</v>
      </c>
      <c r="C26" s="11"/>
      <c r="D26" s="11"/>
      <c r="E26" s="11"/>
      <c r="F26" s="12"/>
      <c r="G26" s="43" t="s">
        <v>30</v>
      </c>
      <c r="H26" s="19" t="s">
        <v>51</v>
      </c>
      <c r="I26" s="18"/>
      <c r="J26" s="18"/>
      <c r="K26" s="56" t="s">
        <v>35</v>
      </c>
      <c r="L26" s="55"/>
    </row>
    <row r="27" spans="2:15" ht="13.5" thickBot="1" x14ac:dyDescent="0.25">
      <c r="B27" s="16" t="s">
        <v>38</v>
      </c>
      <c r="C27" s="11"/>
      <c r="D27" s="11"/>
      <c r="E27" s="11"/>
      <c r="F27" s="12"/>
      <c r="G27" s="43" t="s">
        <v>22</v>
      </c>
      <c r="H27" s="30"/>
      <c r="I27" s="18"/>
      <c r="J27" s="18"/>
      <c r="K27" s="57" t="s">
        <v>64</v>
      </c>
      <c r="L27" s="55"/>
    </row>
    <row r="28" spans="2:15" x14ac:dyDescent="0.2">
      <c r="B28" s="16" t="s">
        <v>38</v>
      </c>
      <c r="C28" s="25" t="s">
        <v>25</v>
      </c>
      <c r="D28" s="6"/>
      <c r="E28" s="6"/>
      <c r="F28" s="7"/>
      <c r="G28" s="76"/>
      <c r="H28" s="314"/>
      <c r="I28" s="6"/>
      <c r="J28" s="6"/>
      <c r="K28" s="76"/>
      <c r="L28" s="77"/>
    </row>
    <row r="29" spans="2:15" x14ac:dyDescent="0.2">
      <c r="B29" s="10"/>
      <c r="C29" s="10" t="s">
        <v>26</v>
      </c>
      <c r="D29" s="11"/>
      <c r="E29" s="11"/>
      <c r="F29" s="12"/>
      <c r="G29" s="89" t="s">
        <v>71</v>
      </c>
      <c r="H29" s="316"/>
      <c r="I29" s="60"/>
      <c r="J29" s="60"/>
      <c r="K29" s="62"/>
      <c r="L29" s="68"/>
    </row>
    <row r="30" spans="2:15" x14ac:dyDescent="0.2">
      <c r="B30" s="10"/>
      <c r="C30" s="10" t="s">
        <v>27</v>
      </c>
      <c r="D30" s="11"/>
      <c r="E30" s="11"/>
      <c r="F30" s="12"/>
      <c r="G30" s="90" t="s">
        <v>71</v>
      </c>
      <c r="H30" s="317"/>
      <c r="I30" s="38"/>
      <c r="J30" s="38"/>
      <c r="K30" s="46"/>
      <c r="L30" s="54"/>
    </row>
    <row r="31" spans="2:15" ht="13.5" thickBot="1" x14ac:dyDescent="0.25">
      <c r="B31" s="10"/>
      <c r="C31" s="10" t="s">
        <v>126</v>
      </c>
      <c r="D31" s="11"/>
      <c r="E31" s="11"/>
      <c r="F31" s="324" t="s">
        <v>156</v>
      </c>
      <c r="G31" s="323" t="s">
        <v>71</v>
      </c>
      <c r="H31" s="328" t="s">
        <v>38</v>
      </c>
      <c r="I31" s="60"/>
      <c r="J31" s="60"/>
      <c r="K31" s="84" t="e">
        <f ca="1">'Calculations 54Gy 3F'!O27</f>
        <v>#VALUE!</v>
      </c>
      <c r="L31" s="275" t="e">
        <f ca="1">'Calculations 54Gy 3F'!K34</f>
        <v>#VALUE!</v>
      </c>
      <c r="M31" s="2" t="s">
        <v>55</v>
      </c>
    </row>
    <row r="32" spans="2:15" x14ac:dyDescent="0.2">
      <c r="B32" s="10"/>
      <c r="C32" s="10" t="s">
        <v>69</v>
      </c>
      <c r="D32" s="11"/>
      <c r="E32" s="11"/>
      <c r="F32" s="30" t="s">
        <v>139</v>
      </c>
      <c r="G32" s="89" t="s">
        <v>71</v>
      </c>
      <c r="H32" s="293" t="s">
        <v>157</v>
      </c>
      <c r="I32" s="60"/>
      <c r="J32" s="60"/>
      <c r="K32" s="84">
        <v>1500</v>
      </c>
      <c r="L32" s="286" t="str">
        <f>IF(G32&lt;=K32,"Yes","No")</f>
        <v>No</v>
      </c>
      <c r="M32" s="3" t="s">
        <v>76</v>
      </c>
      <c r="N32" s="85"/>
      <c r="O32" s="85"/>
    </row>
    <row r="33" spans="2:15" ht="13.5" thickBot="1" x14ac:dyDescent="0.25">
      <c r="B33" s="10"/>
      <c r="C33" s="10" t="s">
        <v>70</v>
      </c>
      <c r="D33" s="11"/>
      <c r="E33" s="11"/>
      <c r="F33" s="12" t="s">
        <v>140</v>
      </c>
      <c r="G33" s="91" t="s">
        <v>71</v>
      </c>
      <c r="H33" s="293" t="s">
        <v>155</v>
      </c>
      <c r="I33" s="11"/>
      <c r="J33" s="11"/>
      <c r="K33" s="56">
        <v>1000</v>
      </c>
      <c r="L33" s="17" t="str">
        <f>IF(G33&lt;=K33,"Yes","No")</f>
        <v>No</v>
      </c>
      <c r="M33" s="3" t="s">
        <v>77</v>
      </c>
      <c r="N33" s="85"/>
      <c r="O33" s="85"/>
    </row>
    <row r="34" spans="2:15" x14ac:dyDescent="0.2">
      <c r="B34" s="16" t="s">
        <v>38</v>
      </c>
      <c r="C34" s="25" t="s">
        <v>54</v>
      </c>
      <c r="D34" s="6"/>
      <c r="E34" s="6"/>
      <c r="F34" s="7"/>
      <c r="G34" s="100"/>
      <c r="H34" s="7"/>
      <c r="I34" s="6"/>
      <c r="J34" s="6"/>
      <c r="K34" s="76"/>
      <c r="L34" s="9"/>
    </row>
    <row r="35" spans="2:15" x14ac:dyDescent="0.2">
      <c r="B35" s="10"/>
      <c r="C35" s="79" t="s">
        <v>138</v>
      </c>
      <c r="D35" s="34" t="s">
        <v>38</v>
      </c>
      <c r="E35" s="34"/>
      <c r="F35" s="70" t="s">
        <v>65</v>
      </c>
      <c r="G35" s="86" t="s">
        <v>71</v>
      </c>
      <c r="H35" s="40"/>
      <c r="I35" s="34"/>
      <c r="J35" s="34"/>
      <c r="K35" s="42">
        <v>3000</v>
      </c>
      <c r="L35" s="50" t="str">
        <f t="shared" ref="L35:L46" si="0">IF(G35&lt;=K35,"Yes","No")</f>
        <v>No</v>
      </c>
    </row>
    <row r="36" spans="2:15" x14ac:dyDescent="0.2">
      <c r="B36" s="10"/>
      <c r="C36" s="82" t="s">
        <v>34</v>
      </c>
      <c r="D36" s="11"/>
      <c r="E36" s="11"/>
      <c r="F36" s="12"/>
      <c r="G36" s="86" t="s">
        <v>71</v>
      </c>
      <c r="H36" s="40"/>
      <c r="I36" s="34"/>
      <c r="J36" s="34"/>
      <c r="K36" s="42">
        <v>3000</v>
      </c>
      <c r="L36" s="50" t="str">
        <f t="shared" si="0"/>
        <v>No</v>
      </c>
    </row>
    <row r="37" spans="2:15" x14ac:dyDescent="0.2">
      <c r="B37" s="10"/>
      <c r="C37" s="80" t="s">
        <v>16</v>
      </c>
      <c r="D37" s="34"/>
      <c r="E37" s="34"/>
      <c r="F37" s="70" t="s">
        <v>65</v>
      </c>
      <c r="G37" s="88" t="s">
        <v>71</v>
      </c>
      <c r="H37" s="321" t="s">
        <v>38</v>
      </c>
      <c r="I37" s="34"/>
      <c r="J37" s="34"/>
      <c r="K37" s="45">
        <v>1800</v>
      </c>
      <c r="L37" s="50" t="str">
        <f t="shared" si="0"/>
        <v>No</v>
      </c>
      <c r="M37" s="2" t="s">
        <v>66</v>
      </c>
    </row>
    <row r="38" spans="2:15" x14ac:dyDescent="0.2">
      <c r="B38" s="10"/>
      <c r="C38" s="81" t="s">
        <v>36</v>
      </c>
      <c r="D38" s="60"/>
      <c r="E38" s="60"/>
      <c r="F38" s="61"/>
      <c r="G38" s="89" t="s">
        <v>71</v>
      </c>
      <c r="H38" s="61"/>
      <c r="I38" s="60"/>
      <c r="J38" s="60"/>
      <c r="K38" s="62">
        <v>2000</v>
      </c>
      <c r="L38" s="63" t="str">
        <f t="shared" si="0"/>
        <v>No</v>
      </c>
    </row>
    <row r="39" spans="2:15" x14ac:dyDescent="0.2">
      <c r="B39" s="10"/>
      <c r="C39" s="80" t="s">
        <v>67</v>
      </c>
      <c r="D39" s="34"/>
      <c r="E39" s="34"/>
      <c r="F39" s="287" t="s">
        <v>65</v>
      </c>
      <c r="G39" s="88" t="s">
        <v>71</v>
      </c>
      <c r="H39" s="40"/>
      <c r="I39" s="34"/>
      <c r="J39" s="34"/>
      <c r="K39" s="45">
        <v>2400</v>
      </c>
      <c r="L39" s="50" t="str">
        <f t="shared" si="0"/>
        <v>No</v>
      </c>
      <c r="M39" s="2" t="s">
        <v>29</v>
      </c>
    </row>
    <row r="40" spans="2:15" ht="15.75" x14ac:dyDescent="0.3">
      <c r="B40" s="10"/>
      <c r="C40" s="310" t="s">
        <v>15</v>
      </c>
      <c r="D40" s="311" t="s">
        <v>163</v>
      </c>
      <c r="E40" s="312"/>
      <c r="F40" s="313" t="s">
        <v>164</v>
      </c>
      <c r="G40" s="308" t="s">
        <v>71</v>
      </c>
      <c r="H40" s="305" t="s">
        <v>38</v>
      </c>
      <c r="I40" s="304"/>
      <c r="J40" s="304"/>
      <c r="K40" s="306">
        <v>10</v>
      </c>
      <c r="L40" s="307" t="str">
        <f t="shared" si="0"/>
        <v>No</v>
      </c>
      <c r="M40" s="2" t="s">
        <v>29</v>
      </c>
    </row>
    <row r="41" spans="2:15" x14ac:dyDescent="0.2">
      <c r="B41" s="10"/>
      <c r="C41" s="80" t="s">
        <v>18</v>
      </c>
      <c r="D41" s="34"/>
      <c r="E41" s="34"/>
      <c r="F41" s="70" t="s">
        <v>65</v>
      </c>
      <c r="G41" s="88" t="s">
        <v>71</v>
      </c>
      <c r="H41" s="321" t="s">
        <v>38</v>
      </c>
      <c r="I41" s="34"/>
      <c r="J41" s="34"/>
      <c r="K41" s="45">
        <v>3000</v>
      </c>
      <c r="L41" s="50" t="str">
        <f t="shared" si="0"/>
        <v>No</v>
      </c>
      <c r="M41" s="2" t="s">
        <v>68</v>
      </c>
    </row>
    <row r="42" spans="2:15" x14ac:dyDescent="0.2">
      <c r="B42" s="10"/>
      <c r="C42" s="80" t="s">
        <v>14</v>
      </c>
      <c r="D42" s="34"/>
      <c r="E42" s="34"/>
      <c r="F42" s="70" t="s">
        <v>65</v>
      </c>
      <c r="G42" s="88" t="s">
        <v>71</v>
      </c>
      <c r="H42" s="40"/>
      <c r="I42" s="34"/>
      <c r="J42" s="34"/>
      <c r="K42" s="45">
        <v>2700</v>
      </c>
      <c r="L42" s="50" t="str">
        <f t="shared" si="0"/>
        <v>No</v>
      </c>
      <c r="M42" s="2" t="s">
        <v>29</v>
      </c>
    </row>
    <row r="43" spans="2:15" x14ac:dyDescent="0.2">
      <c r="B43" s="10"/>
      <c r="C43" s="80" t="s">
        <v>133</v>
      </c>
      <c r="D43" s="34"/>
      <c r="E43" s="34"/>
      <c r="F43" s="70" t="s">
        <v>65</v>
      </c>
      <c r="G43" s="88" t="s">
        <v>71</v>
      </c>
      <c r="H43" s="40"/>
      <c r="I43" s="34"/>
      <c r="J43" s="34"/>
      <c r="K43" s="45">
        <v>3480</v>
      </c>
      <c r="L43" s="50" t="str">
        <f t="shared" si="0"/>
        <v>No</v>
      </c>
      <c r="M43" s="2" t="s">
        <v>66</v>
      </c>
    </row>
    <row r="44" spans="2:15" ht="14.25" x14ac:dyDescent="0.25">
      <c r="B44" s="10"/>
      <c r="C44" s="10"/>
      <c r="D44" s="18" t="s">
        <v>162</v>
      </c>
      <c r="E44" s="11"/>
      <c r="F44" s="14" t="s">
        <v>149</v>
      </c>
      <c r="G44" s="87" t="str">
        <f>IF(G43&lt;=2820,"OK","??")</f>
        <v>??</v>
      </c>
      <c r="H44" s="61"/>
      <c r="I44" s="60"/>
      <c r="J44" s="60"/>
      <c r="K44" s="62">
        <v>1</v>
      </c>
      <c r="L44" s="63" t="str">
        <f>IF(G43&lt;=2820,"Yes",IF(G44&lt;=K44,"Yes","No"))</f>
        <v>No</v>
      </c>
      <c r="M44" s="2" t="s">
        <v>68</v>
      </c>
    </row>
    <row r="45" spans="2:15" ht="14.25" x14ac:dyDescent="0.25">
      <c r="B45" s="10"/>
      <c r="C45" s="10"/>
      <c r="D45" s="309" t="s">
        <v>135</v>
      </c>
      <c r="E45" s="255" t="s">
        <v>38</v>
      </c>
      <c r="F45" s="257" t="s">
        <v>127</v>
      </c>
      <c r="G45" s="90" t="str">
        <f>IF(G43&lt;=3000,"OK","??")</f>
        <v>??</v>
      </c>
      <c r="H45" s="39"/>
      <c r="I45" s="38"/>
      <c r="J45" s="38"/>
      <c r="K45" s="46">
        <v>30</v>
      </c>
      <c r="L45" s="63" t="str">
        <f>IF(G43&lt;=3000,"Yes",IF(G45&lt;=K45,"Yes","No"))</f>
        <v>No</v>
      </c>
    </row>
    <row r="46" spans="2:15" x14ac:dyDescent="0.2">
      <c r="B46" s="10"/>
      <c r="C46" s="80" t="s">
        <v>17</v>
      </c>
      <c r="D46" s="34"/>
      <c r="E46" s="34"/>
      <c r="F46" s="70" t="s">
        <v>65</v>
      </c>
      <c r="G46" s="88" t="s">
        <v>71</v>
      </c>
      <c r="H46" s="40" t="s">
        <v>38</v>
      </c>
      <c r="I46" s="34"/>
      <c r="J46" s="34"/>
      <c r="K46" s="45">
        <v>3000</v>
      </c>
      <c r="L46" s="50" t="str">
        <f t="shared" si="0"/>
        <v>No</v>
      </c>
      <c r="M46" s="2" t="s">
        <v>68</v>
      </c>
    </row>
    <row r="47" spans="2:15" ht="13.5" thickBot="1" x14ac:dyDescent="0.25">
      <c r="B47" s="10"/>
      <c r="C47" s="10" t="s">
        <v>131</v>
      </c>
      <c r="D47" s="11"/>
      <c r="E47" s="11"/>
      <c r="F47" s="58"/>
      <c r="G47" s="91" t="s">
        <v>38</v>
      </c>
      <c r="H47" s="12"/>
      <c r="I47" s="11"/>
      <c r="J47" s="11"/>
      <c r="K47" s="44"/>
      <c r="L47" s="17"/>
    </row>
    <row r="48" spans="2:15" x14ac:dyDescent="0.2">
      <c r="B48" s="5"/>
      <c r="C48" s="72" t="s">
        <v>60</v>
      </c>
      <c r="D48" s="6"/>
      <c r="E48" s="6"/>
      <c r="F48" s="7"/>
      <c r="G48" s="8" t="s">
        <v>61</v>
      </c>
      <c r="H48" s="7"/>
      <c r="I48" s="6"/>
      <c r="J48" s="72" t="s">
        <v>62</v>
      </c>
      <c r="K48" s="7"/>
      <c r="L48" s="9"/>
    </row>
    <row r="49" spans="2:12" x14ac:dyDescent="0.2">
      <c r="B49" s="10"/>
      <c r="C49" s="110" t="s">
        <v>71</v>
      </c>
      <c r="D49" s="108"/>
      <c r="E49" s="108"/>
      <c r="F49" s="109"/>
      <c r="G49" s="110" t="s">
        <v>71</v>
      </c>
      <c r="H49" s="109"/>
      <c r="I49" s="108"/>
      <c r="J49" s="108"/>
      <c r="K49" s="110" t="s">
        <v>71</v>
      </c>
      <c r="L49" s="13"/>
    </row>
    <row r="50" spans="2:12" x14ac:dyDescent="0.2">
      <c r="B50" s="16" t="s">
        <v>147</v>
      </c>
      <c r="C50" s="107"/>
      <c r="D50" s="107"/>
      <c r="E50" s="107"/>
      <c r="F50" s="110"/>
      <c r="G50" s="110"/>
      <c r="H50" s="110"/>
      <c r="I50" s="107"/>
      <c r="J50" s="107"/>
      <c r="K50" s="110"/>
      <c r="L50" s="102"/>
    </row>
    <row r="51" spans="2:12" ht="13.5" thickBot="1" x14ac:dyDescent="0.25">
      <c r="B51" s="20"/>
      <c r="C51" s="21"/>
      <c r="D51" s="21"/>
      <c r="E51" s="21"/>
      <c r="F51" s="264" t="s">
        <v>134</v>
      </c>
      <c r="G51" s="265" t="s">
        <v>132</v>
      </c>
      <c r="H51" s="264"/>
      <c r="I51" s="265"/>
      <c r="J51" s="265"/>
      <c r="K51" s="264"/>
      <c r="L51" s="266"/>
    </row>
    <row r="52" spans="2:12" x14ac:dyDescent="0.2">
      <c r="B52" s="83" t="s">
        <v>170</v>
      </c>
    </row>
    <row r="55" spans="2:12" x14ac:dyDescent="0.2">
      <c r="F55" s="273"/>
      <c r="G55" s="271"/>
      <c r="H55" s="334"/>
      <c r="I55" s="272"/>
      <c r="J55" s="272"/>
      <c r="K55" s="271"/>
      <c r="L55" s="271"/>
    </row>
  </sheetData>
  <sheetProtection sheet="1" objects="1" scenarios="1"/>
  <phoneticPr fontId="2" type="noConversion"/>
  <pageMargins left="0.75" right="0.75" top="1" bottom="1" header="0.5" footer="0.5"/>
  <pageSetup scale="8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C43" sqref="C4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12"/>
      <c r="D1" s="113"/>
      <c r="E1" s="113"/>
      <c r="F1" s="113"/>
      <c r="G1" s="113"/>
      <c r="H1" s="113"/>
      <c r="I1" s="115" t="s">
        <v>119</v>
      </c>
      <c r="J1" s="113"/>
      <c r="K1" s="113"/>
      <c r="L1" s="113"/>
      <c r="M1" s="113"/>
      <c r="N1" s="113"/>
      <c r="O1" s="113"/>
      <c r="P1" s="113"/>
      <c r="Q1" s="116"/>
    </row>
    <row r="2" spans="3:17" ht="15.75" thickBot="1" x14ac:dyDescent="0.3">
      <c r="C2" s="117"/>
      <c r="D2" s="118"/>
      <c r="E2" s="119" t="s">
        <v>87</v>
      </c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20"/>
    </row>
    <row r="3" spans="3:17" ht="15" x14ac:dyDescent="0.25">
      <c r="C3" s="112"/>
      <c r="D3" s="121"/>
      <c r="E3" s="113"/>
      <c r="F3" s="112"/>
      <c r="G3" s="113"/>
      <c r="H3" s="116"/>
      <c r="I3" s="113"/>
      <c r="J3" s="113"/>
      <c r="K3" s="113"/>
      <c r="L3" s="112" t="s">
        <v>88</v>
      </c>
      <c r="M3" s="113"/>
      <c r="N3" s="116"/>
      <c r="O3" s="113" t="s">
        <v>89</v>
      </c>
      <c r="P3" s="113"/>
      <c r="Q3" s="116"/>
    </row>
    <row r="4" spans="3:17" ht="15" x14ac:dyDescent="0.25">
      <c r="C4" s="117"/>
      <c r="D4" s="122"/>
      <c r="E4" s="118"/>
      <c r="F4" s="123" t="s">
        <v>90</v>
      </c>
      <c r="G4" s="118"/>
      <c r="H4" s="120"/>
      <c r="I4" s="118" t="s">
        <v>91</v>
      </c>
      <c r="J4" s="118"/>
      <c r="K4" s="118"/>
      <c r="L4" s="117" t="s">
        <v>92</v>
      </c>
      <c r="M4" s="118"/>
      <c r="N4" s="120"/>
      <c r="O4" s="118" t="s">
        <v>93</v>
      </c>
      <c r="P4" s="118"/>
      <c r="Q4" s="120"/>
    </row>
    <row r="5" spans="3:17" x14ac:dyDescent="0.2">
      <c r="C5" s="117"/>
      <c r="D5" s="118"/>
      <c r="E5" s="118"/>
      <c r="F5" s="123" t="s">
        <v>94</v>
      </c>
      <c r="G5" s="118"/>
      <c r="H5" s="120"/>
      <c r="I5" s="124" t="s">
        <v>95</v>
      </c>
      <c r="J5" s="118"/>
      <c r="K5" s="118"/>
      <c r="L5" s="117" t="s">
        <v>96</v>
      </c>
      <c r="M5" s="118"/>
      <c r="N5" s="120"/>
      <c r="O5" s="118"/>
      <c r="P5" s="118"/>
      <c r="Q5" s="120"/>
    </row>
    <row r="6" spans="3:17" ht="13.5" thickBot="1" x14ac:dyDescent="0.25">
      <c r="C6" s="117"/>
      <c r="D6" s="125" t="s">
        <v>82</v>
      </c>
      <c r="E6" s="118"/>
      <c r="F6" s="123" t="s">
        <v>97</v>
      </c>
      <c r="G6" s="118"/>
      <c r="H6" s="120"/>
      <c r="I6" s="124"/>
      <c r="J6" s="118"/>
      <c r="K6" s="118"/>
      <c r="L6" s="117"/>
      <c r="M6" s="118"/>
      <c r="N6" s="120"/>
      <c r="O6" s="118"/>
      <c r="P6" s="118"/>
      <c r="Q6" s="120"/>
    </row>
    <row r="7" spans="3:17" x14ac:dyDescent="0.2">
      <c r="C7" s="117"/>
      <c r="D7" s="125" t="s">
        <v>98</v>
      </c>
      <c r="E7" s="118"/>
      <c r="F7" s="126" t="s">
        <v>99</v>
      </c>
      <c r="G7" s="113"/>
      <c r="H7" s="116"/>
      <c r="I7" s="113"/>
      <c r="J7" s="113" t="s">
        <v>100</v>
      </c>
      <c r="K7" s="113"/>
      <c r="L7" s="127" t="s">
        <v>101</v>
      </c>
      <c r="M7" s="113"/>
      <c r="N7" s="116"/>
      <c r="O7" s="128" t="s">
        <v>102</v>
      </c>
      <c r="P7" s="113"/>
      <c r="Q7" s="116"/>
    </row>
    <row r="8" spans="3:17" ht="13.5" thickBot="1" x14ac:dyDescent="0.25">
      <c r="C8" s="129"/>
      <c r="D8" s="130" t="s">
        <v>83</v>
      </c>
      <c r="E8" s="130"/>
      <c r="F8" s="131" t="s">
        <v>84</v>
      </c>
      <c r="G8" s="130" t="s">
        <v>103</v>
      </c>
      <c r="H8" s="132"/>
      <c r="I8" s="130" t="s">
        <v>84</v>
      </c>
      <c r="J8" s="130" t="s">
        <v>103</v>
      </c>
      <c r="K8" s="130"/>
      <c r="L8" s="131" t="s">
        <v>84</v>
      </c>
      <c r="M8" s="130" t="s">
        <v>103</v>
      </c>
      <c r="N8" s="132"/>
      <c r="O8" s="130" t="s">
        <v>84</v>
      </c>
      <c r="P8" s="133" t="s">
        <v>103</v>
      </c>
      <c r="Q8" s="132"/>
    </row>
    <row r="9" spans="3:17" ht="15" x14ac:dyDescent="0.25">
      <c r="C9" s="117"/>
      <c r="D9" s="134">
        <v>1.8</v>
      </c>
      <c r="E9" s="125"/>
      <c r="F9" s="135">
        <v>1.2</v>
      </c>
      <c r="G9" s="136">
        <v>1.5</v>
      </c>
      <c r="H9" s="137"/>
      <c r="I9" s="138">
        <v>5.9</v>
      </c>
      <c r="J9" s="138">
        <v>7.5</v>
      </c>
      <c r="K9" s="125"/>
      <c r="L9" s="135">
        <v>50</v>
      </c>
      <c r="M9" s="136">
        <v>57</v>
      </c>
      <c r="N9" s="137"/>
      <c r="O9" s="125">
        <v>10</v>
      </c>
      <c r="P9" s="125">
        <v>15</v>
      </c>
      <c r="Q9" s="137"/>
    </row>
    <row r="10" spans="3:17" ht="15" x14ac:dyDescent="0.25">
      <c r="C10" s="117"/>
      <c r="D10" s="134">
        <v>3.8</v>
      </c>
      <c r="E10" s="125"/>
      <c r="F10" s="135">
        <v>1.2</v>
      </c>
      <c r="G10" s="136">
        <v>1.5</v>
      </c>
      <c r="H10" s="137"/>
      <c r="I10" s="138">
        <v>5.5</v>
      </c>
      <c r="J10" s="138">
        <v>6.5</v>
      </c>
      <c r="K10" s="125"/>
      <c r="L10" s="135">
        <v>50</v>
      </c>
      <c r="M10" s="136">
        <v>57</v>
      </c>
      <c r="N10" s="137"/>
      <c r="O10" s="125">
        <v>10</v>
      </c>
      <c r="P10" s="125">
        <v>15</v>
      </c>
      <c r="Q10" s="137"/>
    </row>
    <row r="11" spans="3:17" ht="15" x14ac:dyDescent="0.25">
      <c r="C11" s="117"/>
      <c r="D11" s="134">
        <v>7.4</v>
      </c>
      <c r="E11" s="125"/>
      <c r="F11" s="135">
        <v>1.2</v>
      </c>
      <c r="G11" s="136">
        <v>1.5</v>
      </c>
      <c r="H11" s="137"/>
      <c r="I11" s="138">
        <v>5.0999999999999996</v>
      </c>
      <c r="J11" s="138">
        <v>6</v>
      </c>
      <c r="K11" s="125"/>
      <c r="L11" s="135">
        <v>50</v>
      </c>
      <c r="M11" s="136">
        <v>58</v>
      </c>
      <c r="N11" s="137"/>
      <c r="O11" s="125">
        <v>10</v>
      </c>
      <c r="P11" s="125">
        <v>15</v>
      </c>
      <c r="Q11" s="137"/>
    </row>
    <row r="12" spans="3:17" ht="15" x14ac:dyDescent="0.25">
      <c r="C12" s="117"/>
      <c r="D12" s="134">
        <v>13.2</v>
      </c>
      <c r="E12" s="125"/>
      <c r="F12" s="135">
        <v>1.2</v>
      </c>
      <c r="G12" s="136">
        <v>1.5</v>
      </c>
      <c r="H12" s="137"/>
      <c r="I12" s="138">
        <v>4.7</v>
      </c>
      <c r="J12" s="138">
        <v>5.8</v>
      </c>
      <c r="K12" s="125"/>
      <c r="L12" s="135">
        <v>50</v>
      </c>
      <c r="M12" s="136">
        <v>58</v>
      </c>
      <c r="N12" s="137"/>
      <c r="O12" s="125">
        <v>10</v>
      </c>
      <c r="P12" s="125">
        <v>15</v>
      </c>
      <c r="Q12" s="137"/>
    </row>
    <row r="13" spans="3:17" ht="15" x14ac:dyDescent="0.25">
      <c r="C13" s="117"/>
      <c r="D13" s="134">
        <v>22</v>
      </c>
      <c r="E13" s="125"/>
      <c r="F13" s="135">
        <v>1.2</v>
      </c>
      <c r="G13" s="136">
        <v>1.5</v>
      </c>
      <c r="H13" s="137"/>
      <c r="I13" s="138">
        <v>4.5</v>
      </c>
      <c r="J13" s="138">
        <v>5.5</v>
      </c>
      <c r="K13" s="125"/>
      <c r="L13" s="135">
        <v>54</v>
      </c>
      <c r="M13" s="136">
        <v>63</v>
      </c>
      <c r="N13" s="137"/>
      <c r="O13" s="125">
        <v>10</v>
      </c>
      <c r="P13" s="125">
        <v>15</v>
      </c>
      <c r="Q13" s="137"/>
    </row>
    <row r="14" spans="3:17" ht="15" x14ac:dyDescent="0.25">
      <c r="C14" s="117"/>
      <c r="D14" s="134">
        <v>34</v>
      </c>
      <c r="E14" s="125"/>
      <c r="F14" s="135">
        <v>1.2</v>
      </c>
      <c r="G14" s="136">
        <v>1.5</v>
      </c>
      <c r="H14" s="137"/>
      <c r="I14" s="138">
        <v>4.3</v>
      </c>
      <c r="J14" s="138">
        <v>5.3</v>
      </c>
      <c r="K14" s="125"/>
      <c r="L14" s="135">
        <v>58</v>
      </c>
      <c r="M14" s="136">
        <v>68</v>
      </c>
      <c r="N14" s="137"/>
      <c r="O14" s="125">
        <v>10</v>
      </c>
      <c r="P14" s="125">
        <v>15</v>
      </c>
      <c r="Q14" s="137"/>
    </row>
    <row r="15" spans="3:17" ht="15" x14ac:dyDescent="0.25">
      <c r="C15" s="117"/>
      <c r="D15" s="134">
        <v>50</v>
      </c>
      <c r="E15" s="125"/>
      <c r="F15" s="135">
        <v>1.2</v>
      </c>
      <c r="G15" s="136">
        <v>1.5</v>
      </c>
      <c r="H15" s="137"/>
      <c r="I15" s="138">
        <v>4</v>
      </c>
      <c r="J15" s="138">
        <v>5</v>
      </c>
      <c r="K15" s="125"/>
      <c r="L15" s="135">
        <v>62</v>
      </c>
      <c r="M15" s="136">
        <v>77</v>
      </c>
      <c r="N15" s="137"/>
      <c r="O15" s="125">
        <v>10</v>
      </c>
      <c r="P15" s="125">
        <v>15</v>
      </c>
      <c r="Q15" s="137"/>
    </row>
    <row r="16" spans="3:17" ht="15" x14ac:dyDescent="0.25">
      <c r="C16" s="117"/>
      <c r="D16" s="134">
        <v>70</v>
      </c>
      <c r="E16" s="125"/>
      <c r="F16" s="135">
        <v>1.2</v>
      </c>
      <c r="G16" s="136">
        <v>1.5</v>
      </c>
      <c r="H16" s="137"/>
      <c r="I16" s="138">
        <v>3.5</v>
      </c>
      <c r="J16" s="138">
        <v>4.8</v>
      </c>
      <c r="K16" s="125"/>
      <c r="L16" s="135">
        <v>66</v>
      </c>
      <c r="M16" s="136">
        <v>86</v>
      </c>
      <c r="N16" s="137"/>
      <c r="O16" s="125">
        <v>10</v>
      </c>
      <c r="P16" s="125">
        <v>15</v>
      </c>
      <c r="Q16" s="137"/>
    </row>
    <row r="17" spans="3:17" ht="15" x14ac:dyDescent="0.25">
      <c r="C17" s="117"/>
      <c r="D17" s="134">
        <v>95</v>
      </c>
      <c r="E17" s="125"/>
      <c r="F17" s="135">
        <v>1.2</v>
      </c>
      <c r="G17" s="136">
        <v>1.5</v>
      </c>
      <c r="H17" s="137"/>
      <c r="I17" s="138">
        <v>3.3</v>
      </c>
      <c r="J17" s="138">
        <v>4.4000000000000004</v>
      </c>
      <c r="K17" s="125"/>
      <c r="L17" s="135">
        <v>70</v>
      </c>
      <c r="M17" s="136">
        <v>89</v>
      </c>
      <c r="N17" s="137"/>
      <c r="O17" s="125">
        <v>10</v>
      </c>
      <c r="P17" s="125">
        <v>15</v>
      </c>
      <c r="Q17" s="137"/>
    </row>
    <row r="18" spans="3:17" ht="15" x14ac:dyDescent="0.25">
      <c r="C18" s="117"/>
      <c r="D18" s="134">
        <v>126</v>
      </c>
      <c r="E18" s="125"/>
      <c r="F18" s="135">
        <v>1.2</v>
      </c>
      <c r="G18" s="136">
        <v>1.5</v>
      </c>
      <c r="H18" s="137"/>
      <c r="I18" s="138">
        <v>3.1</v>
      </c>
      <c r="J18" s="138">
        <v>4</v>
      </c>
      <c r="K18" s="125"/>
      <c r="L18" s="135">
        <v>73</v>
      </c>
      <c r="M18" s="136">
        <v>91</v>
      </c>
      <c r="N18" s="137"/>
      <c r="O18" s="125">
        <v>10</v>
      </c>
      <c r="P18" s="125">
        <v>15</v>
      </c>
      <c r="Q18" s="137"/>
    </row>
    <row r="19" spans="3:17" ht="15.75" thickBot="1" x14ac:dyDescent="0.3">
      <c r="C19" s="129"/>
      <c r="D19" s="139">
        <v>163</v>
      </c>
      <c r="E19" s="130"/>
      <c r="F19" s="140">
        <v>1.2</v>
      </c>
      <c r="G19" s="141">
        <v>1.5</v>
      </c>
      <c r="H19" s="132"/>
      <c r="I19" s="142">
        <v>2.9</v>
      </c>
      <c r="J19" s="142">
        <v>3.7</v>
      </c>
      <c r="K19" s="130"/>
      <c r="L19" s="140">
        <v>77</v>
      </c>
      <c r="M19" s="141">
        <v>94</v>
      </c>
      <c r="N19" s="132"/>
      <c r="O19" s="130">
        <v>10</v>
      </c>
      <c r="P19" s="130">
        <v>15</v>
      </c>
      <c r="Q19" s="132"/>
    </row>
    <row r="20" spans="3:17" ht="15" x14ac:dyDescent="0.25">
      <c r="C20" s="117"/>
      <c r="D20" s="134"/>
      <c r="E20" s="125"/>
      <c r="F20" s="136"/>
      <c r="G20" s="136"/>
      <c r="H20" s="125"/>
      <c r="I20" s="138"/>
      <c r="J20" s="138"/>
      <c r="K20" s="125"/>
      <c r="L20" s="136"/>
      <c r="M20" s="136"/>
      <c r="N20" s="125"/>
      <c r="O20" s="125"/>
      <c r="P20" s="125"/>
      <c r="Q20" s="137"/>
    </row>
    <row r="21" spans="3:17" ht="15" x14ac:dyDescent="0.25">
      <c r="C21" s="117" t="s">
        <v>85</v>
      </c>
      <c r="D21" s="134"/>
      <c r="E21" s="125"/>
      <c r="F21" s="136"/>
      <c r="G21" s="136"/>
      <c r="H21" s="125"/>
      <c r="I21" s="138"/>
      <c r="J21" s="138"/>
      <c r="K21" s="125"/>
      <c r="L21" s="136"/>
      <c r="M21" s="136"/>
      <c r="N21" s="125"/>
      <c r="O21" s="125"/>
      <c r="P21" s="125"/>
      <c r="Q21" s="137"/>
    </row>
    <row r="22" spans="3:17" x14ac:dyDescent="0.2">
      <c r="C22" s="117" t="s">
        <v>104</v>
      </c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37"/>
    </row>
    <row r="23" spans="3:17" ht="13.5" thickBot="1" x14ac:dyDescent="0.25">
      <c r="C23" s="129" t="s">
        <v>38</v>
      </c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4"/>
    </row>
    <row r="24" spans="3:17" ht="18.75" x14ac:dyDescent="0.3">
      <c r="C24" s="145" t="s">
        <v>105</v>
      </c>
      <c r="D24" s="146"/>
      <c r="E24" s="146"/>
      <c r="F24" s="146"/>
      <c r="G24" s="146"/>
      <c r="H24" s="146"/>
      <c r="I24" s="146"/>
      <c r="J24" s="147" t="s">
        <v>38</v>
      </c>
      <c r="K24" s="146"/>
      <c r="L24" s="146"/>
      <c r="M24" s="146"/>
      <c r="N24" s="146"/>
      <c r="O24" s="146"/>
      <c r="P24" s="146"/>
      <c r="Q24" s="148"/>
    </row>
    <row r="25" spans="3:17" ht="15" x14ac:dyDescent="0.25">
      <c r="C25" s="149"/>
      <c r="D25" s="150"/>
      <c r="E25" s="150"/>
      <c r="F25" s="151" t="s">
        <v>106</v>
      </c>
      <c r="G25" s="152"/>
      <c r="H25" s="153"/>
      <c r="I25" s="151" t="s">
        <v>106</v>
      </c>
      <c r="J25" s="152"/>
      <c r="K25" s="153"/>
      <c r="L25" s="151" t="s">
        <v>107</v>
      </c>
      <c r="M25" s="152"/>
      <c r="N25" s="153"/>
      <c r="O25" s="151" t="s">
        <v>107</v>
      </c>
      <c r="P25" s="152"/>
      <c r="Q25" s="154"/>
    </row>
    <row r="26" spans="3:17" ht="15" x14ac:dyDescent="0.25">
      <c r="C26" s="149"/>
      <c r="D26" s="150"/>
      <c r="E26" s="150"/>
      <c r="F26" s="152" t="s">
        <v>108</v>
      </c>
      <c r="G26" s="155" t="s">
        <v>103</v>
      </c>
      <c r="H26" s="156" t="s">
        <v>109</v>
      </c>
      <c r="I26" s="152" t="s">
        <v>108</v>
      </c>
      <c r="J26" s="155" t="s">
        <v>103</v>
      </c>
      <c r="K26" s="156" t="s">
        <v>109</v>
      </c>
      <c r="L26" s="152" t="s">
        <v>108</v>
      </c>
      <c r="M26" s="155" t="s">
        <v>103</v>
      </c>
      <c r="N26" s="156" t="s">
        <v>109</v>
      </c>
      <c r="O26" s="152" t="s">
        <v>108</v>
      </c>
      <c r="P26" s="155" t="s">
        <v>103</v>
      </c>
      <c r="Q26" s="157" t="s">
        <v>109</v>
      </c>
    </row>
    <row r="27" spans="3:17" ht="13.5" thickBot="1" x14ac:dyDescent="0.25">
      <c r="C27" s="158"/>
      <c r="D27" s="159"/>
      <c r="E27" s="160"/>
      <c r="F27" s="159" t="e">
        <f ca="1">FORECAST(I30,OFFSET(F9:F19,MATCH(I30,D9:D19,1)-1,0,2),OFFSET(D9:D19,MATCH(I30,D9:D19,1)-1,0,2))</f>
        <v>#VALUE!</v>
      </c>
      <c r="G27" s="159" t="e">
        <f ca="1">FORECAST(I30,OFFSET(G9:G19,MATCH(I30,D9:D19,1)-1,0,2),OFFSET(D9:D19,MATCH(I30,D9:D19,1)-1,0,2))</f>
        <v>#VALUE!</v>
      </c>
      <c r="H27" s="160"/>
      <c r="I27" s="159" t="e">
        <f ca="1">FORECAST(I30,OFFSET(I9:I19,MATCH(I30,D9:D19,1)-1,0,2),OFFSET(D9:D19,MATCH(I30,D9:D19,1)-1,0,2))</f>
        <v>#VALUE!</v>
      </c>
      <c r="J27" s="159" t="e">
        <f ca="1">FORECAST(I30,OFFSET(J9:J19,MATCH(I30,D9:D19,1)-1,0,2),OFFSET(D9:D19,MATCH(I30,D9:D19,1)-1,0,2))</f>
        <v>#VALUE!</v>
      </c>
      <c r="K27" s="160"/>
      <c r="L27" s="159" t="e">
        <f ca="1">FORECAST(I30,OFFSET(L9:L19,MATCH(I30,D9:D19,1)-1,0,2),OFFSET(D9:D19,MATCH(I30,D9:D19,1)-1,0,2))</f>
        <v>#VALUE!</v>
      </c>
      <c r="M27" s="159" t="e">
        <f ca="1">FORECAST(I30,OFFSET(M9:M19,MATCH(I30,D9:D19,1)-1,0,2),OFFSET(D9:D19,MATCH(I30,D9:D19,1)-1,0,2))</f>
        <v>#VALUE!</v>
      </c>
      <c r="N27" s="160"/>
      <c r="O27" s="159" t="e">
        <f ca="1">FORECAST(I30,OFFSET(O9:O19,MATCH(I30,D9:D19,1)-1,0,2),OFFSET(D9:D19,MATCH(I30,D9:D19,1)-1,0,2))</f>
        <v>#VALUE!</v>
      </c>
      <c r="P27" s="159" t="e">
        <f ca="1">FORECAST(I30,OFFSET(P9:P19,MATCH(I30,D9:D19,1)-1,0,2),OFFSET(D9:D19,MATCH(I30,D9:D19,1)-1,0,2))</f>
        <v>#VALUE!</v>
      </c>
      <c r="Q27" s="161"/>
    </row>
    <row r="28" spans="3:17" ht="18.75" x14ac:dyDescent="0.3">
      <c r="C28" s="162" t="s">
        <v>110</v>
      </c>
      <c r="D28" s="163"/>
      <c r="E28" s="150"/>
      <c r="F28" s="163"/>
      <c r="G28" s="163"/>
      <c r="H28" s="150"/>
      <c r="I28" s="163"/>
      <c r="J28" s="163"/>
      <c r="K28" s="150"/>
      <c r="L28" s="163"/>
      <c r="M28" s="163"/>
      <c r="N28" s="150"/>
      <c r="O28" s="163"/>
      <c r="P28" s="163"/>
      <c r="Q28" s="154"/>
    </row>
    <row r="29" spans="3:17" ht="18.75" x14ac:dyDescent="0.3">
      <c r="C29" s="149"/>
      <c r="D29" s="150"/>
      <c r="E29" s="150"/>
      <c r="F29" s="150"/>
      <c r="G29" s="150"/>
      <c r="H29" s="163"/>
      <c r="I29" s="152" t="s">
        <v>111</v>
      </c>
      <c r="J29" s="152" t="s">
        <v>112</v>
      </c>
      <c r="K29" s="164" t="s">
        <v>113</v>
      </c>
      <c r="L29" s="150"/>
      <c r="M29" s="150"/>
      <c r="N29" s="150"/>
      <c r="O29" s="150"/>
      <c r="P29" s="150"/>
      <c r="Q29" s="154"/>
    </row>
    <row r="30" spans="3:17" ht="18.75" x14ac:dyDescent="0.3">
      <c r="C30" s="149"/>
      <c r="D30" s="150"/>
      <c r="E30" s="150"/>
      <c r="F30" s="150"/>
      <c r="G30" s="150"/>
      <c r="H30" s="250" t="s">
        <v>114</v>
      </c>
      <c r="I30" s="163" t="str">
        <f>'EvalutionSheet 54Gy 3F'!G9</f>
        <v>??</v>
      </c>
      <c r="J30" s="163"/>
      <c r="K30" s="150" t="s">
        <v>38</v>
      </c>
      <c r="L30" s="150"/>
      <c r="M30" s="150"/>
      <c r="N30" s="150"/>
      <c r="O30" s="150"/>
      <c r="P30" s="150"/>
      <c r="Q30" s="154"/>
    </row>
    <row r="31" spans="3:17" ht="20.25" x14ac:dyDescent="0.35">
      <c r="C31" s="149"/>
      <c r="D31" s="150"/>
      <c r="E31" s="150"/>
      <c r="F31" s="150"/>
      <c r="G31" s="150"/>
      <c r="H31" s="166" t="s">
        <v>122</v>
      </c>
      <c r="I31" s="163" t="str">
        <f>'EvalutionSheet 54Gy 3F'!G22</f>
        <v>??</v>
      </c>
      <c r="J31" s="165" t="e">
        <f>I31/I30</f>
        <v>#VALUE!</v>
      </c>
      <c r="K31" s="150" t="e">
        <f ca="1">IF(J31&lt;=F27,F26,IF(J31&lt;=G27,G26,H26))</f>
        <v>#VALUE!</v>
      </c>
      <c r="L31" s="150"/>
      <c r="M31" s="150"/>
      <c r="N31" s="150"/>
      <c r="O31" s="150"/>
      <c r="P31" s="150"/>
      <c r="Q31" s="154"/>
    </row>
    <row r="32" spans="3:17" ht="20.25" x14ac:dyDescent="0.35">
      <c r="C32" s="149"/>
      <c r="D32" s="150"/>
      <c r="E32" s="150"/>
      <c r="F32" s="150"/>
      <c r="G32" s="150"/>
      <c r="H32" s="166" t="s">
        <v>123</v>
      </c>
      <c r="I32" s="163" t="str">
        <f>'EvalutionSheet 54Gy 3F'!G25</f>
        <v>??</v>
      </c>
      <c r="J32" s="165" t="e">
        <f>I32/I30</f>
        <v>#VALUE!</v>
      </c>
      <c r="K32" s="150" t="e">
        <f ca="1">IF(J32&lt;=I27,I26,IF(J32&lt;=J27,J26,K26))</f>
        <v>#VALUE!</v>
      </c>
      <c r="L32" s="150"/>
      <c r="M32" s="150"/>
      <c r="N32" s="150"/>
      <c r="O32" s="150"/>
      <c r="P32" s="150"/>
      <c r="Q32" s="154"/>
    </row>
    <row r="33" spans="3:17" ht="20.25" x14ac:dyDescent="0.35">
      <c r="C33" s="149"/>
      <c r="D33" s="150"/>
      <c r="E33" s="150"/>
      <c r="F33" s="150"/>
      <c r="G33" s="150"/>
      <c r="H33" s="166" t="s">
        <v>124</v>
      </c>
      <c r="I33" s="163" t="str">
        <f>'EvalutionSheet 54Gy 3F'!G24</f>
        <v>??</v>
      </c>
      <c r="J33" s="165" t="e">
        <f>I33/'EvalutionSheet 54Gy 3F'!H4*100</f>
        <v>#VALUE!</v>
      </c>
      <c r="K33" s="150" t="e">
        <f ca="1">IF(J33&lt;=L27,L26,IF(J33&lt;=M27,M26,N26))</f>
        <v>#VALUE!</v>
      </c>
      <c r="L33" s="150"/>
      <c r="M33" s="150"/>
      <c r="N33" s="150"/>
      <c r="O33" s="150"/>
      <c r="P33" s="150"/>
      <c r="Q33" s="154"/>
    </row>
    <row r="34" spans="3:17" ht="20.25" x14ac:dyDescent="0.35">
      <c r="C34" s="149"/>
      <c r="D34" s="150"/>
      <c r="E34" s="150"/>
      <c r="F34" s="150"/>
      <c r="G34" s="150"/>
      <c r="H34" s="166" t="s">
        <v>125</v>
      </c>
      <c r="I34" s="165" t="e">
        <f>'EvalutionSheet 54Gy 3F'!G31*100</f>
        <v>#VALUE!</v>
      </c>
      <c r="J34" s="163"/>
      <c r="K34" s="150" t="e">
        <f ca="1">IF(I34&lt;=O27,O26,IF(I34&lt;=P27,P26,Q26))</f>
        <v>#VALUE!</v>
      </c>
      <c r="L34" s="150"/>
      <c r="M34" s="150"/>
      <c r="N34" s="150"/>
      <c r="O34" s="150"/>
      <c r="P34" s="150"/>
      <c r="Q34" s="154"/>
    </row>
    <row r="35" spans="3:17" ht="13.5" thickBot="1" x14ac:dyDescent="0.25">
      <c r="C35" s="158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1"/>
    </row>
    <row r="43" spans="3:17" x14ac:dyDescent="0.2">
      <c r="C43" s="244" t="s">
        <v>170</v>
      </c>
    </row>
  </sheetData>
  <sheetProtection sheet="1" objects="1" scenarios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EvalutionSheet 48Gy4F or 60Gy5F</vt:lpstr>
      <vt:lpstr>Evalution Sheet 60Gy 8F</vt:lpstr>
      <vt:lpstr>Calculations 48Gy4F_ or_ 60Gy5F</vt:lpstr>
      <vt:lpstr>Calculations 60Gy_8F</vt:lpstr>
      <vt:lpstr>RTOG Conformality Table</vt:lpstr>
      <vt:lpstr>EvalutionSheet 54Gy 3F</vt:lpstr>
      <vt:lpstr>Calculations 54Gy 3F</vt:lpstr>
      <vt:lpstr>'Evalution Sheet 60Gy 8F'!Print_Area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Greg Salomons</cp:lastModifiedBy>
  <cp:lastPrinted>2016-03-10T20:50:17Z</cp:lastPrinted>
  <dcterms:created xsi:type="dcterms:W3CDTF">2011-04-07T21:30:19Z</dcterms:created>
  <dcterms:modified xsi:type="dcterms:W3CDTF">2018-03-17T21:20:00Z</dcterms:modified>
</cp:coreProperties>
</file>