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6335" windowHeight="10830"/>
  </bookViews>
  <sheets>
    <sheet name="EvaluationSheet 48Gy4F 60Gy5F" sheetId="5" r:id="rId1"/>
    <sheet name="SABR 48 in 4" sheetId="4" r:id="rId2"/>
    <sheet name="EvaluationSheet 60Gy 8F" sheetId="6" r:id="rId3"/>
    <sheet name="SABR 60 in 8" sheetId="3" r:id="rId4"/>
    <sheet name="EvaluationSheet 54Gy 3F" sheetId="7" r:id="rId5"/>
    <sheet name="SABR 54 in 3" sheetId="1" r:id="rId6"/>
    <sheet name="CELL format codes" sheetId="8" r:id="rId7"/>
  </sheets>
  <externalReferences>
    <externalReference r:id="rId8"/>
    <externalReference r:id="rId9"/>
  </externalReferences>
  <definedNames>
    <definedName name="B" localSheetId="6">#REF!</definedName>
    <definedName name="B">#REF!</definedName>
    <definedName name="_xlnm.Print_Area" localSheetId="0">'EvaluationSheet 48Gy4F 60Gy5F'!$B$2:$L$62</definedName>
    <definedName name="_xlnm.Print_Area" localSheetId="4">'EvaluationSheet 54Gy 3F'!$B$2:$L$52</definedName>
    <definedName name="_xlnm.Print_Area" localSheetId="2">'EvaluationSheet 60Gy 8F'!$B$2:$L$53</definedName>
  </definedNames>
  <calcPr calcId="145621" calcOnSave="0"/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R5" i="5"/>
  <c r="R7" i="5"/>
  <c r="R9" i="5"/>
  <c r="R11" i="5"/>
  <c r="R13" i="5"/>
  <c r="R15" i="5"/>
  <c r="R17" i="5"/>
  <c r="R19" i="5"/>
  <c r="R21" i="5"/>
  <c r="R23" i="5"/>
  <c r="R25" i="5"/>
  <c r="R27" i="5"/>
  <c r="R29" i="5"/>
  <c r="R31" i="5"/>
  <c r="R33" i="5"/>
  <c r="R35" i="5"/>
  <c r="R37" i="5"/>
  <c r="R39" i="5"/>
  <c r="R41" i="5"/>
  <c r="R43" i="5"/>
  <c r="R45" i="5"/>
  <c r="R47" i="5"/>
  <c r="R51" i="5"/>
  <c r="R55" i="5"/>
  <c r="R6" i="5"/>
  <c r="R8" i="5"/>
  <c r="R10" i="5"/>
  <c r="R12" i="5"/>
  <c r="R14" i="5"/>
  <c r="R16" i="5"/>
  <c r="R18" i="5"/>
  <c r="R20" i="5"/>
  <c r="R22" i="5"/>
  <c r="R24" i="5"/>
  <c r="R26" i="5"/>
  <c r="R28" i="5"/>
  <c r="R30" i="5"/>
  <c r="R32" i="5"/>
  <c r="R34" i="5"/>
  <c r="R36" i="5"/>
  <c r="R38" i="5"/>
  <c r="R40" i="5"/>
  <c r="R42" i="5"/>
  <c r="R44" i="5"/>
  <c r="R46" i="5"/>
  <c r="R48" i="5"/>
  <c r="R50" i="5"/>
  <c r="R52" i="5"/>
  <c r="R54" i="5"/>
  <c r="R56" i="5"/>
  <c r="R49" i="5"/>
  <c r="R53" i="5"/>
  <c r="R57" i="5"/>
  <c r="R4" i="5"/>
  <c r="Q6" i="5"/>
  <c r="Q8" i="5"/>
  <c r="Q10" i="5"/>
  <c r="Q12" i="5"/>
  <c r="Q14" i="5"/>
  <c r="Q16" i="5"/>
  <c r="Q18" i="5"/>
  <c r="Q20" i="5"/>
  <c r="Q22" i="5"/>
  <c r="Q24" i="5"/>
  <c r="Q26" i="5"/>
  <c r="Q28" i="5"/>
  <c r="Q30" i="5"/>
  <c r="Q32" i="5"/>
  <c r="Q38" i="5"/>
  <c r="Q48" i="5"/>
  <c r="Q54" i="5"/>
  <c r="Q5" i="5"/>
  <c r="Q7" i="5"/>
  <c r="Q9" i="5"/>
  <c r="Q11" i="5"/>
  <c r="Q13" i="5"/>
  <c r="Q15" i="5"/>
  <c r="Q17" i="5"/>
  <c r="Q19" i="5"/>
  <c r="Q21" i="5"/>
  <c r="Q23" i="5"/>
  <c r="Q25" i="5"/>
  <c r="Q27" i="5"/>
  <c r="Q35" i="5"/>
  <c r="Q39" i="5"/>
  <c r="Q41" i="5"/>
  <c r="Q43" i="5"/>
  <c r="Q47" i="5"/>
  <c r="Q49" i="5"/>
  <c r="Q55" i="5"/>
  <c r="Q57" i="5"/>
  <c r="Q36" i="5"/>
  <c r="Q46" i="5"/>
  <c r="Q52" i="5"/>
  <c r="Q56" i="5"/>
  <c r="Q4" i="5"/>
  <c r="L46" i="7" l="1"/>
  <c r="P45" i="7"/>
  <c r="O45" i="7"/>
  <c r="G45" i="7"/>
  <c r="L45" i="7" s="1"/>
  <c r="P44" i="7"/>
  <c r="O44" i="7"/>
  <c r="G44" i="7"/>
  <c r="L44" i="7" s="1"/>
  <c r="P43" i="7"/>
  <c r="O43" i="7"/>
  <c r="L43" i="7"/>
  <c r="P42" i="7"/>
  <c r="O42" i="7"/>
  <c r="L42" i="7"/>
  <c r="P41" i="7"/>
  <c r="O41" i="7"/>
  <c r="L41" i="7"/>
  <c r="P40" i="7"/>
  <c r="O40" i="7"/>
  <c r="L40" i="7"/>
  <c r="P39" i="7"/>
  <c r="O39" i="7"/>
  <c r="L39" i="7"/>
  <c r="P38" i="7"/>
  <c r="O38" i="7"/>
  <c r="L38" i="7"/>
  <c r="P37" i="7"/>
  <c r="O37" i="7"/>
  <c r="L37" i="7"/>
  <c r="P36" i="7"/>
  <c r="O36" i="7"/>
  <c r="L36" i="7"/>
  <c r="P35" i="7"/>
  <c r="O35" i="7"/>
  <c r="L35" i="7"/>
  <c r="P34" i="7"/>
  <c r="O34" i="7"/>
  <c r="P33" i="7"/>
  <c r="O33" i="7"/>
  <c r="L33" i="7"/>
  <c r="P32" i="7"/>
  <c r="O32" i="7"/>
  <c r="L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H25" i="7"/>
  <c r="P24" i="7"/>
  <c r="O24" i="7"/>
  <c r="H24" i="7"/>
  <c r="P23" i="7"/>
  <c r="O23" i="7"/>
  <c r="P22" i="7"/>
  <c r="O22" i="7"/>
  <c r="H22" i="7"/>
  <c r="P21" i="7"/>
  <c r="O21" i="7"/>
  <c r="H21" i="7"/>
  <c r="L21" i="7" s="1"/>
  <c r="P20" i="7"/>
  <c r="O20" i="7"/>
  <c r="P19" i="7"/>
  <c r="O19" i="7"/>
  <c r="L19" i="7"/>
  <c r="G19" i="7"/>
  <c r="P18" i="7"/>
  <c r="O18" i="7"/>
  <c r="L18" i="7"/>
  <c r="G18" i="7"/>
  <c r="P17" i="7"/>
  <c r="O17" i="7"/>
  <c r="I17" i="7"/>
  <c r="L17" i="7" s="1"/>
  <c r="H17" i="7"/>
  <c r="P16" i="7"/>
  <c r="O16" i="7"/>
  <c r="P15" i="7"/>
  <c r="O15" i="7"/>
  <c r="H15" i="7"/>
  <c r="I15" i="7" s="1"/>
  <c r="L15" i="7" s="1"/>
  <c r="P14" i="7"/>
  <c r="O14" i="7"/>
  <c r="I14" i="7"/>
  <c r="L14" i="7" s="1"/>
  <c r="G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49" i="6"/>
  <c r="O49" i="6"/>
  <c r="P48" i="6"/>
  <c r="O48" i="6"/>
  <c r="L48" i="6"/>
  <c r="G48" i="6"/>
  <c r="P47" i="6"/>
  <c r="O47" i="6"/>
  <c r="L47" i="6"/>
  <c r="P46" i="6"/>
  <c r="O46" i="6"/>
  <c r="G46" i="6"/>
  <c r="L46" i="6" s="1"/>
  <c r="P45" i="6"/>
  <c r="O45" i="6"/>
  <c r="G45" i="6"/>
  <c r="L45" i="6" s="1"/>
  <c r="P44" i="6"/>
  <c r="O44" i="6"/>
  <c r="G44" i="6"/>
  <c r="L44" i="6" s="1"/>
  <c r="O43" i="6"/>
  <c r="L43" i="6"/>
  <c r="P42" i="6"/>
  <c r="O42" i="6"/>
  <c r="L42" i="6"/>
  <c r="P41" i="6"/>
  <c r="O41" i="6"/>
  <c r="G41" i="6"/>
  <c r="L41" i="6" s="1"/>
  <c r="P40" i="6"/>
  <c r="O40" i="6"/>
  <c r="L40" i="6"/>
  <c r="P39" i="6"/>
  <c r="O39" i="6"/>
  <c r="L39" i="6"/>
  <c r="G39" i="6"/>
  <c r="P38" i="6"/>
  <c r="O38" i="6"/>
  <c r="L38" i="6"/>
  <c r="O37" i="6"/>
  <c r="L37" i="6"/>
  <c r="P36" i="6"/>
  <c r="O36" i="6"/>
  <c r="L36" i="6"/>
  <c r="G36" i="6"/>
  <c r="P35" i="6"/>
  <c r="O35" i="6"/>
  <c r="L35" i="6"/>
  <c r="O34" i="6"/>
  <c r="G34" i="6"/>
  <c r="L34" i="6" s="1"/>
  <c r="P33" i="6"/>
  <c r="O33" i="6"/>
  <c r="L33" i="6"/>
  <c r="P32" i="6"/>
  <c r="O32" i="6"/>
  <c r="P31" i="6"/>
  <c r="O31" i="6"/>
  <c r="L31" i="6"/>
  <c r="P30" i="6"/>
  <c r="O30" i="6"/>
  <c r="P29" i="6"/>
  <c r="O29" i="6"/>
  <c r="P28" i="6"/>
  <c r="O28" i="6"/>
  <c r="O27" i="6"/>
  <c r="P26" i="6"/>
  <c r="O26" i="6"/>
  <c r="P25" i="6"/>
  <c r="O25" i="6"/>
  <c r="L25" i="6"/>
  <c r="H25" i="6"/>
  <c r="P24" i="6"/>
  <c r="O24" i="6"/>
  <c r="L24" i="6"/>
  <c r="P23" i="6"/>
  <c r="O23" i="6"/>
  <c r="P22" i="6"/>
  <c r="O22" i="6"/>
  <c r="L22" i="6"/>
  <c r="H22" i="6"/>
  <c r="P21" i="6"/>
  <c r="O21" i="6"/>
  <c r="L21" i="6"/>
  <c r="H21" i="6"/>
  <c r="P20" i="6"/>
  <c r="O20" i="6"/>
  <c r="P19" i="6"/>
  <c r="O19" i="6"/>
  <c r="L19" i="6"/>
  <c r="P18" i="6"/>
  <c r="O18" i="6"/>
  <c r="L18" i="6"/>
  <c r="P17" i="6"/>
  <c r="O17" i="6"/>
  <c r="L17" i="6"/>
  <c r="P16" i="6"/>
  <c r="O16" i="6"/>
  <c r="P15" i="6"/>
  <c r="O15" i="6"/>
  <c r="L15" i="6"/>
  <c r="P14" i="6"/>
  <c r="O14" i="6"/>
  <c r="L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O57" i="5"/>
  <c r="G57" i="5"/>
  <c r="O56" i="5"/>
  <c r="L56" i="5"/>
  <c r="O55" i="5"/>
  <c r="G55" i="5"/>
  <c r="L55" i="5" s="1"/>
  <c r="O54" i="5"/>
  <c r="O53" i="5"/>
  <c r="G53" i="5"/>
  <c r="O52" i="5"/>
  <c r="G52" i="5"/>
  <c r="L52" i="5" s="1"/>
  <c r="O51" i="5"/>
  <c r="G51" i="5"/>
  <c r="L51" i="5" s="1"/>
  <c r="O50" i="5"/>
  <c r="L50" i="5"/>
  <c r="O49" i="5"/>
  <c r="G49" i="5"/>
  <c r="O48" i="5"/>
  <c r="L48" i="5"/>
  <c r="O47" i="5"/>
  <c r="G47" i="5"/>
  <c r="L47" i="5" s="1"/>
  <c r="O46" i="5"/>
  <c r="L46" i="5"/>
  <c r="O45" i="5"/>
  <c r="L45" i="5"/>
  <c r="O44" i="5"/>
  <c r="G44" i="5"/>
  <c r="L44" i="5" s="1"/>
  <c r="O43" i="5"/>
  <c r="L43" i="5"/>
  <c r="O42" i="5"/>
  <c r="L42" i="5"/>
  <c r="O41" i="5"/>
  <c r="G41" i="5"/>
  <c r="L41" i="5" s="1"/>
  <c r="O40" i="5"/>
  <c r="G40" i="5"/>
  <c r="L40" i="5" s="1"/>
  <c r="O39" i="5"/>
  <c r="L39" i="5"/>
  <c r="O38" i="5"/>
  <c r="G38" i="5"/>
  <c r="O37" i="5"/>
  <c r="L37" i="5"/>
  <c r="O36" i="5"/>
  <c r="G36" i="5"/>
  <c r="L36" i="5" s="1"/>
  <c r="O35" i="5"/>
  <c r="L35" i="5"/>
  <c r="O34" i="5"/>
  <c r="O33" i="5"/>
  <c r="L33" i="5"/>
  <c r="O32" i="5"/>
  <c r="L32" i="5"/>
  <c r="O31" i="5"/>
  <c r="L31" i="5"/>
  <c r="O30" i="5"/>
  <c r="O29" i="5"/>
  <c r="O28" i="5"/>
  <c r="O27" i="5"/>
  <c r="O26" i="5"/>
  <c r="O25" i="5"/>
  <c r="H25" i="5"/>
  <c r="O24" i="5"/>
  <c r="L24" i="5"/>
  <c r="O23" i="5"/>
  <c r="O22" i="5"/>
  <c r="L22" i="5"/>
  <c r="H22" i="5"/>
  <c r="O21" i="5"/>
  <c r="L21" i="5"/>
  <c r="H21" i="5"/>
  <c r="O20" i="5"/>
  <c r="O19" i="5"/>
  <c r="L19" i="5"/>
  <c r="O18" i="5"/>
  <c r="L18" i="5"/>
  <c r="O17" i="5"/>
  <c r="L17" i="5"/>
  <c r="O16" i="5"/>
  <c r="O15" i="5"/>
  <c r="L15" i="5"/>
  <c r="O14" i="5"/>
  <c r="L14" i="5"/>
  <c r="O13" i="5"/>
  <c r="O12" i="5"/>
  <c r="O11" i="5"/>
  <c r="O10" i="5"/>
  <c r="O9" i="5"/>
  <c r="O8" i="5"/>
  <c r="O7" i="5"/>
  <c r="O6" i="5"/>
  <c r="O5" i="5"/>
  <c r="O4" i="5"/>
  <c r="Q53" i="5"/>
  <c r="Q45" i="5"/>
  <c r="Q40" i="5"/>
  <c r="Q34" i="5"/>
  <c r="Q29" i="5"/>
  <c r="Q51" i="5"/>
  <c r="Q50" i="5"/>
  <c r="Q44" i="5"/>
  <c r="Q42" i="5"/>
  <c r="Q37" i="5"/>
  <c r="Q33" i="5"/>
  <c r="Q31" i="5"/>
  <c r="L38" i="5" l="1"/>
  <c r="L49" i="5"/>
  <c r="L53" i="5"/>
  <c r="L57" i="5"/>
  <c r="P27" i="6"/>
  <c r="P34" i="6"/>
  <c r="P37" i="6"/>
  <c r="P43" i="6"/>
  <c r="L22" i="7" l="1"/>
  <c r="K25" i="7"/>
  <c r="K24" i="6"/>
  <c r="K24" i="5"/>
  <c r="L31" i="7"/>
  <c r="K24" i="7"/>
  <c r="K31" i="7"/>
  <c r="K25" i="6"/>
  <c r="K25" i="5" l="1"/>
  <c r="L25" i="7"/>
  <c r="L24" i="7"/>
  <c r="L25" i="5" l="1"/>
</calcChain>
</file>

<file path=xl/sharedStrings.xml><?xml version="1.0" encoding="utf-8"?>
<sst xmlns="http://schemas.openxmlformats.org/spreadsheetml/2006/main" count="3286" uniqueCount="496">
  <si>
    <t>Aliases</t>
  </si>
  <si>
    <t>CellAddress</t>
  </si>
  <si>
    <t>CellFormat</t>
  </si>
  <si>
    <t>Item Category</t>
  </si>
  <si>
    <t>Item Label</t>
  </si>
  <si>
    <t>Item Name</t>
  </si>
  <si>
    <t>Report Name</t>
  </si>
  <si>
    <t>Save File</t>
  </si>
  <si>
    <t>Save Worksheet</t>
  </si>
  <si>
    <t>Template File</t>
  </si>
  <si>
    <t>Template Worksheet</t>
  </si>
  <si>
    <t>Unit</t>
  </si>
  <si>
    <t>constructor</t>
  </si>
  <si>
    <t>plan_element</t>
  </si>
  <si>
    <t>reference_laterality</t>
  </si>
  <si>
    <t>reference_name</t>
  </si>
  <si>
    <t>reference_type</t>
  </si>
  <si>
    <t>set()</t>
  </si>
  <si>
    <t>D4</t>
  </si>
  <si>
    <t>D5</t>
  </si>
  <si>
    <t>L4</t>
  </si>
  <si>
    <t>L5</t>
  </si>
  <si>
    <t>G7</t>
  </si>
  <si>
    <t>G8</t>
  </si>
  <si>
    <t>G9</t>
  </si>
  <si>
    <t>G10</t>
  </si>
  <si>
    <t>H4</t>
  </si>
  <si>
    <t>H5</t>
  </si>
  <si>
    <t>H14</t>
  </si>
  <si>
    <t>G15</t>
  </si>
  <si>
    <t>G17</t>
  </si>
  <si>
    <t>H18</t>
  </si>
  <si>
    <t>H19</t>
  </si>
  <si>
    <t>G21</t>
  </si>
  <si>
    <t>G22</t>
  </si>
  <si>
    <t>G24</t>
  </si>
  <si>
    <t>G25</t>
  </si>
  <si>
    <t>G29</t>
  </si>
  <si>
    <t>G30</t>
  </si>
  <si>
    <t>G31</t>
  </si>
  <si>
    <t>G32</t>
  </si>
  <si>
    <t>G33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</si>
  <si>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</si>
  <si>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</si>
  <si>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</si>
  <si>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</si>
  <si>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</si>
  <si>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</si>
  <si>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</si>
  <si>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</si>
  <si>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</si>
  <si>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</si>
  <si>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</si>
  <si>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A47</t>
  </si>
  <si>
    <t>B47</t>
  </si>
  <si>
    <t>H21</t>
  </si>
  <si>
    <t>H22</t>
  </si>
  <si>
    <t>H25</t>
  </si>
  <si>
    <t>General</t>
  </si>
  <si>
    <t>@</t>
  </si>
  <si>
    <t>0.00</t>
  </si>
  <si>
    <t>0</t>
  </si>
  <si>
    <t>0.0%</t>
  </si>
  <si>
    <t>0.00%</t>
  </si>
  <si>
    <t>0.0</t>
  </si>
  <si>
    <t>Info</t>
  </si>
  <si>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</si>
  <si>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</si>
  <si>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</si>
  <si>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</si>
  <si>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</si>
  <si>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</si>
  <si>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</si>
  <si>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</si>
  <si>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Prescription Dose (cGy):</t>
  </si>
  <si>
    <t>Fractions:</t>
  </si>
  <si>
    <t>Plan Normalization Value (%)</t>
  </si>
  <si>
    <t>Dose @COM-PTV (cGy)</t>
  </si>
  <si>
    <t>PTV- Minimum Dose</t>
  </si>
  <si>
    <t>PTV - V100(%)</t>
  </si>
  <si>
    <t>PTV - V90 (%)</t>
  </si>
  <si>
    <t>HIGH Dose Spillage Location</t>
  </si>
  <si>
    <t>HIGH Dose Spillage Volume</t>
  </si>
  <si>
    <t>LOW Dose Spillage Location</t>
  </si>
  <si>
    <t>LOW Dose Spillage Volume</t>
  </si>
  <si>
    <t>Contralateral Lung Mean Dose</t>
  </si>
  <si>
    <t>Total Lung Mean Dose</t>
  </si>
  <si>
    <t>Total Lung V20</t>
  </si>
  <si>
    <t>Lung-Basic Function</t>
  </si>
  <si>
    <t>Lung-Pneumonitis</t>
  </si>
  <si>
    <t>Aorta Maximum Dose</t>
  </si>
  <si>
    <t>Artery-Pulmonary Maximum Dose</t>
  </si>
  <si>
    <t>Spinal Canal Maximum Dose</t>
  </si>
  <si>
    <t>Spinal Canal-PRV 5mm</t>
  </si>
  <si>
    <t>Ipsilat. Brach. Plex. Maximum Dose</t>
  </si>
  <si>
    <t>Skin</t>
  </si>
  <si>
    <t>Heart Maximum Dose</t>
  </si>
  <si>
    <t>Esophagus Maximum Dose</t>
  </si>
  <si>
    <t>Chestwall (rib) Maximum Dose</t>
  </si>
  <si>
    <t>Chestwall (rib) V28.2Gy</t>
  </si>
  <si>
    <t>Chestwall (rib) V30Gy</t>
  </si>
  <si>
    <t>Proximal Trachea Maximum Dose</t>
  </si>
  <si>
    <t>Proximal Bronchial Tree Maximum Dose</t>
  </si>
  <si>
    <t>V105% - PTV (cc) / PTV Volume (cc)</t>
  </si>
  <si>
    <t>V100% (cc) / PTV Volume (cc)</t>
  </si>
  <si>
    <t>V50% (cc)  / PTV Volume (cc)</t>
  </si>
  <si>
    <t>Dosimetrist:</t>
  </si>
  <si>
    <t>Physicist:</t>
  </si>
  <si>
    <t>Radiation Oncologist:</t>
  </si>
  <si>
    <t>Patient</t>
  </si>
  <si>
    <t>PatientID</t>
  </si>
  <si>
    <t>Site</t>
  </si>
  <si>
    <t>PlanName</t>
  </si>
  <si>
    <t>GTV_Volume</t>
  </si>
  <si>
    <t>ITV_Volume</t>
  </si>
  <si>
    <t>PTV_Volume</t>
  </si>
  <si>
    <t>LungVolume</t>
  </si>
  <si>
    <t>Dose</t>
  </si>
  <si>
    <t>Fractions</t>
  </si>
  <si>
    <t>Normalization</t>
  </si>
  <si>
    <t>Ref Point</t>
  </si>
  <si>
    <t>PTV_Min</t>
  </si>
  <si>
    <t>PTV_V100</t>
  </si>
  <si>
    <t>PTV_V90</t>
  </si>
  <si>
    <t>HighDoseSpillage</t>
  </si>
  <si>
    <t>HighDoseSpillageVolume</t>
  </si>
  <si>
    <t>LowDoseSpillage</t>
  </si>
  <si>
    <t>LowDoseSpillageVolume</t>
  </si>
  <si>
    <t>ContralateralLungMeanDose</t>
  </si>
  <si>
    <t>LungMeanDose</t>
  </si>
  <si>
    <t>LungV20</t>
  </si>
  <si>
    <t>LungV1160</t>
  </si>
  <si>
    <t>LungV1240</t>
  </si>
  <si>
    <t>AortaMaxDose</t>
  </si>
  <si>
    <t>PulmonaryArteryMaxDose</t>
  </si>
  <si>
    <t>SpineMaxDose</t>
  </si>
  <si>
    <t>SpinePRV5MaxDose</t>
  </si>
  <si>
    <t>IpsBrachPlexMaxDose</t>
  </si>
  <si>
    <t>SkinV30</t>
  </si>
  <si>
    <t>HeartMaxDose</t>
  </si>
  <si>
    <t>EsoMaxDose</t>
  </si>
  <si>
    <t>ChestWallMaxDose</t>
  </si>
  <si>
    <t>ChestWallV2820</t>
  </si>
  <si>
    <t>ChestWallV30</t>
  </si>
  <si>
    <t>ProxTrachMaxDose</t>
  </si>
  <si>
    <t>ProxBronchMaxDose</t>
  </si>
  <si>
    <t>V105-PTV_PTVratio</t>
  </si>
  <si>
    <t>V100_PTV_ratio</t>
  </si>
  <si>
    <t>V50_PTV_ratio</t>
  </si>
  <si>
    <t>Dosimetrist</t>
  </si>
  <si>
    <t>Physicist</t>
  </si>
  <si>
    <t>RO</t>
  </si>
  <si>
    <t>SABR 54 in 3</t>
  </si>
  <si>
    <t>Test Data\Output\SABR Plan Evaluation Worksheet filled.xls</t>
  </si>
  <si>
    <t>SABR 54Gy 3F</t>
  </si>
  <si>
    <t>C:\Users\gsalomon\OneDrive - Queen's University\Python\Projects\EclipseRelated\PlanEvaluation\sabr_plan_report\SABR_Plan_Report_Testing\SABR Plan Evaluation Worksheet BLANK.xls</t>
  </si>
  <si>
    <t>EvaluationSheet 54Gy 3F</t>
  </si>
  <si>
    <t>cc</t>
  </si>
  <si>
    <t>cGy</t>
  </si>
  <si>
    <t>%</t>
  </si>
  <si>
    <t>Volume</t>
  </si>
  <si>
    <t>Min Dose</t>
  </si>
  <si>
    <t>V 100 %</t>
  </si>
  <si>
    <t>V 90 %</t>
  </si>
  <si>
    <t>Max Dose</t>
  </si>
  <si>
    <t>Mean Dose</t>
  </si>
  <si>
    <t>V 2000 cGy</t>
  </si>
  <si>
    <t>V 1160 cGy</t>
  </si>
  <si>
    <t>V 1240 cGy</t>
  </si>
  <si>
    <t>V 3000 cGy</t>
  </si>
  <si>
    <t>V 2820 cGy</t>
  </si>
  <si>
    <t>Ratio</t>
  </si>
  <si>
    <t>Both</t>
  </si>
  <si>
    <t>Contralateral</t>
  </si>
  <si>
    <t>Patient Name</t>
  </si>
  <si>
    <t>Patient ID</t>
  </si>
  <si>
    <t>Body Region</t>
  </si>
  <si>
    <t>Plan</t>
  </si>
  <si>
    <t>IGTV</t>
  </si>
  <si>
    <t>ITV</t>
  </si>
  <si>
    <t>PTV</t>
  </si>
  <si>
    <t>Lung</t>
  </si>
  <si>
    <t>Prescribed dose</t>
  </si>
  <si>
    <t>COM-PTV</t>
  </si>
  <si>
    <t>Dose105[%]-PTV</t>
  </si>
  <si>
    <t>Dose 100[%]</t>
  </si>
  <si>
    <t>Body-PTV+20</t>
  </si>
  <si>
    <t>Dose 50[%]</t>
  </si>
  <si>
    <t>Aorta</t>
  </si>
  <si>
    <t>PulmonaryArtery</t>
  </si>
  <si>
    <t>Spinal Canal</t>
  </si>
  <si>
    <t>PRV5 SpinalCanal</t>
  </si>
  <si>
    <t>Ipsilat. Brach. Plex.</t>
  </si>
  <si>
    <t>Heart</t>
  </si>
  <si>
    <t>Esophagus</t>
  </si>
  <si>
    <t>Chest Wall</t>
  </si>
  <si>
    <t>Trachea</t>
  </si>
  <si>
    <t>BronchialTree</t>
  </si>
  <si>
    <t>Plan Property</t>
  </si>
  <si>
    <t>Structure</t>
  </si>
  <si>
    <t>Reference Point</t>
  </si>
  <si>
    <t>EvaluationSheet 60Gy 8F</t>
  </si>
  <si>
    <t>Evaluation Sheet 60Gy 8F</t>
  </si>
  <si>
    <t>SABR 60 in 8</t>
  </si>
  <si>
    <t>V105- PTV_PTV_ratio</t>
  </si>
  <si>
    <t>Stomach</t>
  </si>
  <si>
    <t>V 3600 cGy</t>
  </si>
  <si>
    <t>StomachV36</t>
  </si>
  <si>
    <t>Stomach and Intestines V36Gy</t>
  </si>
  <si>
    <t>G48</t>
  </si>
  <si>
    <t>StomachMaxDose</t>
  </si>
  <si>
    <t>Stomach and Intestines Maximum Dose</t>
  </si>
  <si>
    <t>G47</t>
  </si>
  <si>
    <t>V 6000 cGy</t>
  </si>
  <si>
    <t>ProxBronchV60</t>
  </si>
  <si>
    <t>Proximal Bronchial Tree V60Gy</t>
  </si>
  <si>
    <t>B46</t>
  </si>
  <si>
    <t>ProxTrachV60</t>
  </si>
  <si>
    <t>Proximal Trachea V60Gy</t>
  </si>
  <si>
    <t>A46</t>
  </si>
  <si>
    <t>B45</t>
  </si>
  <si>
    <t>A45</t>
  </si>
  <si>
    <t>V 5000 cGy</t>
  </si>
  <si>
    <t>ChestWallV50</t>
  </si>
  <si>
    <t>Chestwall (rib) V50Gy</t>
  </si>
  <si>
    <t>HeartV60</t>
  </si>
  <si>
    <t>Heart V60Gy</t>
  </si>
  <si>
    <t>IpsBrachPlexV30</t>
  </si>
  <si>
    <t>Ipsilat. Brach. Plex. V30Gy</t>
  </si>
  <si>
    <t>PulmonaryArteryV60</t>
  </si>
  <si>
    <t>Artery-Pulmonary V60Gy</t>
  </si>
  <si>
    <t>AortaV60</t>
  </si>
  <si>
    <t>Aorta V60Gy</t>
  </si>
  <si>
    <t>G34</t>
  </si>
  <si>
    <t>High_Dose_SpillageVolume</t>
  </si>
  <si>
    <t>High_Dose_Spillage</t>
  </si>
  <si>
    <t>G19</t>
  </si>
  <si>
    <t>G18</t>
  </si>
  <si>
    <t>PTV Center Point</t>
  </si>
  <si>
    <t>Dose @COM-PTV (%)</t>
  </si>
  <si>
    <t>G14</t>
  </si>
  <si>
    <t>EvaluationSheet 48Gy4F 60Gy5F</t>
  </si>
  <si>
    <t>SABR 48 in 4</t>
  </si>
  <si>
    <t>Output\SABR Plan Evaluation Worksheet filled.xls</t>
  </si>
  <si>
    <t>V105-PTV_ratio</t>
  </si>
  <si>
    <t>V 2100 cGy</t>
  </si>
  <si>
    <t>StomachV21</t>
  </si>
  <si>
    <t>Stomach and Intestines V21Gy</t>
  </si>
  <si>
    <t>G57</t>
  </si>
  <si>
    <t>G56</t>
  </si>
  <si>
    <t>V 1560 cGy</t>
  </si>
  <si>
    <t>ProxBronchV1560</t>
  </si>
  <si>
    <t>Proximal Bronchial Tree V15.6Gy</t>
  </si>
  <si>
    <t>B55</t>
  </si>
  <si>
    <t>ProxTrachV1560</t>
  </si>
  <si>
    <t>Proximal Trachea V15.6Gy</t>
  </si>
  <si>
    <t>A55</t>
  </si>
  <si>
    <t>B54</t>
  </si>
  <si>
    <t>A54</t>
  </si>
  <si>
    <t>G52</t>
  </si>
  <si>
    <t>V 4000 cGy</t>
  </si>
  <si>
    <t>ChestWallV40</t>
  </si>
  <si>
    <t>Chestwall (rib) V40Gy</t>
  </si>
  <si>
    <t>G51</t>
  </si>
  <si>
    <t>G50</t>
  </si>
  <si>
    <t>V 1880 cGy</t>
  </si>
  <si>
    <t>EsoV1880</t>
  </si>
  <si>
    <t>Esophagus V18.8Gy</t>
  </si>
  <si>
    <t>G49</t>
  </si>
  <si>
    <t>V 2800 cGy</t>
  </si>
  <si>
    <t>HeartV28</t>
  </si>
  <si>
    <t>Heart V28Gy</t>
  </si>
  <si>
    <t>G46</t>
  </si>
  <si>
    <t>Skin V30Gy</t>
  </si>
  <si>
    <t>V 2360 cGy</t>
  </si>
  <si>
    <t>IpsBrachPlexV2360</t>
  </si>
  <si>
    <t>Ipsilat. Brach. Plex. V23.6Gy</t>
  </si>
  <si>
    <t>Spinal Canal-PRV 5mm Maximum Dose</t>
  </si>
  <si>
    <t>V 1360 cGy</t>
  </si>
  <si>
    <t>SpineV1360</t>
  </si>
  <si>
    <t>Spinal Canal V13.6Gy</t>
  </si>
  <si>
    <t>V 2080 cGy</t>
  </si>
  <si>
    <t>SpineV2080</t>
  </si>
  <si>
    <t>Spinal Canal V20.8Gy</t>
  </si>
  <si>
    <t>PulmonaryArteryV40</t>
  </si>
  <si>
    <t>Artery-Pulmonary V40Gy</t>
  </si>
  <si>
    <t>AortaV40</t>
  </si>
  <si>
    <t>Aorta  V40Gy</t>
  </si>
  <si>
    <t>Aorta  Maximum Dose</t>
  </si>
  <si>
    <t>{('D105%-PTV', None)}</t>
  </si>
  <si>
    <t>V 4320 cGy</t>
  </si>
  <si>
    <t>V 4800 cGy</t>
  </si>
  <si>
    <t>PTV- Minimum Dose (%)</t>
  </si>
  <si>
    <t>TotalLungVolume</t>
  </si>
  <si>
    <t>SABR Plan Evaluation Worksheet BLANK For testing.xls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</si>
  <si>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</si>
  <si>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>Use the ORIGINAL file for each NEW PLAN or modification</t>
  </si>
  <si>
    <t>SABR Plan Evaluation Sheet for 12Gy/fr Schedules (48 Gy in 4F) or (60Gy/5F)</t>
  </si>
  <si>
    <t>(Tumours located within the lung parenchyma, away from the OAR’s and chest wall)</t>
  </si>
  <si>
    <t>Target/OAR Volumes:</t>
  </si>
  <si>
    <t>Normalization:</t>
  </si>
  <si>
    <t>100% Dose covers 95% of Target Volume</t>
  </si>
  <si>
    <t xml:space="preserve"> </t>
  </si>
  <si>
    <t>Ref Dose (%) /</t>
  </si>
  <si>
    <t>Calculated Value</t>
  </si>
  <si>
    <t>Protocol</t>
  </si>
  <si>
    <t>Acceptable</t>
  </si>
  <si>
    <t>Comments</t>
  </si>
  <si>
    <t>Ref Volume (cc)</t>
  </si>
  <si>
    <t>Requirement</t>
  </si>
  <si>
    <t>??</t>
  </si>
  <si>
    <t>60%-95%</t>
  </si>
  <si>
    <t>See "Prescription" in Eclipse</t>
  </si>
  <si>
    <t>111.1%-166.7%</t>
  </si>
  <si>
    <t>Preferebly &lt;140%</t>
  </si>
  <si>
    <t>PTV Dose Inhomogeneity:</t>
  </si>
  <si>
    <t>PTV (V48Gy)</t>
  </si>
  <si>
    <t>PTV (V43.2Gy)</t>
  </si>
  <si>
    <t>HIGH Dose Spillage:</t>
  </si>
  <si>
    <t>Location</t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</si>
  <si>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charset val="1"/>
      </rPr>
      <t xml:space="preserve"> - PTV (cc) =</t>
    </r>
  </si>
  <si>
    <t>&lt;15%</t>
  </si>
  <si>
    <t>Volume of the structure (Dose 105% - PTV), D105% = 50.4 Gy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</si>
  <si>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charset val="1"/>
      </rPr>
      <t xml:space="preserve"> (cc) =</t>
    </r>
  </si>
  <si>
    <t>&lt;1.2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</si>
  <si>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</si>
  <si>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t>LOW Dose Spillage:</t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</si>
  <si>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</si>
  <si>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</si>
  <si>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</si>
  <si>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t xml:space="preserve"> ??</t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</si>
  <si>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</si>
  <si>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DOSE TO OARs</t>
  </si>
  <si>
    <t>Maximum  Dose (cGy)</t>
  </si>
  <si>
    <t xml:space="preserve">Tolerance </t>
  </si>
  <si>
    <t>/ Volume (cc)</t>
  </si>
  <si>
    <t>(cGy) / (cc)</t>
  </si>
  <si>
    <t>Lung Dose</t>
  </si>
  <si>
    <t>Mean Dose (contralateral lung)</t>
  </si>
  <si>
    <t>Mean Dose (Total lung)</t>
  </si>
  <si>
    <t>V20 (Total Lung) in %</t>
  </si>
  <si>
    <r>
      <t>V</t>
    </r>
    <r>
      <rPr>
        <b/>
        <vertAlign val="subscript"/>
        <sz val="10"/>
        <rFont val="Arial"/>
        <family val="2"/>
      </rPr>
      <t>20Gy (%) =</t>
    </r>
  </si>
  <si>
    <r>
      <t>£</t>
    </r>
    <r>
      <rPr>
        <sz val="10"/>
        <rFont val="Arial"/>
        <family val="2"/>
      </rPr>
      <t>10%</t>
    </r>
  </si>
  <si>
    <t>RTOG 0813 and 0236 (Deviations NONE=10%, MINOR=15%)</t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</si>
  <si>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</si>
  <si>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</si>
  <si>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</si>
  <si>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t>Other OARs</t>
  </si>
  <si>
    <t xml:space="preserve">Aorta </t>
  </si>
  <si>
    <t>(max point dose)</t>
  </si>
  <si>
    <t>LUSTRE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</si>
  <si>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</si>
  <si>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</si>
  <si>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Artery-Pulmonary</t>
  </si>
  <si>
    <t>RTOG 0915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</si>
  <si>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</si>
  <si>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</si>
  <si>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</si>
  <si>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</si>
  <si>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</si>
  <si>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</si>
  <si>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RTOG 0236</t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</si>
  <si>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</si>
  <si>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</si>
  <si>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</si>
  <si>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</si>
  <si>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</si>
  <si>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</si>
  <si>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</si>
  <si>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</si>
  <si>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</si>
  <si>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t>Bronchus</t>
  </si>
  <si>
    <t>Proximal Trachea</t>
  </si>
  <si>
    <t>and Bronchial Tree</t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</si>
  <si>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</si>
  <si>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</si>
  <si>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Stomach and</t>
  </si>
  <si>
    <t>Intestines</t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</si>
  <si>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</si>
  <si>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</si>
  <si>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NOTES:</t>
  </si>
  <si>
    <t>*NOTE:</t>
  </si>
  <si>
    <t>Chestwall (including rib) limit may be exceeded if structure lies within PTV</t>
  </si>
  <si>
    <t>Q:\SBRT\Policy\SABR  Plan Evaluation Worksheet 4Dec2013.xls</t>
  </si>
  <si>
    <t>SABR Plan Evaluation Sheet for 7.5Gy/fr Schedules: (60 Gy in 8F)</t>
  </si>
  <si>
    <t>Calculated</t>
  </si>
  <si>
    <t>See "Prescription" on Eclipse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</si>
  <si>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</si>
  <si>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</si>
  <si>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V20 (Total Lung)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</si>
  <si>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</si>
  <si>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</si>
  <si>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RTOG0236</t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</si>
  <si>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</si>
  <si>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t>Chestwall (rib)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</si>
  <si>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</si>
  <si>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</si>
  <si>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</si>
  <si>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</si>
  <si>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60Gy =</t>
    </r>
  </si>
  <si>
    <t xml:space="preserve">Stomach and </t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</si>
  <si>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</si>
  <si>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</si>
  <si>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>SABR Plan Evaluation Sheet for 18Gy/fr Schedules (54Gy/3F)</t>
  </si>
  <si>
    <t>Total Prescr. Dose (cGy):</t>
  </si>
  <si>
    <t>LUNG</t>
  </si>
  <si>
    <t>Fracttions:</t>
  </si>
  <si>
    <t xml:space="preserve"> ref Dose (cGy or %) /</t>
  </si>
  <si>
    <t>Calculated/Plan</t>
  </si>
  <si>
    <t>ref volume (cc)</t>
  </si>
  <si>
    <t>60%-90%</t>
  </si>
  <si>
    <t>PTV (V54Gy)</t>
  </si>
  <si>
    <t>PTV (V48.6Gy)</t>
  </si>
  <si>
    <t>Volume of the structure (Dose 105% - PTV), D105%=56.7Gy</t>
  </si>
  <si>
    <t xml:space="preserve">Location 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</si>
  <si>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</si>
  <si>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</si>
  <si>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</si>
  <si>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</si>
  <si>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t>Maximum Point</t>
  </si>
  <si>
    <t>Dose (cGy)</t>
  </si>
  <si>
    <t>Max Dose (cGy)/ volume</t>
  </si>
  <si>
    <t>V20Gy (%)=</t>
  </si>
  <si>
    <t>V11.6Gy=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</si>
  <si>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</si>
  <si>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t>R or L Lung volume getting &gt;1160cGy</t>
  </si>
  <si>
    <t>V12.4Gy=</t>
  </si>
  <si>
    <t>V12.4Gy≤1500cc (R or L Lung)</t>
  </si>
  <si>
    <t>R or L Lung volume getting&gt;1240cGy</t>
  </si>
  <si>
    <t>Artery-Pulmnory</t>
  </si>
  <si>
    <t>Ipsilat Brach.Plex</t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</si>
  <si>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</si>
  <si>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</si>
  <si>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RTOG0915</t>
  </si>
  <si>
    <r>
      <t>V28.2Gy</t>
    </r>
    <r>
      <rPr>
        <sz val="10"/>
        <rFont val="Arial"/>
        <charset val="1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</si>
  <si>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</si>
  <si>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</si>
  <si>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C50</t>
  </si>
  <si>
    <t>K50</t>
  </si>
  <si>
    <t>C51</t>
  </si>
  <si>
    <t>C49</t>
  </si>
  <si>
    <t>K49</t>
  </si>
  <si>
    <t>Report</t>
  </si>
  <si>
    <t>Label</t>
  </si>
  <si>
    <t>Value</t>
  </si>
  <si>
    <t>Cell Address</t>
  </si>
  <si>
    <t>CELL format codes</t>
  </si>
  <si>
    <t>Code</t>
  </si>
  <si>
    <t>Format Text</t>
  </si>
  <si>
    <t>G</t>
  </si>
  <si>
    <t>F0</t>
  </si>
  <si>
    <t>F1</t>
  </si>
  <si>
    <t>F2</t>
  </si>
  <si>
    <t>F3</t>
  </si>
  <si>
    <t>0.000</t>
  </si>
  <si>
    <t>,0</t>
  </si>
  <si>
    <t>#,##0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</si>
  <si>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</si>
  <si>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</si>
  <si>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</si>
  <si>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</si>
  <si>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</si>
  <si>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</si>
  <si>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</si>
  <si>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</si>
  <si>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</si>
  <si>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</si>
  <si>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</si>
  <si>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</si>
  <si>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</si>
  <si>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P2</t>
  </si>
  <si>
    <t>S2</t>
  </si>
  <si>
    <t>0.00E+00</t>
  </si>
  <si>
    <t># ?/? or # ??/??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</si>
  <si>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</si>
  <si>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</si>
  <si>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</si>
  <si>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</si>
  <si>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</si>
  <si>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</si>
  <si>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</si>
  <si>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</si>
  <si>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</si>
  <si>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</si>
  <si>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</si>
  <si>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</si>
  <si>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</si>
  <si>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</si>
  <si>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</si>
  <si>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</si>
  <si>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Notes</t>
  </si>
  <si>
    <t>C59</t>
  </si>
  <si>
    <t>G59</t>
  </si>
  <si>
    <t>K59</t>
  </si>
  <si>
    <t>C60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</si>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</sst>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"/>
  </numFmts>
  <fonts count="2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vertAlign val="subscript"/>
      <sz val="10"/>
      <name val="Symbol"/>
      <family val="1"/>
      <charset val="2"/>
    </font>
    <font>
      <sz val="9"/>
      <name val="Symbol"/>
      <family val="1"/>
      <charset val="2"/>
    </font>
    <font>
      <vertAlign val="subscript"/>
      <sz val="8"/>
      <name val="Arial"/>
      <family val="2"/>
    </font>
    <font>
      <sz val="8"/>
      <name val="Calibri"/>
      <family val="2"/>
    </font>
    <font>
      <b/>
      <sz val="10"/>
      <color indexed="10"/>
      <name val="Arial"/>
      <family val="2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47" applyNumberFormat="0" applyFill="0" applyAlignment="0" applyProtection="0"/>
    <xf numFmtId="0" fontId="1" fillId="0" borderId="0"/>
  </cellStyleXfs>
  <cellXfs count="283">
    <xf numFmtId="0" fontId="0" fillId="0" borderId="0" xfId="0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2" borderId="0" xfId="1" applyFont="1" applyFill="1" applyProtection="1"/>
    <xf numFmtId="0" fontId="8" fillId="2" borderId="0" xfId="1" applyFont="1" applyFill="1" applyProtection="1"/>
    <xf numFmtId="0" fontId="8" fillId="2" borderId="0" xfId="1" applyFont="1" applyFill="1" applyAlignment="1" applyProtection="1">
      <alignment horizontal="center"/>
    </xf>
    <xf numFmtId="0" fontId="6" fillId="2" borderId="0" xfId="1" applyFont="1" applyFill="1" applyAlignment="1" applyProtection="1">
      <alignment horizontal="left"/>
    </xf>
    <xf numFmtId="0" fontId="6" fillId="2" borderId="0" xfId="1" applyFont="1" applyFill="1" applyAlignment="1" applyProtection="1">
      <alignment horizontal="center"/>
    </xf>
    <xf numFmtId="0" fontId="5" fillId="0" borderId="0" xfId="1" applyAlignment="1" applyProtection="1">
      <alignment horizontal="left"/>
    </xf>
    <xf numFmtId="0" fontId="5" fillId="0" borderId="0" xfId="1"/>
    <xf numFmtId="0" fontId="5" fillId="0" borderId="0" xfId="1" applyFill="1" applyBorder="1" applyProtection="1"/>
    <xf numFmtId="0" fontId="5" fillId="0" borderId="0" xfId="1" applyFill="1" applyBorder="1" applyAlignment="1">
      <alignment horizontal="right"/>
    </xf>
    <xf numFmtId="0" fontId="5" fillId="0" borderId="2" xfId="1" applyBorder="1" applyProtection="1"/>
    <xf numFmtId="0" fontId="5" fillId="0" borderId="3" xfId="1" applyBorder="1" applyProtection="1"/>
    <xf numFmtId="0" fontId="5" fillId="0" borderId="3" xfId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5" fillId="0" borderId="4" xfId="1" applyBorder="1" applyAlignment="1" applyProtection="1">
      <alignment horizontal="center"/>
    </xf>
    <xf numFmtId="0" fontId="5" fillId="0" borderId="5" xfId="1" applyBorder="1" applyProtection="1"/>
    <xf numFmtId="0" fontId="5" fillId="0" borderId="6" xfId="1" applyBorder="1" applyProtection="1"/>
    <xf numFmtId="0" fontId="5" fillId="0" borderId="6" xfId="1" applyBorder="1" applyAlignment="1" applyProtection="1">
      <alignment horizontal="center"/>
    </xf>
    <xf numFmtId="0" fontId="10" fillId="0" borderId="6" xfId="1" applyFont="1" applyBorder="1" applyAlignment="1" applyProtection="1">
      <alignment horizontal="center"/>
    </xf>
    <xf numFmtId="0" fontId="5" fillId="0" borderId="7" xfId="1" applyBorder="1" applyAlignment="1" applyProtection="1">
      <alignment horizontal="center"/>
    </xf>
    <xf numFmtId="0" fontId="5" fillId="0" borderId="8" xfId="1" applyBorder="1" applyProtection="1"/>
    <xf numFmtId="0" fontId="9" fillId="0" borderId="0" xfId="1" applyFont="1" applyBorder="1" applyProtection="1"/>
    <xf numFmtId="0" fontId="9" fillId="3" borderId="0" xfId="1" applyFont="1" applyFill="1" applyBorder="1" applyProtection="1">
      <protection locked="0"/>
    </xf>
    <xf numFmtId="0" fontId="5" fillId="0" borderId="0" xfId="1" applyBorder="1" applyProtection="1"/>
    <xf numFmtId="0" fontId="5" fillId="0" borderId="0" xfId="1" applyBorder="1" applyAlignment="1" applyProtection="1">
      <alignment horizontal="center"/>
    </xf>
    <xf numFmtId="0" fontId="9" fillId="3" borderId="0" xfId="1" applyFont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0" fontId="9" fillId="4" borderId="0" xfId="1" applyFont="1" applyFill="1" applyBorder="1" applyProtection="1"/>
    <xf numFmtId="0" fontId="9" fillId="5" borderId="0" xfId="1" applyFont="1" applyFill="1" applyBorder="1" applyAlignment="1" applyProtection="1">
      <alignment horizontal="right"/>
      <protection locked="0"/>
    </xf>
    <xf numFmtId="49" fontId="9" fillId="3" borderId="0" xfId="1" applyNumberFormat="1" applyFont="1" applyFill="1" applyBorder="1" applyProtection="1">
      <protection locked="0"/>
    </xf>
    <xf numFmtId="0" fontId="9" fillId="3" borderId="9" xfId="1" applyFont="1" applyFill="1" applyBorder="1" applyAlignment="1" applyProtection="1">
      <alignment horizontal="center"/>
      <protection locked="0"/>
    </xf>
    <xf numFmtId="49" fontId="9" fillId="5" borderId="0" xfId="1" applyNumberFormat="1" applyFont="1" applyFill="1" applyBorder="1" applyAlignment="1" applyProtection="1">
      <alignment horizontal="right"/>
      <protection locked="0"/>
    </xf>
    <xf numFmtId="0" fontId="9" fillId="0" borderId="2" xfId="1" applyFont="1" applyBorder="1" applyProtection="1"/>
    <xf numFmtId="0" fontId="11" fillId="3" borderId="0" xfId="1" applyFont="1" applyFill="1" applyBorder="1" applyAlignment="1" applyProtection="1">
      <alignment horizontal="center"/>
      <protection locked="0"/>
    </xf>
    <xf numFmtId="0" fontId="5" fillId="0" borderId="9" xfId="1" applyBorder="1" applyAlignment="1" applyProtection="1">
      <alignment horizontal="center"/>
    </xf>
    <xf numFmtId="0" fontId="5" fillId="3" borderId="6" xfId="1" applyFill="1" applyBorder="1" applyAlignment="1" applyProtection="1">
      <alignment horizontal="center"/>
      <protection locked="0"/>
    </xf>
    <xf numFmtId="0" fontId="9" fillId="6" borderId="3" xfId="1" applyFont="1" applyFill="1" applyBorder="1" applyProtection="1"/>
    <xf numFmtId="0" fontId="5" fillId="6" borderId="3" xfId="1" applyFill="1" applyBorder="1" applyAlignment="1" applyProtection="1">
      <alignment horizontal="center"/>
    </xf>
    <xf numFmtId="0" fontId="5" fillId="6" borderId="10" xfId="1" applyFill="1" applyBorder="1" applyAlignment="1" applyProtection="1">
      <alignment horizontal="center"/>
    </xf>
    <xf numFmtId="0" fontId="9" fillId="0" borderId="3" xfId="1" applyFont="1" applyBorder="1" applyProtection="1"/>
    <xf numFmtId="0" fontId="12" fillId="0" borderId="3" xfId="1" applyFont="1" applyBorder="1" applyAlignment="1" applyProtection="1">
      <alignment horizontal="center"/>
    </xf>
    <xf numFmtId="0" fontId="12" fillId="0" borderId="4" xfId="1" applyFont="1" applyFill="1" applyBorder="1" applyAlignment="1" applyProtection="1">
      <alignment horizontal="center"/>
    </xf>
    <xf numFmtId="2" fontId="5" fillId="5" borderId="0" xfId="1" applyNumberFormat="1" applyFill="1" applyBorder="1" applyAlignment="1" applyProtection="1">
      <alignment horizontal="right"/>
      <protection locked="0"/>
    </xf>
    <xf numFmtId="0" fontId="9" fillId="0" borderId="8" xfId="1" applyFont="1" applyBorder="1" applyProtection="1"/>
    <xf numFmtId="0" fontId="5" fillId="0" borderId="11" xfId="1" applyBorder="1" applyProtection="1"/>
    <xf numFmtId="0" fontId="5" fillId="0" borderId="12" xfId="1" applyBorder="1" applyProtection="1"/>
    <xf numFmtId="0" fontId="12" fillId="0" borderId="13" xfId="1" applyFont="1" applyBorder="1" applyAlignment="1" applyProtection="1">
      <alignment horizontal="center"/>
    </xf>
    <xf numFmtId="0" fontId="12" fillId="0" borderId="12" xfId="1" applyFont="1" applyBorder="1" applyAlignment="1" applyProtection="1">
      <alignment horizontal="center"/>
    </xf>
    <xf numFmtId="0" fontId="12" fillId="0" borderId="12" xfId="1" applyFont="1" applyBorder="1" applyProtection="1"/>
    <xf numFmtId="0" fontId="12" fillId="0" borderId="14" xfId="1" applyFont="1" applyBorder="1" applyAlignment="1" applyProtection="1">
      <alignment horizontal="center"/>
    </xf>
    <xf numFmtId="0" fontId="12" fillId="0" borderId="15" xfId="1" applyFont="1" applyFill="1" applyBorder="1" applyAlignment="1" applyProtection="1">
      <alignment horizontal="center"/>
    </xf>
    <xf numFmtId="0" fontId="12" fillId="0" borderId="0" xfId="1" applyFont="1" applyFill="1" applyAlignment="1" applyProtection="1">
      <alignment horizontal="left"/>
    </xf>
    <xf numFmtId="2" fontId="11" fillId="5" borderId="0" xfId="1" applyNumberFormat="1" applyFont="1" applyFill="1" applyBorder="1" applyAlignment="1" applyProtection="1">
      <alignment horizontal="right"/>
      <protection locked="0"/>
    </xf>
    <xf numFmtId="0" fontId="5" fillId="0" borderId="16" xfId="1" applyBorder="1" applyProtection="1"/>
    <xf numFmtId="0" fontId="12" fillId="0" borderId="17" xfId="1" applyFont="1" applyBorder="1" applyAlignment="1" applyProtection="1">
      <alignment horizontal="center"/>
    </xf>
    <xf numFmtId="0" fontId="9" fillId="0" borderId="18" xfId="1" applyFont="1" applyBorder="1" applyProtection="1"/>
    <xf numFmtId="0" fontId="5" fillId="0" borderId="12" xfId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  <protection locked="0"/>
    </xf>
    <xf numFmtId="0" fontId="11" fillId="0" borderId="14" xfId="1" applyFont="1" applyBorder="1" applyAlignment="1" applyProtection="1">
      <alignment horizontal="center"/>
    </xf>
    <xf numFmtId="0" fontId="9" fillId="0" borderId="15" xfId="1" applyFont="1" applyBorder="1" applyAlignment="1" applyProtection="1">
      <alignment horizontal="center"/>
    </xf>
    <xf numFmtId="0" fontId="11" fillId="0" borderId="0" xfId="1" applyFont="1" applyAlignment="1" applyProtection="1">
      <alignment horizontal="left"/>
    </xf>
    <xf numFmtId="165" fontId="5" fillId="5" borderId="0" xfId="1" applyNumberFormat="1" applyFill="1" applyBorder="1" applyAlignment="1" applyProtection="1">
      <alignment horizontal="right"/>
    </xf>
    <xf numFmtId="164" fontId="11" fillId="3" borderId="14" xfId="1" applyNumberFormat="1" applyFont="1" applyFill="1" applyBorder="1" applyAlignment="1" applyProtection="1">
      <alignment horizontal="center"/>
      <protection locked="0"/>
    </xf>
    <xf numFmtId="164" fontId="5" fillId="0" borderId="12" xfId="1" applyNumberFormat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/>
    </xf>
    <xf numFmtId="0" fontId="5" fillId="0" borderId="14" xfId="1" applyBorder="1" applyAlignment="1" applyProtection="1">
      <alignment horizontal="center"/>
    </xf>
    <xf numFmtId="9" fontId="5" fillId="0" borderId="3" xfId="1" applyNumberFormat="1" applyBorder="1" applyAlignment="1" applyProtection="1">
      <alignment horizontal="center"/>
    </xf>
    <xf numFmtId="165" fontId="5" fillId="0" borderId="19" xfId="1" applyNumberFormat="1" applyBorder="1" applyAlignment="1" applyProtection="1">
      <alignment horizontal="center"/>
    </xf>
    <xf numFmtId="9" fontId="5" fillId="0" borderId="3" xfId="1" applyNumberFormat="1" applyBorder="1" applyProtection="1"/>
    <xf numFmtId="0" fontId="5" fillId="0" borderId="19" xfId="1" applyBorder="1" applyAlignment="1" applyProtection="1">
      <alignment horizontal="center"/>
    </xf>
    <xf numFmtId="0" fontId="9" fillId="0" borderId="4" xfId="1" applyFont="1" applyBorder="1" applyAlignment="1" applyProtection="1">
      <alignment horizontal="center"/>
    </xf>
    <xf numFmtId="164" fontId="11" fillId="0" borderId="12" xfId="1" applyNumberFormat="1" applyFont="1" applyFill="1" applyBorder="1" applyAlignment="1" applyProtection="1">
      <alignment horizontal="center"/>
    </xf>
    <xf numFmtId="164" fontId="11" fillId="3" borderId="1" xfId="1" applyNumberFormat="1" applyFont="1" applyFill="1" applyBorder="1" applyAlignment="1" applyProtection="1">
      <alignment horizontal="center"/>
      <protection locked="0"/>
    </xf>
    <xf numFmtId="0" fontId="5" fillId="0" borderId="20" xfId="1" applyBorder="1" applyProtection="1"/>
    <xf numFmtId="9" fontId="5" fillId="0" borderId="1" xfId="1" applyNumberFormat="1" applyBorder="1" applyAlignment="1" applyProtection="1">
      <alignment horizontal="center"/>
    </xf>
    <xf numFmtId="0" fontId="9" fillId="0" borderId="21" xfId="1" applyFont="1" applyBorder="1" applyAlignment="1" applyProtection="1">
      <alignment horizontal="center"/>
    </xf>
    <xf numFmtId="0" fontId="5" fillId="0" borderId="0" xfId="1" applyProtection="1"/>
    <xf numFmtId="0" fontId="5" fillId="0" borderId="22" xfId="1" applyBorder="1" applyProtection="1"/>
    <xf numFmtId="164" fontId="11" fillId="3" borderId="23" xfId="1" applyNumberFormat="1" applyFont="1" applyFill="1" applyBorder="1" applyAlignment="1" applyProtection="1">
      <alignment horizontal="center"/>
      <protection locked="0"/>
    </xf>
    <xf numFmtId="164" fontId="11" fillId="0" borderId="24" xfId="1" applyNumberFormat="1" applyFont="1" applyFill="1" applyBorder="1" applyAlignment="1" applyProtection="1">
      <alignment horizontal="center"/>
    </xf>
    <xf numFmtId="9" fontId="5" fillId="0" borderId="6" xfId="1" applyNumberFormat="1" applyBorder="1" applyProtection="1"/>
    <xf numFmtId="9" fontId="5" fillId="0" borderId="25" xfId="1" applyNumberFormat="1" applyBorder="1" applyAlignment="1" applyProtection="1">
      <alignment horizontal="center"/>
    </xf>
    <xf numFmtId="2" fontId="5" fillId="5" borderId="0" xfId="1" applyNumberFormat="1" applyFont="1" applyFill="1" applyBorder="1" applyAlignment="1" applyProtection="1">
      <alignment horizontal="right"/>
      <protection locked="0"/>
    </xf>
    <xf numFmtId="0" fontId="5" fillId="0" borderId="13" xfId="1" applyBorder="1" applyAlignment="1" applyProtection="1">
      <alignment horizontal="center"/>
    </xf>
    <xf numFmtId="0" fontId="9" fillId="0" borderId="13" xfId="1" applyFont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/>
    </xf>
    <xf numFmtId="0" fontId="9" fillId="0" borderId="26" xfId="1" applyFont="1" applyBorder="1" applyProtection="1"/>
    <xf numFmtId="0" fontId="5" fillId="0" borderId="20" xfId="1" applyBorder="1" applyAlignment="1" applyProtection="1">
      <alignment horizontal="center"/>
    </xf>
    <xf numFmtId="0" fontId="11" fillId="3" borderId="1" xfId="1" applyFont="1" applyFill="1" applyBorder="1" applyAlignment="1" applyProtection="1">
      <alignment horizontal="center"/>
      <protection locked="0"/>
    </xf>
    <xf numFmtId="164" fontId="11" fillId="0" borderId="20" xfId="2" applyNumberFormat="1" applyFont="1" applyBorder="1" applyAlignment="1" applyProtection="1">
      <alignment horizontal="center"/>
    </xf>
    <xf numFmtId="0" fontId="5" fillId="0" borderId="1" xfId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/>
    </xf>
    <xf numFmtId="165" fontId="5" fillId="5" borderId="0" xfId="1" applyNumberFormat="1" applyFill="1" applyBorder="1" applyAlignment="1" applyProtection="1">
      <alignment horizontal="right"/>
      <protection locked="0"/>
    </xf>
    <xf numFmtId="0" fontId="9" fillId="0" borderId="5" xfId="1" applyFont="1" applyBorder="1" applyProtection="1"/>
    <xf numFmtId="0" fontId="9" fillId="0" borderId="22" xfId="1" applyFont="1" applyBorder="1" applyProtection="1"/>
    <xf numFmtId="0" fontId="5" fillId="3" borderId="25" xfId="1" applyFill="1" applyBorder="1" applyAlignment="1" applyProtection="1">
      <alignment horizontal="center"/>
      <protection locked="0"/>
    </xf>
    <xf numFmtId="166" fontId="11" fillId="0" borderId="6" xfId="1" applyNumberFormat="1" applyFont="1" applyBorder="1" applyAlignment="1" applyProtection="1">
      <alignment horizontal="center"/>
    </xf>
    <xf numFmtId="2" fontId="5" fillId="0" borderId="6" xfId="2" applyNumberFormat="1" applyFont="1" applyBorder="1" applyProtection="1"/>
    <xf numFmtId="0" fontId="5" fillId="0" borderId="25" xfId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/>
    </xf>
    <xf numFmtId="0" fontId="11" fillId="0" borderId="20" xfId="1" applyFont="1" applyBorder="1" applyProtection="1"/>
    <xf numFmtId="10" fontId="5" fillId="0" borderId="20" xfId="2" applyNumberFormat="1" applyBorder="1" applyAlignment="1" applyProtection="1">
      <alignment horizontal="center"/>
    </xf>
    <xf numFmtId="0" fontId="5" fillId="0" borderId="20" xfId="1" applyBorder="1" applyAlignment="1" applyProtection="1"/>
    <xf numFmtId="164" fontId="5" fillId="0" borderId="1" xfId="2" applyNumberFormat="1" applyFill="1" applyBorder="1" applyAlignment="1" applyProtection="1">
      <alignment horizontal="center"/>
    </xf>
    <xf numFmtId="0" fontId="11" fillId="0" borderId="6" xfId="1" applyFont="1" applyBorder="1" applyAlignment="1" applyProtection="1">
      <alignment horizontal="left"/>
    </xf>
    <xf numFmtId="0" fontId="5" fillId="0" borderId="28" xfId="1" applyBorder="1" applyAlignment="1" applyProtection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2" fontId="5" fillId="0" borderId="6" xfId="1" applyNumberFormat="1" applyFont="1" applyBorder="1" applyAlignment="1" applyProtection="1">
      <alignment horizontal="center"/>
    </xf>
    <xf numFmtId="2" fontId="5" fillId="0" borderId="6" xfId="1" applyNumberFormat="1" applyBorder="1" applyProtection="1"/>
    <xf numFmtId="2" fontId="5" fillId="0" borderId="25" xfId="1" applyNumberFormat="1" applyFill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 shrinkToFit="1"/>
    </xf>
    <xf numFmtId="0" fontId="12" fillId="0" borderId="0" xfId="1" applyFont="1" applyBorder="1" applyAlignment="1" applyProtection="1">
      <alignment horizontal="center"/>
    </xf>
    <xf numFmtId="0" fontId="11" fillId="0" borderId="0" xfId="1" applyFont="1" applyBorder="1" applyProtection="1"/>
    <xf numFmtId="0" fontId="11" fillId="0" borderId="13" xfId="1" applyFont="1" applyBorder="1" applyAlignment="1" applyProtection="1">
      <alignment horizontal="center"/>
    </xf>
    <xf numFmtId="0" fontId="11" fillId="0" borderId="9" xfId="1" applyFont="1" applyBorder="1" applyAlignment="1" applyProtection="1">
      <alignment horizontal="center"/>
    </xf>
    <xf numFmtId="0" fontId="17" fillId="0" borderId="13" xfId="1" applyFont="1" applyBorder="1" applyAlignment="1" applyProtection="1">
      <alignment horizontal="center"/>
    </xf>
    <xf numFmtId="0" fontId="5" fillId="3" borderId="1" xfId="1" applyFill="1" applyBorder="1" applyAlignment="1" applyProtection="1">
      <alignment horizontal="center"/>
      <protection locked="0"/>
    </xf>
    <xf numFmtId="0" fontId="5" fillId="3" borderId="29" xfId="1" applyFill="1" applyBorder="1" applyAlignment="1" applyProtection="1">
      <alignment horizontal="center"/>
      <protection locked="0"/>
    </xf>
    <xf numFmtId="0" fontId="5" fillId="0" borderId="18" xfId="1" applyBorder="1" applyAlignment="1" applyProtection="1">
      <alignment horizontal="center"/>
    </xf>
    <xf numFmtId="0" fontId="5" fillId="0" borderId="18" xfId="1" applyBorder="1" applyProtection="1"/>
    <xf numFmtId="0" fontId="5" fillId="0" borderId="29" xfId="1" applyBorder="1" applyAlignment="1" applyProtection="1">
      <alignment horizontal="center"/>
    </xf>
    <xf numFmtId="0" fontId="9" fillId="0" borderId="30" xfId="1" applyFont="1" applyBorder="1" applyAlignment="1" applyProtection="1">
      <alignment horizontal="center"/>
    </xf>
    <xf numFmtId="10" fontId="19" fillId="0" borderId="20" xfId="1" applyNumberFormat="1" applyFont="1" applyFill="1" applyBorder="1" applyAlignment="1" applyProtection="1">
      <alignment horizontal="center"/>
    </xf>
    <xf numFmtId="0" fontId="16" fillId="0" borderId="1" xfId="1" applyFont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 shrinkToFit="1"/>
    </xf>
    <xf numFmtId="0" fontId="5" fillId="0" borderId="8" xfId="1" applyBorder="1" applyAlignment="1" applyProtection="1">
      <alignment horizontal="left"/>
    </xf>
    <xf numFmtId="10" fontId="20" fillId="0" borderId="20" xfId="1" applyNumberFormat="1" applyFont="1" applyFill="1" applyBorder="1" applyAlignment="1" applyProtection="1">
      <alignment horizontal="left"/>
    </xf>
    <xf numFmtId="0" fontId="11" fillId="0" borderId="29" xfId="1" applyFont="1" applyBorder="1" applyAlignment="1" applyProtection="1">
      <alignment horizontal="center"/>
    </xf>
    <xf numFmtId="0" fontId="9" fillId="0" borderId="32" xfId="1" applyFont="1" applyBorder="1" applyAlignment="1" applyProtection="1">
      <alignment horizontal="center"/>
    </xf>
    <xf numFmtId="10" fontId="11" fillId="0" borderId="8" xfId="1" applyNumberFormat="1" applyFont="1" applyFill="1" applyBorder="1" applyAlignment="1" applyProtection="1">
      <alignment horizontal="left"/>
    </xf>
    <xf numFmtId="0" fontId="11" fillId="0" borderId="8" xfId="1" applyFont="1" applyBorder="1" applyProtection="1"/>
    <xf numFmtId="0" fontId="11" fillId="3" borderId="13" xfId="1" applyFont="1" applyFill="1" applyBorder="1" applyAlignment="1" applyProtection="1">
      <alignment horizontal="center"/>
      <protection locked="0"/>
    </xf>
    <xf numFmtId="0" fontId="11" fillId="0" borderId="34" xfId="1" applyFont="1" applyBorder="1" applyProtection="1"/>
    <xf numFmtId="0" fontId="20" fillId="0" borderId="35" xfId="1" applyFont="1" applyBorder="1" applyAlignment="1" applyProtection="1">
      <alignment horizontal="right" vertical="center"/>
    </xf>
    <xf numFmtId="0" fontId="12" fillId="3" borderId="14" xfId="1" applyFont="1" applyFill="1" applyBorder="1" applyAlignment="1" applyProtection="1">
      <alignment horizontal="center"/>
      <protection locked="0"/>
    </xf>
    <xf numFmtId="0" fontId="11" fillId="0" borderId="36" xfId="1" applyFont="1" applyBorder="1" applyProtection="1"/>
    <xf numFmtId="0" fontId="11" fillId="0" borderId="18" xfId="1" applyFont="1" applyBorder="1" applyProtection="1"/>
    <xf numFmtId="0" fontId="9" fillId="0" borderId="37" xfId="1" applyFont="1" applyBorder="1" applyAlignment="1" applyProtection="1">
      <alignment horizontal="right" vertical="center"/>
    </xf>
    <xf numFmtId="0" fontId="12" fillId="3" borderId="1" xfId="1" applyFont="1" applyFill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/>
    </xf>
    <xf numFmtId="0" fontId="20" fillId="0" borderId="20" xfId="1" applyFont="1" applyBorder="1" applyProtection="1"/>
    <xf numFmtId="0" fontId="11" fillId="0" borderId="20" xfId="1" applyFont="1" applyBorder="1" applyAlignment="1" applyProtection="1">
      <alignment horizontal="center"/>
    </xf>
    <xf numFmtId="0" fontId="9" fillId="0" borderId="35" xfId="1" applyFont="1" applyBorder="1" applyAlignment="1" applyProtection="1">
      <alignment horizontal="right" vertical="center"/>
    </xf>
    <xf numFmtId="0" fontId="5" fillId="0" borderId="36" xfId="1" applyBorder="1" applyProtection="1"/>
    <xf numFmtId="0" fontId="9" fillId="0" borderId="0" xfId="1" applyFont="1" applyBorder="1" applyAlignment="1" applyProtection="1">
      <alignment horizontal="right" vertical="center"/>
    </xf>
    <xf numFmtId="0" fontId="5" fillId="0" borderId="38" xfId="1" applyBorder="1" applyProtection="1"/>
    <xf numFmtId="0" fontId="20" fillId="0" borderId="20" xfId="1" applyFont="1" applyBorder="1" applyAlignment="1" applyProtection="1">
      <alignment horizontal="right" vertical="center"/>
    </xf>
    <xf numFmtId="0" fontId="11" fillId="3" borderId="14" xfId="1" applyFont="1" applyFill="1" applyBorder="1" applyAlignment="1" applyProtection="1">
      <alignment horizontal="center"/>
      <protection locked="0"/>
    </xf>
    <xf numFmtId="0" fontId="16" fillId="0" borderId="0" xfId="1" applyFont="1" applyBorder="1" applyProtection="1"/>
    <xf numFmtId="0" fontId="5" fillId="0" borderId="34" xfId="1" applyBorder="1" applyProtection="1"/>
    <xf numFmtId="165" fontId="11" fillId="5" borderId="0" xfId="1" applyNumberFormat="1" applyFont="1" applyFill="1" applyBorder="1" applyAlignment="1" applyProtection="1">
      <alignment horizontal="right"/>
      <protection locked="0"/>
    </xf>
    <xf numFmtId="0" fontId="9" fillId="0" borderId="18" xfId="1" applyFont="1" applyBorder="1" applyAlignment="1" applyProtection="1">
      <alignment horizontal="right" vertical="center"/>
    </xf>
    <xf numFmtId="0" fontId="11" fillId="0" borderId="18" xfId="1" applyFont="1" applyBorder="1" applyAlignment="1" applyProtection="1">
      <alignment horizontal="left"/>
    </xf>
    <xf numFmtId="0" fontId="11" fillId="0" borderId="0" xfId="1" applyFont="1" applyBorder="1" applyAlignment="1" applyProtection="1">
      <alignment horizontal="left"/>
    </xf>
    <xf numFmtId="0" fontId="5" fillId="0" borderId="0" xfId="1" applyBorder="1" applyAlignment="1" applyProtection="1">
      <alignment horizontal="left"/>
    </xf>
    <xf numFmtId="0" fontId="9" fillId="0" borderId="12" xfId="1" applyFont="1" applyBorder="1" applyAlignment="1" applyProtection="1">
      <alignment horizontal="right" vertical="center"/>
    </xf>
    <xf numFmtId="0" fontId="11" fillId="0" borderId="39" xfId="1" applyFont="1" applyBorder="1"/>
    <xf numFmtId="0" fontId="11" fillId="0" borderId="40" xfId="1" applyFont="1" applyBorder="1" applyProtection="1"/>
    <xf numFmtId="0" fontId="20" fillId="0" borderId="12" xfId="1" applyFont="1" applyBorder="1" applyAlignment="1" applyProtection="1">
      <alignment horizontal="right" vertical="center"/>
    </xf>
    <xf numFmtId="0" fontId="9" fillId="0" borderId="41" xfId="1" applyFont="1" applyBorder="1" applyAlignment="1" applyProtection="1">
      <alignment horizontal="center"/>
    </xf>
    <xf numFmtId="0" fontId="11" fillId="3" borderId="42" xfId="1" applyFont="1" applyFill="1" applyBorder="1" applyAlignment="1" applyProtection="1">
      <alignment horizontal="center"/>
      <protection locked="0"/>
    </xf>
    <xf numFmtId="0" fontId="11" fillId="3" borderId="32" xfId="1" applyFont="1" applyFill="1" applyBorder="1" applyAlignment="1" applyProtection="1">
      <alignment horizontal="center"/>
      <protection locked="0"/>
    </xf>
    <xf numFmtId="0" fontId="20" fillId="0" borderId="37" xfId="1" applyFont="1" applyBorder="1" applyAlignment="1" applyProtection="1">
      <alignment horizontal="right" vertical="center"/>
    </xf>
    <xf numFmtId="0" fontId="5" fillId="3" borderId="37" xfId="1" applyFill="1" applyBorder="1" applyAlignment="1" applyProtection="1">
      <alignment horizontal="center"/>
      <protection locked="0"/>
    </xf>
    <xf numFmtId="0" fontId="9" fillId="0" borderId="43" xfId="1" applyFont="1" applyBorder="1" applyAlignment="1" applyProtection="1">
      <alignment horizontal="center"/>
    </xf>
    <xf numFmtId="0" fontId="5" fillId="5" borderId="0" xfId="1" applyFill="1" applyBorder="1" applyAlignment="1" applyProtection="1">
      <alignment horizontal="right"/>
      <protection locked="0"/>
    </xf>
    <xf numFmtId="0" fontId="11" fillId="3" borderId="44" xfId="1" applyFont="1" applyFill="1" applyBorder="1" applyAlignment="1" applyProtection="1">
      <alignment horizontal="center"/>
      <protection locked="0"/>
    </xf>
    <xf numFmtId="0" fontId="11" fillId="3" borderId="21" xfId="1" applyFont="1" applyFill="1" applyBorder="1" applyAlignment="1" applyProtection="1">
      <alignment horizontal="center"/>
      <protection locked="0"/>
    </xf>
    <xf numFmtId="0" fontId="11" fillId="0" borderId="8" xfId="1" applyFont="1" applyBorder="1" applyAlignment="1" applyProtection="1">
      <alignment horizontal="left"/>
    </xf>
    <xf numFmtId="0" fontId="11" fillId="0" borderId="18" xfId="1" applyFont="1" applyBorder="1" applyAlignment="1" applyProtection="1"/>
    <xf numFmtId="0" fontId="12" fillId="3" borderId="29" xfId="1" applyFont="1" applyFill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</xf>
    <xf numFmtId="0" fontId="5" fillId="0" borderId="0" xfId="1" applyFill="1" applyBorder="1"/>
    <xf numFmtId="0" fontId="5" fillId="3" borderId="0" xfId="1" applyFill="1" applyBorder="1" applyAlignment="1" applyProtection="1">
      <alignment horizontal="center"/>
      <protection locked="0"/>
    </xf>
    <xf numFmtId="0" fontId="5" fillId="3" borderId="0" xfId="1" applyFill="1" applyBorder="1" applyProtection="1">
      <protection locked="0"/>
    </xf>
    <xf numFmtId="0" fontId="11" fillId="3" borderId="0" xfId="1" applyFont="1" applyFill="1" applyBorder="1" applyProtection="1">
      <protection locked="0"/>
    </xf>
    <xf numFmtId="0" fontId="22" fillId="0" borderId="6" xfId="1" applyFont="1" applyBorder="1" applyAlignment="1" applyProtection="1">
      <alignment horizontal="center"/>
    </xf>
    <xf numFmtId="0" fontId="22" fillId="0" borderId="6" xfId="1" applyFont="1" applyBorder="1" applyProtection="1"/>
    <xf numFmtId="0" fontId="22" fillId="0" borderId="7" xfId="1" applyFont="1" applyBorder="1" applyAlignment="1" applyProtection="1">
      <alignment horizontal="center"/>
    </xf>
    <xf numFmtId="0" fontId="17" fillId="0" borderId="0" xfId="1" applyFont="1" applyProtection="1"/>
    <xf numFmtId="0" fontId="5" fillId="0" borderId="0" xfId="1" applyAlignment="1" applyProtection="1">
      <alignment horizontal="center"/>
    </xf>
    <xf numFmtId="0" fontId="5" fillId="0" borderId="0" xfId="1" applyAlignment="1">
      <alignment horizontal="center"/>
    </xf>
    <xf numFmtId="0" fontId="5" fillId="0" borderId="0" xfId="1" applyAlignment="1">
      <alignment horizontal="left"/>
    </xf>
    <xf numFmtId="0" fontId="9" fillId="6" borderId="0" xfId="1" applyFont="1" applyFill="1" applyBorder="1" applyProtection="1"/>
    <xf numFmtId="0" fontId="5" fillId="6" borderId="0" xfId="1" applyFill="1" applyBorder="1" applyAlignment="1" applyProtection="1">
      <alignment horizontal="center"/>
    </xf>
    <xf numFmtId="0" fontId="12" fillId="0" borderId="9" xfId="1" applyFont="1" applyFill="1" applyBorder="1" applyAlignment="1" applyProtection="1">
      <alignment horizontal="center"/>
    </xf>
    <xf numFmtId="0" fontId="12" fillId="0" borderId="29" xfId="1" applyFont="1" applyBorder="1" applyAlignment="1" applyProtection="1">
      <alignment horizontal="center"/>
    </xf>
    <xf numFmtId="0" fontId="5" fillId="0" borderId="26" xfId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 shrinkToFit="1"/>
    </xf>
    <xf numFmtId="9" fontId="5" fillId="0" borderId="3" xfId="1" applyNumberFormat="1" applyBorder="1" applyAlignment="1" applyProtection="1">
      <alignment shrinkToFit="1"/>
    </xf>
    <xf numFmtId="0" fontId="5" fillId="0" borderId="45" xfId="1" applyBorder="1" applyAlignment="1" applyProtection="1">
      <alignment horizontal="center"/>
    </xf>
    <xf numFmtId="0" fontId="5" fillId="0" borderId="31" xfId="1" applyBorder="1" applyAlignment="1" applyProtection="1">
      <alignment horizontal="center"/>
    </xf>
    <xf numFmtId="0" fontId="5" fillId="0" borderId="33" xfId="1" applyBorder="1" applyAlignment="1" applyProtection="1">
      <alignment horizontal="center"/>
    </xf>
    <xf numFmtId="10" fontId="11" fillId="0" borderId="20" xfId="2" applyNumberFormat="1" applyFont="1" applyBorder="1" applyAlignment="1" applyProtection="1">
      <alignment horizontal="center"/>
    </xf>
    <xf numFmtId="0" fontId="20" fillId="0" borderId="6" xfId="1" applyFont="1" applyBorder="1" applyAlignment="1" applyProtection="1">
      <alignment horizontal="center"/>
    </xf>
    <xf numFmtId="0" fontId="9" fillId="0" borderId="20" xfId="1" applyFont="1" applyBorder="1" applyProtection="1"/>
    <xf numFmtId="0" fontId="5" fillId="0" borderId="35" xfId="1" applyBorder="1" applyAlignment="1" applyProtection="1">
      <alignment horizontal="center"/>
    </xf>
    <xf numFmtId="0" fontId="11" fillId="3" borderId="35" xfId="1" applyFont="1" applyFill="1" applyBorder="1" applyAlignment="1" applyProtection="1">
      <alignment horizontal="center"/>
      <protection locked="0"/>
    </xf>
    <xf numFmtId="164" fontId="5" fillId="0" borderId="20" xfId="2" applyNumberFormat="1" applyBorder="1" applyAlignment="1" applyProtection="1">
      <alignment horizontal="center"/>
    </xf>
    <xf numFmtId="164" fontId="5" fillId="0" borderId="1" xfId="2" applyNumberFormat="1" applyFont="1" applyFill="1" applyBorder="1" applyAlignment="1" applyProtection="1">
      <alignment horizontal="center"/>
    </xf>
    <xf numFmtId="0" fontId="9" fillId="0" borderId="6" xfId="1" applyFont="1" applyBorder="1" applyAlignment="1" applyProtection="1">
      <alignment horizontal="left"/>
    </xf>
    <xf numFmtId="0" fontId="11" fillId="0" borderId="6" xfId="1" applyFont="1" applyBorder="1" applyAlignment="1" applyProtection="1">
      <alignment horizontal="right"/>
    </xf>
    <xf numFmtId="2" fontId="5" fillId="0" borderId="25" xfId="1" applyNumberFormat="1" applyFont="1" applyFill="1" applyBorder="1" applyAlignment="1" applyProtection="1">
      <alignment horizontal="center"/>
    </xf>
    <xf numFmtId="10" fontId="19" fillId="0" borderId="46" xfId="1" applyNumberFormat="1" applyFont="1" applyFill="1" applyBorder="1" applyAlignment="1" applyProtection="1">
      <alignment horizontal="center"/>
    </xf>
    <xf numFmtId="0" fontId="5" fillId="0" borderId="46" xfId="1" applyBorder="1" applyProtection="1"/>
    <xf numFmtId="0" fontId="16" fillId="0" borderId="23" xfId="1" applyFont="1" applyBorder="1" applyAlignment="1" applyProtection="1">
      <alignment horizontal="center"/>
    </xf>
    <xf numFmtId="0" fontId="20" fillId="0" borderId="35" xfId="1" applyFont="1" applyBorder="1" applyAlignment="1" applyProtection="1">
      <alignment horizontal="right"/>
    </xf>
    <xf numFmtId="0" fontId="9" fillId="0" borderId="37" xfId="1" applyFont="1" applyBorder="1" applyAlignment="1" applyProtection="1">
      <alignment horizontal="center"/>
    </xf>
    <xf numFmtId="0" fontId="20" fillId="0" borderId="0" xfId="1" applyFont="1" applyBorder="1" applyProtection="1"/>
    <xf numFmtId="0" fontId="20" fillId="0" borderId="0" xfId="1" applyFont="1" applyBorder="1" applyAlignment="1" applyProtection="1">
      <alignment horizontal="right"/>
    </xf>
    <xf numFmtId="0" fontId="9" fillId="0" borderId="18" xfId="1" applyFont="1" applyBorder="1" applyAlignment="1" applyProtection="1">
      <alignment horizontal="center"/>
    </xf>
    <xf numFmtId="0" fontId="20" fillId="0" borderId="12" xfId="1" applyFont="1" applyBorder="1" applyAlignment="1" applyProtection="1">
      <alignment horizontal="right"/>
    </xf>
    <xf numFmtId="0" fontId="5" fillId="0" borderId="12" xfId="1" applyBorder="1" applyProtection="1">
      <protection locked="0"/>
    </xf>
    <xf numFmtId="0" fontId="11" fillId="0" borderId="20" xfId="1" applyFont="1" applyBorder="1" applyAlignment="1" applyProtection="1">
      <alignment horizontal="center"/>
      <protection locked="0"/>
    </xf>
    <xf numFmtId="0" fontId="5" fillId="0" borderId="0" xfId="1" applyBorder="1" applyAlignment="1" applyProtection="1">
      <alignment horizontal="center"/>
      <protection locked="0"/>
    </xf>
    <xf numFmtId="0" fontId="9" fillId="0" borderId="46" xfId="1" applyFont="1" applyBorder="1" applyAlignment="1" applyProtection="1">
      <alignment horizontal="center"/>
    </xf>
    <xf numFmtId="0" fontId="5" fillId="3" borderId="23" xfId="1" applyFill="1" applyBorder="1" applyAlignment="1" applyProtection="1">
      <alignment horizontal="center"/>
      <protection locked="0"/>
    </xf>
    <xf numFmtId="0" fontId="5" fillId="0" borderId="6" xfId="1" applyFill="1" applyBorder="1" applyProtection="1"/>
    <xf numFmtId="0" fontId="5" fillId="0" borderId="6" xfId="1" applyFill="1" applyBorder="1" applyAlignment="1" applyProtection="1">
      <alignment horizontal="center"/>
    </xf>
    <xf numFmtId="0" fontId="11" fillId="0" borderId="6" xfId="1" applyFont="1" applyFill="1" applyBorder="1" applyAlignment="1" applyProtection="1">
      <alignment horizontal="center"/>
    </xf>
    <xf numFmtId="0" fontId="5" fillId="0" borderId="7" xfId="1" applyFill="1" applyBorder="1" applyAlignment="1" applyProtection="1">
      <alignment horizontal="center"/>
    </xf>
    <xf numFmtId="0" fontId="5" fillId="0" borderId="0" xfId="1" applyFill="1" applyProtection="1"/>
    <xf numFmtId="0" fontId="5" fillId="0" borderId="0" xfId="1" applyFill="1" applyAlignment="1">
      <alignment horizontal="right"/>
    </xf>
    <xf numFmtId="0" fontId="9" fillId="0" borderId="0" xfId="1" applyFont="1" applyFill="1" applyBorder="1" applyAlignment="1" applyProtection="1">
      <alignment horizontal="center"/>
    </xf>
    <xf numFmtId="0" fontId="9" fillId="5" borderId="0" xfId="1" applyNumberFormat="1" applyFont="1" applyFill="1" applyBorder="1" applyAlignment="1" applyProtection="1">
      <alignment horizontal="right"/>
      <protection locked="0"/>
    </xf>
    <xf numFmtId="49" fontId="5" fillId="5" borderId="0" xfId="1" applyNumberFormat="1" applyFill="1" applyBorder="1" applyAlignment="1" applyProtection="1">
      <alignment horizontal="right"/>
      <protection locked="0"/>
    </xf>
    <xf numFmtId="165" fontId="5" fillId="0" borderId="14" xfId="1" applyNumberFormat="1" applyBorder="1" applyAlignment="1" applyProtection="1">
      <alignment horizontal="center"/>
    </xf>
    <xf numFmtId="164" fontId="0" fillId="3" borderId="12" xfId="2" applyNumberFormat="1" applyFont="1" applyFill="1" applyBorder="1" applyAlignment="1" applyProtection="1">
      <alignment horizontal="center"/>
      <protection locked="0"/>
    </xf>
    <xf numFmtId="165" fontId="5" fillId="3" borderId="14" xfId="1" applyNumberFormat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165" fontId="5" fillId="0" borderId="1" xfId="1" applyNumberFormat="1" applyBorder="1" applyAlignment="1" applyProtection="1">
      <alignment horizontal="center"/>
    </xf>
    <xf numFmtId="10" fontId="11" fillId="3" borderId="20" xfId="1" applyNumberFormat="1" applyFont="1" applyFill="1" applyBorder="1" applyAlignment="1" applyProtection="1">
      <alignment horizontal="center"/>
      <protection locked="0"/>
    </xf>
    <xf numFmtId="165" fontId="5" fillId="0" borderId="25" xfId="1" applyNumberFormat="1" applyBorder="1" applyAlignment="1" applyProtection="1">
      <alignment horizontal="center"/>
    </xf>
    <xf numFmtId="10" fontId="11" fillId="3" borderId="6" xfId="1" applyNumberFormat="1" applyFont="1" applyFill="1" applyBorder="1" applyAlignment="1" applyProtection="1">
      <alignment horizontal="center"/>
      <protection locked="0"/>
    </xf>
    <xf numFmtId="0" fontId="11" fillId="0" borderId="0" xfId="1" applyFont="1" applyBorder="1" applyAlignment="1" applyProtection="1">
      <alignment horizontal="center"/>
    </xf>
    <xf numFmtId="0" fontId="5" fillId="3" borderId="1" xfId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</xf>
    <xf numFmtId="10" fontId="5" fillId="0" borderId="1" xfId="2" applyNumberFormat="1" applyFill="1" applyBorder="1" applyAlignment="1" applyProtection="1">
      <alignment horizontal="center"/>
    </xf>
    <xf numFmtId="0" fontId="20" fillId="0" borderId="6" xfId="1" applyFont="1" applyBorder="1" applyAlignment="1" applyProtection="1">
      <alignment horizontal="right"/>
    </xf>
    <xf numFmtId="2" fontId="11" fillId="0" borderId="6" xfId="1" applyNumberFormat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left"/>
    </xf>
    <xf numFmtId="0" fontId="5" fillId="0" borderId="27" xfId="1" applyBorder="1" applyAlignment="1" applyProtection="1">
      <alignment horizontal="center"/>
    </xf>
    <xf numFmtId="0" fontId="11" fillId="0" borderId="18" xfId="1" applyFont="1" applyBorder="1" applyAlignment="1" applyProtection="1">
      <alignment horizontal="center"/>
    </xf>
    <xf numFmtId="0" fontId="5" fillId="0" borderId="30" xfId="1" applyBorder="1" applyAlignment="1" applyProtection="1">
      <alignment horizontal="center"/>
    </xf>
    <xf numFmtId="10" fontId="11" fillId="3" borderId="1" xfId="1" applyNumberFormat="1" applyFont="1" applyFill="1" applyBorder="1" applyAlignment="1" applyProtection="1">
      <alignment horizontal="center"/>
      <protection locked="0"/>
    </xf>
    <xf numFmtId="10" fontId="11" fillId="0" borderId="20" xfId="1" applyNumberFormat="1" applyFont="1" applyFill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5" fillId="3" borderId="13" xfId="1" applyFill="1" applyBorder="1" applyAlignment="1" applyProtection="1">
      <alignment horizontal="center"/>
      <protection locked="0"/>
    </xf>
    <xf numFmtId="0" fontId="11" fillId="0" borderId="12" xfId="1" applyFont="1" applyBorder="1" applyAlignment="1" applyProtection="1">
      <alignment horizontal="center"/>
    </xf>
    <xf numFmtId="0" fontId="11" fillId="0" borderId="34" xfId="1" applyFont="1" applyFill="1" applyBorder="1" applyProtection="1"/>
    <xf numFmtId="0" fontId="11" fillId="0" borderId="20" xfId="1" applyFont="1" applyFill="1" applyBorder="1" applyProtection="1"/>
    <xf numFmtId="0" fontId="11" fillId="0" borderId="12" xfId="1" applyFont="1" applyFill="1" applyBorder="1" applyProtection="1"/>
    <xf numFmtId="0" fontId="11" fillId="0" borderId="12" xfId="1" applyFont="1" applyFill="1" applyBorder="1" applyAlignment="1" applyProtection="1">
      <alignment horizontal="center"/>
    </xf>
    <xf numFmtId="0" fontId="9" fillId="3" borderId="1" xfId="1" applyFont="1" applyFill="1" applyBorder="1" applyAlignment="1" applyProtection="1">
      <alignment horizontal="center"/>
      <protection locked="0"/>
    </xf>
    <xf numFmtId="0" fontId="9" fillId="0" borderId="20" xfId="1" applyFont="1" applyFill="1" applyBorder="1" applyAlignment="1" applyProtection="1">
      <alignment horizontal="center"/>
    </xf>
    <xf numFmtId="0" fontId="9" fillId="0" borderId="20" xfId="1" applyFont="1" applyFill="1" applyBorder="1" applyProtection="1"/>
    <xf numFmtId="0" fontId="9" fillId="0" borderId="1" xfId="1" applyFont="1" applyFill="1" applyBorder="1" applyAlignment="1" applyProtection="1">
      <alignment horizontal="center"/>
    </xf>
    <xf numFmtId="0" fontId="9" fillId="0" borderId="27" xfId="1" applyFont="1" applyFill="1" applyBorder="1" applyAlignment="1" applyProtection="1">
      <alignment horizontal="center"/>
    </xf>
    <xf numFmtId="0" fontId="22" fillId="0" borderId="0" xfId="1" applyFont="1" applyBorder="1" applyAlignment="1" applyProtection="1">
      <alignment horizontal="left"/>
    </xf>
    <xf numFmtId="0" fontId="9" fillId="0" borderId="12" xfId="1" applyFont="1" applyBorder="1" applyAlignment="1" applyProtection="1">
      <alignment horizontal="center"/>
    </xf>
    <xf numFmtId="0" fontId="2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Fill="1" applyAlignment="1">
      <alignment horizontal="center"/>
    </xf>
    <xf numFmtId="0" fontId="9" fillId="0" borderId="0" xfId="1" applyFont="1"/>
    <xf numFmtId="0" fontId="5" fillId="0" borderId="0" xfId="1" applyFill="1"/>
    <xf numFmtId="0" fontId="9" fillId="0" borderId="0" xfId="1" applyFont="1" applyBorder="1" applyAlignment="1" applyProtection="1">
      <alignment horizontal="center"/>
    </xf>
    <xf numFmtId="0" fontId="9" fillId="0" borderId="31" xfId="1" applyFont="1" applyBorder="1" applyAlignment="1" applyProtection="1">
      <alignment horizontal="center"/>
    </xf>
    <xf numFmtId="0" fontId="9" fillId="0" borderId="6" xfId="1" applyFont="1" applyBorder="1" applyAlignment="1" applyProtection="1">
      <alignment horizontal="center"/>
    </xf>
    <xf numFmtId="0" fontId="9" fillId="0" borderId="33" xfId="1" applyFont="1" applyBorder="1" applyAlignment="1" applyProtection="1">
      <alignment horizontal="center"/>
    </xf>
    <xf numFmtId="0" fontId="11" fillId="0" borderId="0" xfId="1" applyFont="1" applyBorder="1" applyAlignment="1" applyProtection="1"/>
    <xf numFmtId="0" fontId="11" fillId="0" borderId="0" xfId="1" applyFont="1" applyAlignment="1" applyProtection="1"/>
    <xf numFmtId="0" fontId="28" fillId="0" borderId="0" xfId="4" applyBorder="1" applyAlignment="1">
      <alignment horizontal="center" vertical="center"/>
    </xf>
    <xf numFmtId="0" fontId="1" fillId="0" borderId="0" xfId="5"/>
    <xf numFmtId="49" fontId="1" fillId="0" borderId="0" xfId="5" applyNumberFormat="1"/>
    <xf numFmtId="0" fontId="5" fillId="0" borderId="0" xfId="1" applyFill="1" applyBorder="1" applyAlignment="1" applyProtection="1">
      <alignment horizontal="center"/>
    </xf>
    <xf numFmtId="49" fontId="0" fillId="0" borderId="0" xfId="0" applyNumberFormat="1"/>
    <xf numFmtId="49" fontId="2" fillId="0" borderId="0" xfId="0" applyNumberFormat="1" applyFont="1" applyFill="1" applyBorder="1" applyAlignment="1" applyProtection="1"/>
    <xf numFmtId="0" fontId="3" fillId="0" borderId="29" xfId="0" applyFont="1" applyFill="1" applyBorder="1" applyAlignment="1" applyProtection="1">
      <alignment horizontal="center" vertical="top"/>
    </xf>
    <xf numFmtId="49" fontId="3" fillId="0" borderId="29" xfId="0" applyNumberFormat="1" applyFont="1" applyFill="1" applyBorder="1" applyAlignment="1" applyProtection="1">
      <alignment horizontal="center" vertical="top"/>
    </xf>
  </cellXfs>
  <cellStyles count="6">
    <cellStyle name="Heading 1" xfId="4" builtinId="16"/>
    <cellStyle name="Normal" xfId="0" builtinId="0"/>
    <cellStyle name="Normal 2" xfId="1"/>
    <cellStyle name="Normal 3" xfId="5"/>
    <cellStyle name="Percent 2" xfId="2"/>
    <cellStyle name="Percent 3" xfId="3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lomon/OneDrive%20-%20Queen's%20University/Python/Projects/EclipseRelated/PlanEvaluation/sabr_plan_report/SABR_Plan_Report_Testing/SABR%20Plan%20Evaluation%20Worksheet%20BLANK%20For%20te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llCorr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heet 48Gy4F 60Gy5F"/>
      <sheetName val="EvaluationSheet 60Gy 8F"/>
      <sheetName val="EvaluationSheet 54Gy 3F"/>
      <sheetName val="Calculations 48Gy4F_ or_ 60Gy5F"/>
      <sheetName val="Calculations 60Gy_8F"/>
      <sheetName val="RTOG Conformality Table"/>
      <sheetName val="Calculations 54Gy 3F"/>
    </sheetNames>
    <sheetDataSet>
      <sheetData sheetId="0"/>
      <sheetData sheetId="1"/>
      <sheetData sheetId="2"/>
      <sheetData sheetId="3">
        <row r="27">
          <cell r="I27" t="e">
            <v>#N/A</v>
          </cell>
          <cell r="L27" t="e">
            <v>#N/A</v>
          </cell>
        </row>
        <row r="31">
          <cell r="J31" t="e">
            <v>#VALUE!</v>
          </cell>
          <cell r="K31" t="str">
            <v>??</v>
          </cell>
        </row>
        <row r="32">
          <cell r="J32" t="e">
            <v>#VALUE!</v>
          </cell>
          <cell r="K32" t="e">
            <v>#VALUE!</v>
          </cell>
        </row>
        <row r="33">
          <cell r="K33" t="str">
            <v>??</v>
          </cell>
        </row>
        <row r="34">
          <cell r="K34" t="str">
            <v>??</v>
          </cell>
        </row>
      </sheetData>
      <sheetData sheetId="4">
        <row r="27">
          <cell r="I27" t="e">
            <v>#N/A</v>
          </cell>
          <cell r="L27" t="e">
            <v>#N/A</v>
          </cell>
        </row>
        <row r="31">
          <cell r="K31" t="str">
            <v>??</v>
          </cell>
        </row>
        <row r="32">
          <cell r="K32" t="str">
            <v>??</v>
          </cell>
        </row>
        <row r="33">
          <cell r="K33" t="str">
            <v>??</v>
          </cell>
        </row>
        <row r="34">
          <cell r="K34" t="str">
            <v>??</v>
          </cell>
        </row>
      </sheetData>
      <sheetData sheetId="5"/>
      <sheetData sheetId="6">
        <row r="27">
          <cell r="I27" t="e">
            <v>#VALUE!</v>
          </cell>
          <cell r="L27" t="e">
            <v>#VALUE!</v>
          </cell>
          <cell r="O27" t="e">
            <v>#VALUE!</v>
          </cell>
        </row>
        <row r="31">
          <cell r="J31" t="e">
            <v>#VALUE!</v>
          </cell>
          <cell r="K31" t="e">
            <v>#VALUE!</v>
          </cell>
        </row>
        <row r="32">
          <cell r="J32" t="e">
            <v>#VALUE!</v>
          </cell>
          <cell r="K32" t="e">
            <v>#VALUE!</v>
          </cell>
        </row>
        <row r="33">
          <cell r="K33" t="e">
            <v>#VALUE!</v>
          </cell>
        </row>
        <row r="34">
          <cell r="K34" t="e">
            <v>#VALUE!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R 60 in 8"/>
      <sheetName val="SABR 60 in 8 Log"/>
      <sheetName val="EvaluationSheet 60Gy 8F"/>
      <sheetName val="Report Reference 60 in 8.txt"/>
      <sheetName val="SABR 48 in 4"/>
      <sheetName val="SABR 48 in 4 Log"/>
      <sheetName val="EvaluationSheet 48Gy4F 60Gy5F"/>
      <sheetName val="Report Reference 48 in 4.txt"/>
      <sheetName val="54Gy 3F"/>
      <sheetName val="54Gy 3F Log"/>
      <sheetName val="EvaluationSheet 54Gy 3F"/>
      <sheetName val="CELL format codes"/>
      <sheetName val="xml cell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2" name="Report_48in4" displayName="Report_48in4" ref="O3:R57" totalsRowShown="0">
  <tableColumns count="4">
    <tableColumn id="1" name="Label" dataDxfId="16" dataCellStyle="Normal 2"/>
    <tableColumn id="2" name="Cell Address" dataCellStyle="Normal 2"/>
    <tableColumn id="3" name="Value" dataDxfId="15" dataCellStyle="Normal 2">
      <calculatedColumnFormula>INDIRECT(P4)</calculatedColumnFormula>
    </tableColumn>
    <tableColumn id="4" name="Format" dataCellStyle="Normal 2">
      <calculatedColumnFormula>VLOOKUP(CELL("format",INDIRECT(P4)),CellFormatCodes[],2,FALSE)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ReportDef_48in4" displayName="ReportDef_48in4" ref="T3:AD57" totalsRowShown="0" headerRowDxfId="0" dataDxfId="1" headerRowBorderDxfId="13" tableBorderDxfId="14">
  <tableColumns count="11">
    <tableColumn id="1" name="Item Name" dataDxfId="12"/>
    <tableColumn id="2" name="Item Label" dataDxfId="11"/>
    <tableColumn id="3" name="CellAddress" dataDxfId="10"/>
    <tableColumn id="4" name="Unit" dataDxfId="9"/>
    <tableColumn id="5" name="CellFormat" dataDxfId="8"/>
    <tableColumn id="6" name="Item Category" dataDxfId="7"/>
    <tableColumn id="7" name="reference_type" dataDxfId="6"/>
    <tableColumn id="8" name="reference_name" dataDxfId="5"/>
    <tableColumn id="9" name="reference_laterality" dataDxfId="4"/>
    <tableColumn id="10" name="Aliases" dataDxfId="3"/>
    <tableColumn id="11" name="constructor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" name="CellFormatCodes" displayName="CellFormatCodes" ref="A2:B27" totalsRowShown="0" tableBorderDxfId="35">
  <tableColumns count="2">
    <tableColumn id="1" name="Code"/>
    <tableColumn id="2" name="Format Text" dataDxfId="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9"/>
  <sheetViews>
    <sheetView tabSelected="1" topLeftCell="P1" zoomScaleNormal="100" workbookViewId="0">
      <selection activeCell="R4" sqref="R4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3" style="11" customWidth="1"/>
    <col min="5" max="5" width="3.85546875" style="11" customWidth="1"/>
    <col min="6" max="6" width="8" style="185" customWidth="1"/>
    <col min="7" max="7" width="18.85546875" style="185" customWidth="1"/>
    <col min="8" max="8" width="19.7109375" style="185" customWidth="1"/>
    <col min="9" max="9" width="6.140625" style="11" hidden="1" customWidth="1"/>
    <col min="10" max="10" width="1" style="11" hidden="1" customWidth="1"/>
    <col min="11" max="11" width="14.42578125" style="185" customWidth="1"/>
    <col min="12" max="12" width="18.140625" style="185" customWidth="1"/>
    <col min="13" max="13" width="14" style="186" customWidth="1"/>
    <col min="14" max="14" width="9.140625" style="11"/>
    <col min="15" max="15" width="52.42578125" style="176" bestFit="1" customWidth="1"/>
    <col min="16" max="16" width="13.7109375" style="11" customWidth="1"/>
    <col min="17" max="17" width="7.85546875" style="13" customWidth="1"/>
    <col min="18" max="18" width="10.42578125" style="11" customWidth="1"/>
    <col min="19" max="19" width="9.140625" style="11"/>
    <col min="20" max="20" width="24.7109375" bestFit="1" customWidth="1"/>
    <col min="21" max="21" width="35.140625" bestFit="1" customWidth="1"/>
    <col min="22" max="22" width="13.85546875" customWidth="1"/>
    <col min="23" max="23" width="6.7109375" customWidth="1"/>
    <col min="24" max="24" width="13.140625" style="279" customWidth="1"/>
    <col min="25" max="25" width="15.85546875" customWidth="1"/>
    <col min="26" max="26" width="16.7109375" customWidth="1"/>
    <col min="27" max="27" width="32.5703125" bestFit="1" customWidth="1"/>
    <col min="28" max="28" width="20.85546875" customWidth="1"/>
    <col min="29" max="29" width="19.7109375" bestFit="1" customWidth="1"/>
    <col min="30" max="30" width="13.140625" customWidth="1"/>
    <col min="31" max="16384" width="9.140625" style="11"/>
  </cols>
  <sheetData>
    <row r="1" spans="2:30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30" x14ac:dyDescent="0.2">
      <c r="B2" s="14"/>
      <c r="C2" s="15"/>
      <c r="D2" s="15"/>
      <c r="E2" s="15"/>
      <c r="F2" s="16"/>
      <c r="G2" s="17" t="s">
        <v>297</v>
      </c>
      <c r="H2" s="16"/>
      <c r="I2" s="15"/>
      <c r="J2" s="15"/>
      <c r="K2" s="16"/>
      <c r="L2" s="18"/>
      <c r="M2" s="10"/>
      <c r="O2" s="278" t="s">
        <v>442</v>
      </c>
      <c r="P2" s="278"/>
      <c r="Q2" s="278"/>
      <c r="R2" s="278"/>
    </row>
    <row r="3" spans="2:30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 t="s">
        <v>443</v>
      </c>
      <c r="P3" s="13" t="s">
        <v>445</v>
      </c>
      <c r="Q3" s="13" t="s">
        <v>444</v>
      </c>
      <c r="R3" s="11" t="s">
        <v>495</v>
      </c>
      <c r="T3" s="281" t="s">
        <v>5</v>
      </c>
      <c r="U3" s="281" t="s">
        <v>4</v>
      </c>
      <c r="V3" s="281" t="s">
        <v>1</v>
      </c>
      <c r="W3" s="281" t="s">
        <v>11</v>
      </c>
      <c r="X3" s="282" t="s">
        <v>2</v>
      </c>
      <c r="Y3" s="281" t="s">
        <v>3</v>
      </c>
      <c r="Z3" s="281" t="s">
        <v>16</v>
      </c>
      <c r="AA3" s="281" t="s">
        <v>15</v>
      </c>
      <c r="AB3" s="281" t="s">
        <v>14</v>
      </c>
      <c r="AC3" s="281" t="s">
        <v>0</v>
      </c>
      <c r="AD3" s="281" t="s">
        <v>12</v>
      </c>
    </row>
    <row r="4" spans="2:30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25" t="s">
        <v>68</v>
      </c>
      <c r="L4" s="30"/>
      <c r="M4" s="10"/>
      <c r="O4" s="31" t="str">
        <f>C4</f>
        <v>Patient:</v>
      </c>
      <c r="P4" s="11" t="str">
        <f ca="1">SUBSTITUTE(CELL("address",D4),"$","")</f>
        <v>D4</v>
      </c>
      <c r="Q4" s="32">
        <f ca="1">INDIRECT(P4)</f>
        <v>0</v>
      </c>
      <c r="R4" s="11" t="str">
        <f ca="1">VLOOKUP(CELL("format",INDIRECT(P4)),CellFormatCodes[],2,FALSE)</f>
        <v>General</v>
      </c>
      <c r="T4" s="3" t="s">
        <v>109</v>
      </c>
      <c r="U4" s="3" t="s">
        <v>66</v>
      </c>
      <c r="V4" s="3" t="s">
        <v>18</v>
      </c>
      <c r="W4" s="3"/>
      <c r="X4" s="280" t="s">
        <v>58</v>
      </c>
      <c r="Y4" s="3" t="s">
        <v>65</v>
      </c>
      <c r="Z4" s="3" t="s">
        <v>198</v>
      </c>
      <c r="AA4" s="3" t="s">
        <v>174</v>
      </c>
      <c r="AB4" s="3"/>
      <c r="AC4" s="3"/>
      <c r="AD4" s="3"/>
    </row>
    <row r="5" spans="2:30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25" t="s">
        <v>69</v>
      </c>
      <c r="L5" s="34"/>
      <c r="M5" s="10"/>
      <c r="O5" s="31" t="str">
        <f>C5</f>
        <v>CR#:</v>
      </c>
      <c r="P5" s="11" t="str">
        <f ca="1">SUBSTITUTE(CELL("address",D5),"$","")</f>
        <v>D5</v>
      </c>
      <c r="Q5" s="35">
        <f t="shared" ref="Q5:Q57" ca="1" si="0">INDIRECT(P5)</f>
        <v>0</v>
      </c>
      <c r="R5" s="11" t="str">
        <f ca="1">VLOOKUP(CELL("format",INDIRECT(P5)),CellFormatCodes[],2,FALSE)</f>
        <v>General</v>
      </c>
      <c r="T5" s="3" t="s">
        <v>110</v>
      </c>
      <c r="U5" s="3" t="s">
        <v>67</v>
      </c>
      <c r="V5" s="3" t="s">
        <v>19</v>
      </c>
      <c r="W5" s="3"/>
      <c r="X5" s="280" t="s">
        <v>59</v>
      </c>
      <c r="Y5" s="3" t="s">
        <v>65</v>
      </c>
      <c r="Z5" s="3" t="s">
        <v>198</v>
      </c>
      <c r="AA5" s="3" t="s">
        <v>175</v>
      </c>
      <c r="AB5" s="3"/>
      <c r="AC5" s="3"/>
      <c r="AD5" s="3"/>
    </row>
    <row r="6" spans="2:30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1" t="str">
        <f ca="1">SUBSTITUTE(CELL("address",L4),"$","")</f>
        <v>L4</v>
      </c>
      <c r="Q6" s="32">
        <f t="shared" ca="1" si="0"/>
        <v>0</v>
      </c>
      <c r="R6" s="11" t="str">
        <f ca="1">VLOOKUP(CELL("format",INDIRECT(P6)),CellFormatCodes[],2,FALSE)</f>
        <v>General</v>
      </c>
      <c r="T6" s="3" t="s">
        <v>111</v>
      </c>
      <c r="U6" s="3" t="s">
        <v>68</v>
      </c>
      <c r="V6" s="3" t="s">
        <v>20</v>
      </c>
      <c r="W6" s="3"/>
      <c r="X6" s="280" t="s">
        <v>59</v>
      </c>
      <c r="Y6" s="3" t="s">
        <v>65</v>
      </c>
      <c r="Z6" s="3" t="s">
        <v>198</v>
      </c>
      <c r="AA6" s="3" t="s">
        <v>176</v>
      </c>
      <c r="AB6" s="3"/>
      <c r="AC6" s="3"/>
      <c r="AD6" s="3"/>
    </row>
    <row r="7" spans="2:30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11" t="str">
        <f ca="1">SUBSTITUTE(CELL("address",L5),"$","")</f>
        <v>L5</v>
      </c>
      <c r="Q7" s="32">
        <f t="shared" ca="1" si="0"/>
        <v>0</v>
      </c>
      <c r="R7" s="11" t="str">
        <f ca="1">VLOOKUP(CELL("format",INDIRECT(P7)),CellFormatCodes[],2,FALSE)</f>
        <v>General</v>
      </c>
      <c r="T7" s="3" t="s">
        <v>112</v>
      </c>
      <c r="U7" s="3" t="s">
        <v>69</v>
      </c>
      <c r="V7" s="3" t="s">
        <v>21</v>
      </c>
      <c r="W7" s="3"/>
      <c r="X7" s="280" t="s">
        <v>59</v>
      </c>
      <c r="Y7" s="3" t="s">
        <v>65</v>
      </c>
      <c r="Z7" s="3" t="s">
        <v>198</v>
      </c>
      <c r="AA7" s="3" t="s">
        <v>177</v>
      </c>
      <c r="AB7" s="3"/>
      <c r="AC7" s="3"/>
      <c r="AD7" s="3"/>
    </row>
    <row r="8" spans="2:30" x14ac:dyDescent="0.2">
      <c r="B8" s="24"/>
      <c r="C8" s="27" t="s">
        <v>71</v>
      </c>
      <c r="D8" s="27"/>
      <c r="E8" s="27"/>
      <c r="F8" s="28"/>
      <c r="G8" s="37"/>
      <c r="H8" s="28"/>
      <c r="I8" s="27"/>
      <c r="J8" s="27"/>
      <c r="K8" s="28"/>
      <c r="L8" s="38"/>
      <c r="M8" s="10"/>
      <c r="O8" s="31" t="str">
        <f>F4</f>
        <v>Prescription Dose (cGy):</v>
      </c>
      <c r="P8" s="11" t="str">
        <f ca="1">SUBSTITUTE(CELL("address",H4),"$","")</f>
        <v>H4</v>
      </c>
      <c r="Q8" s="32">
        <f t="shared" ca="1" si="0"/>
        <v>0</v>
      </c>
      <c r="R8" s="11" t="str">
        <f ca="1">VLOOKUP(CELL("format",INDIRECT(P8)),CellFormatCodes[],2,FALSE)</f>
        <v>General</v>
      </c>
      <c r="T8" s="3" t="s">
        <v>113</v>
      </c>
      <c r="U8" s="3" t="s">
        <v>70</v>
      </c>
      <c r="V8" s="3" t="s">
        <v>22</v>
      </c>
      <c r="W8" s="3" t="s">
        <v>157</v>
      </c>
      <c r="X8" s="280" t="s">
        <v>60</v>
      </c>
      <c r="Y8" s="3" t="s">
        <v>65</v>
      </c>
      <c r="Z8" s="3" t="s">
        <v>199</v>
      </c>
      <c r="AA8" s="3" t="s">
        <v>178</v>
      </c>
      <c r="AB8" s="3"/>
      <c r="AC8" s="3"/>
      <c r="AD8" s="3" t="s">
        <v>160</v>
      </c>
    </row>
    <row r="9" spans="2:30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11" t="str">
        <f ca="1">SUBSTITUTE(CELL("address",H5),"$","")</f>
        <v>H5</v>
      </c>
      <c r="Q9" s="32">
        <f t="shared" ca="1" si="0"/>
        <v>0</v>
      </c>
      <c r="R9" s="11" t="str">
        <f ca="1">VLOOKUP(CELL("format",INDIRECT(P9)),CellFormatCodes[],2,FALSE)</f>
        <v>General</v>
      </c>
      <c r="T9" s="3" t="s">
        <v>114</v>
      </c>
      <c r="U9" s="3" t="s">
        <v>71</v>
      </c>
      <c r="V9" s="3" t="s">
        <v>23</v>
      </c>
      <c r="W9" s="3" t="s">
        <v>157</v>
      </c>
      <c r="X9" s="280" t="s">
        <v>60</v>
      </c>
      <c r="Y9" s="3" t="s">
        <v>65</v>
      </c>
      <c r="Z9" s="3" t="s">
        <v>199</v>
      </c>
      <c r="AA9" s="3" t="s">
        <v>179</v>
      </c>
      <c r="AB9" s="3"/>
      <c r="AC9" s="3"/>
      <c r="AD9" s="3" t="s">
        <v>160</v>
      </c>
    </row>
    <row r="10" spans="2:30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11" t="str">
        <f ca="1">SUBSTITUTE(CELL("address",G7),"$","")</f>
        <v>G7</v>
      </c>
      <c r="Q10" s="32">
        <f t="shared" ca="1" si="0"/>
        <v>0</v>
      </c>
      <c r="R10" s="11" t="str">
        <f ca="1">VLOOKUP(CELL("format",INDIRECT(P10)),CellFormatCodes[],2,FALSE)</f>
        <v>General</v>
      </c>
      <c r="T10" s="3" t="s">
        <v>115</v>
      </c>
      <c r="U10" s="3" t="s">
        <v>72</v>
      </c>
      <c r="V10" s="3" t="s">
        <v>24</v>
      </c>
      <c r="W10" s="3" t="s">
        <v>157</v>
      </c>
      <c r="X10" s="280" t="s">
        <v>60</v>
      </c>
      <c r="Y10" s="3" t="s">
        <v>65</v>
      </c>
      <c r="Z10" s="3" t="s">
        <v>199</v>
      </c>
      <c r="AA10" s="3" t="s">
        <v>180</v>
      </c>
      <c r="AB10" s="3"/>
      <c r="AC10" s="3"/>
      <c r="AD10" s="3" t="s">
        <v>160</v>
      </c>
    </row>
    <row r="11" spans="2:30" x14ac:dyDescent="0.2">
      <c r="B11" s="36" t="s">
        <v>300</v>
      </c>
      <c r="C11" s="15"/>
      <c r="D11" s="15"/>
      <c r="E11" s="40" t="s">
        <v>301</v>
      </c>
      <c r="F11" s="41"/>
      <c r="G11" s="42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11" t="str">
        <f ca="1">SUBSTITUTE(CELL("address",G8),"$","")</f>
        <v>G8</v>
      </c>
      <c r="Q11" s="46">
        <f t="shared" ca="1" si="0"/>
        <v>0</v>
      </c>
      <c r="R11" s="11" t="str">
        <f ca="1">VLOOKUP(CELL("format",INDIRECT(P11)),CellFormatCodes[],2,FALSE)</f>
        <v>General</v>
      </c>
      <c r="T11" s="3" t="s">
        <v>293</v>
      </c>
      <c r="U11" s="3" t="s">
        <v>73</v>
      </c>
      <c r="V11" s="3" t="s">
        <v>25</v>
      </c>
      <c r="W11" s="3" t="s">
        <v>157</v>
      </c>
      <c r="X11" s="280" t="s">
        <v>60</v>
      </c>
      <c r="Y11" s="3" t="s">
        <v>65</v>
      </c>
      <c r="Z11" s="3" t="s">
        <v>199</v>
      </c>
      <c r="AA11" s="3" t="s">
        <v>181</v>
      </c>
      <c r="AB11" s="3" t="s">
        <v>172</v>
      </c>
      <c r="AC11" s="3"/>
      <c r="AD11" s="3" t="s">
        <v>160</v>
      </c>
    </row>
    <row r="12" spans="2:30" x14ac:dyDescent="0.2">
      <c r="B12" s="47"/>
      <c r="C12" s="48"/>
      <c r="D12" s="49"/>
      <c r="E12" s="49"/>
      <c r="F12" s="49"/>
      <c r="G12" s="50" t="s">
        <v>303</v>
      </c>
      <c r="H12" s="51" t="s">
        <v>304</v>
      </c>
      <c r="I12" s="52"/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11" t="str">
        <f ca="1">SUBSTITUTE(CELL("address",G9),"$","")</f>
        <v>G9</v>
      </c>
      <c r="Q12" s="56">
        <f t="shared" ca="1" si="0"/>
        <v>0</v>
      </c>
      <c r="R12" s="11" t="str">
        <f ca="1">VLOOKUP(CELL("format",INDIRECT(P12)),CellFormatCodes[],2,FALSE)</f>
        <v>General</v>
      </c>
      <c r="T12" s="3" t="s">
        <v>117</v>
      </c>
      <c r="U12" s="3" t="s">
        <v>74</v>
      </c>
      <c r="V12" s="3" t="s">
        <v>26</v>
      </c>
      <c r="W12" s="3" t="s">
        <v>158</v>
      </c>
      <c r="X12" s="280" t="s">
        <v>58</v>
      </c>
      <c r="Y12" s="3" t="s">
        <v>65</v>
      </c>
      <c r="Z12" s="3" t="s">
        <v>198</v>
      </c>
      <c r="AA12" s="3" t="s">
        <v>182</v>
      </c>
      <c r="AB12" s="3"/>
      <c r="AC12" s="3"/>
      <c r="AD12" s="3"/>
    </row>
    <row r="13" spans="2:30" x14ac:dyDescent="0.2">
      <c r="B13" s="47"/>
      <c r="C13" s="57"/>
      <c r="D13" s="27"/>
      <c r="E13" s="27"/>
      <c r="F13" s="28"/>
      <c r="G13" s="50" t="s">
        <v>308</v>
      </c>
      <c r="H13" s="58"/>
      <c r="I13" s="59"/>
      <c r="J13" s="27"/>
      <c r="K13" s="50" t="s">
        <v>309</v>
      </c>
      <c r="L13" s="38"/>
      <c r="M13" s="10"/>
      <c r="O13" s="31" t="str">
        <f>C10</f>
        <v>Total Lung Volume (cc)</v>
      </c>
      <c r="P13" s="11" t="str">
        <f ca="1">SUBSTITUTE(CELL("address",G10),"$","")</f>
        <v>G10</v>
      </c>
      <c r="Q13" s="46">
        <f t="shared" ca="1" si="0"/>
        <v>0</v>
      </c>
      <c r="R13" s="11" t="str">
        <f ca="1">VLOOKUP(CELL("format",INDIRECT(P13)),CellFormatCodes[],2,FALSE)</f>
        <v>General</v>
      </c>
      <c r="T13" s="3" t="s">
        <v>118</v>
      </c>
      <c r="U13" s="3" t="s">
        <v>75</v>
      </c>
      <c r="V13" s="3" t="s">
        <v>27</v>
      </c>
      <c r="W13" s="3"/>
      <c r="X13" s="280" t="s">
        <v>61</v>
      </c>
      <c r="Y13" s="3" t="s">
        <v>65</v>
      </c>
      <c r="Z13" s="3" t="s">
        <v>198</v>
      </c>
      <c r="AA13" s="3" t="s">
        <v>75</v>
      </c>
      <c r="AB13" s="3"/>
      <c r="AC13" s="3"/>
      <c r="AD13" s="3"/>
    </row>
    <row r="14" spans="2:30" x14ac:dyDescent="0.2">
      <c r="B14" s="47"/>
      <c r="C14" s="48" t="s">
        <v>76</v>
      </c>
      <c r="D14" s="49"/>
      <c r="E14" s="49"/>
      <c r="F14" s="60"/>
      <c r="G14" s="61" t="s">
        <v>310</v>
      </c>
      <c r="H14" s="28"/>
      <c r="I14" s="27"/>
      <c r="J14" s="49"/>
      <c r="K14" s="62" t="s">
        <v>311</v>
      </c>
      <c r="L14" s="63" t="str">
        <f>IF(G14="??","??",IF((AND((G14&gt;59.99%),(G14&lt;95.01%))),"Yes", "No"))</f>
        <v>??</v>
      </c>
      <c r="M14" s="64" t="s">
        <v>312</v>
      </c>
      <c r="O14" s="31" t="str">
        <f>C14</f>
        <v>Plan Normalization Value (%)</v>
      </c>
      <c r="P14" s="11" t="str">
        <f ca="1">SUBSTITUTE(CELL("address",G14),"$","")</f>
        <v>G14</v>
      </c>
      <c r="Q14" s="65" t="str">
        <f t="shared" ca="1" si="0"/>
        <v>??</v>
      </c>
      <c r="R14" s="11" t="str">
        <f ca="1">VLOOKUP(CELL("format",INDIRECT(P14)),CellFormatCodes[],2,FALSE)</f>
        <v>0.0%</v>
      </c>
      <c r="T14" s="3" t="s">
        <v>119</v>
      </c>
      <c r="U14" s="3" t="s">
        <v>76</v>
      </c>
      <c r="V14" s="3" t="s">
        <v>240</v>
      </c>
      <c r="W14" s="3" t="s">
        <v>159</v>
      </c>
      <c r="X14" s="280" t="s">
        <v>62</v>
      </c>
      <c r="Y14" s="3" t="s">
        <v>65</v>
      </c>
      <c r="Z14" s="3" t="s">
        <v>198</v>
      </c>
      <c r="AA14" s="3" t="s">
        <v>76</v>
      </c>
      <c r="AB14" s="3"/>
      <c r="AC14" s="3"/>
      <c r="AD14" s="3"/>
    </row>
    <row r="15" spans="2:30" ht="13.5" thickBot="1" x14ac:dyDescent="0.25">
      <c r="B15" s="24"/>
      <c r="C15" s="48" t="s">
        <v>239</v>
      </c>
      <c r="D15" s="49"/>
      <c r="E15" s="49"/>
      <c r="F15" s="60"/>
      <c r="G15" s="66" t="s">
        <v>310</v>
      </c>
      <c r="H15" s="67"/>
      <c r="I15" s="68"/>
      <c r="J15" s="49" t="s">
        <v>302</v>
      </c>
      <c r="K15" s="69" t="s">
        <v>313</v>
      </c>
      <c r="L15" s="63" t="str">
        <f>IF(G15="??","??",IF((AND((G15&gt;111.19%),(G15&lt;166.7%))),"Yes", "No"))</f>
        <v>??</v>
      </c>
      <c r="M15" s="10" t="s">
        <v>314</v>
      </c>
      <c r="O15" s="31" t="str">
        <f>C15</f>
        <v>Dose @COM-PTV (%)</v>
      </c>
      <c r="P15" s="11" t="str">
        <f ca="1">SUBSTITUTE(CELL("address",G15),"$","")</f>
        <v>G15</v>
      </c>
      <c r="Q15" s="65" t="str">
        <f t="shared" ca="1" si="0"/>
        <v>??</v>
      </c>
      <c r="R15" s="11" t="str">
        <f ca="1">VLOOKUP(CELL("format",INDIRECT(P15)),CellFormatCodes[],2,FALSE)</f>
        <v>0.0%</v>
      </c>
      <c r="T15" s="3" t="s">
        <v>121</v>
      </c>
      <c r="U15" s="3" t="s">
        <v>292</v>
      </c>
      <c r="V15" s="3" t="s">
        <v>30</v>
      </c>
      <c r="W15" s="3" t="s">
        <v>159</v>
      </c>
      <c r="X15" s="280" t="s">
        <v>62</v>
      </c>
      <c r="Y15" s="3" t="s">
        <v>65</v>
      </c>
      <c r="Z15" s="3" t="s">
        <v>199</v>
      </c>
      <c r="AA15" s="3" t="s">
        <v>180</v>
      </c>
      <c r="AB15" s="3"/>
      <c r="AC15" s="3"/>
      <c r="AD15" s="3" t="s">
        <v>161</v>
      </c>
    </row>
    <row r="16" spans="2:30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 (%)</v>
      </c>
      <c r="P16" s="11" t="str">
        <f ca="1">SUBSTITUTE(CELL("address",G17),"$","")</f>
        <v>G17</v>
      </c>
      <c r="Q16" s="46" t="str">
        <f t="shared" ca="1" si="0"/>
        <v>??</v>
      </c>
      <c r="R16" s="11" t="str">
        <f ca="1">VLOOKUP(CELL("format",INDIRECT(P16)),CellFormatCodes[],2,FALSE)</f>
        <v>0.0%</v>
      </c>
      <c r="T16" s="3" t="s">
        <v>122</v>
      </c>
      <c r="U16" s="3" t="s">
        <v>79</v>
      </c>
      <c r="V16" s="3" t="s">
        <v>237</v>
      </c>
      <c r="W16" s="3" t="s">
        <v>159</v>
      </c>
      <c r="X16" s="280" t="s">
        <v>62</v>
      </c>
      <c r="Y16" s="3" t="s">
        <v>65</v>
      </c>
      <c r="Z16" s="3" t="s">
        <v>199</v>
      </c>
      <c r="AA16" s="3" t="s">
        <v>180</v>
      </c>
      <c r="AB16" s="3"/>
      <c r="AC16" s="3"/>
      <c r="AD16" s="3" t="s">
        <v>291</v>
      </c>
    </row>
    <row r="17" spans="2:30" x14ac:dyDescent="0.2">
      <c r="B17" s="24"/>
      <c r="C17" s="48" t="s">
        <v>292</v>
      </c>
      <c r="D17" s="49"/>
      <c r="E17" s="49"/>
      <c r="F17" s="60"/>
      <c r="G17" s="66" t="s">
        <v>310</v>
      </c>
      <c r="H17" s="75"/>
      <c r="I17" s="68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11" t="str">
        <f ca="1">SUBSTITUTE(CELL("address",G18),"$","")</f>
        <v>G18</v>
      </c>
      <c r="Q17" s="46" t="str">
        <f t="shared" ca="1" si="0"/>
        <v>??</v>
      </c>
      <c r="R17" s="11" t="str">
        <f ca="1">VLOOKUP(CELL("format",INDIRECT(P17)),CellFormatCodes[],2,FALSE)</f>
        <v>0.0%</v>
      </c>
      <c r="T17" s="3" t="s">
        <v>123</v>
      </c>
      <c r="U17" s="3" t="s">
        <v>80</v>
      </c>
      <c r="V17" s="3" t="s">
        <v>236</v>
      </c>
      <c r="W17" s="3" t="s">
        <v>159</v>
      </c>
      <c r="X17" s="280" t="s">
        <v>62</v>
      </c>
      <c r="Y17" s="3" t="s">
        <v>65</v>
      </c>
      <c r="Z17" s="3" t="s">
        <v>199</v>
      </c>
      <c r="AA17" s="3" t="s">
        <v>180</v>
      </c>
      <c r="AB17" s="3"/>
      <c r="AC17" s="3"/>
      <c r="AD17" s="3" t="s">
        <v>290</v>
      </c>
    </row>
    <row r="18" spans="2:30" ht="13.5" thickBot="1" x14ac:dyDescent="0.25">
      <c r="B18" s="24"/>
      <c r="C18" s="57" t="s">
        <v>79</v>
      </c>
      <c r="D18" s="27"/>
      <c r="E18" s="27"/>
      <c r="F18" s="28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11" t="str">
        <f ca="1">SUBSTITUTE(CELL("address",G19),"$","")</f>
        <v>G19</v>
      </c>
      <c r="Q18" s="46" t="str">
        <f t="shared" ca="1" si="0"/>
        <v>??</v>
      </c>
      <c r="R18" s="11" t="str">
        <f ca="1">VLOOKUP(CELL("format",INDIRECT(P18)),CellFormatCodes[],2,FALSE)</f>
        <v>0.0%</v>
      </c>
      <c r="T18" s="3" t="s">
        <v>124</v>
      </c>
      <c r="U18" s="3" t="s">
        <v>81</v>
      </c>
      <c r="V18" s="3" t="s">
        <v>33</v>
      </c>
      <c r="W18" s="3" t="s">
        <v>157</v>
      </c>
      <c r="X18" s="280" t="s">
        <v>60</v>
      </c>
      <c r="Y18" s="3" t="s">
        <v>65</v>
      </c>
      <c r="Z18" s="3" t="s">
        <v>199</v>
      </c>
      <c r="AA18" s="3" t="s">
        <v>184</v>
      </c>
      <c r="AB18" s="3"/>
      <c r="AC18" s="3" t="s">
        <v>289</v>
      </c>
      <c r="AD18" s="3" t="s">
        <v>160</v>
      </c>
    </row>
    <row r="19" spans="2:30" ht="13.5" thickBot="1" x14ac:dyDescent="0.25">
      <c r="B19" s="19"/>
      <c r="C19" s="81" t="s">
        <v>80</v>
      </c>
      <c r="D19" s="20"/>
      <c r="E19" s="20"/>
      <c r="F19" s="21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11" t="str">
        <f ca="1">SUBSTITUTE(CELL("address",G21),"$","")</f>
        <v>G21</v>
      </c>
      <c r="Q19" s="86" t="str">
        <f t="shared" ca="1" si="0"/>
        <v>??</v>
      </c>
      <c r="R19" s="11" t="str">
        <f ca="1">VLOOKUP(CELL("format",INDIRECT(P19)),CellFormatCodes[],2,FALSE)</f>
        <v>General</v>
      </c>
      <c r="T19" s="3" t="s">
        <v>125</v>
      </c>
      <c r="U19" s="3" t="s">
        <v>82</v>
      </c>
      <c r="V19" s="3" t="s">
        <v>34</v>
      </c>
      <c r="W19" s="3" t="s">
        <v>157</v>
      </c>
      <c r="X19" s="280" t="s">
        <v>60</v>
      </c>
      <c r="Y19" s="3" t="s">
        <v>65</v>
      </c>
      <c r="Z19" s="3" t="s">
        <v>199</v>
      </c>
      <c r="AA19" s="3" t="s">
        <v>185</v>
      </c>
      <c r="AB19" s="3"/>
      <c r="AC19" s="3"/>
      <c r="AD19" s="3" t="s">
        <v>160</v>
      </c>
    </row>
    <row r="20" spans="2:30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11" t="str">
        <f ca="1">SUBSTITUTE(CELL("address",G22),"$","")</f>
        <v>G22</v>
      </c>
      <c r="Q20" s="86" t="str">
        <f t="shared" ca="1" si="0"/>
        <v>??</v>
      </c>
      <c r="R20" s="11" t="str">
        <f ca="1">VLOOKUP(CELL("format",INDIRECT(P20)),CellFormatCodes[],2,FALSE)</f>
        <v>General</v>
      </c>
      <c r="T20" s="3" t="s">
        <v>126</v>
      </c>
      <c r="U20" s="3" t="s">
        <v>83</v>
      </c>
      <c r="V20" s="3" t="s">
        <v>35</v>
      </c>
      <c r="W20" s="3" t="s">
        <v>159</v>
      </c>
      <c r="X20" s="280" t="s">
        <v>64</v>
      </c>
      <c r="Y20" s="3" t="s">
        <v>65</v>
      </c>
      <c r="Z20" s="3" t="s">
        <v>199</v>
      </c>
      <c r="AA20" s="3" t="s">
        <v>186</v>
      </c>
      <c r="AB20" s="3"/>
      <c r="AC20" s="3"/>
      <c r="AD20" s="3" t="s">
        <v>164</v>
      </c>
    </row>
    <row r="21" spans="2:30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93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11" t="str">
        <f ca="1">SUBSTITUTE(CELL("address",G24),"$","")</f>
        <v>G24</v>
      </c>
      <c r="Q21" s="96" t="str">
        <f t="shared" ca="1" si="0"/>
        <v>??</v>
      </c>
      <c r="R21" s="11" t="str">
        <f ca="1">VLOOKUP(CELL("format",INDIRECT(P21)),CellFormatCodes[],2,FALSE)</f>
        <v>General</v>
      </c>
      <c r="T21" s="3" t="s">
        <v>127</v>
      </c>
      <c r="U21" s="3" t="s">
        <v>84</v>
      </c>
      <c r="V21" s="3" t="s">
        <v>36</v>
      </c>
      <c r="W21" s="3" t="s">
        <v>157</v>
      </c>
      <c r="X21" s="280" t="s">
        <v>60</v>
      </c>
      <c r="Y21" s="3" t="s">
        <v>65</v>
      </c>
      <c r="Z21" s="3" t="s">
        <v>199</v>
      </c>
      <c r="AA21" s="3" t="s">
        <v>187</v>
      </c>
      <c r="AB21" s="3"/>
      <c r="AC21" s="3"/>
      <c r="AD21" s="3" t="s">
        <v>160</v>
      </c>
    </row>
    <row r="22" spans="2:30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tr">
        <f>IFERROR('[1]Calculations 48Gy4F_ or_ 60Gy5F'!J31,"??")</f>
        <v>??</v>
      </c>
      <c r="I22" s="101" t="s">
        <v>302</v>
      </c>
      <c r="J22" s="20"/>
      <c r="K22" s="102" t="s">
        <v>324</v>
      </c>
      <c r="L22" s="103" t="str">
        <f>'[1]Calculations 48Gy4F_ or_ 60Gy5F'!K31</f>
        <v>??</v>
      </c>
      <c r="M22" s="10" t="s">
        <v>325</v>
      </c>
      <c r="O22" s="31" t="str">
        <f>C25</f>
        <v>Volume</v>
      </c>
      <c r="P22" s="11" t="str">
        <f ca="1">SUBSTITUTE(CELL("address",G25),"$","")</f>
        <v>G25</v>
      </c>
      <c r="Q22" s="96" t="str">
        <f t="shared" ca="1" si="0"/>
        <v xml:space="preserve"> ??</v>
      </c>
      <c r="R22" s="11" t="str">
        <f ca="1">VLOOKUP(CELL("format",INDIRECT(P22)),CellFormatCodes[],2,FALSE)</f>
        <v>General</v>
      </c>
      <c r="T22" s="3" t="s">
        <v>128</v>
      </c>
      <c r="U22" s="3" t="s">
        <v>85</v>
      </c>
      <c r="V22" s="3" t="s">
        <v>37</v>
      </c>
      <c r="W22" s="3" t="s">
        <v>158</v>
      </c>
      <c r="X22" s="280" t="s">
        <v>64</v>
      </c>
      <c r="Y22" s="3" t="s">
        <v>65</v>
      </c>
      <c r="Z22" s="3" t="s">
        <v>199</v>
      </c>
      <c r="AA22" s="3" t="s">
        <v>181</v>
      </c>
      <c r="AB22" s="3" t="s">
        <v>173</v>
      </c>
      <c r="AC22" s="3"/>
      <c r="AD22" s="3" t="s">
        <v>165</v>
      </c>
    </row>
    <row r="23" spans="2:30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11" t="str">
        <f ca="1">SUBSTITUTE(CELL("address",G29),"$","")</f>
        <v>G29</v>
      </c>
      <c r="Q23" s="96" t="str">
        <f t="shared" ca="1" si="0"/>
        <v>??</v>
      </c>
      <c r="R23" s="11" t="str">
        <f ca="1">VLOOKUP(CELL("format",INDIRECT(P23)),CellFormatCodes[],2,FALSE)</f>
        <v>General</v>
      </c>
      <c r="T23" s="3" t="s">
        <v>129</v>
      </c>
      <c r="U23" s="3" t="s">
        <v>86</v>
      </c>
      <c r="V23" s="3" t="s">
        <v>38</v>
      </c>
      <c r="W23" s="3" t="s">
        <v>158</v>
      </c>
      <c r="X23" s="280" t="s">
        <v>64</v>
      </c>
      <c r="Y23" s="3" t="s">
        <v>65</v>
      </c>
      <c r="Z23" s="3" t="s">
        <v>199</v>
      </c>
      <c r="AA23" s="3" t="s">
        <v>181</v>
      </c>
      <c r="AB23" s="3" t="s">
        <v>172</v>
      </c>
      <c r="AC23" s="3"/>
      <c r="AD23" s="3" t="s">
        <v>165</v>
      </c>
    </row>
    <row r="24" spans="2:30" ht="15.75" x14ac:dyDescent="0.3">
      <c r="B24" s="47" t="s">
        <v>302</v>
      </c>
      <c r="C24" s="90" t="s">
        <v>319</v>
      </c>
      <c r="D24" s="104" t="s">
        <v>327</v>
      </c>
      <c r="E24" s="77"/>
      <c r="F24" s="91"/>
      <c r="G24" s="92" t="s">
        <v>310</v>
      </c>
      <c r="H24" s="105"/>
      <c r="I24" s="106"/>
      <c r="J24" s="77"/>
      <c r="K24" s="107" t="str">
        <f>IFERROR('[1]Calculations 48Gy4F_ or_ 60Gy5F'!L27/100,"")</f>
        <v/>
      </c>
      <c r="L24" s="95" t="str">
        <f>'[1]Calculations 48Gy4F_ or_ 60Gy5F'!K33</f>
        <v>??</v>
      </c>
      <c r="M24" s="64" t="s">
        <v>328</v>
      </c>
      <c r="O24" s="31" t="str">
        <f>C30</f>
        <v>Mean Dose (Total lung)</v>
      </c>
      <c r="P24" s="11" t="str">
        <f ca="1">SUBSTITUTE(CELL("address",G30),"$","")</f>
        <v>G30</v>
      </c>
      <c r="Q24" s="96" t="str">
        <f t="shared" ca="1" si="0"/>
        <v>??</v>
      </c>
      <c r="R24" s="11" t="str">
        <f ca="1">VLOOKUP(CELL("format",INDIRECT(P24)),CellFormatCodes[],2,FALSE)</f>
        <v>General</v>
      </c>
      <c r="T24" s="3" t="s">
        <v>130</v>
      </c>
      <c r="U24" s="3" t="s">
        <v>87</v>
      </c>
      <c r="V24" s="3" t="s">
        <v>39</v>
      </c>
      <c r="W24" s="3" t="s">
        <v>159</v>
      </c>
      <c r="X24" s="280" t="s">
        <v>62</v>
      </c>
      <c r="Y24" s="3" t="s">
        <v>65</v>
      </c>
      <c r="Z24" s="3" t="s">
        <v>199</v>
      </c>
      <c r="AA24" s="3" t="s">
        <v>181</v>
      </c>
      <c r="AB24" s="3" t="s">
        <v>172</v>
      </c>
      <c r="AC24" s="3"/>
      <c r="AD24" s="3" t="s">
        <v>166</v>
      </c>
    </row>
    <row r="25" spans="2:30" ht="16.5" thickBot="1" x14ac:dyDescent="0.35">
      <c r="B25" s="97" t="s">
        <v>302</v>
      </c>
      <c r="C25" s="98" t="s">
        <v>160</v>
      </c>
      <c r="D25" s="108" t="s">
        <v>329</v>
      </c>
      <c r="E25" s="20"/>
      <c r="F25" s="109"/>
      <c r="G25" s="110" t="s">
        <v>330</v>
      </c>
      <c r="H25" s="111" t="str">
        <f>IFERROR('[1]Calculations 48Gy4F_ or_ 60Gy5F'!J32,"??")</f>
        <v>??</v>
      </c>
      <c r="I25" s="112" t="s">
        <v>302</v>
      </c>
      <c r="J25" s="20"/>
      <c r="K25" s="113" t="str">
        <f>IFERROR('[1]Calculations 48Gy4F_ or_ 60Gy5F'!I27,"")</f>
        <v/>
      </c>
      <c r="L25" s="114" t="str">
        <f>IFERROR('[1]Calculations 48Gy4F_ or_ 60Gy5F'!K32,"??")</f>
        <v>??</v>
      </c>
      <c r="M25" s="64" t="s">
        <v>331</v>
      </c>
      <c r="O25" s="31" t="str">
        <f>C31</f>
        <v>V20 (Total Lung) in %</v>
      </c>
      <c r="P25" s="11" t="str">
        <f ca="1">SUBSTITUTE(CELL("address",G31),"$","")</f>
        <v>G31</v>
      </c>
      <c r="Q25" s="96" t="str">
        <f t="shared" ca="1" si="0"/>
        <v>??</v>
      </c>
      <c r="R25" s="11" t="str">
        <f ca="1">VLOOKUP(CELL("format",INDIRECT(P25)),CellFormatCodes[],2,FALSE)</f>
        <v>0.0%</v>
      </c>
      <c r="T25" s="3" t="s">
        <v>131</v>
      </c>
      <c r="U25" s="3" t="s">
        <v>88</v>
      </c>
      <c r="V25" s="3" t="s">
        <v>40</v>
      </c>
      <c r="W25" s="3" t="s">
        <v>157</v>
      </c>
      <c r="X25" s="280" t="s">
        <v>60</v>
      </c>
      <c r="Y25" s="3" t="s">
        <v>65</v>
      </c>
      <c r="Z25" s="3" t="s">
        <v>199</v>
      </c>
      <c r="AA25" s="3" t="s">
        <v>181</v>
      </c>
      <c r="AB25" s="3" t="s">
        <v>172</v>
      </c>
      <c r="AC25" s="3"/>
      <c r="AD25" s="3" t="s">
        <v>167</v>
      </c>
    </row>
    <row r="26" spans="2:30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CONCATENATE(C32," ",F32)</f>
        <v xml:space="preserve">Lung-Basic Function </v>
      </c>
      <c r="P26" s="11" t="str">
        <f ca="1">SUBSTITUTE(CELL("address",G32),"$","")</f>
        <v>G32</v>
      </c>
      <c r="Q26" s="96" t="str">
        <f t="shared" ca="1" si="0"/>
        <v>??</v>
      </c>
      <c r="R26" s="11" t="str">
        <f ca="1">VLOOKUP(CELL("format",INDIRECT(P26)),CellFormatCodes[],2,FALSE)</f>
        <v>General</v>
      </c>
      <c r="T26" s="3" t="s">
        <v>132</v>
      </c>
      <c r="U26" s="3" t="s">
        <v>89</v>
      </c>
      <c r="V26" s="3" t="s">
        <v>41</v>
      </c>
      <c r="W26" s="3" t="s">
        <v>157</v>
      </c>
      <c r="X26" s="280" t="s">
        <v>60</v>
      </c>
      <c r="Y26" s="3" t="s">
        <v>65</v>
      </c>
      <c r="Z26" s="3" t="s">
        <v>199</v>
      </c>
      <c r="AA26" s="3" t="s">
        <v>181</v>
      </c>
      <c r="AB26" s="3" t="s">
        <v>172</v>
      </c>
      <c r="AC26" s="3"/>
      <c r="AD26" s="3" t="s">
        <v>168</v>
      </c>
    </row>
    <row r="27" spans="2:30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",F33)</f>
        <v xml:space="preserve">Lung-Pneumonitis </v>
      </c>
      <c r="P27" s="11" t="str">
        <f ca="1">SUBSTITUTE(CELL("address",G33),"$","")</f>
        <v>G33</v>
      </c>
      <c r="Q27" s="96" t="str">
        <f t="shared" ca="1" si="0"/>
        <v>??</v>
      </c>
      <c r="R27" s="11" t="str">
        <f ca="1">VLOOKUP(CELL("format",INDIRECT(P27)),CellFormatCodes[],2,FALSE)</f>
        <v>General</v>
      </c>
      <c r="T27" s="3" t="s">
        <v>133</v>
      </c>
      <c r="U27" s="3" t="s">
        <v>288</v>
      </c>
      <c r="V27" s="3" t="s">
        <v>42</v>
      </c>
      <c r="W27" s="3" t="s">
        <v>158</v>
      </c>
      <c r="X27" s="280" t="s">
        <v>64</v>
      </c>
      <c r="Y27" s="3" t="s">
        <v>65</v>
      </c>
      <c r="Z27" s="3" t="s">
        <v>199</v>
      </c>
      <c r="AA27" s="3" t="s">
        <v>188</v>
      </c>
      <c r="AB27" s="3"/>
      <c r="AC27" s="3"/>
      <c r="AD27" s="3" t="s">
        <v>164</v>
      </c>
    </row>
    <row r="28" spans="2:30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Aorta  (max point dose)</v>
      </c>
      <c r="P28" s="11" t="str">
        <f ca="1">SUBSTITUTE(CELL("address",G35),"$","")</f>
        <v>G35</v>
      </c>
      <c r="Q28" s="96" t="str">
        <f t="shared" ca="1" si="0"/>
        <v>??</v>
      </c>
      <c r="R28" s="11" t="str">
        <f ca="1">VLOOKUP(CELL("format",INDIRECT(P28)),CellFormatCodes[],2,FALSE)</f>
        <v>General</v>
      </c>
      <c r="T28" s="3" t="s">
        <v>286</v>
      </c>
      <c r="U28" s="3" t="s">
        <v>287</v>
      </c>
      <c r="V28" s="3" t="s">
        <v>43</v>
      </c>
      <c r="W28" s="3" t="s">
        <v>157</v>
      </c>
      <c r="X28" s="280" t="s">
        <v>60</v>
      </c>
      <c r="Y28" s="3" t="s">
        <v>65</v>
      </c>
      <c r="Z28" s="3" t="s">
        <v>199</v>
      </c>
      <c r="AA28" s="3" t="s">
        <v>188</v>
      </c>
      <c r="AB28" s="3"/>
      <c r="AC28" s="3"/>
      <c r="AD28" s="3" t="s">
        <v>260</v>
      </c>
    </row>
    <row r="29" spans="2:30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Aorta  V40Gy=</v>
      </c>
      <c r="P29" s="11" t="str">
        <f ca="1">SUBSTITUTE(CELL("address",G36),"$","")</f>
        <v>G36</v>
      </c>
      <c r="Q29" s="96" t="str">
        <f t="shared" ca="1" si="0"/>
        <v>??</v>
      </c>
      <c r="R29" s="11" t="str">
        <f ca="1">VLOOKUP(CELL("format",INDIRECT(P29)),CellFormatCodes[],2,FALSE)</f>
        <v>General</v>
      </c>
      <c r="T29" s="3" t="s">
        <v>134</v>
      </c>
      <c r="U29" s="3" t="s">
        <v>91</v>
      </c>
      <c r="V29" s="3" t="s">
        <v>44</v>
      </c>
      <c r="W29" s="3" t="s">
        <v>158</v>
      </c>
      <c r="X29" s="280" t="s">
        <v>64</v>
      </c>
      <c r="Y29" s="3" t="s">
        <v>65</v>
      </c>
      <c r="Z29" s="3" t="s">
        <v>199</v>
      </c>
      <c r="AA29" s="3" t="s">
        <v>189</v>
      </c>
      <c r="AB29" s="3"/>
      <c r="AC29" s="3"/>
      <c r="AD29" s="3" t="s">
        <v>164</v>
      </c>
    </row>
    <row r="30" spans="2:30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Artery-Pulmonary (max point dose)</v>
      </c>
      <c r="P30" s="11" t="str">
        <f ca="1">SUBSTITUTE(CELL("address",G37),"$","")</f>
        <v>G37</v>
      </c>
      <c r="Q30" s="96" t="str">
        <f t="shared" ca="1" si="0"/>
        <v>??</v>
      </c>
      <c r="R30" s="11" t="str">
        <f ca="1">VLOOKUP(CELL("format",INDIRECT(P30)),CellFormatCodes[],2,FALSE)</f>
        <v>General</v>
      </c>
      <c r="T30" s="3" t="s">
        <v>284</v>
      </c>
      <c r="U30" s="3" t="s">
        <v>285</v>
      </c>
      <c r="V30" s="3" t="s">
        <v>45</v>
      </c>
      <c r="W30" s="3" t="s">
        <v>157</v>
      </c>
      <c r="X30" s="280" t="s">
        <v>60</v>
      </c>
      <c r="Y30" s="3" t="s">
        <v>65</v>
      </c>
      <c r="Z30" s="3" t="s">
        <v>199</v>
      </c>
      <c r="AA30" s="3" t="s">
        <v>189</v>
      </c>
      <c r="AB30" s="3"/>
      <c r="AC30" s="3"/>
      <c r="AD30" s="3" t="s">
        <v>260</v>
      </c>
    </row>
    <row r="31" spans="2:30" ht="14.25" x14ac:dyDescent="0.25">
      <c r="B31" s="24"/>
      <c r="C31" s="24" t="s">
        <v>340</v>
      </c>
      <c r="D31" s="27"/>
      <c r="E31" s="269" t="s">
        <v>341</v>
      </c>
      <c r="F31" s="270"/>
      <c r="G31" s="76" t="s">
        <v>310</v>
      </c>
      <c r="H31" s="126" t="s">
        <v>302</v>
      </c>
      <c r="I31" s="77"/>
      <c r="J31" s="77"/>
      <c r="K31" s="127" t="s">
        <v>342</v>
      </c>
      <c r="L31" s="128" t="str">
        <f>'[1]Calculations 48Gy4F_ or_ 60Gy5F'!K34</f>
        <v>??</v>
      </c>
      <c r="M31" s="129" t="s">
        <v>343</v>
      </c>
      <c r="O31" s="31" t="str">
        <f>CONCATENATE(C37," ",F38)</f>
        <v>Artery-Pulmonary V40Gy=</v>
      </c>
      <c r="P31" s="11" t="str">
        <f ca="1">SUBSTITUTE(CELL("address",G38),"$","")</f>
        <v>G38</v>
      </c>
      <c r="Q31" s="96" t="str">
        <f t="shared" ca="1" si="0"/>
        <v>??</v>
      </c>
      <c r="R31" s="11" t="str">
        <f ca="1">VLOOKUP(CELL("format",INDIRECT(P31)),CellFormatCodes[],2,FALSE)</f>
        <v>General</v>
      </c>
      <c r="T31" s="3" t="s">
        <v>135</v>
      </c>
      <c r="U31" s="3" t="s">
        <v>92</v>
      </c>
      <c r="V31" s="3" t="s">
        <v>46</v>
      </c>
      <c r="W31" s="3" t="s">
        <v>158</v>
      </c>
      <c r="X31" s="280" t="s">
        <v>64</v>
      </c>
      <c r="Y31" s="3" t="s">
        <v>65</v>
      </c>
      <c r="Z31" s="3" t="s">
        <v>199</v>
      </c>
      <c r="AA31" s="3" t="s">
        <v>190</v>
      </c>
      <c r="AB31" s="3"/>
      <c r="AC31" s="3"/>
      <c r="AD31" s="3" t="s">
        <v>164</v>
      </c>
    </row>
    <row r="32" spans="2:30" ht="14.25" x14ac:dyDescent="0.25">
      <c r="B32" s="24"/>
      <c r="C32" s="24" t="s">
        <v>88</v>
      </c>
      <c r="D32" s="27"/>
      <c r="E32" s="269" t="s">
        <v>344</v>
      </c>
      <c r="F32" s="270"/>
      <c r="G32" s="92" t="s">
        <v>310</v>
      </c>
      <c r="H32" s="130"/>
      <c r="I32" s="77"/>
      <c r="J32" s="77"/>
      <c r="K32" s="131">
        <v>1500</v>
      </c>
      <c r="L32" s="132" t="str">
        <f>IF(G32="??","??",IF(G32&lt;=K32,"Yes","No"))</f>
        <v>??</v>
      </c>
      <c r="M32" s="133" t="s">
        <v>345</v>
      </c>
      <c r="O32" s="31" t="str">
        <f>CONCATENATE(C39," ",F39)</f>
        <v>Spinal Canal (max point dose)</v>
      </c>
      <c r="P32" s="11" t="str">
        <f ca="1">SUBSTITUTE(CELL("address",G39),"$","")</f>
        <v>G39</v>
      </c>
      <c r="Q32" s="96" t="str">
        <f t="shared" ca="1" si="0"/>
        <v>??</v>
      </c>
      <c r="R32" s="11" t="str">
        <f ca="1">VLOOKUP(CELL("format",INDIRECT(P32)),CellFormatCodes[],2,FALSE)</f>
        <v>General</v>
      </c>
      <c r="T32" s="3" t="s">
        <v>282</v>
      </c>
      <c r="U32" s="3" t="s">
        <v>283</v>
      </c>
      <c r="V32" s="3" t="s">
        <v>47</v>
      </c>
      <c r="W32" s="3" t="s">
        <v>157</v>
      </c>
      <c r="X32" s="280" t="s">
        <v>60</v>
      </c>
      <c r="Y32" s="3" t="s">
        <v>65</v>
      </c>
      <c r="Z32" s="3" t="s">
        <v>199</v>
      </c>
      <c r="AA32" s="3" t="s">
        <v>190</v>
      </c>
      <c r="AB32" s="3"/>
      <c r="AC32" s="3"/>
      <c r="AD32" s="3" t="s">
        <v>281</v>
      </c>
    </row>
    <row r="33" spans="2:30" ht="15" thickBot="1" x14ac:dyDescent="0.3">
      <c r="B33" s="24"/>
      <c r="C33" s="134" t="s">
        <v>89</v>
      </c>
      <c r="D33" s="27"/>
      <c r="E33" s="271" t="s">
        <v>346</v>
      </c>
      <c r="F33" s="272"/>
      <c r="G33" s="135" t="s">
        <v>310</v>
      </c>
      <c r="H33" s="130"/>
      <c r="I33" s="27"/>
      <c r="J33" s="27"/>
      <c r="K33" s="117">
        <v>1000</v>
      </c>
      <c r="L33" s="132" t="str">
        <f>IF(G33="??","??",IF(G33&lt;=K33,"Yes","No"))</f>
        <v>??</v>
      </c>
      <c r="M33" s="133" t="s">
        <v>345</v>
      </c>
      <c r="O33" s="31" t="str">
        <f>CONCATENATE(C39," ",F40)</f>
        <v>Spinal Canal V20.8Gy=</v>
      </c>
      <c r="P33" s="11" t="str">
        <f ca="1">SUBSTITUTE(CELL("address",G40),"$","")</f>
        <v>G40</v>
      </c>
      <c r="Q33" s="96" t="str">
        <f t="shared" ca="1" si="0"/>
        <v>??</v>
      </c>
      <c r="R33" s="11" t="str">
        <f ca="1">VLOOKUP(CELL("format",INDIRECT(P33)),CellFormatCodes[],2,FALSE)</f>
        <v>General</v>
      </c>
      <c r="T33" s="3" t="s">
        <v>279</v>
      </c>
      <c r="U33" s="3" t="s">
        <v>280</v>
      </c>
      <c r="V33" s="3" t="s">
        <v>48</v>
      </c>
      <c r="W33" s="3" t="s">
        <v>157</v>
      </c>
      <c r="X33" s="280" t="s">
        <v>60</v>
      </c>
      <c r="Y33" s="3" t="s">
        <v>65</v>
      </c>
      <c r="Z33" s="3" t="s">
        <v>199</v>
      </c>
      <c r="AA33" s="3" t="s">
        <v>190</v>
      </c>
      <c r="AB33" s="3"/>
      <c r="AC33" s="3"/>
      <c r="AD33" s="3" t="s">
        <v>278</v>
      </c>
    </row>
    <row r="34" spans="2:30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CONCATENATE(C39," ",F41)</f>
        <v>Spinal Canal V13.6Gy=</v>
      </c>
      <c r="P34" s="11" t="str">
        <f ca="1">SUBSTITUTE(CELL("address",G41),"$","")</f>
        <v>G41</v>
      </c>
      <c r="Q34" s="96" t="str">
        <f t="shared" ca="1" si="0"/>
        <v>??</v>
      </c>
      <c r="R34" s="11" t="str">
        <f ca="1">VLOOKUP(CELL("format",INDIRECT(P34)),CellFormatCodes[],2,FALSE)</f>
        <v>General</v>
      </c>
      <c r="T34" s="3" t="s">
        <v>136</v>
      </c>
      <c r="U34" s="3" t="s">
        <v>277</v>
      </c>
      <c r="V34" s="3" t="s">
        <v>49</v>
      </c>
      <c r="W34" s="3" t="s">
        <v>158</v>
      </c>
      <c r="X34" s="280" t="s">
        <v>64</v>
      </c>
      <c r="Y34" s="3" t="s">
        <v>65</v>
      </c>
      <c r="Z34" s="3" t="s">
        <v>199</v>
      </c>
      <c r="AA34" s="3" t="s">
        <v>191</v>
      </c>
      <c r="AB34" s="3"/>
      <c r="AC34" s="3"/>
      <c r="AD34" s="3" t="s">
        <v>164</v>
      </c>
    </row>
    <row r="35" spans="2:30" x14ac:dyDescent="0.2">
      <c r="B35" s="24"/>
      <c r="C35" s="136" t="s">
        <v>348</v>
      </c>
      <c r="D35" s="49" t="s">
        <v>302</v>
      </c>
      <c r="E35" s="77"/>
      <c r="F35" s="137" t="s">
        <v>349</v>
      </c>
      <c r="G35" s="138" t="s">
        <v>310</v>
      </c>
      <c r="H35" s="60"/>
      <c r="I35" s="49"/>
      <c r="J35" s="49"/>
      <c r="K35" s="53">
        <v>4800</v>
      </c>
      <c r="L35" s="95" t="str">
        <f>IF(G35="??","??",IF(G35&lt;=4800,"Yes","No"))</f>
        <v>??</v>
      </c>
      <c r="M35" s="64" t="s">
        <v>350</v>
      </c>
      <c r="O35" s="31" t="str">
        <f>CONCATENATE(C42," ",F42)</f>
        <v>Spinal Canal-PRV 5mm (max point dose)</v>
      </c>
      <c r="P35" s="11" t="str">
        <f ca="1">SUBSTITUTE(CELL("address",G42),"$","")</f>
        <v>G42</v>
      </c>
      <c r="Q35" s="96" t="str">
        <f t="shared" ca="1" si="0"/>
        <v>??</v>
      </c>
      <c r="R35" s="11" t="str">
        <f ca="1">VLOOKUP(CELL("format",INDIRECT(P35)),CellFormatCodes[],2,FALSE)</f>
        <v>General</v>
      </c>
      <c r="T35" s="3" t="s">
        <v>137</v>
      </c>
      <c r="U35" s="3" t="s">
        <v>94</v>
      </c>
      <c r="V35" s="3" t="s">
        <v>50</v>
      </c>
      <c r="W35" s="3" t="s">
        <v>158</v>
      </c>
      <c r="X35" s="280" t="s">
        <v>64</v>
      </c>
      <c r="Y35" s="3" t="s">
        <v>65</v>
      </c>
      <c r="Z35" s="3" t="s">
        <v>199</v>
      </c>
      <c r="AA35" s="3" t="s">
        <v>192</v>
      </c>
      <c r="AB35" s="3"/>
      <c r="AC35" s="3"/>
      <c r="AD35" s="3" t="s">
        <v>164</v>
      </c>
    </row>
    <row r="36" spans="2:30" ht="14.25" x14ac:dyDescent="0.2">
      <c r="B36" s="24"/>
      <c r="C36" s="139"/>
      <c r="D36" s="140" t="s">
        <v>351</v>
      </c>
      <c r="E36" s="123"/>
      <c r="F36" s="141" t="s">
        <v>352</v>
      </c>
      <c r="G36" s="142" t="str">
        <f>IF(G35&lt;=4000,"OK","??")</f>
        <v>??</v>
      </c>
      <c r="H36" s="91" t="s">
        <v>302</v>
      </c>
      <c r="I36" s="77"/>
      <c r="J36" s="77"/>
      <c r="K36" s="143">
        <v>10</v>
      </c>
      <c r="L36" s="95" t="str">
        <f>IF(G36="??","??",IF(G36&lt;=10,"Yes",IF(G36="OK","Yes","No")))</f>
        <v>??</v>
      </c>
      <c r="M36" s="10" t="s">
        <v>350</v>
      </c>
      <c r="O36" s="31" t="str">
        <f>CONCATENATE(C43," ",F43)</f>
        <v>Ipsilat. Brach. Plex. (max point dose)</v>
      </c>
      <c r="P36" s="11" t="str">
        <f ca="1">SUBSTITUTE(CELL("address",G43),"$","")</f>
        <v>G43</v>
      </c>
      <c r="Q36" s="96" t="str">
        <f t="shared" ca="1" si="0"/>
        <v>??</v>
      </c>
      <c r="R36" s="11" t="str">
        <f ca="1">VLOOKUP(CELL("format",INDIRECT(P36)),CellFormatCodes[],2,FALSE)</f>
        <v>General</v>
      </c>
      <c r="T36" s="3" t="s">
        <v>275</v>
      </c>
      <c r="U36" s="3" t="s">
        <v>276</v>
      </c>
      <c r="V36" s="3" t="s">
        <v>51</v>
      </c>
      <c r="W36" s="3" t="s">
        <v>157</v>
      </c>
      <c r="X36" s="280" t="s">
        <v>60</v>
      </c>
      <c r="Y36" s="3" t="s">
        <v>65</v>
      </c>
      <c r="Z36" s="3" t="s">
        <v>199</v>
      </c>
      <c r="AA36" s="3" t="s">
        <v>192</v>
      </c>
      <c r="AB36" s="3"/>
      <c r="AC36" s="3"/>
      <c r="AD36" s="3" t="s">
        <v>274</v>
      </c>
    </row>
    <row r="37" spans="2:30" x14ac:dyDescent="0.2">
      <c r="B37" s="24"/>
      <c r="C37" s="134" t="s">
        <v>353</v>
      </c>
      <c r="D37" s="27"/>
      <c r="E37" s="144"/>
      <c r="F37" s="137" t="s">
        <v>349</v>
      </c>
      <c r="G37" s="142" t="s">
        <v>310</v>
      </c>
      <c r="H37" s="145" t="s">
        <v>302</v>
      </c>
      <c r="I37" s="77"/>
      <c r="J37" s="77"/>
      <c r="K37" s="143">
        <v>4800</v>
      </c>
      <c r="L37" s="95" t="str">
        <f>IF(G37="??","??",IF(G37&lt;=4800,"Yes","No"))</f>
        <v>??</v>
      </c>
      <c r="M37" s="10" t="s">
        <v>350</v>
      </c>
      <c r="O37" s="31" t="str">
        <f>CONCATENATE(C43," ",F44)</f>
        <v>Ipsilat. Brach. Plex. V23.6Gy=</v>
      </c>
      <c r="P37" s="11" t="str">
        <f ca="1">SUBSTITUTE(CELL("address",G44),"$","")</f>
        <v>G44</v>
      </c>
      <c r="Q37" s="96" t="str">
        <f t="shared" ca="1" si="0"/>
        <v>??</v>
      </c>
      <c r="R37" s="11" t="str">
        <f ca="1">VLOOKUP(CELL("format",INDIRECT(P37)),CellFormatCodes[],2,FALSE)</f>
        <v>General</v>
      </c>
      <c r="T37" s="3" t="s">
        <v>138</v>
      </c>
      <c r="U37" s="3" t="s">
        <v>273</v>
      </c>
      <c r="V37" s="3" t="s">
        <v>52</v>
      </c>
      <c r="W37" s="3" t="s">
        <v>157</v>
      </c>
      <c r="X37" s="280" t="s">
        <v>60</v>
      </c>
      <c r="Y37" s="3" t="s">
        <v>65</v>
      </c>
      <c r="Z37" s="3" t="s">
        <v>199</v>
      </c>
      <c r="AA37" s="3" t="s">
        <v>95</v>
      </c>
      <c r="AB37" s="3"/>
      <c r="AC37" s="3"/>
      <c r="AD37" s="3" t="s">
        <v>169</v>
      </c>
    </row>
    <row r="38" spans="2:30" ht="14.25" x14ac:dyDescent="0.2">
      <c r="B38" s="24"/>
      <c r="C38" s="139"/>
      <c r="D38" s="140" t="s">
        <v>351</v>
      </c>
      <c r="E38" s="123"/>
      <c r="F38" s="141" t="s">
        <v>352</v>
      </c>
      <c r="G38" s="142" t="str">
        <f>IF(G37&lt;=4000,"OK","??")</f>
        <v>??</v>
      </c>
      <c r="H38" s="91"/>
      <c r="I38" s="77"/>
      <c r="J38" s="77"/>
      <c r="K38" s="143">
        <v>10</v>
      </c>
      <c r="L38" s="95" t="str">
        <f>IF(G38="??","??",IF(G38&lt;=10,"Yes",IF(G38="OK","Yes","No")))</f>
        <v>??</v>
      </c>
      <c r="M38" s="64" t="s">
        <v>350</v>
      </c>
      <c r="O38" s="31" t="str">
        <f>CONCATENATE(C45," ",F45)</f>
        <v>Skin V30Gy=</v>
      </c>
      <c r="P38" s="11" t="str">
        <f ca="1">SUBSTITUTE(CELL("address",G45),"$","")</f>
        <v>G45</v>
      </c>
      <c r="Q38" s="96" t="str">
        <f t="shared" ca="1" si="0"/>
        <v>??</v>
      </c>
      <c r="R38" s="11" t="str">
        <f ca="1">VLOOKUP(CELL("format",INDIRECT(P38)),CellFormatCodes[],2,FALSE)</f>
        <v>General</v>
      </c>
      <c r="T38" s="3" t="s">
        <v>139</v>
      </c>
      <c r="U38" s="3" t="s">
        <v>96</v>
      </c>
      <c r="V38" s="3" t="s">
        <v>272</v>
      </c>
      <c r="W38" s="3" t="s">
        <v>158</v>
      </c>
      <c r="X38" s="280" t="s">
        <v>64</v>
      </c>
      <c r="Y38" s="3" t="s">
        <v>65</v>
      </c>
      <c r="Z38" s="3" t="s">
        <v>199</v>
      </c>
      <c r="AA38" s="3" t="s">
        <v>193</v>
      </c>
      <c r="AB38" s="3"/>
      <c r="AC38" s="3"/>
      <c r="AD38" s="3" t="s">
        <v>164</v>
      </c>
    </row>
    <row r="39" spans="2:30" x14ac:dyDescent="0.2">
      <c r="B39" s="24"/>
      <c r="C39" s="24" t="s">
        <v>190</v>
      </c>
      <c r="D39" s="27"/>
      <c r="E39" s="77"/>
      <c r="F39" s="137" t="s">
        <v>349</v>
      </c>
      <c r="G39" s="135" t="s">
        <v>310</v>
      </c>
      <c r="H39" s="28"/>
      <c r="I39" s="116" t="s">
        <v>302</v>
      </c>
      <c r="J39" s="27"/>
      <c r="K39" s="87">
        <v>2600</v>
      </c>
      <c r="L39" s="95" t="str">
        <f>IF(G39="??","??",IF(G39&lt;=2600,"Yes","No"))</f>
        <v>??</v>
      </c>
      <c r="M39" s="10" t="s">
        <v>354</v>
      </c>
      <c r="O39" s="31" t="str">
        <f>CONCATENATE(C46," ",F46)</f>
        <v>Heart (max point dose)</v>
      </c>
      <c r="P39" s="11" t="str">
        <f ca="1">SUBSTITUTE(CELL("address",G46),"$","")</f>
        <v>G46</v>
      </c>
      <c r="Q39" s="96" t="str">
        <f t="shared" ca="1" si="0"/>
        <v>??</v>
      </c>
      <c r="R39" s="11" t="str">
        <f ca="1">VLOOKUP(CELL("format",INDIRECT(P39)),CellFormatCodes[],2,FALSE)</f>
        <v>General</v>
      </c>
      <c r="T39" s="3" t="s">
        <v>270</v>
      </c>
      <c r="U39" s="3" t="s">
        <v>271</v>
      </c>
      <c r="V39" s="3" t="s">
        <v>212</v>
      </c>
      <c r="W39" s="3" t="s">
        <v>157</v>
      </c>
      <c r="X39" s="280" t="s">
        <v>60</v>
      </c>
      <c r="Y39" s="3" t="s">
        <v>65</v>
      </c>
      <c r="Z39" s="3" t="s">
        <v>199</v>
      </c>
      <c r="AA39" s="3" t="s">
        <v>193</v>
      </c>
      <c r="AB39" s="3"/>
      <c r="AC39" s="3"/>
      <c r="AD39" s="3" t="s">
        <v>269</v>
      </c>
    </row>
    <row r="40" spans="2:30" ht="14.25" x14ac:dyDescent="0.2">
      <c r="B40" s="24"/>
      <c r="C40" s="24"/>
      <c r="D40" s="273" t="s">
        <v>355</v>
      </c>
      <c r="E40" s="274"/>
      <c r="F40" s="146" t="s">
        <v>356</v>
      </c>
      <c r="G40" s="142" t="str">
        <f>IF(G39&lt;=2080,"OK","??")</f>
        <v>??</v>
      </c>
      <c r="H40" s="91"/>
      <c r="I40" s="77"/>
      <c r="J40" s="77"/>
      <c r="K40" s="94">
        <v>0.35</v>
      </c>
      <c r="L40" s="95" t="str">
        <f>IF(G40="??","??",IF(G40&lt;=0.35,"Yes",IF(G40="OK","Yes","No")))</f>
        <v>??</v>
      </c>
      <c r="M40" s="10" t="s">
        <v>354</v>
      </c>
      <c r="O40" s="31" t="str">
        <f>CONCATENATE(C46," ",F47)</f>
        <v>Heart V28Gy=</v>
      </c>
      <c r="P40" s="11" t="str">
        <f ca="1">SUBSTITUTE(CELL("address",G47),"$","")</f>
        <v>G47</v>
      </c>
      <c r="Q40" s="96" t="str">
        <f t="shared" ca="1" si="0"/>
        <v>??</v>
      </c>
      <c r="R40" s="11" t="str">
        <f ca="1">VLOOKUP(CELL("format",INDIRECT(P40)),CellFormatCodes[],2,FALSE)</f>
        <v>General</v>
      </c>
      <c r="T40" s="3" t="s">
        <v>140</v>
      </c>
      <c r="U40" s="3" t="s">
        <v>97</v>
      </c>
      <c r="V40" s="3" t="s">
        <v>209</v>
      </c>
      <c r="W40" s="3" t="s">
        <v>158</v>
      </c>
      <c r="X40" s="280" t="s">
        <v>64</v>
      </c>
      <c r="Y40" s="3" t="s">
        <v>65</v>
      </c>
      <c r="Z40" s="3" t="s">
        <v>199</v>
      </c>
      <c r="AA40" s="3" t="s">
        <v>194</v>
      </c>
      <c r="AB40" s="3"/>
      <c r="AC40" s="3"/>
      <c r="AD40" s="3" t="s">
        <v>164</v>
      </c>
    </row>
    <row r="41" spans="2:30" ht="14.25" x14ac:dyDescent="0.2">
      <c r="B41" s="24"/>
      <c r="C41" s="147"/>
      <c r="D41" s="116" t="s">
        <v>357</v>
      </c>
      <c r="E41" s="123"/>
      <c r="F41" s="148" t="s">
        <v>358</v>
      </c>
      <c r="G41" s="142" t="str">
        <f>IF(G39&lt;=1360,"OK","??")</f>
        <v>??</v>
      </c>
      <c r="H41" s="122"/>
      <c r="I41" s="123"/>
      <c r="J41" s="123"/>
      <c r="K41" s="124">
        <v>1.2</v>
      </c>
      <c r="L41" s="95" t="str">
        <f>IF(G41="??","??",IF(G41&lt;=1.2,"Yes",IF(G41="OK","Yes","No")))</f>
        <v>??</v>
      </c>
      <c r="M41" s="10" t="s">
        <v>354</v>
      </c>
      <c r="O41" s="31" t="str">
        <f>CONCATENATE(C48," ",F48)</f>
        <v>Esophagus (max point dose)</v>
      </c>
      <c r="P41" s="11" t="str">
        <f ca="1">SUBSTITUTE(CELL("address",G48),"$","")</f>
        <v>G48</v>
      </c>
      <c r="Q41" s="96" t="str">
        <f t="shared" ca="1" si="0"/>
        <v>??</v>
      </c>
      <c r="R41" s="11" t="str">
        <f ca="1">VLOOKUP(CELL("format",INDIRECT(P41)),CellFormatCodes[],2,FALSE)</f>
        <v>General</v>
      </c>
      <c r="T41" s="3" t="s">
        <v>266</v>
      </c>
      <c r="U41" s="3" t="s">
        <v>267</v>
      </c>
      <c r="V41" s="3" t="s">
        <v>268</v>
      </c>
      <c r="W41" s="3" t="s">
        <v>157</v>
      </c>
      <c r="X41" s="280" t="s">
        <v>60</v>
      </c>
      <c r="Y41" s="3" t="s">
        <v>65</v>
      </c>
      <c r="Z41" s="3" t="s">
        <v>199</v>
      </c>
      <c r="AA41" s="3" t="s">
        <v>194</v>
      </c>
      <c r="AB41" s="3"/>
      <c r="AC41" s="3"/>
      <c r="AD41" s="3" t="s">
        <v>265</v>
      </c>
    </row>
    <row r="42" spans="2:30" x14ac:dyDescent="0.2">
      <c r="B42" s="24"/>
      <c r="C42" s="149" t="s">
        <v>93</v>
      </c>
      <c r="D42" s="77"/>
      <c r="E42" s="77"/>
      <c r="F42" s="150" t="s">
        <v>349</v>
      </c>
      <c r="G42" s="92" t="s">
        <v>310</v>
      </c>
      <c r="H42" s="91"/>
      <c r="I42" s="77"/>
      <c r="J42" s="77"/>
      <c r="K42" s="94">
        <v>2900</v>
      </c>
      <c r="L42" s="95" t="str">
        <f>IF(G42="??","??",IF(G42&lt;=2900,"Yes","No"))</f>
        <v>??</v>
      </c>
      <c r="M42" s="10"/>
      <c r="O42" s="31" t="str">
        <f>CONCATENATE(C48," ",F49)</f>
        <v>Esophagus V18.8Gy=</v>
      </c>
      <c r="P42" s="11" t="str">
        <f ca="1">SUBSTITUTE(CELL("address",G49),"$","")</f>
        <v>G49</v>
      </c>
      <c r="Q42" s="96" t="str">
        <f t="shared" ca="1" si="0"/>
        <v>??</v>
      </c>
      <c r="R42" s="11" t="str">
        <f ca="1">VLOOKUP(CELL("format",INDIRECT(P42)),CellFormatCodes[],2,FALSE)</f>
        <v>General</v>
      </c>
      <c r="T42" s="3" t="s">
        <v>141</v>
      </c>
      <c r="U42" s="3" t="s">
        <v>98</v>
      </c>
      <c r="V42" s="3" t="s">
        <v>264</v>
      </c>
      <c r="W42" s="3" t="s">
        <v>158</v>
      </c>
      <c r="X42" s="280" t="s">
        <v>64</v>
      </c>
      <c r="Y42" s="3" t="s">
        <v>65</v>
      </c>
      <c r="Z42" s="3" t="s">
        <v>199</v>
      </c>
      <c r="AA42" s="3" t="s">
        <v>195</v>
      </c>
      <c r="AB42" s="3"/>
      <c r="AC42" s="3"/>
      <c r="AD42" s="3" t="s">
        <v>164</v>
      </c>
    </row>
    <row r="43" spans="2:30" x14ac:dyDescent="0.2">
      <c r="B43" s="24"/>
      <c r="C43" s="136" t="s">
        <v>192</v>
      </c>
      <c r="D43" s="49"/>
      <c r="E43" s="77"/>
      <c r="F43" s="137" t="s">
        <v>349</v>
      </c>
      <c r="G43" s="151" t="s">
        <v>310</v>
      </c>
      <c r="H43" s="60"/>
      <c r="I43" s="49"/>
      <c r="J43" s="49"/>
      <c r="K43" s="69">
        <v>2700</v>
      </c>
      <c r="L43" s="95" t="str">
        <f>IF(G43="??","??",IF(G43&lt;=2700,"Yes","No"))</f>
        <v>??</v>
      </c>
      <c r="M43" s="64" t="s">
        <v>350</v>
      </c>
      <c r="O43" s="31" t="str">
        <f>CONCATENATE(C50," ",F50)</f>
        <v>*Chestwall (rib) (max point dose)</v>
      </c>
      <c r="P43" s="11" t="str">
        <f ca="1">SUBSTITUTE(CELL("address",G50),"$","")</f>
        <v>G50</v>
      </c>
      <c r="Q43" s="96" t="str">
        <f t="shared" ca="1" si="0"/>
        <v>??</v>
      </c>
      <c r="R43" s="11" t="str">
        <f ca="1">VLOOKUP(CELL("format",INDIRECT(P43)),CellFormatCodes[],2,FALSE)</f>
        <v>General</v>
      </c>
      <c r="T43" s="3" t="s">
        <v>261</v>
      </c>
      <c r="U43" s="3" t="s">
        <v>262</v>
      </c>
      <c r="V43" s="3" t="s">
        <v>263</v>
      </c>
      <c r="W43" s="3" t="s">
        <v>157</v>
      </c>
      <c r="X43" s="280" t="s">
        <v>60</v>
      </c>
      <c r="Y43" s="3" t="s">
        <v>65</v>
      </c>
      <c r="Z43" s="3" t="s">
        <v>199</v>
      </c>
      <c r="AA43" s="3" t="s">
        <v>195</v>
      </c>
      <c r="AB43" s="3"/>
      <c r="AC43" s="3"/>
      <c r="AD43" s="3" t="s">
        <v>260</v>
      </c>
    </row>
    <row r="44" spans="2:30" ht="14.25" customHeight="1" x14ac:dyDescent="0.2">
      <c r="B44" s="24"/>
      <c r="C44" s="24"/>
      <c r="D44" s="116" t="s">
        <v>359</v>
      </c>
      <c r="E44" s="152" t="s">
        <v>302</v>
      </c>
      <c r="F44" s="148" t="s">
        <v>360</v>
      </c>
      <c r="G44" s="142" t="str">
        <f>IF(G43&lt;=2360,"OK","??")</f>
        <v>??</v>
      </c>
      <c r="H44" s="91"/>
      <c r="I44" s="77"/>
      <c r="J44" s="77"/>
      <c r="K44" s="94">
        <v>3</v>
      </c>
      <c r="L44" s="95" t="str">
        <f>IF(G44="??","??",IF(G44&lt;=3,"Yes",IF(G44="OK","Yes","No")))</f>
        <v>??</v>
      </c>
      <c r="M44" s="64" t="s">
        <v>361</v>
      </c>
      <c r="O44" s="31" t="str">
        <f>CONCATENATE(C50," ",F51)</f>
        <v>*Chestwall (rib) V40Gy=</v>
      </c>
      <c r="P44" s="11" t="str">
        <f ca="1">SUBSTITUTE(CELL("address",G51),"$","")</f>
        <v>G51</v>
      </c>
      <c r="Q44" s="96" t="str">
        <f t="shared" ca="1" si="0"/>
        <v>??</v>
      </c>
      <c r="R44" s="11" t="str">
        <f ca="1">VLOOKUP(CELL("format",INDIRECT(P44)),CellFormatCodes[],2,FALSE)</f>
        <v>General</v>
      </c>
      <c r="T44" s="3" t="s">
        <v>143</v>
      </c>
      <c r="U44" s="3" t="s">
        <v>100</v>
      </c>
      <c r="V44" s="3" t="s">
        <v>259</v>
      </c>
      <c r="W44" s="3" t="s">
        <v>157</v>
      </c>
      <c r="X44" s="280" t="s">
        <v>60</v>
      </c>
      <c r="Y44" s="3" t="s">
        <v>65</v>
      </c>
      <c r="Z44" s="3" t="s">
        <v>199</v>
      </c>
      <c r="AA44" s="3" t="s">
        <v>195</v>
      </c>
      <c r="AB44" s="3"/>
      <c r="AC44" s="3"/>
      <c r="AD44" s="3" t="s">
        <v>169</v>
      </c>
    </row>
    <row r="45" spans="2:30" ht="14.25" x14ac:dyDescent="0.2">
      <c r="B45" s="24"/>
      <c r="C45" s="149" t="s">
        <v>95</v>
      </c>
      <c r="D45" s="104" t="s">
        <v>362</v>
      </c>
      <c r="E45" s="77"/>
      <c r="F45" s="146" t="s">
        <v>363</v>
      </c>
      <c r="G45" s="92" t="s">
        <v>310</v>
      </c>
      <c r="H45" s="91" t="s">
        <v>302</v>
      </c>
      <c r="I45" s="77"/>
      <c r="J45" s="77"/>
      <c r="K45" s="94">
        <v>10</v>
      </c>
      <c r="L45" s="95" t="str">
        <f>IF(G45="??","??",IF(G45&lt;=10,"Yes",IF(G45="OK","Yes","No")))</f>
        <v>??</v>
      </c>
      <c r="M45" s="64" t="s">
        <v>361</v>
      </c>
      <c r="O45" s="31" t="str">
        <f>CONCATENATE(C50," ",F52)</f>
        <v>*Chestwall (rib) V30Gy=</v>
      </c>
      <c r="P45" s="11" t="str">
        <f ca="1">SUBSTITUTE(CELL("address",G52),"$","")</f>
        <v>G52</v>
      </c>
      <c r="Q45" s="96" t="str">
        <f t="shared" ca="1" si="0"/>
        <v>??</v>
      </c>
      <c r="R45" s="11" t="str">
        <f ca="1">VLOOKUP(CELL("format",INDIRECT(P45)),CellFormatCodes[],2,FALSE)</f>
        <v>General</v>
      </c>
      <c r="T45" s="3" t="s">
        <v>144</v>
      </c>
      <c r="U45" s="3" t="s">
        <v>101</v>
      </c>
      <c r="V45" s="3" t="s">
        <v>258</v>
      </c>
      <c r="W45" s="3" t="s">
        <v>158</v>
      </c>
      <c r="X45" s="280" t="s">
        <v>64</v>
      </c>
      <c r="Y45" s="3" t="s">
        <v>65</v>
      </c>
      <c r="Z45" s="3" t="s">
        <v>199</v>
      </c>
      <c r="AA45" s="3" t="s">
        <v>196</v>
      </c>
      <c r="AB45" s="3"/>
      <c r="AC45" s="3"/>
      <c r="AD45" s="3" t="s">
        <v>164</v>
      </c>
    </row>
    <row r="46" spans="2:30" x14ac:dyDescent="0.2">
      <c r="B46" s="24"/>
      <c r="C46" s="153" t="s">
        <v>193</v>
      </c>
      <c r="D46" s="49"/>
      <c r="E46" s="77"/>
      <c r="F46" s="137" t="s">
        <v>349</v>
      </c>
      <c r="G46" s="151" t="s">
        <v>310</v>
      </c>
      <c r="H46" s="60"/>
      <c r="I46" s="49"/>
      <c r="J46" s="49"/>
      <c r="K46" s="69">
        <v>3400</v>
      </c>
      <c r="L46" s="95" t="str">
        <f>IF(G46="??","??",IF(G46&lt;=3400,"Yes","No"))</f>
        <v>??</v>
      </c>
      <c r="M46" s="10" t="s">
        <v>354</v>
      </c>
      <c r="O46" s="31" t="str">
        <f>CONCATENATE(A53," ",F53)</f>
        <v>Trachea (max point dose)</v>
      </c>
      <c r="P46" s="11" t="str">
        <f ca="1">SUBSTITUTE(CELL("address",A54),"$","")</f>
        <v>A54</v>
      </c>
      <c r="Q46" s="154">
        <f t="shared" ca="1" si="0"/>
        <v>0</v>
      </c>
      <c r="R46" s="11" t="str">
        <f ca="1">VLOOKUP(CELL("format",INDIRECT(P46)),CellFormatCodes[],2,FALSE)</f>
        <v>General</v>
      </c>
      <c r="T46" s="3" t="s">
        <v>145</v>
      </c>
      <c r="U46" s="3" t="s">
        <v>102</v>
      </c>
      <c r="V46" s="3" t="s">
        <v>257</v>
      </c>
      <c r="W46" s="3" t="s">
        <v>158</v>
      </c>
      <c r="X46" s="280" t="s">
        <v>64</v>
      </c>
      <c r="Y46" s="3" t="s">
        <v>65</v>
      </c>
      <c r="Z46" s="3" t="s">
        <v>199</v>
      </c>
      <c r="AA46" s="3" t="s">
        <v>197</v>
      </c>
      <c r="AB46" s="3"/>
      <c r="AC46" s="3"/>
      <c r="AD46" s="3" t="s">
        <v>164</v>
      </c>
    </row>
    <row r="47" spans="2:30" ht="14.25" x14ac:dyDescent="0.2">
      <c r="B47" s="24"/>
      <c r="C47" s="139" t="s">
        <v>302</v>
      </c>
      <c r="D47" s="140" t="s">
        <v>364</v>
      </c>
      <c r="E47" s="123"/>
      <c r="F47" s="155" t="s">
        <v>365</v>
      </c>
      <c r="G47" s="142" t="str">
        <f>IF(G46&lt;=2800,"OK","??")</f>
        <v>??</v>
      </c>
      <c r="H47" s="91"/>
      <c r="I47" s="77"/>
      <c r="J47" s="77"/>
      <c r="K47" s="94">
        <v>15</v>
      </c>
      <c r="L47" s="95" t="str">
        <f>IF(G47="??","??",IF(G47&lt;=15,"Yes",IF(G47="OK","Yes","No")))</f>
        <v>??</v>
      </c>
      <c r="M47" s="10" t="s">
        <v>354</v>
      </c>
      <c r="O47" s="31" t="str">
        <f>CONCATENATE(A53," ",F55)</f>
        <v>Trachea V15.6Gy=</v>
      </c>
      <c r="P47" s="11" t="str">
        <f ca="1">SUBSTITUTE(CELL("address",A55),"$","")</f>
        <v>A55</v>
      </c>
      <c r="Q47" s="154">
        <f t="shared" ca="1" si="0"/>
        <v>0</v>
      </c>
      <c r="R47" s="11" t="str">
        <f ca="1">VLOOKUP(CELL("format",INDIRECT(P47)),CellFormatCodes[],2,FALSE)</f>
        <v>General</v>
      </c>
      <c r="T47" s="3" t="s">
        <v>254</v>
      </c>
      <c r="U47" s="3" t="s">
        <v>255</v>
      </c>
      <c r="V47" s="3" t="s">
        <v>256</v>
      </c>
      <c r="W47" s="3" t="s">
        <v>157</v>
      </c>
      <c r="X47" s="280" t="s">
        <v>60</v>
      </c>
      <c r="Y47" s="3" t="s">
        <v>65</v>
      </c>
      <c r="Z47" s="3" t="s">
        <v>199</v>
      </c>
      <c r="AA47" s="3" t="s">
        <v>196</v>
      </c>
      <c r="AB47" s="3"/>
      <c r="AC47" s="3"/>
      <c r="AD47" s="3" t="s">
        <v>250</v>
      </c>
    </row>
    <row r="48" spans="2:30" x14ac:dyDescent="0.2">
      <c r="B48" s="24"/>
      <c r="C48" s="24" t="s">
        <v>194</v>
      </c>
      <c r="D48" s="27"/>
      <c r="E48" s="77"/>
      <c r="F48" s="137" t="s">
        <v>349</v>
      </c>
      <c r="G48" s="151" t="s">
        <v>310</v>
      </c>
      <c r="H48" s="60"/>
      <c r="I48" s="49"/>
      <c r="J48" s="49"/>
      <c r="K48" s="69">
        <v>3000</v>
      </c>
      <c r="L48" s="95" t="str">
        <f>IF(G48="??","??",IF(G48&lt;=3000,"Yes","No"))</f>
        <v>??</v>
      </c>
      <c r="M48" s="64" t="s">
        <v>361</v>
      </c>
      <c r="O48" s="31" t="str">
        <f>CONCATENATE(B53," ",F53)</f>
        <v>Bronchus (max point dose)</v>
      </c>
      <c r="P48" s="11" t="str">
        <f ca="1">SUBSTITUTE(CELL("address",B54),"$","")</f>
        <v>B54</v>
      </c>
      <c r="Q48" s="154">
        <f t="shared" ca="1" si="0"/>
        <v>0</v>
      </c>
      <c r="R48" s="11" t="str">
        <f ca="1">VLOOKUP(CELL("format",INDIRECT(P48)),CellFormatCodes[],2,FALSE)</f>
        <v>General</v>
      </c>
      <c r="T48" s="3" t="s">
        <v>251</v>
      </c>
      <c r="U48" s="3" t="s">
        <v>252</v>
      </c>
      <c r="V48" s="3" t="s">
        <v>253</v>
      </c>
      <c r="W48" s="3" t="s">
        <v>157</v>
      </c>
      <c r="X48" s="280" t="s">
        <v>60</v>
      </c>
      <c r="Y48" s="3" t="s">
        <v>65</v>
      </c>
      <c r="Z48" s="3" t="s">
        <v>199</v>
      </c>
      <c r="AA48" s="3" t="s">
        <v>197</v>
      </c>
      <c r="AB48" s="3"/>
      <c r="AC48" s="3"/>
      <c r="AD48" s="3" t="s">
        <v>250</v>
      </c>
    </row>
    <row r="49" spans="1:30" ht="14.25" x14ac:dyDescent="0.2">
      <c r="B49" s="24"/>
      <c r="C49" s="147"/>
      <c r="D49" s="156" t="s">
        <v>366</v>
      </c>
      <c r="E49" s="123"/>
      <c r="F49" s="155" t="s">
        <v>367</v>
      </c>
      <c r="G49" s="142" t="str">
        <f>IF(G48&lt;=1880,"OK","??")</f>
        <v>??</v>
      </c>
      <c r="H49" s="91"/>
      <c r="I49" s="77"/>
      <c r="J49" s="77"/>
      <c r="K49" s="94">
        <v>5</v>
      </c>
      <c r="L49" s="95" t="str">
        <f>IF(G49="??","??",IF(G49&lt;=5,"Yes",IF(G49="OK","Yes","No")))</f>
        <v>??</v>
      </c>
      <c r="M49" s="10"/>
      <c r="O49" s="31" t="str">
        <f>CONCATENATE(B53," ",F55)</f>
        <v>Bronchus V15.6Gy=</v>
      </c>
      <c r="P49" s="11" t="str">
        <f ca="1">SUBSTITUTE(CELL("address",B55),"$","")</f>
        <v>B55</v>
      </c>
      <c r="Q49" s="154">
        <f t="shared" ca="1" si="0"/>
        <v>0</v>
      </c>
      <c r="R49" s="11" t="str">
        <f ca="1">VLOOKUP(CELL("format",INDIRECT(P49)),CellFormatCodes[],2,FALSE)</f>
        <v>General</v>
      </c>
      <c r="T49" s="3" t="s">
        <v>210</v>
      </c>
      <c r="U49" s="3" t="s">
        <v>211</v>
      </c>
      <c r="V49" s="3" t="s">
        <v>249</v>
      </c>
      <c r="W49" s="3" t="s">
        <v>158</v>
      </c>
      <c r="X49" s="280" t="s">
        <v>64</v>
      </c>
      <c r="Y49" s="3" t="s">
        <v>65</v>
      </c>
      <c r="Z49" s="3" t="s">
        <v>199</v>
      </c>
      <c r="AA49" s="3" t="s">
        <v>205</v>
      </c>
      <c r="AB49" s="3"/>
      <c r="AC49" s="3"/>
      <c r="AD49" s="3" t="s">
        <v>164</v>
      </c>
    </row>
    <row r="50" spans="1:30" x14ac:dyDescent="0.2">
      <c r="B50" s="24"/>
      <c r="C50" s="153" t="s">
        <v>368</v>
      </c>
      <c r="D50" s="49"/>
      <c r="E50" s="77"/>
      <c r="F50" s="137" t="s">
        <v>349</v>
      </c>
      <c r="G50" s="151" t="s">
        <v>310</v>
      </c>
      <c r="H50" s="60"/>
      <c r="I50" s="49"/>
      <c r="J50" s="49"/>
      <c r="K50" s="69">
        <v>5000</v>
      </c>
      <c r="L50" s="95" t="str">
        <f>IF(G50="??","??",IF(G50&lt;=5000,"Yes","No"))</f>
        <v>??</v>
      </c>
      <c r="M50" s="64" t="s">
        <v>350</v>
      </c>
      <c r="O50" s="31" t="str">
        <f>CONCATENATE(C53," ",C54," ",F53)</f>
        <v>Proximal Trachea and Bronchial Tree (max point dose)</v>
      </c>
      <c r="P50" s="11" t="str">
        <f ca="1">SUBSTITUTE(CELL("address",G53),"$","")</f>
        <v>G53</v>
      </c>
      <c r="Q50" s="96" t="str">
        <f t="shared" ca="1" si="0"/>
        <v>??</v>
      </c>
      <c r="R50" s="11" t="str">
        <f ca="1">VLOOKUP(CELL("format",INDIRECT(P50)),CellFormatCodes[],2,FALSE)</f>
        <v>General</v>
      </c>
      <c r="T50" s="3" t="s">
        <v>246</v>
      </c>
      <c r="U50" s="3" t="s">
        <v>247</v>
      </c>
      <c r="V50" s="3" t="s">
        <v>248</v>
      </c>
      <c r="W50" s="3" t="s">
        <v>157</v>
      </c>
      <c r="X50" s="280" t="s">
        <v>60</v>
      </c>
      <c r="Y50" s="3" t="s">
        <v>65</v>
      </c>
      <c r="Z50" s="3" t="s">
        <v>199</v>
      </c>
      <c r="AA50" s="3" t="s">
        <v>205</v>
      </c>
      <c r="AB50" s="3"/>
      <c r="AC50" s="3"/>
      <c r="AD50" s="3" t="s">
        <v>245</v>
      </c>
    </row>
    <row r="51" spans="1:30" ht="14.25" x14ac:dyDescent="0.2">
      <c r="B51" s="24"/>
      <c r="C51" s="24"/>
      <c r="D51" s="116" t="s">
        <v>369</v>
      </c>
      <c r="E51" s="27"/>
      <c r="F51" s="148" t="s">
        <v>352</v>
      </c>
      <c r="G51" s="142" t="str">
        <f>IF(G50&lt;=4000,"OK","??")</f>
        <v>??</v>
      </c>
      <c r="H51" s="91"/>
      <c r="I51" s="77"/>
      <c r="J51" s="77"/>
      <c r="K51" s="94">
        <v>5</v>
      </c>
      <c r="L51" s="95" t="str">
        <f>IF(G51="??","??",IF(G51&lt;=5,"Yes",IF(G51="OK","Yes","No")))</f>
        <v>??</v>
      </c>
      <c r="M51" s="10" t="s">
        <v>350</v>
      </c>
      <c r="O51" s="31" t="str">
        <f>CONCATENATE(C53," ",C54," ",F55)</f>
        <v>Proximal Trachea and Bronchial Tree V15.6Gy=</v>
      </c>
      <c r="P51" s="11" t="str">
        <f ca="1">SUBSTITUTE(CELL("address",G55),"$","")</f>
        <v>G55</v>
      </c>
      <c r="Q51" s="96" t="str">
        <f t="shared" ca="1" si="0"/>
        <v>??</v>
      </c>
      <c r="R51" s="11" t="str">
        <f ca="1">VLOOKUP(CELL("format",INDIRECT(P51)),CellFormatCodes[],2,FALSE)</f>
        <v>General</v>
      </c>
      <c r="T51" s="3" t="s">
        <v>244</v>
      </c>
      <c r="U51" s="3" t="s">
        <v>103</v>
      </c>
      <c r="V51" s="3" t="s">
        <v>55</v>
      </c>
      <c r="W51" s="3"/>
      <c r="X51" s="280" t="s">
        <v>62</v>
      </c>
      <c r="Y51" s="3" t="s">
        <v>65</v>
      </c>
      <c r="Z51" s="3" t="s">
        <v>171</v>
      </c>
      <c r="AA51" s="3" t="s">
        <v>103</v>
      </c>
      <c r="AB51" s="3"/>
      <c r="AC51" s="3"/>
      <c r="AD51" s="3" t="s">
        <v>171</v>
      </c>
    </row>
    <row r="52" spans="1:30" ht="15" thickBot="1" x14ac:dyDescent="0.25">
      <c r="B52" s="24"/>
      <c r="C52" s="24"/>
      <c r="D52" s="157" t="s">
        <v>370</v>
      </c>
      <c r="E52" s="158" t="s">
        <v>302</v>
      </c>
      <c r="F52" s="159" t="s">
        <v>363</v>
      </c>
      <c r="G52" s="121" t="str">
        <f>IF(G50&lt;=3000,"OK","??")</f>
        <v>??</v>
      </c>
      <c r="H52" s="122"/>
      <c r="I52" s="123"/>
      <c r="J52" s="123"/>
      <c r="K52" s="124">
        <v>30</v>
      </c>
      <c r="L52" s="95" t="str">
        <f>IF(G52="??","??",IF(G52&lt;=30,"Yes",IF(G52="OK","Yes","No")))</f>
        <v>??</v>
      </c>
      <c r="M52" s="10" t="s">
        <v>354</v>
      </c>
      <c r="O52" s="31" t="str">
        <f>CONCATENATE(C56," ",C57," ",F56)</f>
        <v>Stomach and Intestines (max point dose)</v>
      </c>
      <c r="P52" s="11" t="str">
        <f ca="1">SUBSTITUTE(CELL("address",G56),"$","")</f>
        <v>G56</v>
      </c>
      <c r="Q52" s="96" t="str">
        <f t="shared" ca="1" si="0"/>
        <v>??</v>
      </c>
      <c r="R52" s="11" t="str">
        <f ca="1">VLOOKUP(CELL("format",INDIRECT(P52)),CellFormatCodes[],2,FALSE)</f>
        <v>General</v>
      </c>
      <c r="T52" s="3" t="s">
        <v>147</v>
      </c>
      <c r="U52" s="3" t="s">
        <v>104</v>
      </c>
      <c r="V52" s="3" t="s">
        <v>56</v>
      </c>
      <c r="W52" s="3"/>
      <c r="X52" s="280" t="s">
        <v>62</v>
      </c>
      <c r="Y52" s="3" t="s">
        <v>65</v>
      </c>
      <c r="Z52" s="3" t="s">
        <v>171</v>
      </c>
      <c r="AA52" s="3" t="s">
        <v>104</v>
      </c>
      <c r="AB52" s="3"/>
      <c r="AC52" s="3"/>
      <c r="AD52" s="3" t="s">
        <v>171</v>
      </c>
    </row>
    <row r="53" spans="1:30" ht="13.5" thickBot="1" x14ac:dyDescent="0.25">
      <c r="A53" s="160" t="s">
        <v>196</v>
      </c>
      <c r="B53" s="161" t="s">
        <v>371</v>
      </c>
      <c r="C53" s="153" t="s">
        <v>372</v>
      </c>
      <c r="D53" s="49"/>
      <c r="E53" s="49"/>
      <c r="F53" s="162" t="s">
        <v>349</v>
      </c>
      <c r="G53" s="92" t="str">
        <f>IF(MAX(A54:B54)&gt;0,MAX(A54:B54),"??")</f>
        <v>??</v>
      </c>
      <c r="H53" s="60" t="s">
        <v>302</v>
      </c>
      <c r="I53" s="49"/>
      <c r="J53" s="49"/>
      <c r="K53" s="69">
        <v>3480</v>
      </c>
      <c r="L53" s="163" t="str">
        <f>IF(G53="??","??",IF(G53&lt;=3480,"Yes","No"))</f>
        <v>??</v>
      </c>
      <c r="M53" s="10" t="s">
        <v>354</v>
      </c>
      <c r="O53" s="31" t="str">
        <f>CONCATENATE(C56," ",C57," ",F57)</f>
        <v>Stomach and Intestines V21Gy=</v>
      </c>
      <c r="P53" s="11" t="str">
        <f ca="1">SUBSTITUTE(CELL("address",G57),"$","")</f>
        <v>G57</v>
      </c>
      <c r="Q53" s="96" t="str">
        <f t="shared" ca="1" si="0"/>
        <v>??</v>
      </c>
      <c r="R53" s="11" t="str">
        <f ca="1">VLOOKUP(CELL("format",INDIRECT(P53)),CellFormatCodes[],2,FALSE)</f>
        <v>General</v>
      </c>
      <c r="T53" s="3" t="s">
        <v>148</v>
      </c>
      <c r="U53" s="3" t="s">
        <v>105</v>
      </c>
      <c r="V53" s="3" t="s">
        <v>57</v>
      </c>
      <c r="W53" s="3"/>
      <c r="X53" s="280" t="s">
        <v>62</v>
      </c>
      <c r="Y53" s="3" t="s">
        <v>65</v>
      </c>
      <c r="Z53" s="3" t="s">
        <v>171</v>
      </c>
      <c r="AA53" s="3" t="s">
        <v>105</v>
      </c>
      <c r="AB53" s="3"/>
      <c r="AC53" s="3"/>
      <c r="AD53" s="3" t="s">
        <v>171</v>
      </c>
    </row>
    <row r="54" spans="1:30" x14ac:dyDescent="0.2">
      <c r="A54" s="164">
        <v>0</v>
      </c>
      <c r="B54" s="165">
        <v>0</v>
      </c>
      <c r="C54" s="24" t="s">
        <v>373</v>
      </c>
      <c r="D54" s="27"/>
      <c r="E54" s="123"/>
      <c r="F54" s="166"/>
      <c r="G54" s="167" t="s">
        <v>302</v>
      </c>
      <c r="H54" s="122"/>
      <c r="I54" s="123"/>
      <c r="J54" s="123"/>
      <c r="K54" s="124"/>
      <c r="L54" s="168"/>
      <c r="M54" s="10"/>
      <c r="O54" s="31" t="str">
        <f>C58</f>
        <v>Dosimetrist:</v>
      </c>
      <c r="P54" s="11" t="str">
        <f ca="1">SUBSTITUTE(CELL("address",C59),"$","")</f>
        <v>C59</v>
      </c>
      <c r="Q54" s="169" t="str">
        <f t="shared" ca="1" si="0"/>
        <v>??</v>
      </c>
      <c r="R54" s="11" t="str">
        <f ca="1">VLOOKUP(CELL("format",INDIRECT(P54)),CellFormatCodes[],2,FALSE)</f>
        <v>General</v>
      </c>
      <c r="T54" s="3" t="s">
        <v>149</v>
      </c>
      <c r="U54" s="3" t="s">
        <v>106</v>
      </c>
      <c r="V54" s="3" t="s">
        <v>491</v>
      </c>
      <c r="W54" s="3"/>
      <c r="X54" s="280"/>
      <c r="Y54" s="3" t="s">
        <v>65</v>
      </c>
      <c r="Z54" s="3" t="s">
        <v>198</v>
      </c>
      <c r="AA54" s="3" t="s">
        <v>106</v>
      </c>
      <c r="AB54" s="3"/>
      <c r="AC54" s="3"/>
      <c r="AD54" s="3"/>
    </row>
    <row r="55" spans="1:30" ht="15" thickBot="1" x14ac:dyDescent="0.25">
      <c r="A55" s="170">
        <v>0</v>
      </c>
      <c r="B55" s="171">
        <v>0</v>
      </c>
      <c r="C55" s="147"/>
      <c r="D55" s="140" t="s">
        <v>374</v>
      </c>
      <c r="E55" s="123"/>
      <c r="F55" s="155" t="s">
        <v>375</v>
      </c>
      <c r="G55" s="92" t="str">
        <f>IF(MAX(A55:B55)&gt;0,MAX(A55:B55),"??")</f>
        <v>??</v>
      </c>
      <c r="H55" s="122" t="s">
        <v>302</v>
      </c>
      <c r="I55" s="123"/>
      <c r="J55" s="123"/>
      <c r="K55" s="124">
        <v>4</v>
      </c>
      <c r="L55" s="95" t="str">
        <f>IF(G55="??","??",IF(G55&lt;=4,"Yes",IF(G55="OK","Yes","No")))</f>
        <v>??</v>
      </c>
      <c r="M55" s="10" t="s">
        <v>354</v>
      </c>
      <c r="O55" s="31" t="str">
        <f>G58</f>
        <v>Physicist:</v>
      </c>
      <c r="P55" s="11" t="str">
        <f ca="1">SUBSTITUTE(CELL("address",G59),"$","")</f>
        <v>G59</v>
      </c>
      <c r="Q55" s="169" t="str">
        <f t="shared" ca="1" si="0"/>
        <v>??</v>
      </c>
      <c r="R55" s="11" t="str">
        <f ca="1">VLOOKUP(CELL("format",INDIRECT(P55)),CellFormatCodes[],2,FALSE)</f>
        <v>General</v>
      </c>
      <c r="T55" s="3" t="s">
        <v>150</v>
      </c>
      <c r="U55" s="3" t="s">
        <v>107</v>
      </c>
      <c r="V55" s="3" t="s">
        <v>492</v>
      </c>
      <c r="W55" s="3"/>
      <c r="X55" s="280"/>
      <c r="Y55" s="3" t="s">
        <v>65</v>
      </c>
      <c r="Z55" s="3" t="s">
        <v>198</v>
      </c>
      <c r="AA55" s="3" t="s">
        <v>107</v>
      </c>
      <c r="AB55" s="3"/>
      <c r="AC55" s="3"/>
      <c r="AD55" s="3"/>
    </row>
    <row r="56" spans="1:30" x14ac:dyDescent="0.2">
      <c r="B56" s="24"/>
      <c r="C56" s="24" t="s">
        <v>376</v>
      </c>
      <c r="D56" s="27"/>
      <c r="E56" s="77"/>
      <c r="F56" s="137" t="s">
        <v>349</v>
      </c>
      <c r="G56" s="92" t="s">
        <v>310</v>
      </c>
      <c r="H56" s="28"/>
      <c r="I56" s="27"/>
      <c r="J56" s="27"/>
      <c r="K56" s="87">
        <v>2800</v>
      </c>
      <c r="L56" s="95" t="str">
        <f>IF(G56="??","??",IF(G56&lt;=2800,"Yes","No"))</f>
        <v>??</v>
      </c>
      <c r="M56" s="10" t="s">
        <v>350</v>
      </c>
      <c r="O56" s="31" t="str">
        <f>K58</f>
        <v>Radiation Oncologist:</v>
      </c>
      <c r="P56" s="11" t="str">
        <f ca="1">SUBSTITUTE(CELL("address",K59),"$","")</f>
        <v>K59</v>
      </c>
      <c r="Q56" s="169" t="str">
        <f t="shared" ca="1" si="0"/>
        <v>??</v>
      </c>
      <c r="R56" s="11" t="str">
        <f ca="1">VLOOKUP(CELL("format",INDIRECT(P56)),CellFormatCodes[],2,FALSE)</f>
        <v>General</v>
      </c>
      <c r="T56" s="3" t="s">
        <v>151</v>
      </c>
      <c r="U56" s="3" t="s">
        <v>108</v>
      </c>
      <c r="V56" s="3" t="s">
        <v>493</v>
      </c>
      <c r="W56" s="3"/>
      <c r="X56" s="280"/>
      <c r="Y56" s="3" t="s">
        <v>65</v>
      </c>
      <c r="Z56" s="3" t="s">
        <v>198</v>
      </c>
      <c r="AA56" s="3" t="s">
        <v>108</v>
      </c>
      <c r="AB56" s="3"/>
      <c r="AC56" s="3"/>
      <c r="AD56" s="3"/>
    </row>
    <row r="57" spans="1:30" ht="16.5" thickBot="1" x14ac:dyDescent="0.35">
      <c r="B57" s="24"/>
      <c r="C57" s="172" t="s">
        <v>377</v>
      </c>
      <c r="D57" s="173" t="s">
        <v>378</v>
      </c>
      <c r="E57" s="27"/>
      <c r="F57" s="148" t="s">
        <v>379</v>
      </c>
      <c r="G57" s="174" t="str">
        <f>IF(G56&lt;=2100,"OK","??")</f>
        <v>??</v>
      </c>
      <c r="H57" s="28" t="s">
        <v>302</v>
      </c>
      <c r="I57" s="27"/>
      <c r="J57" s="27"/>
      <c r="K57" s="102">
        <v>1</v>
      </c>
      <c r="L57" s="95" t="str">
        <f>IF(G57="??","??",IF(G57&lt;=1,"Yes",IF(G57="OK","Yes","No")))</f>
        <v>??</v>
      </c>
      <c r="M57" s="10" t="s">
        <v>350</v>
      </c>
      <c r="O57" s="31" t="str">
        <f>B60</f>
        <v>NOTES:</v>
      </c>
      <c r="P57" s="11" t="str">
        <f ca="1">SUBSTITUTE(CELL("address",C60),"$","")</f>
        <v>C60</v>
      </c>
      <c r="Q57" s="169">
        <f t="shared" ca="1" si="0"/>
        <v>0</v>
      </c>
      <c r="R57" s="11" t="str">
        <f ca="1">VLOOKUP(CELL("format",INDIRECT(P57)),CellFormatCodes[],2,FALSE)</f>
        <v>General</v>
      </c>
      <c r="T57" s="4" t="s">
        <v>490</v>
      </c>
      <c r="U57" s="4" t="s">
        <v>307</v>
      </c>
      <c r="V57" t="s">
        <v>494</v>
      </c>
      <c r="Y57" s="3" t="s">
        <v>65</v>
      </c>
      <c r="Z57" s="3" t="s">
        <v>198</v>
      </c>
      <c r="AA57" s="4" t="s">
        <v>490</v>
      </c>
    </row>
    <row r="58" spans="1:30" x14ac:dyDescent="0.2">
      <c r="B58" s="14"/>
      <c r="C58" s="43" t="s">
        <v>106</v>
      </c>
      <c r="D58" s="15"/>
      <c r="E58" s="15"/>
      <c r="F58" s="16"/>
      <c r="G58" s="175" t="s">
        <v>107</v>
      </c>
      <c r="H58" s="16"/>
      <c r="I58" s="15"/>
      <c r="J58" s="43" t="s">
        <v>108</v>
      </c>
      <c r="K58" s="17" t="s">
        <v>108</v>
      </c>
      <c r="L58" s="18"/>
      <c r="M58" s="10"/>
    </row>
    <row r="59" spans="1:30" x14ac:dyDescent="0.2">
      <c r="B59" s="24"/>
      <c r="C59" s="177" t="s">
        <v>310</v>
      </c>
      <c r="D59" s="27"/>
      <c r="E59" s="27"/>
      <c r="F59" s="28"/>
      <c r="G59" s="177" t="s">
        <v>310</v>
      </c>
      <c r="H59" s="28"/>
      <c r="I59" s="27"/>
      <c r="J59" s="27"/>
      <c r="K59" s="177" t="s">
        <v>310</v>
      </c>
      <c r="L59" s="38"/>
      <c r="M59" s="10"/>
    </row>
    <row r="60" spans="1:30" x14ac:dyDescent="0.2">
      <c r="B60" s="47" t="s">
        <v>380</v>
      </c>
      <c r="C60" s="178"/>
      <c r="D60" s="179" t="s">
        <v>302</v>
      </c>
      <c r="E60" s="178"/>
      <c r="F60" s="177"/>
      <c r="G60" s="177"/>
      <c r="H60" s="177"/>
      <c r="I60" s="178"/>
      <c r="J60" s="178"/>
      <c r="K60" s="177"/>
      <c r="L60" s="30"/>
      <c r="M60" s="10"/>
    </row>
    <row r="61" spans="1:30" ht="13.5" thickBot="1" x14ac:dyDescent="0.25">
      <c r="B61" s="19"/>
      <c r="C61" s="20"/>
      <c r="D61" s="20"/>
      <c r="E61" s="20"/>
      <c r="F61" s="180" t="s">
        <v>381</v>
      </c>
      <c r="G61" s="181" t="s">
        <v>382</v>
      </c>
      <c r="H61" s="180"/>
      <c r="I61" s="181"/>
      <c r="J61" s="181"/>
      <c r="K61" s="180"/>
      <c r="L61" s="182"/>
      <c r="M61" s="10"/>
    </row>
    <row r="62" spans="1:30" x14ac:dyDescent="0.2">
      <c r="B62" s="183" t="s">
        <v>383</v>
      </c>
      <c r="C62" s="80"/>
      <c r="D62" s="80"/>
      <c r="E62" s="80"/>
      <c r="F62" s="184"/>
      <c r="G62" s="184"/>
      <c r="H62" s="184"/>
      <c r="I62" s="80"/>
      <c r="J62" s="80"/>
      <c r="K62" s="184"/>
      <c r="L62" s="184"/>
      <c r="M62" s="10"/>
    </row>
    <row r="63" spans="1:30" x14ac:dyDescent="0.2">
      <c r="B63" s="80"/>
      <c r="C63" s="80"/>
      <c r="D63" s="80"/>
      <c r="E63" s="80"/>
      <c r="F63" s="184"/>
      <c r="G63" s="184"/>
      <c r="H63" s="184"/>
      <c r="I63" s="80"/>
      <c r="J63" s="80"/>
      <c r="K63" s="184"/>
      <c r="L63" s="184"/>
      <c r="M63" s="10"/>
    </row>
    <row r="65" spans="15:15" x14ac:dyDescent="0.2">
      <c r="O65" s="1" t="s">
        <v>6</v>
      </c>
    </row>
    <row r="66" spans="15:15" x14ac:dyDescent="0.2">
      <c r="O66" s="1" t="s">
        <v>7</v>
      </c>
    </row>
    <row r="67" spans="15:15" x14ac:dyDescent="0.2">
      <c r="O67" s="1" t="s">
        <v>8</v>
      </c>
    </row>
    <row r="68" spans="15:15" x14ac:dyDescent="0.2">
      <c r="O68" s="1" t="s">
        <v>9</v>
      </c>
    </row>
    <row r="69" spans="15:15" x14ac:dyDescent="0.2">
      <c r="O69" s="1" t="s">
        <v>10</v>
      </c>
    </row>
  </sheetData>
  <sheetProtection formatCells="0" formatColumns="0" formatRows="0"/>
  <mergeCells count="5">
    <mergeCell ref="E31:F31"/>
    <mergeCell ref="E32:F32"/>
    <mergeCell ref="E33:F33"/>
    <mergeCell ref="D40:E40"/>
    <mergeCell ref="O2:R2"/>
  </mergeCells>
  <conditionalFormatting sqref="L35:L57">
    <cfRule type="containsText" dxfId="33" priority="7" stopIfTrue="1" operator="containsText" text="No">
      <formula>NOT(ISERROR(SEARCH("No",L35)))</formula>
    </cfRule>
  </conditionalFormatting>
  <conditionalFormatting sqref="L14:L20 L22:L33">
    <cfRule type="containsText" dxfId="32" priority="4" stopIfTrue="1" operator="containsText" text="Minor">
      <formula>NOT(ISERROR(SEARCH("Minor",L14)))</formula>
    </cfRule>
    <cfRule type="containsText" dxfId="31" priority="5" stopIfTrue="1" operator="containsText" text="No">
      <formula>NOT(ISERROR(SEARCH("No",L14)))</formula>
    </cfRule>
    <cfRule type="containsText" dxfId="30" priority="6" stopIfTrue="1" operator="containsText" text="Major">
      <formula>NOT(ISERROR(SEARCH("Major",L14)))</formula>
    </cfRule>
  </conditionalFormatting>
  <conditionalFormatting sqref="L21">
    <cfRule type="containsText" dxfId="29" priority="2" stopIfTrue="1" operator="containsText" text="No">
      <formula>NOT(ISERROR(SEARCH("No",L21)))</formula>
    </cfRule>
    <cfRule type="containsText" dxfId="28" priority="3" stopIfTrue="1" operator="containsText" text="Major">
      <formula>NOT(ISERROR(SEARCH("Major",L21)))</formula>
    </cfRule>
  </conditionalFormatting>
  <conditionalFormatting sqref="L21">
    <cfRule type="containsText" dxfId="27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54"/>
  <sheetViews>
    <sheetView topLeftCell="I1" workbookViewId="0">
      <selection activeCell="J27" sqref="J27"/>
    </sheetView>
  </sheetViews>
  <sheetFormatPr defaultRowHeight="12.75" x14ac:dyDescent="0.2"/>
  <cols>
    <col min="1" max="1" width="12.85546875" bestFit="1" customWidth="1"/>
    <col min="2" max="5" width="5.140625" customWidth="1"/>
    <col min="6" max="6" width="13.85546875" bestFit="1" customWidth="1"/>
    <col min="7" max="7" width="24.7109375" bestFit="1" customWidth="1"/>
    <col min="8" max="8" width="35.140625" bestFit="1" customWidth="1"/>
    <col min="9" max="9" width="14.7109375" bestFit="1" customWidth="1"/>
    <col min="10" max="10" width="32.5703125" bestFit="1" customWidth="1"/>
    <col min="11" max="11" width="19" bestFit="1" customWidth="1"/>
    <col min="12" max="12" width="19.7109375" bestFit="1" customWidth="1"/>
    <col min="13" max="13" width="11.7109375" bestFit="1" customWidth="1"/>
    <col min="14" max="14" width="4.140625" customWidth="1"/>
    <col min="15" max="16" width="11" bestFit="1" customWidth="1"/>
  </cols>
  <sheetData>
    <row r="1" spans="1:1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</v>
      </c>
      <c r="G1" s="1" t="s">
        <v>5</v>
      </c>
      <c r="H1" s="1" t="s">
        <v>4</v>
      </c>
      <c r="I1" s="1" t="s">
        <v>16</v>
      </c>
      <c r="J1" s="1" t="s">
        <v>15</v>
      </c>
      <c r="K1" s="1" t="s">
        <v>14</v>
      </c>
      <c r="L1" s="1" t="s">
        <v>0</v>
      </c>
      <c r="M1" s="1" t="s">
        <v>1</v>
      </c>
      <c r="N1" s="1" t="s">
        <v>11</v>
      </c>
      <c r="O1" s="1" t="s">
        <v>12</v>
      </c>
      <c r="P1" s="1" t="s">
        <v>2</v>
      </c>
    </row>
    <row r="2" spans="1:16" x14ac:dyDescent="0.2">
      <c r="A2" s="3" t="s">
        <v>242</v>
      </c>
      <c r="B2" s="3" t="s">
        <v>243</v>
      </c>
      <c r="C2" s="3" t="s">
        <v>242</v>
      </c>
      <c r="D2" s="4" t="s">
        <v>294</v>
      </c>
      <c r="E2" s="3" t="s">
        <v>241</v>
      </c>
      <c r="F2" s="3" t="s">
        <v>65</v>
      </c>
      <c r="G2" s="3" t="s">
        <v>109</v>
      </c>
      <c r="H2" s="3" t="s">
        <v>66</v>
      </c>
      <c r="I2" s="3" t="s">
        <v>198</v>
      </c>
      <c r="J2" s="3" t="s">
        <v>174</v>
      </c>
      <c r="K2" s="3"/>
      <c r="L2" s="3" t="s">
        <v>17</v>
      </c>
      <c r="M2" s="3" t="s">
        <v>18</v>
      </c>
      <c r="N2" s="3"/>
      <c r="O2" s="3"/>
      <c r="P2" s="3" t="s">
        <v>58</v>
      </c>
    </row>
    <row r="3" spans="1:16" x14ac:dyDescent="0.2">
      <c r="A3" s="3" t="s">
        <v>242</v>
      </c>
      <c r="B3" s="3" t="s">
        <v>243</v>
      </c>
      <c r="C3" s="3" t="s">
        <v>242</v>
      </c>
      <c r="D3" s="4" t="s">
        <v>294</v>
      </c>
      <c r="E3" s="3" t="s">
        <v>241</v>
      </c>
      <c r="F3" s="3" t="s">
        <v>65</v>
      </c>
      <c r="G3" s="3" t="s">
        <v>110</v>
      </c>
      <c r="H3" s="3" t="s">
        <v>67</v>
      </c>
      <c r="I3" s="3" t="s">
        <v>198</v>
      </c>
      <c r="J3" s="3" t="s">
        <v>175</v>
      </c>
      <c r="K3" s="3"/>
      <c r="L3" s="3" t="s">
        <v>17</v>
      </c>
      <c r="M3" s="3" t="s">
        <v>19</v>
      </c>
      <c r="N3" s="3"/>
      <c r="O3" s="3"/>
      <c r="P3" s="3" t="s">
        <v>59</v>
      </c>
    </row>
    <row r="4" spans="1:16" x14ac:dyDescent="0.2">
      <c r="A4" s="3" t="s">
        <v>242</v>
      </c>
      <c r="B4" s="4" t="s">
        <v>243</v>
      </c>
      <c r="C4" s="3" t="s">
        <v>242</v>
      </c>
      <c r="D4" s="4" t="s">
        <v>294</v>
      </c>
      <c r="E4" s="3" t="s">
        <v>241</v>
      </c>
      <c r="F4" s="3" t="s">
        <v>65</v>
      </c>
      <c r="G4" s="3" t="s">
        <v>111</v>
      </c>
      <c r="H4" s="3" t="s">
        <v>68</v>
      </c>
      <c r="I4" s="3" t="s">
        <v>198</v>
      </c>
      <c r="J4" s="3" t="s">
        <v>176</v>
      </c>
      <c r="K4" s="3"/>
      <c r="L4" s="3" t="s">
        <v>17</v>
      </c>
      <c r="M4" s="3" t="s">
        <v>20</v>
      </c>
      <c r="N4" s="3"/>
      <c r="O4" s="3"/>
      <c r="P4" s="3" t="s">
        <v>59</v>
      </c>
    </row>
    <row r="5" spans="1:16" x14ac:dyDescent="0.2">
      <c r="A5" s="3" t="s">
        <v>242</v>
      </c>
      <c r="B5" s="3" t="s">
        <v>243</v>
      </c>
      <c r="C5" s="3" t="s">
        <v>242</v>
      </c>
      <c r="D5" s="4" t="s">
        <v>294</v>
      </c>
      <c r="E5" s="3" t="s">
        <v>241</v>
      </c>
      <c r="F5" s="3" t="s">
        <v>65</v>
      </c>
      <c r="G5" s="3" t="s">
        <v>112</v>
      </c>
      <c r="H5" s="3" t="s">
        <v>69</v>
      </c>
      <c r="I5" s="3" t="s">
        <v>198</v>
      </c>
      <c r="J5" s="3" t="s">
        <v>177</v>
      </c>
      <c r="K5" s="3"/>
      <c r="L5" s="3" t="s">
        <v>17</v>
      </c>
      <c r="M5" s="3" t="s">
        <v>21</v>
      </c>
      <c r="N5" s="3"/>
      <c r="O5" s="3"/>
      <c r="P5" s="3" t="s">
        <v>59</v>
      </c>
    </row>
    <row r="6" spans="1:16" x14ac:dyDescent="0.2">
      <c r="A6" s="3" t="s">
        <v>242</v>
      </c>
      <c r="B6" s="3" t="s">
        <v>243</v>
      </c>
      <c r="C6" s="3" t="s">
        <v>242</v>
      </c>
      <c r="D6" s="4" t="s">
        <v>294</v>
      </c>
      <c r="E6" s="3" t="s">
        <v>241</v>
      </c>
      <c r="F6" s="3" t="s">
        <v>65</v>
      </c>
      <c r="G6" s="3" t="s">
        <v>113</v>
      </c>
      <c r="H6" s="3" t="s">
        <v>70</v>
      </c>
      <c r="I6" s="3" t="s">
        <v>199</v>
      </c>
      <c r="J6" s="3" t="s">
        <v>178</v>
      </c>
      <c r="K6" s="3"/>
      <c r="L6" s="3" t="s">
        <v>17</v>
      </c>
      <c r="M6" s="3" t="s">
        <v>22</v>
      </c>
      <c r="N6" s="3" t="s">
        <v>157</v>
      </c>
      <c r="O6" s="3" t="s">
        <v>160</v>
      </c>
      <c r="P6" s="3" t="s">
        <v>60</v>
      </c>
    </row>
    <row r="7" spans="1:16" x14ac:dyDescent="0.2">
      <c r="A7" s="3" t="s">
        <v>242</v>
      </c>
      <c r="B7" s="3" t="s">
        <v>243</v>
      </c>
      <c r="C7" s="3" t="s">
        <v>242</v>
      </c>
      <c r="D7" s="4" t="s">
        <v>294</v>
      </c>
      <c r="E7" s="3" t="s">
        <v>241</v>
      </c>
      <c r="F7" s="3" t="s">
        <v>65</v>
      </c>
      <c r="G7" s="3" t="s">
        <v>114</v>
      </c>
      <c r="H7" s="3" t="s">
        <v>71</v>
      </c>
      <c r="I7" s="3" t="s">
        <v>199</v>
      </c>
      <c r="J7" s="3" t="s">
        <v>179</v>
      </c>
      <c r="K7" s="3"/>
      <c r="L7" s="3" t="s">
        <v>17</v>
      </c>
      <c r="M7" s="3" t="s">
        <v>23</v>
      </c>
      <c r="N7" s="3" t="s">
        <v>157</v>
      </c>
      <c r="O7" s="3" t="s">
        <v>160</v>
      </c>
      <c r="P7" s="3" t="s">
        <v>60</v>
      </c>
    </row>
    <row r="8" spans="1:16" x14ac:dyDescent="0.2">
      <c r="A8" s="3" t="s">
        <v>242</v>
      </c>
      <c r="B8" s="3" t="s">
        <v>243</v>
      </c>
      <c r="C8" s="3" t="s">
        <v>242</v>
      </c>
      <c r="D8" s="4" t="s">
        <v>294</v>
      </c>
      <c r="E8" s="3" t="s">
        <v>241</v>
      </c>
      <c r="F8" s="3" t="s">
        <v>65</v>
      </c>
      <c r="G8" s="3" t="s">
        <v>115</v>
      </c>
      <c r="H8" s="3" t="s">
        <v>72</v>
      </c>
      <c r="I8" s="3" t="s">
        <v>199</v>
      </c>
      <c r="J8" s="3" t="s">
        <v>180</v>
      </c>
      <c r="K8" s="3"/>
      <c r="L8" s="3" t="s">
        <v>17</v>
      </c>
      <c r="M8" s="3" t="s">
        <v>24</v>
      </c>
      <c r="N8" s="3" t="s">
        <v>157</v>
      </c>
      <c r="O8" s="3" t="s">
        <v>160</v>
      </c>
      <c r="P8" s="3" t="s">
        <v>60</v>
      </c>
    </row>
    <row r="9" spans="1:16" x14ac:dyDescent="0.2">
      <c r="A9" s="3" t="s">
        <v>242</v>
      </c>
      <c r="B9" s="3" t="s">
        <v>243</v>
      </c>
      <c r="C9" s="3" t="s">
        <v>242</v>
      </c>
      <c r="D9" s="4" t="s">
        <v>294</v>
      </c>
      <c r="E9" s="3" t="s">
        <v>241</v>
      </c>
      <c r="F9" s="3" t="s">
        <v>65</v>
      </c>
      <c r="G9" s="3" t="s">
        <v>293</v>
      </c>
      <c r="H9" s="3" t="s">
        <v>73</v>
      </c>
      <c r="I9" s="3" t="s">
        <v>199</v>
      </c>
      <c r="J9" s="3" t="s">
        <v>181</v>
      </c>
      <c r="K9" s="3" t="s">
        <v>172</v>
      </c>
      <c r="L9" s="3" t="s">
        <v>17</v>
      </c>
      <c r="M9" s="3" t="s">
        <v>25</v>
      </c>
      <c r="N9" s="3" t="s">
        <v>157</v>
      </c>
      <c r="O9" s="3" t="s">
        <v>160</v>
      </c>
      <c r="P9" s="3" t="s">
        <v>60</v>
      </c>
    </row>
    <row r="10" spans="1:16" x14ac:dyDescent="0.2">
      <c r="A10" s="3" t="s">
        <v>242</v>
      </c>
      <c r="B10" s="3" t="s">
        <v>243</v>
      </c>
      <c r="C10" s="3" t="s">
        <v>242</v>
      </c>
      <c r="D10" s="4" t="s">
        <v>294</v>
      </c>
      <c r="E10" s="3" t="s">
        <v>241</v>
      </c>
      <c r="F10" s="3" t="s">
        <v>65</v>
      </c>
      <c r="G10" s="3" t="s">
        <v>117</v>
      </c>
      <c r="H10" s="3" t="s">
        <v>74</v>
      </c>
      <c r="I10" s="3" t="s">
        <v>198</v>
      </c>
      <c r="J10" s="3" t="s">
        <v>182</v>
      </c>
      <c r="K10" s="3"/>
      <c r="L10" s="3" t="s">
        <v>17</v>
      </c>
      <c r="M10" s="3" t="s">
        <v>26</v>
      </c>
      <c r="N10" s="3" t="s">
        <v>158</v>
      </c>
      <c r="O10" s="3"/>
      <c r="P10" s="3" t="s">
        <v>58</v>
      </c>
    </row>
    <row r="11" spans="1:16" x14ac:dyDescent="0.2">
      <c r="A11" s="3" t="s">
        <v>242</v>
      </c>
      <c r="B11" s="3" t="s">
        <v>243</v>
      </c>
      <c r="C11" s="3" t="s">
        <v>242</v>
      </c>
      <c r="D11" s="4" t="s">
        <v>294</v>
      </c>
      <c r="E11" s="3" t="s">
        <v>241</v>
      </c>
      <c r="F11" s="3" t="s">
        <v>65</v>
      </c>
      <c r="G11" s="3" t="s">
        <v>118</v>
      </c>
      <c r="H11" s="3" t="s">
        <v>75</v>
      </c>
      <c r="I11" s="3" t="s">
        <v>198</v>
      </c>
      <c r="J11" s="3" t="s">
        <v>75</v>
      </c>
      <c r="K11" s="3"/>
      <c r="L11" s="3" t="s">
        <v>17</v>
      </c>
      <c r="M11" s="3" t="s">
        <v>27</v>
      </c>
      <c r="N11" s="3"/>
      <c r="O11" s="3"/>
      <c r="P11" s="3" t="s">
        <v>61</v>
      </c>
    </row>
    <row r="12" spans="1:16" x14ac:dyDescent="0.2">
      <c r="A12" s="3" t="s">
        <v>242</v>
      </c>
      <c r="B12" s="3" t="s">
        <v>243</v>
      </c>
      <c r="C12" s="3" t="s">
        <v>242</v>
      </c>
      <c r="D12" s="4" t="s">
        <v>294</v>
      </c>
      <c r="E12" s="3" t="s">
        <v>241</v>
      </c>
      <c r="F12" s="3" t="s">
        <v>65</v>
      </c>
      <c r="G12" s="3" t="s">
        <v>119</v>
      </c>
      <c r="H12" s="3" t="s">
        <v>76</v>
      </c>
      <c r="I12" s="3" t="s">
        <v>198</v>
      </c>
      <c r="J12" s="3" t="s">
        <v>76</v>
      </c>
      <c r="K12" s="3"/>
      <c r="L12" s="3" t="s">
        <v>17</v>
      </c>
      <c r="M12" s="3" t="s">
        <v>240</v>
      </c>
      <c r="N12" s="3" t="s">
        <v>159</v>
      </c>
      <c r="O12" s="3"/>
      <c r="P12" s="3" t="s">
        <v>62</v>
      </c>
    </row>
    <row r="13" spans="1:16" x14ac:dyDescent="0.2">
      <c r="A13" s="3" t="s">
        <v>242</v>
      </c>
      <c r="B13" s="3" t="s">
        <v>243</v>
      </c>
      <c r="C13" s="3" t="s">
        <v>242</v>
      </c>
      <c r="D13" s="4" t="s">
        <v>294</v>
      </c>
      <c r="E13" s="3" t="s">
        <v>241</v>
      </c>
      <c r="F13" s="3" t="s">
        <v>65</v>
      </c>
      <c r="G13" s="3" t="s">
        <v>121</v>
      </c>
      <c r="H13" s="3" t="s">
        <v>292</v>
      </c>
      <c r="I13" s="3" t="s">
        <v>199</v>
      </c>
      <c r="J13" s="3" t="s">
        <v>180</v>
      </c>
      <c r="K13" s="3"/>
      <c r="L13" s="3" t="s">
        <v>17</v>
      </c>
      <c r="M13" s="3" t="s">
        <v>30</v>
      </c>
      <c r="N13" s="3" t="s">
        <v>159</v>
      </c>
      <c r="O13" s="3" t="s">
        <v>161</v>
      </c>
      <c r="P13" s="3" t="s">
        <v>62</v>
      </c>
    </row>
    <row r="14" spans="1:16" x14ac:dyDescent="0.2">
      <c r="A14" s="3" t="s">
        <v>242</v>
      </c>
      <c r="B14" s="3" t="s">
        <v>243</v>
      </c>
      <c r="C14" s="3" t="s">
        <v>242</v>
      </c>
      <c r="D14" s="4" t="s">
        <v>294</v>
      </c>
      <c r="E14" s="3" t="s">
        <v>241</v>
      </c>
      <c r="F14" s="3" t="s">
        <v>65</v>
      </c>
      <c r="G14" s="3" t="s">
        <v>122</v>
      </c>
      <c r="H14" s="3" t="s">
        <v>79</v>
      </c>
      <c r="I14" s="3" t="s">
        <v>199</v>
      </c>
      <c r="J14" s="3" t="s">
        <v>180</v>
      </c>
      <c r="K14" s="3"/>
      <c r="L14" s="3" t="s">
        <v>17</v>
      </c>
      <c r="M14" s="3" t="s">
        <v>237</v>
      </c>
      <c r="N14" s="3" t="s">
        <v>159</v>
      </c>
      <c r="O14" s="3" t="s">
        <v>291</v>
      </c>
      <c r="P14" s="3" t="s">
        <v>62</v>
      </c>
    </row>
    <row r="15" spans="1:16" x14ac:dyDescent="0.2">
      <c r="A15" s="3" t="s">
        <v>242</v>
      </c>
      <c r="B15" s="3" t="s">
        <v>243</v>
      </c>
      <c r="C15" s="3" t="s">
        <v>242</v>
      </c>
      <c r="D15" s="4" t="s">
        <v>294</v>
      </c>
      <c r="E15" s="3" t="s">
        <v>241</v>
      </c>
      <c r="F15" s="3" t="s">
        <v>65</v>
      </c>
      <c r="G15" s="3" t="s">
        <v>123</v>
      </c>
      <c r="H15" s="3" t="s">
        <v>80</v>
      </c>
      <c r="I15" s="3" t="s">
        <v>199</v>
      </c>
      <c r="J15" s="3" t="s">
        <v>180</v>
      </c>
      <c r="K15" s="3"/>
      <c r="L15" s="3" t="s">
        <v>17</v>
      </c>
      <c r="M15" s="3" t="s">
        <v>236</v>
      </c>
      <c r="N15" s="3" t="s">
        <v>159</v>
      </c>
      <c r="O15" s="3" t="s">
        <v>290</v>
      </c>
      <c r="P15" s="3" t="s">
        <v>62</v>
      </c>
    </row>
    <row r="16" spans="1:16" x14ac:dyDescent="0.2">
      <c r="A16" s="3" t="s">
        <v>242</v>
      </c>
      <c r="B16" s="3" t="s">
        <v>243</v>
      </c>
      <c r="C16" s="3" t="s">
        <v>242</v>
      </c>
      <c r="D16" s="4" t="s">
        <v>294</v>
      </c>
      <c r="E16" s="3" t="s">
        <v>241</v>
      </c>
      <c r="F16" s="3" t="s">
        <v>65</v>
      </c>
      <c r="G16" s="3" t="s">
        <v>124</v>
      </c>
      <c r="H16" s="3" t="s">
        <v>81</v>
      </c>
      <c r="I16" s="3" t="s">
        <v>199</v>
      </c>
      <c r="J16" s="3" t="s">
        <v>184</v>
      </c>
      <c r="K16" s="3"/>
      <c r="L16" s="3" t="s">
        <v>289</v>
      </c>
      <c r="M16" s="3" t="s">
        <v>33</v>
      </c>
      <c r="N16" s="3" t="s">
        <v>157</v>
      </c>
      <c r="O16" s="3" t="s">
        <v>160</v>
      </c>
      <c r="P16" s="3" t="s">
        <v>60</v>
      </c>
    </row>
    <row r="17" spans="1:16" x14ac:dyDescent="0.2">
      <c r="A17" s="3" t="s">
        <v>242</v>
      </c>
      <c r="B17" s="3" t="s">
        <v>243</v>
      </c>
      <c r="C17" s="3" t="s">
        <v>242</v>
      </c>
      <c r="D17" s="4" t="s">
        <v>294</v>
      </c>
      <c r="E17" s="3" t="s">
        <v>241</v>
      </c>
      <c r="F17" s="3" t="s">
        <v>65</v>
      </c>
      <c r="G17" s="3" t="s">
        <v>125</v>
      </c>
      <c r="H17" s="3" t="s">
        <v>82</v>
      </c>
      <c r="I17" s="3" t="s">
        <v>199</v>
      </c>
      <c r="J17" s="3" t="s">
        <v>185</v>
      </c>
      <c r="K17" s="3"/>
      <c r="L17" s="3" t="s">
        <v>17</v>
      </c>
      <c r="M17" s="3" t="s">
        <v>34</v>
      </c>
      <c r="N17" s="3" t="s">
        <v>157</v>
      </c>
      <c r="O17" s="3" t="s">
        <v>160</v>
      </c>
      <c r="P17" s="3" t="s">
        <v>60</v>
      </c>
    </row>
    <row r="18" spans="1:16" x14ac:dyDescent="0.2">
      <c r="A18" s="3" t="s">
        <v>242</v>
      </c>
      <c r="B18" s="3" t="s">
        <v>243</v>
      </c>
      <c r="C18" s="3" t="s">
        <v>242</v>
      </c>
      <c r="D18" s="4" t="s">
        <v>294</v>
      </c>
      <c r="E18" s="3" t="s">
        <v>241</v>
      </c>
      <c r="F18" s="3" t="s">
        <v>65</v>
      </c>
      <c r="G18" s="3" t="s">
        <v>126</v>
      </c>
      <c r="H18" s="3" t="s">
        <v>83</v>
      </c>
      <c r="I18" s="3" t="s">
        <v>199</v>
      </c>
      <c r="J18" s="3" t="s">
        <v>186</v>
      </c>
      <c r="K18" s="3"/>
      <c r="L18" s="3" t="s">
        <v>17</v>
      </c>
      <c r="M18" s="3" t="s">
        <v>35</v>
      </c>
      <c r="N18" s="3" t="s">
        <v>159</v>
      </c>
      <c r="O18" s="3" t="s">
        <v>164</v>
      </c>
      <c r="P18" s="3" t="s">
        <v>64</v>
      </c>
    </row>
    <row r="19" spans="1:16" x14ac:dyDescent="0.2">
      <c r="A19" s="3" t="s">
        <v>242</v>
      </c>
      <c r="B19" s="3" t="s">
        <v>243</v>
      </c>
      <c r="C19" s="3" t="s">
        <v>242</v>
      </c>
      <c r="D19" s="4" t="s">
        <v>294</v>
      </c>
      <c r="E19" s="3" t="s">
        <v>241</v>
      </c>
      <c r="F19" s="3" t="s">
        <v>65</v>
      </c>
      <c r="G19" s="3" t="s">
        <v>127</v>
      </c>
      <c r="H19" s="3" t="s">
        <v>84</v>
      </c>
      <c r="I19" s="3" t="s">
        <v>199</v>
      </c>
      <c r="J19" s="3" t="s">
        <v>187</v>
      </c>
      <c r="K19" s="3"/>
      <c r="L19" s="3" t="s">
        <v>17</v>
      </c>
      <c r="M19" s="3" t="s">
        <v>36</v>
      </c>
      <c r="N19" s="3" t="s">
        <v>157</v>
      </c>
      <c r="O19" s="3" t="s">
        <v>160</v>
      </c>
      <c r="P19" s="3" t="s">
        <v>60</v>
      </c>
    </row>
    <row r="20" spans="1:16" x14ac:dyDescent="0.2">
      <c r="A20" s="3" t="s">
        <v>242</v>
      </c>
      <c r="B20" s="3" t="s">
        <v>243</v>
      </c>
      <c r="C20" s="3" t="s">
        <v>242</v>
      </c>
      <c r="D20" s="4" t="s">
        <v>294</v>
      </c>
      <c r="E20" s="3" t="s">
        <v>241</v>
      </c>
      <c r="F20" s="3" t="s">
        <v>65</v>
      </c>
      <c r="G20" s="3" t="s">
        <v>128</v>
      </c>
      <c r="H20" s="3" t="s">
        <v>85</v>
      </c>
      <c r="I20" s="3" t="s">
        <v>199</v>
      </c>
      <c r="J20" s="3" t="s">
        <v>181</v>
      </c>
      <c r="K20" s="3" t="s">
        <v>173</v>
      </c>
      <c r="L20" s="3" t="s">
        <v>17</v>
      </c>
      <c r="M20" s="3" t="s">
        <v>37</v>
      </c>
      <c r="N20" s="3" t="s">
        <v>158</v>
      </c>
      <c r="O20" s="3" t="s">
        <v>165</v>
      </c>
      <c r="P20" s="3" t="s">
        <v>64</v>
      </c>
    </row>
    <row r="21" spans="1:16" x14ac:dyDescent="0.2">
      <c r="A21" s="3" t="s">
        <v>242</v>
      </c>
      <c r="B21" s="3" t="s">
        <v>243</v>
      </c>
      <c r="C21" s="3" t="s">
        <v>242</v>
      </c>
      <c r="D21" s="4" t="s">
        <v>294</v>
      </c>
      <c r="E21" s="3" t="s">
        <v>241</v>
      </c>
      <c r="F21" s="3" t="s">
        <v>65</v>
      </c>
      <c r="G21" s="3" t="s">
        <v>129</v>
      </c>
      <c r="H21" s="3" t="s">
        <v>86</v>
      </c>
      <c r="I21" s="3" t="s">
        <v>199</v>
      </c>
      <c r="J21" s="3" t="s">
        <v>181</v>
      </c>
      <c r="K21" s="3" t="s">
        <v>172</v>
      </c>
      <c r="L21" s="3" t="s">
        <v>17</v>
      </c>
      <c r="M21" s="3" t="s">
        <v>38</v>
      </c>
      <c r="N21" s="3" t="s">
        <v>158</v>
      </c>
      <c r="O21" s="3" t="s">
        <v>165</v>
      </c>
      <c r="P21" s="3" t="s">
        <v>64</v>
      </c>
    </row>
    <row r="22" spans="1:16" x14ac:dyDescent="0.2">
      <c r="A22" s="3" t="s">
        <v>242</v>
      </c>
      <c r="B22" s="3" t="s">
        <v>243</v>
      </c>
      <c r="C22" s="3" t="s">
        <v>242</v>
      </c>
      <c r="D22" s="4" t="s">
        <v>294</v>
      </c>
      <c r="E22" s="3" t="s">
        <v>241</v>
      </c>
      <c r="F22" s="3" t="s">
        <v>65</v>
      </c>
      <c r="G22" s="3" t="s">
        <v>130</v>
      </c>
      <c r="H22" s="3" t="s">
        <v>87</v>
      </c>
      <c r="I22" s="3" t="s">
        <v>199</v>
      </c>
      <c r="J22" s="3" t="s">
        <v>181</v>
      </c>
      <c r="K22" s="3" t="s">
        <v>172</v>
      </c>
      <c r="L22" s="3" t="s">
        <v>17</v>
      </c>
      <c r="M22" s="3" t="s">
        <v>39</v>
      </c>
      <c r="N22" s="3" t="s">
        <v>159</v>
      </c>
      <c r="O22" s="3" t="s">
        <v>166</v>
      </c>
      <c r="P22" s="3" t="s">
        <v>62</v>
      </c>
    </row>
    <row r="23" spans="1:16" x14ac:dyDescent="0.2">
      <c r="A23" s="3" t="s">
        <v>242</v>
      </c>
      <c r="B23" s="3" t="s">
        <v>243</v>
      </c>
      <c r="C23" s="3" t="s">
        <v>242</v>
      </c>
      <c r="D23" s="4" t="s">
        <v>294</v>
      </c>
      <c r="E23" s="3" t="s">
        <v>241</v>
      </c>
      <c r="F23" s="3" t="s">
        <v>65</v>
      </c>
      <c r="G23" s="3" t="s">
        <v>131</v>
      </c>
      <c r="H23" s="3" t="s">
        <v>88</v>
      </c>
      <c r="I23" s="3" t="s">
        <v>199</v>
      </c>
      <c r="J23" s="3" t="s">
        <v>181</v>
      </c>
      <c r="K23" s="3" t="s">
        <v>172</v>
      </c>
      <c r="L23" s="3" t="s">
        <v>17</v>
      </c>
      <c r="M23" s="3" t="s">
        <v>40</v>
      </c>
      <c r="N23" s="3" t="s">
        <v>157</v>
      </c>
      <c r="O23" s="3" t="s">
        <v>167</v>
      </c>
      <c r="P23" s="3" t="s">
        <v>60</v>
      </c>
    </row>
    <row r="24" spans="1:16" x14ac:dyDescent="0.2">
      <c r="A24" s="3" t="s">
        <v>242</v>
      </c>
      <c r="B24" s="3" t="s">
        <v>243</v>
      </c>
      <c r="C24" s="3" t="s">
        <v>242</v>
      </c>
      <c r="D24" s="4" t="s">
        <v>294</v>
      </c>
      <c r="E24" s="3" t="s">
        <v>241</v>
      </c>
      <c r="F24" s="3" t="s">
        <v>65</v>
      </c>
      <c r="G24" s="3" t="s">
        <v>132</v>
      </c>
      <c r="H24" s="3" t="s">
        <v>89</v>
      </c>
      <c r="I24" s="3" t="s">
        <v>199</v>
      </c>
      <c r="J24" s="3" t="s">
        <v>181</v>
      </c>
      <c r="K24" s="3" t="s">
        <v>172</v>
      </c>
      <c r="L24" s="3" t="s">
        <v>17</v>
      </c>
      <c r="M24" s="3" t="s">
        <v>41</v>
      </c>
      <c r="N24" s="3" t="s">
        <v>157</v>
      </c>
      <c r="O24" s="3" t="s">
        <v>168</v>
      </c>
      <c r="P24" s="3" t="s">
        <v>60</v>
      </c>
    </row>
    <row r="25" spans="1:16" x14ac:dyDescent="0.2">
      <c r="A25" s="3" t="s">
        <v>242</v>
      </c>
      <c r="B25" s="3" t="s">
        <v>243</v>
      </c>
      <c r="C25" s="3" t="s">
        <v>242</v>
      </c>
      <c r="D25" s="4" t="s">
        <v>294</v>
      </c>
      <c r="E25" s="3" t="s">
        <v>241</v>
      </c>
      <c r="F25" s="3" t="s">
        <v>65</v>
      </c>
      <c r="G25" s="3" t="s">
        <v>133</v>
      </c>
      <c r="H25" s="3" t="s">
        <v>288</v>
      </c>
      <c r="I25" s="3" t="s">
        <v>199</v>
      </c>
      <c r="J25" s="3" t="s">
        <v>188</v>
      </c>
      <c r="K25" s="3"/>
      <c r="L25" s="3" t="s">
        <v>17</v>
      </c>
      <c r="M25" s="3" t="s">
        <v>42</v>
      </c>
      <c r="N25" s="3" t="s">
        <v>158</v>
      </c>
      <c r="O25" s="3" t="s">
        <v>164</v>
      </c>
      <c r="P25" s="3" t="s">
        <v>64</v>
      </c>
    </row>
    <row r="26" spans="1:16" x14ac:dyDescent="0.2">
      <c r="A26" s="3" t="s">
        <v>242</v>
      </c>
      <c r="B26" s="3" t="s">
        <v>243</v>
      </c>
      <c r="C26" s="3" t="s">
        <v>242</v>
      </c>
      <c r="D26" s="4" t="s">
        <v>294</v>
      </c>
      <c r="E26" s="3" t="s">
        <v>241</v>
      </c>
      <c r="F26" s="3" t="s">
        <v>65</v>
      </c>
      <c r="G26" s="3" t="s">
        <v>286</v>
      </c>
      <c r="H26" s="3" t="s">
        <v>287</v>
      </c>
      <c r="I26" s="3" t="s">
        <v>199</v>
      </c>
      <c r="J26" s="3" t="s">
        <v>188</v>
      </c>
      <c r="K26" s="3"/>
      <c r="L26" s="3" t="s">
        <v>17</v>
      </c>
      <c r="M26" s="3" t="s">
        <v>43</v>
      </c>
      <c r="N26" s="3" t="s">
        <v>157</v>
      </c>
      <c r="O26" s="3" t="s">
        <v>260</v>
      </c>
      <c r="P26" s="3" t="s">
        <v>60</v>
      </c>
    </row>
    <row r="27" spans="1:16" x14ac:dyDescent="0.2">
      <c r="A27" s="3" t="s">
        <v>242</v>
      </c>
      <c r="B27" s="3" t="s">
        <v>243</v>
      </c>
      <c r="C27" s="3" t="s">
        <v>242</v>
      </c>
      <c r="D27" s="4" t="s">
        <v>294</v>
      </c>
      <c r="E27" s="3" t="s">
        <v>241</v>
      </c>
      <c r="F27" s="3" t="s">
        <v>65</v>
      </c>
      <c r="G27" s="3" t="s">
        <v>134</v>
      </c>
      <c r="H27" s="3" t="s">
        <v>91</v>
      </c>
      <c r="I27" s="3" t="s">
        <v>199</v>
      </c>
      <c r="J27" s="3" t="s">
        <v>189</v>
      </c>
      <c r="K27" s="3"/>
      <c r="L27" s="3" t="s">
        <v>17</v>
      </c>
      <c r="M27" s="3" t="s">
        <v>44</v>
      </c>
      <c r="N27" s="3" t="s">
        <v>158</v>
      </c>
      <c r="O27" s="3" t="s">
        <v>164</v>
      </c>
      <c r="P27" s="3" t="s">
        <v>64</v>
      </c>
    </row>
    <row r="28" spans="1:16" x14ac:dyDescent="0.2">
      <c r="A28" s="3" t="s">
        <v>242</v>
      </c>
      <c r="B28" s="3" t="s">
        <v>243</v>
      </c>
      <c r="C28" s="3" t="s">
        <v>242</v>
      </c>
      <c r="D28" s="4" t="s">
        <v>294</v>
      </c>
      <c r="E28" s="3" t="s">
        <v>241</v>
      </c>
      <c r="F28" s="3" t="s">
        <v>65</v>
      </c>
      <c r="G28" s="3" t="s">
        <v>284</v>
      </c>
      <c r="H28" s="3" t="s">
        <v>285</v>
      </c>
      <c r="I28" s="3" t="s">
        <v>199</v>
      </c>
      <c r="J28" s="3" t="s">
        <v>189</v>
      </c>
      <c r="K28" s="3"/>
      <c r="L28" s="3" t="s">
        <v>17</v>
      </c>
      <c r="M28" s="3" t="s">
        <v>45</v>
      </c>
      <c r="N28" s="3" t="s">
        <v>157</v>
      </c>
      <c r="O28" s="3" t="s">
        <v>260</v>
      </c>
      <c r="P28" s="3" t="s">
        <v>60</v>
      </c>
    </row>
    <row r="29" spans="1:16" x14ac:dyDescent="0.2">
      <c r="A29" s="3" t="s">
        <v>242</v>
      </c>
      <c r="B29" s="3" t="s">
        <v>243</v>
      </c>
      <c r="C29" s="3" t="s">
        <v>242</v>
      </c>
      <c r="D29" s="4" t="s">
        <v>294</v>
      </c>
      <c r="E29" s="3" t="s">
        <v>241</v>
      </c>
      <c r="F29" s="3" t="s">
        <v>65</v>
      </c>
      <c r="G29" s="3" t="s">
        <v>135</v>
      </c>
      <c r="H29" s="3" t="s">
        <v>92</v>
      </c>
      <c r="I29" s="3" t="s">
        <v>199</v>
      </c>
      <c r="J29" s="3" t="s">
        <v>190</v>
      </c>
      <c r="K29" s="3"/>
      <c r="L29" s="3" t="s">
        <v>17</v>
      </c>
      <c r="M29" s="3" t="s">
        <v>46</v>
      </c>
      <c r="N29" s="3" t="s">
        <v>158</v>
      </c>
      <c r="O29" s="3" t="s">
        <v>164</v>
      </c>
      <c r="P29" s="3" t="s">
        <v>64</v>
      </c>
    </row>
    <row r="30" spans="1:16" x14ac:dyDescent="0.2">
      <c r="A30" s="3" t="s">
        <v>242</v>
      </c>
      <c r="B30" s="3" t="s">
        <v>243</v>
      </c>
      <c r="C30" s="3" t="s">
        <v>242</v>
      </c>
      <c r="D30" s="4" t="s">
        <v>294</v>
      </c>
      <c r="E30" s="3" t="s">
        <v>241</v>
      </c>
      <c r="F30" s="3" t="s">
        <v>65</v>
      </c>
      <c r="G30" s="3" t="s">
        <v>282</v>
      </c>
      <c r="H30" s="3" t="s">
        <v>283</v>
      </c>
      <c r="I30" s="3" t="s">
        <v>199</v>
      </c>
      <c r="J30" s="3" t="s">
        <v>190</v>
      </c>
      <c r="K30" s="3"/>
      <c r="L30" s="3" t="s">
        <v>17</v>
      </c>
      <c r="M30" s="3" t="s">
        <v>47</v>
      </c>
      <c r="N30" s="3" t="s">
        <v>157</v>
      </c>
      <c r="O30" s="3" t="s">
        <v>281</v>
      </c>
      <c r="P30" s="3" t="s">
        <v>60</v>
      </c>
    </row>
    <row r="31" spans="1:16" x14ac:dyDescent="0.2">
      <c r="A31" s="3" t="s">
        <v>242</v>
      </c>
      <c r="B31" s="3" t="s">
        <v>243</v>
      </c>
      <c r="C31" s="3" t="s">
        <v>242</v>
      </c>
      <c r="D31" s="4" t="s">
        <v>294</v>
      </c>
      <c r="E31" s="3" t="s">
        <v>241</v>
      </c>
      <c r="F31" s="3" t="s">
        <v>65</v>
      </c>
      <c r="G31" s="3" t="s">
        <v>279</v>
      </c>
      <c r="H31" s="3" t="s">
        <v>280</v>
      </c>
      <c r="I31" s="3" t="s">
        <v>199</v>
      </c>
      <c r="J31" s="3" t="s">
        <v>190</v>
      </c>
      <c r="K31" s="3"/>
      <c r="L31" s="3" t="s">
        <v>17</v>
      </c>
      <c r="M31" s="3" t="s">
        <v>48</v>
      </c>
      <c r="N31" s="3" t="s">
        <v>157</v>
      </c>
      <c r="O31" s="3" t="s">
        <v>278</v>
      </c>
      <c r="P31" s="3" t="s">
        <v>60</v>
      </c>
    </row>
    <row r="32" spans="1:16" x14ac:dyDescent="0.2">
      <c r="A32" s="3" t="s">
        <v>242</v>
      </c>
      <c r="B32" s="3" t="s">
        <v>243</v>
      </c>
      <c r="C32" s="3" t="s">
        <v>242</v>
      </c>
      <c r="D32" s="4" t="s">
        <v>294</v>
      </c>
      <c r="E32" s="3" t="s">
        <v>241</v>
      </c>
      <c r="F32" s="3" t="s">
        <v>65</v>
      </c>
      <c r="G32" s="3" t="s">
        <v>136</v>
      </c>
      <c r="H32" s="3" t="s">
        <v>277</v>
      </c>
      <c r="I32" s="3" t="s">
        <v>199</v>
      </c>
      <c r="J32" s="3" t="s">
        <v>191</v>
      </c>
      <c r="K32" s="3"/>
      <c r="L32" s="3" t="s">
        <v>17</v>
      </c>
      <c r="M32" s="3" t="s">
        <v>49</v>
      </c>
      <c r="N32" s="3" t="s">
        <v>158</v>
      </c>
      <c r="O32" s="3" t="s">
        <v>164</v>
      </c>
      <c r="P32" s="3" t="s">
        <v>64</v>
      </c>
    </row>
    <row r="33" spans="1:16" x14ac:dyDescent="0.2">
      <c r="A33" s="3" t="s">
        <v>242</v>
      </c>
      <c r="B33" s="3" t="s">
        <v>243</v>
      </c>
      <c r="C33" s="3" t="s">
        <v>242</v>
      </c>
      <c r="D33" s="4" t="s">
        <v>294</v>
      </c>
      <c r="E33" s="3" t="s">
        <v>241</v>
      </c>
      <c r="F33" s="3" t="s">
        <v>65</v>
      </c>
      <c r="G33" s="3" t="s">
        <v>137</v>
      </c>
      <c r="H33" s="3" t="s">
        <v>94</v>
      </c>
      <c r="I33" s="3" t="s">
        <v>199</v>
      </c>
      <c r="J33" s="3" t="s">
        <v>192</v>
      </c>
      <c r="K33" s="3"/>
      <c r="L33" s="3" t="s">
        <v>17</v>
      </c>
      <c r="M33" s="3" t="s">
        <v>50</v>
      </c>
      <c r="N33" s="3" t="s">
        <v>158</v>
      </c>
      <c r="O33" s="3" t="s">
        <v>164</v>
      </c>
      <c r="P33" s="3" t="s">
        <v>64</v>
      </c>
    </row>
    <row r="34" spans="1:16" x14ac:dyDescent="0.2">
      <c r="A34" s="3" t="s">
        <v>242</v>
      </c>
      <c r="B34" s="3" t="s">
        <v>243</v>
      </c>
      <c r="C34" s="3" t="s">
        <v>242</v>
      </c>
      <c r="D34" s="4" t="s">
        <v>294</v>
      </c>
      <c r="E34" s="3" t="s">
        <v>241</v>
      </c>
      <c r="F34" s="3" t="s">
        <v>65</v>
      </c>
      <c r="G34" s="3" t="s">
        <v>275</v>
      </c>
      <c r="H34" s="3" t="s">
        <v>276</v>
      </c>
      <c r="I34" s="3" t="s">
        <v>199</v>
      </c>
      <c r="J34" s="3" t="s">
        <v>192</v>
      </c>
      <c r="K34" s="3"/>
      <c r="L34" s="3" t="s">
        <v>17</v>
      </c>
      <c r="M34" s="3" t="s">
        <v>51</v>
      </c>
      <c r="N34" s="3" t="s">
        <v>157</v>
      </c>
      <c r="O34" s="3" t="s">
        <v>274</v>
      </c>
      <c r="P34" s="3" t="s">
        <v>60</v>
      </c>
    </row>
    <row r="35" spans="1:16" x14ac:dyDescent="0.2">
      <c r="A35" s="3" t="s">
        <v>242</v>
      </c>
      <c r="B35" s="3" t="s">
        <v>243</v>
      </c>
      <c r="C35" s="3" t="s">
        <v>242</v>
      </c>
      <c r="D35" s="4" t="s">
        <v>294</v>
      </c>
      <c r="E35" s="3" t="s">
        <v>241</v>
      </c>
      <c r="F35" s="3" t="s">
        <v>65</v>
      </c>
      <c r="G35" s="3" t="s">
        <v>138</v>
      </c>
      <c r="H35" s="3" t="s">
        <v>273</v>
      </c>
      <c r="I35" s="3" t="s">
        <v>199</v>
      </c>
      <c r="J35" s="3" t="s">
        <v>95</v>
      </c>
      <c r="K35" s="3"/>
      <c r="L35" s="3" t="s">
        <v>17</v>
      </c>
      <c r="M35" s="3" t="s">
        <v>52</v>
      </c>
      <c r="N35" s="3" t="s">
        <v>157</v>
      </c>
      <c r="O35" s="3" t="s">
        <v>169</v>
      </c>
      <c r="P35" s="3" t="s">
        <v>60</v>
      </c>
    </row>
    <row r="36" spans="1:16" x14ac:dyDescent="0.2">
      <c r="A36" s="3" t="s">
        <v>242</v>
      </c>
      <c r="B36" s="3" t="s">
        <v>243</v>
      </c>
      <c r="C36" s="3" t="s">
        <v>242</v>
      </c>
      <c r="D36" s="4" t="s">
        <v>294</v>
      </c>
      <c r="E36" s="3" t="s">
        <v>241</v>
      </c>
      <c r="F36" s="3" t="s">
        <v>65</v>
      </c>
      <c r="G36" s="3" t="s">
        <v>139</v>
      </c>
      <c r="H36" s="3" t="s">
        <v>96</v>
      </c>
      <c r="I36" s="3" t="s">
        <v>199</v>
      </c>
      <c r="J36" s="3" t="s">
        <v>193</v>
      </c>
      <c r="K36" s="3"/>
      <c r="L36" s="3" t="s">
        <v>17</v>
      </c>
      <c r="M36" s="3" t="s">
        <v>272</v>
      </c>
      <c r="N36" s="3" t="s">
        <v>158</v>
      </c>
      <c r="O36" s="3" t="s">
        <v>164</v>
      </c>
      <c r="P36" s="3" t="s">
        <v>64</v>
      </c>
    </row>
    <row r="37" spans="1:16" x14ac:dyDescent="0.2">
      <c r="A37" s="3" t="s">
        <v>242</v>
      </c>
      <c r="B37" s="3" t="s">
        <v>243</v>
      </c>
      <c r="C37" s="3" t="s">
        <v>242</v>
      </c>
      <c r="D37" s="4" t="s">
        <v>294</v>
      </c>
      <c r="E37" s="3" t="s">
        <v>241</v>
      </c>
      <c r="F37" s="3" t="s">
        <v>65</v>
      </c>
      <c r="G37" s="3" t="s">
        <v>270</v>
      </c>
      <c r="H37" s="3" t="s">
        <v>271</v>
      </c>
      <c r="I37" s="3" t="s">
        <v>199</v>
      </c>
      <c r="J37" s="3" t="s">
        <v>193</v>
      </c>
      <c r="K37" s="3"/>
      <c r="L37" s="3" t="s">
        <v>17</v>
      </c>
      <c r="M37" s="3" t="s">
        <v>212</v>
      </c>
      <c r="N37" s="3" t="s">
        <v>157</v>
      </c>
      <c r="O37" s="3" t="s">
        <v>269</v>
      </c>
      <c r="P37" s="3" t="s">
        <v>60</v>
      </c>
    </row>
    <row r="38" spans="1:16" x14ac:dyDescent="0.2">
      <c r="A38" s="3" t="s">
        <v>242</v>
      </c>
      <c r="B38" s="3" t="s">
        <v>243</v>
      </c>
      <c r="C38" s="3" t="s">
        <v>242</v>
      </c>
      <c r="D38" s="4" t="s">
        <v>294</v>
      </c>
      <c r="E38" s="3" t="s">
        <v>241</v>
      </c>
      <c r="F38" s="3" t="s">
        <v>65</v>
      </c>
      <c r="G38" s="3" t="s">
        <v>140</v>
      </c>
      <c r="H38" s="3" t="s">
        <v>97</v>
      </c>
      <c r="I38" s="3" t="s">
        <v>199</v>
      </c>
      <c r="J38" s="3" t="s">
        <v>194</v>
      </c>
      <c r="K38" s="3"/>
      <c r="L38" s="3" t="s">
        <v>17</v>
      </c>
      <c r="M38" s="3" t="s">
        <v>209</v>
      </c>
      <c r="N38" s="3" t="s">
        <v>158</v>
      </c>
      <c r="O38" s="3" t="s">
        <v>164</v>
      </c>
      <c r="P38" s="3" t="s">
        <v>64</v>
      </c>
    </row>
    <row r="39" spans="1:16" x14ac:dyDescent="0.2">
      <c r="A39" s="3" t="s">
        <v>242</v>
      </c>
      <c r="B39" s="3" t="s">
        <v>243</v>
      </c>
      <c r="C39" s="3" t="s">
        <v>242</v>
      </c>
      <c r="D39" s="4" t="s">
        <v>294</v>
      </c>
      <c r="E39" s="3" t="s">
        <v>241</v>
      </c>
      <c r="F39" s="3" t="s">
        <v>65</v>
      </c>
      <c r="G39" s="3" t="s">
        <v>266</v>
      </c>
      <c r="H39" s="3" t="s">
        <v>267</v>
      </c>
      <c r="I39" s="3" t="s">
        <v>199</v>
      </c>
      <c r="J39" s="3" t="s">
        <v>194</v>
      </c>
      <c r="K39" s="3"/>
      <c r="L39" s="3" t="s">
        <v>17</v>
      </c>
      <c r="M39" s="3" t="s">
        <v>268</v>
      </c>
      <c r="N39" s="3" t="s">
        <v>157</v>
      </c>
      <c r="O39" s="3" t="s">
        <v>265</v>
      </c>
      <c r="P39" s="3" t="s">
        <v>60</v>
      </c>
    </row>
    <row r="40" spans="1:16" x14ac:dyDescent="0.2">
      <c r="A40" s="3" t="s">
        <v>242</v>
      </c>
      <c r="B40" s="3" t="s">
        <v>243</v>
      </c>
      <c r="C40" s="3" t="s">
        <v>242</v>
      </c>
      <c r="D40" s="4" t="s">
        <v>294</v>
      </c>
      <c r="E40" s="3" t="s">
        <v>241</v>
      </c>
      <c r="F40" s="3" t="s">
        <v>65</v>
      </c>
      <c r="G40" s="3" t="s">
        <v>141</v>
      </c>
      <c r="H40" s="3" t="s">
        <v>98</v>
      </c>
      <c r="I40" s="3" t="s">
        <v>199</v>
      </c>
      <c r="J40" s="3" t="s">
        <v>195</v>
      </c>
      <c r="K40" s="3"/>
      <c r="L40" s="3" t="s">
        <v>17</v>
      </c>
      <c r="M40" s="3" t="s">
        <v>264</v>
      </c>
      <c r="N40" s="3" t="s">
        <v>158</v>
      </c>
      <c r="O40" s="3" t="s">
        <v>164</v>
      </c>
      <c r="P40" s="3" t="s">
        <v>64</v>
      </c>
    </row>
    <row r="41" spans="1:16" x14ac:dyDescent="0.2">
      <c r="A41" s="3" t="s">
        <v>242</v>
      </c>
      <c r="B41" s="3" t="s">
        <v>243</v>
      </c>
      <c r="C41" s="3" t="s">
        <v>242</v>
      </c>
      <c r="D41" s="4" t="s">
        <v>294</v>
      </c>
      <c r="E41" s="3" t="s">
        <v>241</v>
      </c>
      <c r="F41" s="3" t="s">
        <v>65</v>
      </c>
      <c r="G41" s="3" t="s">
        <v>261</v>
      </c>
      <c r="H41" s="3" t="s">
        <v>262</v>
      </c>
      <c r="I41" s="3" t="s">
        <v>199</v>
      </c>
      <c r="J41" s="3" t="s">
        <v>195</v>
      </c>
      <c r="K41" s="3"/>
      <c r="L41" s="3" t="s">
        <v>17</v>
      </c>
      <c r="M41" s="3" t="s">
        <v>263</v>
      </c>
      <c r="N41" s="3" t="s">
        <v>157</v>
      </c>
      <c r="O41" s="3" t="s">
        <v>260</v>
      </c>
      <c r="P41" s="3" t="s">
        <v>60</v>
      </c>
    </row>
    <row r="42" spans="1:16" x14ac:dyDescent="0.2">
      <c r="A42" s="3" t="s">
        <v>242</v>
      </c>
      <c r="B42" s="3" t="s">
        <v>243</v>
      </c>
      <c r="C42" s="3" t="s">
        <v>242</v>
      </c>
      <c r="D42" s="4" t="s">
        <v>294</v>
      </c>
      <c r="E42" s="3" t="s">
        <v>241</v>
      </c>
      <c r="F42" s="3" t="s">
        <v>65</v>
      </c>
      <c r="G42" s="3" t="s">
        <v>143</v>
      </c>
      <c r="H42" s="3" t="s">
        <v>100</v>
      </c>
      <c r="I42" s="3" t="s">
        <v>199</v>
      </c>
      <c r="J42" s="3" t="s">
        <v>195</v>
      </c>
      <c r="K42" s="3"/>
      <c r="L42" s="3" t="s">
        <v>17</v>
      </c>
      <c r="M42" s="3" t="s">
        <v>259</v>
      </c>
      <c r="N42" s="3" t="s">
        <v>157</v>
      </c>
      <c r="O42" s="3" t="s">
        <v>169</v>
      </c>
      <c r="P42" s="3" t="s">
        <v>60</v>
      </c>
    </row>
    <row r="43" spans="1:16" x14ac:dyDescent="0.2">
      <c r="A43" s="3" t="s">
        <v>242</v>
      </c>
      <c r="B43" s="3" t="s">
        <v>243</v>
      </c>
      <c r="C43" s="3" t="s">
        <v>242</v>
      </c>
      <c r="D43" s="4" t="s">
        <v>294</v>
      </c>
      <c r="E43" s="3" t="s">
        <v>241</v>
      </c>
      <c r="F43" s="3" t="s">
        <v>65</v>
      </c>
      <c r="G43" s="3" t="s">
        <v>144</v>
      </c>
      <c r="H43" s="3" t="s">
        <v>101</v>
      </c>
      <c r="I43" s="3" t="s">
        <v>199</v>
      </c>
      <c r="J43" s="3" t="s">
        <v>196</v>
      </c>
      <c r="K43" s="3"/>
      <c r="L43" s="3" t="s">
        <v>17</v>
      </c>
      <c r="M43" s="3" t="s">
        <v>258</v>
      </c>
      <c r="N43" s="3" t="s">
        <v>158</v>
      </c>
      <c r="O43" s="3" t="s">
        <v>164</v>
      </c>
      <c r="P43" s="3" t="s">
        <v>64</v>
      </c>
    </row>
    <row r="44" spans="1:16" x14ac:dyDescent="0.2">
      <c r="A44" s="3" t="s">
        <v>242</v>
      </c>
      <c r="B44" s="3" t="s">
        <v>243</v>
      </c>
      <c r="C44" s="3" t="s">
        <v>242</v>
      </c>
      <c r="D44" s="4" t="s">
        <v>294</v>
      </c>
      <c r="E44" s="3" t="s">
        <v>241</v>
      </c>
      <c r="F44" s="3" t="s">
        <v>65</v>
      </c>
      <c r="G44" s="3" t="s">
        <v>145</v>
      </c>
      <c r="H44" s="3" t="s">
        <v>102</v>
      </c>
      <c r="I44" s="3" t="s">
        <v>199</v>
      </c>
      <c r="J44" s="3" t="s">
        <v>197</v>
      </c>
      <c r="K44" s="3"/>
      <c r="L44" s="3" t="s">
        <v>17</v>
      </c>
      <c r="M44" s="3" t="s">
        <v>257</v>
      </c>
      <c r="N44" s="3" t="s">
        <v>158</v>
      </c>
      <c r="O44" s="3" t="s">
        <v>164</v>
      </c>
      <c r="P44" s="3" t="s">
        <v>64</v>
      </c>
    </row>
    <row r="45" spans="1:16" x14ac:dyDescent="0.2">
      <c r="A45" s="3" t="s">
        <v>242</v>
      </c>
      <c r="B45" s="3" t="s">
        <v>243</v>
      </c>
      <c r="C45" s="3" t="s">
        <v>242</v>
      </c>
      <c r="D45" s="4" t="s">
        <v>294</v>
      </c>
      <c r="E45" s="3" t="s">
        <v>241</v>
      </c>
      <c r="F45" s="3" t="s">
        <v>65</v>
      </c>
      <c r="G45" s="3" t="s">
        <v>254</v>
      </c>
      <c r="H45" s="3" t="s">
        <v>255</v>
      </c>
      <c r="I45" s="3" t="s">
        <v>199</v>
      </c>
      <c r="J45" s="3" t="s">
        <v>196</v>
      </c>
      <c r="K45" s="3"/>
      <c r="L45" s="3" t="s">
        <v>17</v>
      </c>
      <c r="M45" s="3" t="s">
        <v>256</v>
      </c>
      <c r="N45" s="3" t="s">
        <v>157</v>
      </c>
      <c r="O45" s="3" t="s">
        <v>250</v>
      </c>
      <c r="P45" s="3" t="s">
        <v>60</v>
      </c>
    </row>
    <row r="46" spans="1:16" x14ac:dyDescent="0.2">
      <c r="A46" s="3" t="s">
        <v>242</v>
      </c>
      <c r="B46" s="3" t="s">
        <v>243</v>
      </c>
      <c r="C46" s="3" t="s">
        <v>242</v>
      </c>
      <c r="D46" s="4" t="s">
        <v>294</v>
      </c>
      <c r="E46" s="3" t="s">
        <v>241</v>
      </c>
      <c r="F46" s="3" t="s">
        <v>65</v>
      </c>
      <c r="G46" s="3" t="s">
        <v>251</v>
      </c>
      <c r="H46" s="3" t="s">
        <v>252</v>
      </c>
      <c r="I46" s="3" t="s">
        <v>199</v>
      </c>
      <c r="J46" s="3" t="s">
        <v>197</v>
      </c>
      <c r="K46" s="3"/>
      <c r="L46" s="3" t="s">
        <v>17</v>
      </c>
      <c r="M46" s="3" t="s">
        <v>253</v>
      </c>
      <c r="N46" s="3" t="s">
        <v>157</v>
      </c>
      <c r="O46" s="3" t="s">
        <v>250</v>
      </c>
      <c r="P46" s="3" t="s">
        <v>60</v>
      </c>
    </row>
    <row r="47" spans="1:16" x14ac:dyDescent="0.2">
      <c r="A47" s="3" t="s">
        <v>242</v>
      </c>
      <c r="B47" s="3" t="s">
        <v>243</v>
      </c>
      <c r="C47" s="3" t="s">
        <v>242</v>
      </c>
      <c r="D47" s="4" t="s">
        <v>294</v>
      </c>
      <c r="E47" s="3" t="s">
        <v>241</v>
      </c>
      <c r="F47" s="3" t="s">
        <v>65</v>
      </c>
      <c r="G47" s="3" t="s">
        <v>210</v>
      </c>
      <c r="H47" s="3" t="s">
        <v>211</v>
      </c>
      <c r="I47" s="3" t="s">
        <v>199</v>
      </c>
      <c r="J47" s="3" t="s">
        <v>205</v>
      </c>
      <c r="K47" s="3"/>
      <c r="L47" s="3" t="s">
        <v>17</v>
      </c>
      <c r="M47" s="3" t="s">
        <v>249</v>
      </c>
      <c r="N47" s="3" t="s">
        <v>158</v>
      </c>
      <c r="O47" s="3" t="s">
        <v>164</v>
      </c>
      <c r="P47" s="3" t="s">
        <v>64</v>
      </c>
    </row>
    <row r="48" spans="1:16" x14ac:dyDescent="0.2">
      <c r="A48" s="3" t="s">
        <v>242</v>
      </c>
      <c r="B48" s="3" t="s">
        <v>243</v>
      </c>
      <c r="C48" s="3" t="s">
        <v>242</v>
      </c>
      <c r="D48" s="4" t="s">
        <v>294</v>
      </c>
      <c r="E48" s="3" t="s">
        <v>241</v>
      </c>
      <c r="F48" s="3" t="s">
        <v>65</v>
      </c>
      <c r="G48" s="3" t="s">
        <v>246</v>
      </c>
      <c r="H48" s="3" t="s">
        <v>247</v>
      </c>
      <c r="I48" s="3" t="s">
        <v>199</v>
      </c>
      <c r="J48" s="3" t="s">
        <v>205</v>
      </c>
      <c r="K48" s="3"/>
      <c r="L48" s="3" t="s">
        <v>17</v>
      </c>
      <c r="M48" s="3" t="s">
        <v>248</v>
      </c>
      <c r="N48" s="3" t="s">
        <v>157</v>
      </c>
      <c r="O48" s="3" t="s">
        <v>245</v>
      </c>
      <c r="P48" s="3" t="s">
        <v>60</v>
      </c>
    </row>
    <row r="49" spans="1:16" x14ac:dyDescent="0.2">
      <c r="A49" s="3" t="s">
        <v>242</v>
      </c>
      <c r="B49" s="3" t="s">
        <v>243</v>
      </c>
      <c r="C49" s="3" t="s">
        <v>242</v>
      </c>
      <c r="D49" s="4" t="s">
        <v>294</v>
      </c>
      <c r="E49" s="3" t="s">
        <v>241</v>
      </c>
      <c r="F49" s="3" t="s">
        <v>65</v>
      </c>
      <c r="G49" s="3" t="s">
        <v>244</v>
      </c>
      <c r="H49" s="3" t="s">
        <v>103</v>
      </c>
      <c r="I49" s="3" t="s">
        <v>171</v>
      </c>
      <c r="J49" s="3" t="s">
        <v>103</v>
      </c>
      <c r="K49" s="3"/>
      <c r="L49" s="3" t="s">
        <v>17</v>
      </c>
      <c r="M49" s="3" t="s">
        <v>55</v>
      </c>
      <c r="N49" s="3"/>
      <c r="O49" s="3" t="s">
        <v>171</v>
      </c>
      <c r="P49" s="3" t="s">
        <v>62</v>
      </c>
    </row>
    <row r="50" spans="1:16" x14ac:dyDescent="0.2">
      <c r="A50" s="3" t="s">
        <v>242</v>
      </c>
      <c r="B50" s="3" t="s">
        <v>243</v>
      </c>
      <c r="C50" s="3" t="s">
        <v>242</v>
      </c>
      <c r="D50" s="4" t="s">
        <v>294</v>
      </c>
      <c r="E50" s="3" t="s">
        <v>241</v>
      </c>
      <c r="F50" s="3" t="s">
        <v>65</v>
      </c>
      <c r="G50" s="3" t="s">
        <v>147</v>
      </c>
      <c r="H50" s="3" t="s">
        <v>104</v>
      </c>
      <c r="I50" s="3" t="s">
        <v>171</v>
      </c>
      <c r="J50" s="3" t="s">
        <v>104</v>
      </c>
      <c r="K50" s="3"/>
      <c r="L50" s="3" t="s">
        <v>17</v>
      </c>
      <c r="M50" s="3" t="s">
        <v>56</v>
      </c>
      <c r="N50" s="3"/>
      <c r="O50" s="3" t="s">
        <v>171</v>
      </c>
      <c r="P50" s="3" t="s">
        <v>62</v>
      </c>
    </row>
    <row r="51" spans="1:16" x14ac:dyDescent="0.2">
      <c r="A51" s="3" t="s">
        <v>242</v>
      </c>
      <c r="B51" s="3" t="s">
        <v>243</v>
      </c>
      <c r="C51" s="3" t="s">
        <v>242</v>
      </c>
      <c r="D51" s="4" t="s">
        <v>294</v>
      </c>
      <c r="E51" s="3" t="s">
        <v>241</v>
      </c>
      <c r="F51" s="3" t="s">
        <v>65</v>
      </c>
      <c r="G51" s="3" t="s">
        <v>148</v>
      </c>
      <c r="H51" s="3" t="s">
        <v>105</v>
      </c>
      <c r="I51" s="3" t="s">
        <v>171</v>
      </c>
      <c r="J51" s="3" t="s">
        <v>105</v>
      </c>
      <c r="K51" s="3"/>
      <c r="L51" s="3" t="s">
        <v>17</v>
      </c>
      <c r="M51" s="3" t="s">
        <v>57</v>
      </c>
      <c r="N51" s="3"/>
      <c r="O51" s="3" t="s">
        <v>171</v>
      </c>
      <c r="P51" s="3" t="s">
        <v>62</v>
      </c>
    </row>
    <row r="52" spans="1:16" x14ac:dyDescent="0.2">
      <c r="A52" s="3" t="s">
        <v>242</v>
      </c>
      <c r="B52" s="3" t="s">
        <v>243</v>
      </c>
      <c r="C52" s="3" t="s">
        <v>242</v>
      </c>
      <c r="D52" s="4" t="s">
        <v>294</v>
      </c>
      <c r="E52" s="3" t="s">
        <v>241</v>
      </c>
      <c r="F52" s="3" t="s">
        <v>65</v>
      </c>
      <c r="G52" s="3" t="s">
        <v>149</v>
      </c>
      <c r="H52" s="3" t="s">
        <v>106</v>
      </c>
      <c r="I52" s="3" t="s">
        <v>198</v>
      </c>
      <c r="J52" s="3" t="s">
        <v>106</v>
      </c>
      <c r="K52" s="3"/>
      <c r="L52" s="3" t="s">
        <v>17</v>
      </c>
      <c r="M52" s="3"/>
      <c r="N52" s="3"/>
      <c r="O52" s="3"/>
      <c r="P52" s="3"/>
    </row>
    <row r="53" spans="1:16" x14ac:dyDescent="0.2">
      <c r="A53" s="3" t="s">
        <v>242</v>
      </c>
      <c r="B53" s="3" t="s">
        <v>243</v>
      </c>
      <c r="C53" s="3" t="s">
        <v>242</v>
      </c>
      <c r="D53" s="4" t="s">
        <v>294</v>
      </c>
      <c r="E53" s="3" t="s">
        <v>241</v>
      </c>
      <c r="F53" s="3" t="s">
        <v>65</v>
      </c>
      <c r="G53" s="3" t="s">
        <v>150</v>
      </c>
      <c r="H53" s="3" t="s">
        <v>107</v>
      </c>
      <c r="I53" s="3" t="s">
        <v>198</v>
      </c>
      <c r="J53" s="3" t="s">
        <v>107</v>
      </c>
      <c r="K53" s="3"/>
      <c r="L53" s="3" t="s">
        <v>17</v>
      </c>
      <c r="M53" s="3"/>
      <c r="N53" s="3"/>
      <c r="O53" s="3"/>
      <c r="P53" s="3"/>
    </row>
    <row r="54" spans="1:16" x14ac:dyDescent="0.2">
      <c r="A54" s="3" t="s">
        <v>242</v>
      </c>
      <c r="B54" s="3" t="s">
        <v>243</v>
      </c>
      <c r="C54" s="3" t="s">
        <v>242</v>
      </c>
      <c r="D54" s="4" t="s">
        <v>294</v>
      </c>
      <c r="E54" s="3" t="s">
        <v>241</v>
      </c>
      <c r="F54" s="3" t="s">
        <v>65</v>
      </c>
      <c r="G54" s="3" t="s">
        <v>151</v>
      </c>
      <c r="H54" s="3" t="s">
        <v>108</v>
      </c>
      <c r="I54" s="3" t="s">
        <v>198</v>
      </c>
      <c r="J54" s="3" t="s">
        <v>108</v>
      </c>
      <c r="K54" s="3"/>
      <c r="L54" s="3" t="s">
        <v>17</v>
      </c>
      <c r="M54" s="3"/>
      <c r="N54" s="3"/>
      <c r="O54" s="3"/>
      <c r="P54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opLeftCell="M1" zoomScaleNormal="100" workbookViewId="0">
      <selection activeCell="P20" sqref="P20"/>
    </sheetView>
  </sheetViews>
  <sheetFormatPr defaultRowHeight="12.75" x14ac:dyDescent="0.2"/>
  <cols>
    <col min="1" max="1" width="8.28515625" style="11" customWidth="1"/>
    <col min="2" max="3" width="9.140625" style="11"/>
    <col min="4" max="4" width="11.7109375" style="11" customWidth="1"/>
    <col min="5" max="5" width="3.85546875" style="11" customWidth="1"/>
    <col min="6" max="6" width="8.140625" style="185" customWidth="1"/>
    <col min="7" max="7" width="19.28515625" style="185" customWidth="1"/>
    <col min="8" max="8" width="19.5703125" style="185" customWidth="1"/>
    <col min="9" max="9" width="0" style="11" hidden="1" customWidth="1"/>
    <col min="10" max="10" width="3.85546875" style="11" hidden="1" customWidth="1"/>
    <col min="11" max="11" width="14.42578125" style="185" customWidth="1"/>
    <col min="12" max="12" width="17.42578125" style="185" customWidth="1"/>
    <col min="13" max="13" width="14" style="186" customWidth="1"/>
    <col min="14" max="14" width="9.140625" style="11"/>
    <col min="15" max="15" width="38.85546875" style="176" bestFit="1" customWidth="1"/>
    <col min="16" max="16" width="13.5703125" style="13" bestFit="1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18" x14ac:dyDescent="0.2">
      <c r="B2" s="14"/>
      <c r="C2" s="15"/>
      <c r="D2" s="15"/>
      <c r="E2" s="15"/>
      <c r="F2" s="16"/>
      <c r="G2" s="17" t="s">
        <v>384</v>
      </c>
      <c r="H2" s="16"/>
      <c r="I2" s="15"/>
      <c r="J2" s="15"/>
      <c r="K2" s="16"/>
      <c r="L2" s="18"/>
      <c r="M2" s="10"/>
      <c r="O2" s="12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/>
    </row>
    <row r="4" spans="2:18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175" t="s">
        <v>68</v>
      </c>
      <c r="L4" s="30"/>
      <c r="M4" s="10"/>
      <c r="O4" s="31" t="str">
        <f>C4</f>
        <v>Patient:</v>
      </c>
      <c r="P4" s="32">
        <f>D4</f>
        <v>0</v>
      </c>
      <c r="R4" s="11" t="s">
        <v>18</v>
      </c>
    </row>
    <row r="5" spans="2:18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175" t="s">
        <v>69</v>
      </c>
      <c r="L5" s="34"/>
      <c r="M5" s="10"/>
      <c r="O5" s="31" t="str">
        <f>C5</f>
        <v>CR#:</v>
      </c>
      <c r="P5" s="32">
        <f>D5</f>
        <v>0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32">
        <f>L4</f>
        <v>0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32">
        <f>L5</f>
        <v>0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/>
      <c r="H8" s="28"/>
      <c r="I8" s="27"/>
      <c r="J8" s="27"/>
      <c r="K8" s="28"/>
      <c r="L8" s="38" t="s">
        <v>302</v>
      </c>
      <c r="M8" s="10"/>
      <c r="O8" s="31" t="str">
        <f>F4</f>
        <v>Prescription Dose (cGy):</v>
      </c>
      <c r="P8" s="32">
        <f>H4</f>
        <v>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32">
        <f>H5</f>
        <v>0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32">
        <f>G7</f>
        <v>0</v>
      </c>
      <c r="R10" s="11" t="s">
        <v>22</v>
      </c>
    </row>
    <row r="11" spans="2:18" x14ac:dyDescent="0.2">
      <c r="B11" s="47" t="s">
        <v>300</v>
      </c>
      <c r="C11" s="27"/>
      <c r="D11" s="27"/>
      <c r="E11" s="187" t="s">
        <v>301</v>
      </c>
      <c r="F11" s="188"/>
      <c r="G11" s="188"/>
      <c r="H11" s="188"/>
      <c r="I11" s="25" t="s">
        <v>302</v>
      </c>
      <c r="J11" s="27"/>
      <c r="K11" s="115" t="s">
        <v>302</v>
      </c>
      <c r="L11" s="189" t="s">
        <v>302</v>
      </c>
      <c r="M11" s="10"/>
      <c r="O11" s="31" t="str">
        <f>C8</f>
        <v>ITV Volume (cc):</v>
      </c>
      <c r="P11" s="46">
        <f>G8</f>
        <v>0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303</v>
      </c>
      <c r="H12" s="51" t="s">
        <v>304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>
        <f>G9</f>
        <v>0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190" t="s">
        <v>308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>
        <f>G10</f>
        <v>0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61" t="s">
        <v>310</v>
      </c>
      <c r="H14" s="191"/>
      <c r="I14" s="68"/>
      <c r="J14" s="49"/>
      <c r="K14" s="62" t="s">
        <v>311</v>
      </c>
      <c r="L14" s="63" t="str">
        <f>IF(G14="??","??",IF((AND((G14&gt;59.99%),(G14&lt;95.01%))),"Yes", "No"))</f>
        <v>??</v>
      </c>
      <c r="M14" s="10" t="s">
        <v>386</v>
      </c>
      <c r="O14" s="31" t="str">
        <f>C14</f>
        <v>Plan Normalization Value (%)</v>
      </c>
      <c r="P14" s="65" t="str">
        <f>G14</f>
        <v>??</v>
      </c>
      <c r="R14" s="11" t="s">
        <v>240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66" t="s">
        <v>310</v>
      </c>
      <c r="H15" s="67"/>
      <c r="I15" s="192"/>
      <c r="J15" s="49" t="s">
        <v>302</v>
      </c>
      <c r="K15" s="69" t="s">
        <v>313</v>
      </c>
      <c r="L15" s="63" t="str">
        <f>IF(G15="??","??",IF((AND((G15&gt;=111.1%),(G15&lt;=166.7%))),"Yes", "No"))</f>
        <v>??</v>
      </c>
      <c r="M15" s="10" t="s">
        <v>314</v>
      </c>
      <c r="O15" s="31" t="str">
        <f>C15</f>
        <v>Dose @COM-PTV (cGy)</v>
      </c>
      <c r="P15" s="65" t="str">
        <f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193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194"/>
      <c r="G17" s="66" t="s">
        <v>310</v>
      </c>
      <c r="H17" s="75"/>
      <c r="I17" s="192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46" t="str">
        <f>G18</f>
        <v>??</v>
      </c>
      <c r="R17" s="11" t="s">
        <v>237</v>
      </c>
    </row>
    <row r="18" spans="2:18" ht="13.5" thickBot="1" x14ac:dyDescent="0.25">
      <c r="B18" s="24"/>
      <c r="C18" s="57" t="s">
        <v>79</v>
      </c>
      <c r="D18" s="27"/>
      <c r="E18" s="27"/>
      <c r="F18" s="195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46" t="str">
        <f>G19</f>
        <v>??</v>
      </c>
      <c r="R18" s="11" t="s">
        <v>236</v>
      </c>
    </row>
    <row r="19" spans="2:18" ht="13.5" thickBot="1" x14ac:dyDescent="0.25">
      <c r="B19" s="19"/>
      <c r="C19" s="81" t="s">
        <v>80</v>
      </c>
      <c r="D19" s="20"/>
      <c r="E19" s="20"/>
      <c r="F19" s="196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198" t="s">
        <v>302</v>
      </c>
      <c r="G22" s="110" t="s">
        <v>310</v>
      </c>
      <c r="H22" s="100" t="str">
        <f>IFERROR(G22/G9,"??")</f>
        <v>??</v>
      </c>
      <c r="I22" s="101" t="s">
        <v>302</v>
      </c>
      <c r="J22" s="20"/>
      <c r="K22" s="102" t="s">
        <v>324</v>
      </c>
      <c r="L22" s="103" t="str">
        <f>'[1]Calculations 60Gy_8F'!K31</f>
        <v>??</v>
      </c>
      <c r="M22" s="10" t="s">
        <v>325</v>
      </c>
      <c r="O22" s="31" t="str">
        <f>C25</f>
        <v>Volume</v>
      </c>
      <c r="P22" s="96" t="str">
        <f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319</v>
      </c>
      <c r="D24" s="199" t="s">
        <v>387</v>
      </c>
      <c r="E24" s="77"/>
      <c r="F24" s="200"/>
      <c r="G24" s="201" t="s">
        <v>310</v>
      </c>
      <c r="H24" s="202"/>
      <c r="I24" s="106"/>
      <c r="J24" s="77"/>
      <c r="K24" s="203" t="str">
        <f>IFERROR('[1]Calculations 60Gy_8F'!L27/100,"??")</f>
        <v>??</v>
      </c>
      <c r="L24" s="128" t="str">
        <f>'[1]Calculations 60Gy_8F'!K33</f>
        <v>??</v>
      </c>
      <c r="M24" s="64" t="s">
        <v>328</v>
      </c>
      <c r="O24" s="31" t="str">
        <f>C30</f>
        <v>Mean Dose (Total lung)</v>
      </c>
      <c r="P24" s="96" t="str">
        <f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160</v>
      </c>
      <c r="D25" s="204" t="s">
        <v>388</v>
      </c>
      <c r="E25" s="20"/>
      <c r="F25" s="205"/>
      <c r="G25" s="110" t="s">
        <v>310</v>
      </c>
      <c r="H25" s="111" t="str">
        <f>IFERROR(G25/G9,"??")</f>
        <v>??</v>
      </c>
      <c r="I25" s="112" t="s">
        <v>302</v>
      </c>
      <c r="J25" s="20"/>
      <c r="K25" s="206" t="str">
        <f>IFERROR('[1]Calculations 60Gy_8F'!I27,"??")</f>
        <v>??</v>
      </c>
      <c r="L25" s="114" t="str">
        <f>'[1]Calculations 60Gy_8F'!K32</f>
        <v>??</v>
      </c>
      <c r="M25" s="64" t="s">
        <v>331</v>
      </c>
      <c r="O25" s="31" t="str">
        <f>C31</f>
        <v>V20 (Total Lung)</v>
      </c>
      <c r="P25" s="96" t="str">
        <f>G31</f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CONCATENATE(C33," ",F33)</f>
        <v>Aorta  (max point dose)</v>
      </c>
      <c r="P26" s="96" t="str">
        <f>G33</f>
        <v>??</v>
      </c>
      <c r="R26" s="11" t="s">
        <v>41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",F34)</f>
        <v>Aorta  V60Gy=</v>
      </c>
      <c r="P27" s="96" t="str">
        <f t="shared" ref="P27:P37" si="0">G34</f>
        <v>??</v>
      </c>
      <c r="R27" s="11" t="s">
        <v>233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Artery-Pulmonary (max point dose)</v>
      </c>
      <c r="P28" s="96" t="str">
        <f t="shared" si="0"/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Artery-Pulmonary V60Gy=</v>
      </c>
      <c r="P29" s="96" t="str">
        <f t="shared" si="0"/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Spinal Canal (max point dose)</v>
      </c>
      <c r="P30" s="96" t="str">
        <f t="shared" si="0"/>
        <v>??</v>
      </c>
      <c r="R30" s="11" t="s">
        <v>44</v>
      </c>
    </row>
    <row r="31" spans="2:18" ht="15" thickBot="1" x14ac:dyDescent="0.3">
      <c r="B31" s="24"/>
      <c r="C31" s="19" t="s">
        <v>389</v>
      </c>
      <c r="D31" s="20"/>
      <c r="E31" s="271" t="s">
        <v>341</v>
      </c>
      <c r="F31" s="272"/>
      <c r="G31" s="82" t="s">
        <v>310</v>
      </c>
      <c r="H31" s="207" t="s">
        <v>302</v>
      </c>
      <c r="I31" s="208"/>
      <c r="J31" s="208"/>
      <c r="K31" s="209" t="s">
        <v>342</v>
      </c>
      <c r="L31" s="79" t="str">
        <f>'[1]Calculations 60Gy_8F'!K34</f>
        <v>??</v>
      </c>
      <c r="M31" s="10" t="s">
        <v>343</v>
      </c>
      <c r="O31" s="31" t="str">
        <f>CONCATENATE(C38," ",F38)</f>
        <v>Ipsilat. Brach. Plex. (max point dose)</v>
      </c>
      <c r="P31" s="96" t="str">
        <f t="shared" si="0"/>
        <v>??</v>
      </c>
      <c r="R31" s="11" t="s">
        <v>45</v>
      </c>
    </row>
    <row r="32" spans="2:18" x14ac:dyDescent="0.2">
      <c r="B32" s="47" t="s">
        <v>302</v>
      </c>
      <c r="C32" s="47" t="s">
        <v>347</v>
      </c>
      <c r="D32" s="27"/>
      <c r="E32" s="27"/>
      <c r="F32" s="28"/>
      <c r="G32" s="87"/>
      <c r="H32" s="28"/>
      <c r="I32" s="27"/>
      <c r="J32" s="27"/>
      <c r="K32" s="87"/>
      <c r="L32" s="38"/>
      <c r="M32" s="10"/>
      <c r="O32" s="31" t="str">
        <f>CONCATENATE(C38," ",F39)</f>
        <v>Ipsilat. Brach. Plex. V30Gy=</v>
      </c>
      <c r="P32" s="96" t="str">
        <f t="shared" si="0"/>
        <v>??</v>
      </c>
      <c r="R32" s="11" t="s">
        <v>46</v>
      </c>
    </row>
    <row r="33" spans="1:18" x14ac:dyDescent="0.2">
      <c r="B33" s="24"/>
      <c r="C33" s="136" t="s">
        <v>348</v>
      </c>
      <c r="D33" s="49" t="s">
        <v>302</v>
      </c>
      <c r="E33" s="77"/>
      <c r="F33" s="210" t="s">
        <v>349</v>
      </c>
      <c r="G33" s="138" t="s">
        <v>310</v>
      </c>
      <c r="H33" s="60"/>
      <c r="I33" s="49"/>
      <c r="J33" s="49"/>
      <c r="K33" s="53">
        <v>6400</v>
      </c>
      <c r="L33" s="132" t="str">
        <f>IF(G33="??","??",IF(G33&lt;=6400,"Yes","No"))</f>
        <v>??</v>
      </c>
      <c r="M33" s="64" t="s">
        <v>350</v>
      </c>
      <c r="O33" s="31" t="str">
        <f>CONCATENATE(C40," ",F40)</f>
        <v>Heart (max point dose)</v>
      </c>
      <c r="P33" s="96" t="str">
        <f t="shared" si="0"/>
        <v>??</v>
      </c>
      <c r="R33" s="11" t="s">
        <v>47</v>
      </c>
    </row>
    <row r="34" spans="1:18" ht="14.25" x14ac:dyDescent="0.25">
      <c r="B34" s="24"/>
      <c r="C34" s="139"/>
      <c r="D34" s="140" t="s">
        <v>390</v>
      </c>
      <c r="E34" s="123"/>
      <c r="F34" s="211" t="s">
        <v>391</v>
      </c>
      <c r="G34" s="142" t="str">
        <f>IF(G33&lt;=6000,"OK","??")</f>
        <v>??</v>
      </c>
      <c r="H34" s="60"/>
      <c r="I34" s="49"/>
      <c r="J34" s="49"/>
      <c r="K34" s="53">
        <v>10</v>
      </c>
      <c r="L34" s="132" t="str">
        <f>IF(G34="??","??",IF(G34&lt;=10,"Yes",IF(G34="OK","Yes","No")))</f>
        <v>??</v>
      </c>
      <c r="M34" s="10"/>
      <c r="O34" s="31" t="str">
        <f>CONCATENATE(C40," ",F41)</f>
        <v>Heart V60Gy=</v>
      </c>
      <c r="P34" s="96" t="str">
        <f t="shared" si="0"/>
        <v>??</v>
      </c>
      <c r="R34" s="11" t="s">
        <v>48</v>
      </c>
    </row>
    <row r="35" spans="1:18" x14ac:dyDescent="0.2">
      <c r="B35" s="24"/>
      <c r="C35" s="136" t="s">
        <v>353</v>
      </c>
      <c r="D35" s="49"/>
      <c r="E35" s="77"/>
      <c r="F35" s="210" t="s">
        <v>349</v>
      </c>
      <c r="G35" s="138" t="s">
        <v>310</v>
      </c>
      <c r="H35" s="60"/>
      <c r="I35" s="49"/>
      <c r="J35" s="49"/>
      <c r="K35" s="53">
        <v>6400</v>
      </c>
      <c r="L35" s="132" t="str">
        <f>IF(G35="??","??",IF(G35&lt;=6400,"Yes","No"))</f>
        <v>??</v>
      </c>
      <c r="M35" s="64" t="s">
        <v>350</v>
      </c>
      <c r="O35" s="31" t="str">
        <f>CONCATENATE(C42," ",F42)</f>
        <v>Esophagus (max point dose)</v>
      </c>
      <c r="P35" s="96" t="str">
        <f t="shared" si="0"/>
        <v>??</v>
      </c>
      <c r="R35" s="11" t="s">
        <v>49</v>
      </c>
    </row>
    <row r="36" spans="1:18" ht="14.25" x14ac:dyDescent="0.25">
      <c r="B36" s="24"/>
      <c r="C36" s="139"/>
      <c r="D36" s="140" t="s">
        <v>390</v>
      </c>
      <c r="E36" s="123"/>
      <c r="F36" s="211" t="s">
        <v>391</v>
      </c>
      <c r="G36" s="142" t="str">
        <f>IF(G35&lt;=6000,"OK","??")</f>
        <v>??</v>
      </c>
      <c r="H36" s="60"/>
      <c r="I36" s="49"/>
      <c r="J36" s="49"/>
      <c r="K36" s="53">
        <v>10</v>
      </c>
      <c r="L36" s="132" t="str">
        <f>IF(G36="??","??",IF(G36&lt;=10,"Yes",IF(G36="OK","Yes","No")))</f>
        <v>??</v>
      </c>
      <c r="M36" s="10"/>
      <c r="O36" s="31" t="str">
        <f>CONCATENATE(C43," ",F43)</f>
        <v>Chestwall (rib) (max point dose)</v>
      </c>
      <c r="P36" s="96" t="str">
        <f t="shared" si="0"/>
        <v>??</v>
      </c>
      <c r="R36" s="11" t="s">
        <v>50</v>
      </c>
    </row>
    <row r="37" spans="1:18" x14ac:dyDescent="0.2">
      <c r="B37" s="24"/>
      <c r="C37" s="24" t="s">
        <v>190</v>
      </c>
      <c r="D37" s="27"/>
      <c r="E37" s="212"/>
      <c r="F37" s="213" t="s">
        <v>349</v>
      </c>
      <c r="G37" s="151" t="s">
        <v>310</v>
      </c>
      <c r="H37" s="60"/>
      <c r="I37" s="49"/>
      <c r="J37" s="49"/>
      <c r="K37" s="69">
        <v>3200</v>
      </c>
      <c r="L37" s="132" t="str">
        <f>IF(G37="??","??",IF(G37&lt;=3200,"Yes","No"))</f>
        <v>??</v>
      </c>
      <c r="M37" s="10" t="s">
        <v>392</v>
      </c>
      <c r="O37" s="31" t="str">
        <f>CONCATENATE(C43," ",F44)</f>
        <v>Chestwall (rib) V50Gy=</v>
      </c>
      <c r="P37" s="96" t="str">
        <f t="shared" si="0"/>
        <v>??</v>
      </c>
      <c r="R37" s="11" t="s">
        <v>51</v>
      </c>
    </row>
    <row r="38" spans="1:18" x14ac:dyDescent="0.2">
      <c r="B38" s="24"/>
      <c r="C38" s="136" t="s">
        <v>192</v>
      </c>
      <c r="D38" s="49"/>
      <c r="E38" s="77"/>
      <c r="F38" s="210" t="s">
        <v>349</v>
      </c>
      <c r="G38" s="151" t="s">
        <v>310</v>
      </c>
      <c r="H38" s="60"/>
      <c r="I38" s="49"/>
      <c r="J38" s="49"/>
      <c r="K38" s="69">
        <v>3800</v>
      </c>
      <c r="L38" s="132" t="str">
        <f>IF(G38="??","??",IF(G38&lt;=3800,"Yes","No"))</f>
        <v>??</v>
      </c>
      <c r="M38" s="64" t="s">
        <v>350</v>
      </c>
      <c r="O38" s="31" t="str">
        <f>CONCATENATE(A44," ",F45)</f>
        <v>Trachea (max point dose)</v>
      </c>
      <c r="P38" s="154">
        <f>A45</f>
        <v>0</v>
      </c>
      <c r="R38" s="11" t="s">
        <v>221</v>
      </c>
    </row>
    <row r="39" spans="1:18" ht="14.25" x14ac:dyDescent="0.25">
      <c r="B39" s="24"/>
      <c r="C39" s="147"/>
      <c r="D39" s="140" t="s">
        <v>393</v>
      </c>
      <c r="E39" s="123"/>
      <c r="F39" s="214" t="s">
        <v>363</v>
      </c>
      <c r="G39" s="142" t="str">
        <f>IF(G38&lt;=3000,"OK","??")</f>
        <v>??</v>
      </c>
      <c r="H39" s="60"/>
      <c r="I39" s="49"/>
      <c r="J39" s="49"/>
      <c r="K39" s="69">
        <v>3</v>
      </c>
      <c r="L39" s="132" t="str">
        <f>IF(G39="??","??",IF(G39&lt;=3,"Yes",IF(G39="OK","Yes","No")))</f>
        <v>??</v>
      </c>
      <c r="M39" s="64"/>
      <c r="O39" s="31" t="str">
        <f>CONCATENATE(A44," ",F46)</f>
        <v>Trachea V60Gy =</v>
      </c>
      <c r="P39" s="154">
        <f>A46</f>
        <v>0</v>
      </c>
      <c r="R39" s="11" t="s">
        <v>219</v>
      </c>
    </row>
    <row r="40" spans="1:18" x14ac:dyDescent="0.2">
      <c r="B40" s="24"/>
      <c r="C40" s="153" t="s">
        <v>193</v>
      </c>
      <c r="D40" s="49"/>
      <c r="E40" s="77"/>
      <c r="F40" s="210" t="s">
        <v>349</v>
      </c>
      <c r="G40" s="151" t="s">
        <v>310</v>
      </c>
      <c r="H40" s="60"/>
      <c r="I40" s="49"/>
      <c r="J40" s="49"/>
      <c r="K40" s="69">
        <v>6400</v>
      </c>
      <c r="L40" s="132" t="str">
        <f>IF(G40="??","??",IF(G40&lt;=6400,"Yes","No"))</f>
        <v>??</v>
      </c>
      <c r="M40" s="10" t="s">
        <v>392</v>
      </c>
      <c r="O40" s="31" t="str">
        <f>CONCATENATE(B44," ",F45)</f>
        <v>Bronchus (max point dose)</v>
      </c>
      <c r="P40" s="154">
        <f>B45</f>
        <v>0</v>
      </c>
      <c r="R40" s="11" t="s">
        <v>220</v>
      </c>
    </row>
    <row r="41" spans="1:18" ht="14.25" x14ac:dyDescent="0.25">
      <c r="B41" s="24"/>
      <c r="C41" s="139"/>
      <c r="D41" s="140" t="s">
        <v>390</v>
      </c>
      <c r="E41" s="123"/>
      <c r="F41" s="211" t="s">
        <v>391</v>
      </c>
      <c r="G41" s="142" t="str">
        <f>IF(G40&lt;=6000,"OK","??")</f>
        <v>??</v>
      </c>
      <c r="H41" s="60"/>
      <c r="I41" s="49"/>
      <c r="J41" s="49"/>
      <c r="K41" s="53">
        <v>10</v>
      </c>
      <c r="L41" s="132" t="str">
        <f>IF(G41="??","??",IF(G41&lt;=10,"Yes",IF(G41="OK","Yes","No")))</f>
        <v>??</v>
      </c>
      <c r="M41" s="64" t="s">
        <v>350</v>
      </c>
      <c r="O41" s="31" t="str">
        <f>CONCATENATE(B44," ",F48)</f>
        <v>Bronchus V36Gy=</v>
      </c>
      <c r="P41" s="154">
        <f>B46</f>
        <v>0</v>
      </c>
      <c r="R41" s="11" t="s">
        <v>216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151" t="s">
        <v>310</v>
      </c>
      <c r="H42" s="60"/>
      <c r="I42" s="49"/>
      <c r="J42" s="49"/>
      <c r="K42" s="69">
        <v>4000</v>
      </c>
      <c r="L42" s="132" t="str">
        <f>IF(G42="??","??",IF(G42&lt;=4000,"Yes","No"))</f>
        <v>??</v>
      </c>
      <c r="M42" s="64" t="s">
        <v>350</v>
      </c>
      <c r="O42" s="31" t="str">
        <f>CONCATENATE(C45," ",C46," ",F45)</f>
        <v>Proximal Trachea &amp; Bronch. Tree:  (max point dose)</v>
      </c>
      <c r="P42" s="96" t="str">
        <f>G45</f>
        <v>??</v>
      </c>
      <c r="R42" s="11" t="s">
        <v>52</v>
      </c>
    </row>
    <row r="43" spans="1:18" ht="13.5" thickBot="1" x14ac:dyDescent="0.25">
      <c r="B43" s="24"/>
      <c r="C43" s="153" t="s">
        <v>394</v>
      </c>
      <c r="D43" s="49"/>
      <c r="E43" s="77"/>
      <c r="F43" s="210" t="s">
        <v>349</v>
      </c>
      <c r="G43" s="151" t="s">
        <v>310</v>
      </c>
      <c r="H43" s="60"/>
      <c r="I43" s="49"/>
      <c r="J43" s="49"/>
      <c r="K43" s="69">
        <v>6000</v>
      </c>
      <c r="L43" s="132" t="str">
        <f>IF(G43="??","??",IF(G43&lt;=6000,"Yes","No"))</f>
        <v>??</v>
      </c>
      <c r="M43" s="64" t="s">
        <v>350</v>
      </c>
      <c r="O43" s="31" t="str">
        <f>CONCATENATE(C45," ",C46," ",F46)</f>
        <v>Proximal Trachea &amp; Bronch. Tree:  V60Gy =</v>
      </c>
      <c r="P43" s="96" t="str">
        <f t="shared" ref="P43:P45" si="1">G46</f>
        <v>??</v>
      </c>
      <c r="R43" s="11" t="s">
        <v>272</v>
      </c>
    </row>
    <row r="44" spans="1:18" ht="15" thickBot="1" x14ac:dyDescent="0.3">
      <c r="A44" s="160" t="s">
        <v>196</v>
      </c>
      <c r="B44" s="161" t="s">
        <v>371</v>
      </c>
      <c r="C44" s="24"/>
      <c r="D44" s="116" t="s">
        <v>395</v>
      </c>
      <c r="E44" s="123"/>
      <c r="F44" s="211" t="s">
        <v>396</v>
      </c>
      <c r="G44" s="142" t="str">
        <f>IF(G43&lt;=5000,"OK","??")</f>
        <v>??</v>
      </c>
      <c r="H44" s="60"/>
      <c r="I44" s="49"/>
      <c r="J44" s="49"/>
      <c r="K44" s="53">
        <v>5</v>
      </c>
      <c r="L44" s="132" t="str">
        <f>IF(G44="??","??",IF(G44&lt;=5,"Yes",IF(G44="OK","Yes","No")))</f>
        <v>??</v>
      </c>
      <c r="M44" s="64" t="s">
        <v>350</v>
      </c>
      <c r="O44" s="31" t="str">
        <f>CONCATENATE(C47," ",C48," ",F47)</f>
        <v>Stomach and  Intestines (max point dose)</v>
      </c>
      <c r="P44" s="96" t="str">
        <f t="shared" si="1"/>
        <v>??</v>
      </c>
      <c r="R44" s="11" t="s">
        <v>212</v>
      </c>
    </row>
    <row r="45" spans="1:18" x14ac:dyDescent="0.2">
      <c r="A45" s="164">
        <v>0</v>
      </c>
      <c r="B45" s="165">
        <v>0</v>
      </c>
      <c r="C45" s="153" t="s">
        <v>372</v>
      </c>
      <c r="D45" s="216"/>
      <c r="E45" s="49"/>
      <c r="F45" s="215" t="s">
        <v>349</v>
      </c>
      <c r="G45" s="92" t="str">
        <f>IF(MAX(A45:B45)&gt;0,MAX(A45:B45),"??")</f>
        <v>??</v>
      </c>
      <c r="H45" s="217" t="s">
        <v>302</v>
      </c>
      <c r="I45" s="77"/>
      <c r="J45" s="77"/>
      <c r="K45" s="94">
        <v>6400</v>
      </c>
      <c r="L45" s="132" t="str">
        <f>IF(G45="??","??",IF(G45&lt;=6400,"Yes","No"))</f>
        <v>??</v>
      </c>
      <c r="M45" s="10" t="s">
        <v>392</v>
      </c>
      <c r="O45" s="31" t="str">
        <f>CONCATENATE(C47," ",C48," ",F48)</f>
        <v>Stomach and  Intestines V36Gy=</v>
      </c>
      <c r="P45" s="96" t="str">
        <f t="shared" si="1"/>
        <v>??</v>
      </c>
      <c r="R45" s="11" t="s">
        <v>209</v>
      </c>
    </row>
    <row r="46" spans="1:18" ht="15" thickBot="1" x14ac:dyDescent="0.3">
      <c r="A46" s="170">
        <v>0</v>
      </c>
      <c r="B46" s="171">
        <v>0</v>
      </c>
      <c r="C46" s="134" t="s">
        <v>397</v>
      </c>
      <c r="D46" s="116" t="s">
        <v>398</v>
      </c>
      <c r="E46" s="27"/>
      <c r="F46" s="175" t="s">
        <v>399</v>
      </c>
      <c r="G46" s="92" t="str">
        <f>IF(MAX(A46:B46)&gt;0,MAX(A46:B46),"??")</f>
        <v>??</v>
      </c>
      <c r="H46" s="218" t="s">
        <v>302</v>
      </c>
      <c r="I46" s="27"/>
      <c r="J46" s="27"/>
      <c r="K46" s="69">
        <v>5</v>
      </c>
      <c r="L46" s="132" t="str">
        <f>IF(G46="??","??",IF(G46&lt;=5,"Yes",IF(G46="OK","Yes","No")))</f>
        <v>??</v>
      </c>
      <c r="M46" s="64" t="s">
        <v>350</v>
      </c>
      <c r="O46" s="31" t="str">
        <f>C49</f>
        <v>Dosimetrist:</v>
      </c>
      <c r="P46" s="169" t="str">
        <f>C50</f>
        <v>??</v>
      </c>
      <c r="R46" s="11" t="s">
        <v>437</v>
      </c>
    </row>
    <row r="47" spans="1:18" x14ac:dyDescent="0.2">
      <c r="B47" s="24"/>
      <c r="C47" s="153" t="s">
        <v>400</v>
      </c>
      <c r="D47" s="49"/>
      <c r="E47" s="77"/>
      <c r="F47" s="215" t="s">
        <v>349</v>
      </c>
      <c r="G47" s="92" t="s">
        <v>310</v>
      </c>
      <c r="H47" s="91"/>
      <c r="I47" s="77"/>
      <c r="J47" s="77"/>
      <c r="K47" s="94">
        <v>4000</v>
      </c>
      <c r="L47" s="132" t="str">
        <f>IF(G47="??","??",IF(G47&lt;=4000,"Yes","No"))</f>
        <v>??</v>
      </c>
      <c r="M47" s="64" t="s">
        <v>350</v>
      </c>
      <c r="O47" s="31" t="str">
        <f>G49</f>
        <v>Physicist:</v>
      </c>
      <c r="P47" s="169" t="str">
        <f>G50</f>
        <v>??</v>
      </c>
      <c r="R47" s="11" t="s">
        <v>264</v>
      </c>
    </row>
    <row r="48" spans="1:18" ht="15" thickBot="1" x14ac:dyDescent="0.3">
      <c r="B48" s="24"/>
      <c r="C48" s="19" t="s">
        <v>377</v>
      </c>
      <c r="D48" s="108" t="s">
        <v>401</v>
      </c>
      <c r="E48" s="20" t="s">
        <v>302</v>
      </c>
      <c r="F48" s="219" t="s">
        <v>402</v>
      </c>
      <c r="G48" s="220" t="str">
        <f>IF(G47&lt;=3600,"OK","??")</f>
        <v>??</v>
      </c>
      <c r="H48" s="21"/>
      <c r="I48" s="20"/>
      <c r="J48" s="20"/>
      <c r="K48" s="102">
        <v>1</v>
      </c>
      <c r="L48" s="79" t="str">
        <f>IF(G48="??","??",IF(G48&lt;=1,"Yes",IF(G48="OK","Yes","No")))</f>
        <v>??</v>
      </c>
      <c r="M48" s="64" t="s">
        <v>350</v>
      </c>
      <c r="O48" s="31" t="str">
        <f>K49</f>
        <v>Radiation Oncologist:</v>
      </c>
      <c r="P48" s="169" t="str">
        <f>K50</f>
        <v>??</v>
      </c>
      <c r="R48" s="11" t="s">
        <v>438</v>
      </c>
    </row>
    <row r="49" spans="2:18" x14ac:dyDescent="0.2">
      <c r="B49" s="24"/>
      <c r="C49" s="25" t="s">
        <v>106</v>
      </c>
      <c r="D49" s="27"/>
      <c r="E49" s="27"/>
      <c r="F49" s="28"/>
      <c r="G49" s="175" t="s">
        <v>107</v>
      </c>
      <c r="H49" s="28"/>
      <c r="I49" s="27"/>
      <c r="J49" s="25" t="s">
        <v>108</v>
      </c>
      <c r="K49" s="17" t="s">
        <v>108</v>
      </c>
      <c r="L49" s="38"/>
      <c r="M49" s="10"/>
      <c r="O49" s="31" t="str">
        <f>B51</f>
        <v>NOTES:</v>
      </c>
      <c r="P49" s="169">
        <f>C51</f>
        <v>0</v>
      </c>
      <c r="R49" s="11" t="s">
        <v>439</v>
      </c>
    </row>
    <row r="50" spans="2:18" x14ac:dyDescent="0.2">
      <c r="B50" s="24"/>
      <c r="C50" s="177" t="s">
        <v>310</v>
      </c>
      <c r="D50" s="27"/>
      <c r="E50" s="27"/>
      <c r="F50" s="28"/>
      <c r="G50" s="177" t="s">
        <v>310</v>
      </c>
      <c r="H50" s="28"/>
      <c r="I50" s="27"/>
      <c r="J50" s="27"/>
      <c r="K50" s="177" t="s">
        <v>310</v>
      </c>
      <c r="L50" s="38"/>
      <c r="M50" s="10"/>
      <c r="P50" s="176"/>
    </row>
    <row r="51" spans="2:18" x14ac:dyDescent="0.2">
      <c r="B51" s="47" t="s">
        <v>380</v>
      </c>
      <c r="C51" s="178"/>
      <c r="D51" s="178"/>
      <c r="E51" s="178"/>
      <c r="F51" s="177"/>
      <c r="G51" s="177"/>
      <c r="H51" s="177"/>
      <c r="I51" s="178"/>
      <c r="J51" s="178"/>
      <c r="K51" s="177"/>
      <c r="L51" s="30"/>
      <c r="M51" s="10"/>
      <c r="P51" s="176"/>
    </row>
    <row r="52" spans="2:18" ht="13.5" thickBot="1" x14ac:dyDescent="0.25">
      <c r="B52" s="19"/>
      <c r="C52" s="221"/>
      <c r="D52" s="221"/>
      <c r="E52" s="221"/>
      <c r="F52" s="222"/>
      <c r="G52" s="222"/>
      <c r="H52" s="223" t="s">
        <v>302</v>
      </c>
      <c r="I52" s="221"/>
      <c r="J52" s="221"/>
      <c r="K52" s="222"/>
      <c r="L52" s="224"/>
      <c r="M52" s="10"/>
      <c r="P52" s="176"/>
    </row>
    <row r="53" spans="2:18" x14ac:dyDescent="0.2">
      <c r="B53" s="183" t="s">
        <v>383</v>
      </c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P53" s="176"/>
    </row>
    <row r="54" spans="2:18" x14ac:dyDescent="0.2">
      <c r="B54" s="80"/>
      <c r="C54" s="80"/>
      <c r="D54" s="80"/>
      <c r="E54" s="80"/>
      <c r="F54" s="184"/>
      <c r="G54" s="184"/>
      <c r="H54" s="184"/>
      <c r="I54" s="80"/>
      <c r="J54" s="80"/>
      <c r="K54" s="184"/>
      <c r="L54" s="184"/>
      <c r="M54" s="10"/>
      <c r="P54" s="176"/>
    </row>
    <row r="55" spans="2:18" x14ac:dyDescent="0.2">
      <c r="B55" s="80"/>
      <c r="C55" s="80"/>
      <c r="D55" s="80"/>
      <c r="E55" s="80"/>
      <c r="F55" s="184"/>
      <c r="G55" s="184"/>
      <c r="H55" s="184"/>
      <c r="I55" s="80"/>
      <c r="J55" s="80"/>
      <c r="K55" s="184"/>
      <c r="L55" s="184"/>
      <c r="M55" s="10"/>
      <c r="P55" s="176"/>
    </row>
    <row r="56" spans="2:18" x14ac:dyDescent="0.2">
      <c r="B56" s="80"/>
      <c r="C56" s="80"/>
      <c r="D56" s="80"/>
      <c r="E56" s="80"/>
      <c r="F56" s="184"/>
      <c r="G56" s="184"/>
      <c r="H56" s="184"/>
      <c r="I56" s="80"/>
      <c r="J56" s="80"/>
      <c r="K56" s="184"/>
      <c r="L56" s="184"/>
      <c r="M56" s="10"/>
      <c r="P56" s="176"/>
    </row>
    <row r="57" spans="2:18" x14ac:dyDescent="0.2">
      <c r="M57" s="10"/>
      <c r="P57" s="176"/>
    </row>
    <row r="58" spans="2:18" x14ac:dyDescent="0.2">
      <c r="P58" s="176"/>
    </row>
    <row r="59" spans="2:18" x14ac:dyDescent="0.2">
      <c r="P59" s="176"/>
    </row>
    <row r="60" spans="2:18" x14ac:dyDescent="0.2">
      <c r="P60" s="176"/>
    </row>
  </sheetData>
  <sheetProtection formatCells="0" formatColumns="0" formatRows="0"/>
  <mergeCells count="1">
    <mergeCell ref="E31:F31"/>
  </mergeCells>
  <conditionalFormatting sqref="L33:L48">
    <cfRule type="containsText" dxfId="26" priority="10" stopIfTrue="1" operator="containsText" text="No">
      <formula>NOT(ISERROR(SEARCH("No",L33)))</formula>
    </cfRule>
  </conditionalFormatting>
  <conditionalFormatting sqref="L20:L30">
    <cfRule type="containsText" dxfId="25" priority="8" stopIfTrue="1" operator="containsText" text="No">
      <formula>NOT(ISERROR(SEARCH("No",L20)))</formula>
    </cfRule>
    <cfRule type="containsText" dxfId="24" priority="9" stopIfTrue="1" operator="containsText" text="Major">
      <formula>NOT(ISERROR(SEARCH("Major",L20)))</formula>
    </cfRule>
  </conditionalFormatting>
  <conditionalFormatting sqref="L20:L25">
    <cfRule type="containsText" dxfId="23" priority="7" stopIfTrue="1" operator="containsText" text="Minor">
      <formula>NOT(ISERROR(SEARCH("Minor",L20)))</formula>
    </cfRule>
  </conditionalFormatting>
  <conditionalFormatting sqref="L31">
    <cfRule type="containsText" dxfId="22" priority="1" stopIfTrue="1" operator="containsText" text="Minor">
      <formula>NOT(ISERROR(SEARCH("Minor",L31)))</formula>
    </cfRule>
    <cfRule type="containsText" dxfId="21" priority="2" stopIfTrue="1" operator="containsText" text="Major">
      <formula>NOT(ISERROR(SEARCH("Major",L31)))</formula>
    </cfRule>
    <cfRule type="containsText" dxfId="20" priority="6" stopIfTrue="1" operator="containsText" text="No">
      <formula>NOT(ISERROR(SEARCH("No",L31)))</formula>
    </cfRule>
  </conditionalFormatting>
  <conditionalFormatting sqref="L14:L19">
    <cfRule type="containsText" dxfId="19" priority="3" stopIfTrue="1" operator="containsText" text="Minor">
      <formula>NOT(ISERROR(SEARCH("Minor",L14)))</formula>
    </cfRule>
    <cfRule type="containsText" dxfId="18" priority="4" stopIfTrue="1" operator="containsText" text="No">
      <formula>NOT(ISERROR(SEARCH("No",L14)))</formula>
    </cfRule>
    <cfRule type="containsText" dxfId="17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7"/>
  <sheetViews>
    <sheetView workbookViewId="0"/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3" t="s">
        <v>17</v>
      </c>
      <c r="C2" s="3" t="s">
        <v>18</v>
      </c>
      <c r="D2" s="3" t="s">
        <v>58</v>
      </c>
      <c r="E2" s="3" t="s">
        <v>65</v>
      </c>
      <c r="F2" s="3" t="s">
        <v>66</v>
      </c>
      <c r="G2" s="3" t="s">
        <v>109</v>
      </c>
      <c r="H2" s="3" t="s">
        <v>203</v>
      </c>
      <c r="I2" s="3" t="s">
        <v>153</v>
      </c>
      <c r="J2" s="3" t="s">
        <v>202</v>
      </c>
      <c r="K2" s="3" t="s">
        <v>155</v>
      </c>
      <c r="L2" s="3" t="s">
        <v>201</v>
      </c>
      <c r="M2" s="3"/>
      <c r="N2" s="3"/>
      <c r="O2" s="3"/>
      <c r="P2" s="3"/>
      <c r="Q2" s="3" t="s">
        <v>174</v>
      </c>
      <c r="R2" s="3" t="s">
        <v>198</v>
      </c>
    </row>
    <row r="3" spans="1:18" x14ac:dyDescent="0.2">
      <c r="A3" s="1">
        <v>1</v>
      </c>
      <c r="B3" s="3" t="s">
        <v>17</v>
      </c>
      <c r="C3" s="3" t="s">
        <v>19</v>
      </c>
      <c r="D3" s="3" t="s">
        <v>59</v>
      </c>
      <c r="E3" s="3" t="s">
        <v>65</v>
      </c>
      <c r="F3" s="3" t="s">
        <v>110</v>
      </c>
      <c r="G3" s="3" t="s">
        <v>110</v>
      </c>
      <c r="H3" s="3" t="s">
        <v>203</v>
      </c>
      <c r="I3" s="3" t="s">
        <v>153</v>
      </c>
      <c r="J3" s="3" t="s">
        <v>202</v>
      </c>
      <c r="K3" s="3" t="s">
        <v>155</v>
      </c>
      <c r="L3" s="3" t="s">
        <v>201</v>
      </c>
      <c r="M3" s="3"/>
      <c r="N3" s="3"/>
      <c r="O3" s="3"/>
      <c r="P3" s="3"/>
      <c r="Q3" s="3" t="s">
        <v>175</v>
      </c>
      <c r="R3" s="3" t="s">
        <v>198</v>
      </c>
    </row>
    <row r="4" spans="1:18" x14ac:dyDescent="0.2">
      <c r="A4" s="1">
        <v>2</v>
      </c>
      <c r="B4" s="3" t="s">
        <v>17</v>
      </c>
      <c r="C4" s="3" t="s">
        <v>20</v>
      </c>
      <c r="D4" s="3" t="s">
        <v>59</v>
      </c>
      <c r="E4" s="3" t="s">
        <v>65</v>
      </c>
      <c r="F4" s="3" t="s">
        <v>68</v>
      </c>
      <c r="G4" s="3" t="s">
        <v>111</v>
      </c>
      <c r="H4" s="3" t="s">
        <v>203</v>
      </c>
      <c r="I4" s="3" t="s">
        <v>153</v>
      </c>
      <c r="J4" s="3" t="s">
        <v>202</v>
      </c>
      <c r="K4" s="3" t="s">
        <v>155</v>
      </c>
      <c r="L4" s="3" t="s">
        <v>201</v>
      </c>
      <c r="M4" s="3"/>
      <c r="N4" s="3"/>
      <c r="O4" s="3"/>
      <c r="P4" s="3"/>
      <c r="Q4" s="3" t="s">
        <v>176</v>
      </c>
      <c r="R4" s="3" t="s">
        <v>198</v>
      </c>
    </row>
    <row r="5" spans="1:18" x14ac:dyDescent="0.2">
      <c r="A5" s="1">
        <v>3</v>
      </c>
      <c r="B5" s="3" t="s">
        <v>17</v>
      </c>
      <c r="C5" s="3" t="s">
        <v>21</v>
      </c>
      <c r="D5" s="3" t="s">
        <v>59</v>
      </c>
      <c r="E5" s="3" t="s">
        <v>65</v>
      </c>
      <c r="F5" s="3" t="s">
        <v>69</v>
      </c>
      <c r="G5" s="3" t="s">
        <v>112</v>
      </c>
      <c r="H5" s="3" t="s">
        <v>203</v>
      </c>
      <c r="I5" s="3" t="s">
        <v>153</v>
      </c>
      <c r="J5" s="3" t="s">
        <v>202</v>
      </c>
      <c r="K5" s="3" t="s">
        <v>155</v>
      </c>
      <c r="L5" s="3" t="s">
        <v>201</v>
      </c>
      <c r="M5" s="3"/>
      <c r="N5" s="3"/>
      <c r="O5" s="3"/>
      <c r="P5" s="3"/>
      <c r="Q5" s="3" t="s">
        <v>177</v>
      </c>
      <c r="R5" s="3" t="s">
        <v>198</v>
      </c>
    </row>
    <row r="6" spans="1:18" x14ac:dyDescent="0.2">
      <c r="A6" s="1">
        <v>4</v>
      </c>
      <c r="B6" s="3" t="s">
        <v>17</v>
      </c>
      <c r="C6" s="3" t="s">
        <v>22</v>
      </c>
      <c r="D6" s="3" t="s">
        <v>60</v>
      </c>
      <c r="E6" s="3" t="s">
        <v>65</v>
      </c>
      <c r="F6" s="3" t="s">
        <v>70</v>
      </c>
      <c r="G6" s="3" t="s">
        <v>113</v>
      </c>
      <c r="H6" s="3" t="s">
        <v>203</v>
      </c>
      <c r="I6" s="3" t="s">
        <v>153</v>
      </c>
      <c r="J6" s="3" t="s">
        <v>202</v>
      </c>
      <c r="K6" s="3" t="s">
        <v>155</v>
      </c>
      <c r="L6" s="3" t="s">
        <v>201</v>
      </c>
      <c r="M6" s="3" t="s">
        <v>157</v>
      </c>
      <c r="N6" s="3" t="s">
        <v>160</v>
      </c>
      <c r="O6" s="3"/>
      <c r="P6" s="3"/>
      <c r="Q6" s="3" t="s">
        <v>178</v>
      </c>
      <c r="R6" s="3" t="s">
        <v>199</v>
      </c>
    </row>
    <row r="7" spans="1:18" x14ac:dyDescent="0.2">
      <c r="A7" s="1">
        <v>5</v>
      </c>
      <c r="B7" s="3" t="s">
        <v>17</v>
      </c>
      <c r="C7" s="3" t="s">
        <v>23</v>
      </c>
      <c r="D7" s="3" t="s">
        <v>60</v>
      </c>
      <c r="E7" s="3" t="s">
        <v>65</v>
      </c>
      <c r="F7" s="3" t="s">
        <v>71</v>
      </c>
      <c r="G7" s="3" t="s">
        <v>114</v>
      </c>
      <c r="H7" s="3" t="s">
        <v>203</v>
      </c>
      <c r="I7" s="3" t="s">
        <v>153</v>
      </c>
      <c r="J7" s="3" t="s">
        <v>202</v>
      </c>
      <c r="K7" s="3" t="s">
        <v>155</v>
      </c>
      <c r="L7" s="3" t="s">
        <v>201</v>
      </c>
      <c r="M7" s="3" t="s">
        <v>157</v>
      </c>
      <c r="N7" s="3" t="s">
        <v>160</v>
      </c>
      <c r="O7" s="3"/>
      <c r="P7" s="3"/>
      <c r="Q7" s="3" t="s">
        <v>179</v>
      </c>
      <c r="R7" s="3" t="s">
        <v>199</v>
      </c>
    </row>
    <row r="8" spans="1:18" x14ac:dyDescent="0.2">
      <c r="A8" s="1">
        <v>6</v>
      </c>
      <c r="B8" s="3" t="s">
        <v>17</v>
      </c>
      <c r="C8" s="3" t="s">
        <v>24</v>
      </c>
      <c r="D8" s="3" t="s">
        <v>60</v>
      </c>
      <c r="E8" s="3" t="s">
        <v>65</v>
      </c>
      <c r="F8" s="3" t="s">
        <v>72</v>
      </c>
      <c r="G8" s="3" t="s">
        <v>115</v>
      </c>
      <c r="H8" s="3" t="s">
        <v>203</v>
      </c>
      <c r="I8" s="3" t="s">
        <v>153</v>
      </c>
      <c r="J8" s="3" t="s">
        <v>202</v>
      </c>
      <c r="K8" s="3" t="s">
        <v>155</v>
      </c>
      <c r="L8" s="3" t="s">
        <v>201</v>
      </c>
      <c r="M8" s="3" t="s">
        <v>157</v>
      </c>
      <c r="N8" s="3" t="s">
        <v>160</v>
      </c>
      <c r="O8" s="3"/>
      <c r="P8" s="3"/>
      <c r="Q8" s="3" t="s">
        <v>180</v>
      </c>
      <c r="R8" s="3" t="s">
        <v>199</v>
      </c>
    </row>
    <row r="9" spans="1:18" x14ac:dyDescent="0.2">
      <c r="A9" s="1">
        <v>7</v>
      </c>
      <c r="B9" s="3" t="s">
        <v>17</v>
      </c>
      <c r="C9" s="3" t="s">
        <v>25</v>
      </c>
      <c r="D9" s="3" t="s">
        <v>60</v>
      </c>
      <c r="E9" s="3" t="s">
        <v>65</v>
      </c>
      <c r="F9" s="3" t="s">
        <v>73</v>
      </c>
      <c r="G9" s="3" t="s">
        <v>116</v>
      </c>
      <c r="H9" s="3" t="s">
        <v>203</v>
      </c>
      <c r="I9" s="3" t="s">
        <v>153</v>
      </c>
      <c r="J9" s="3" t="s">
        <v>202</v>
      </c>
      <c r="K9" s="3" t="s">
        <v>155</v>
      </c>
      <c r="L9" s="3" t="s">
        <v>201</v>
      </c>
      <c r="M9" s="3" t="s">
        <v>157</v>
      </c>
      <c r="N9" s="3" t="s">
        <v>160</v>
      </c>
      <c r="O9" s="3"/>
      <c r="P9" s="3" t="s">
        <v>172</v>
      </c>
      <c r="Q9" s="3" t="s">
        <v>181</v>
      </c>
      <c r="R9" s="3" t="s">
        <v>199</v>
      </c>
    </row>
    <row r="10" spans="1:18" x14ac:dyDescent="0.2">
      <c r="A10" s="1">
        <v>8</v>
      </c>
      <c r="B10" s="3" t="s">
        <v>17</v>
      </c>
      <c r="C10" s="3" t="s">
        <v>26</v>
      </c>
      <c r="D10" s="3" t="s">
        <v>58</v>
      </c>
      <c r="E10" s="3" t="s">
        <v>65</v>
      </c>
      <c r="F10" s="3" t="s">
        <v>74</v>
      </c>
      <c r="G10" s="3" t="s">
        <v>117</v>
      </c>
      <c r="H10" s="3" t="s">
        <v>203</v>
      </c>
      <c r="I10" s="3" t="s">
        <v>153</v>
      </c>
      <c r="J10" s="3" t="s">
        <v>202</v>
      </c>
      <c r="K10" s="3" t="s">
        <v>155</v>
      </c>
      <c r="L10" s="3" t="s">
        <v>201</v>
      </c>
      <c r="M10" s="3" t="s">
        <v>158</v>
      </c>
      <c r="N10" s="3"/>
      <c r="O10" s="3"/>
      <c r="P10" s="3"/>
      <c r="Q10" s="3" t="s">
        <v>182</v>
      </c>
      <c r="R10" s="3" t="s">
        <v>198</v>
      </c>
    </row>
    <row r="11" spans="1:18" x14ac:dyDescent="0.2">
      <c r="A11" s="1">
        <v>9</v>
      </c>
      <c r="B11" s="3" t="s">
        <v>17</v>
      </c>
      <c r="C11" s="3" t="s">
        <v>27</v>
      </c>
      <c r="D11" s="3" t="s">
        <v>61</v>
      </c>
      <c r="E11" s="3" t="s">
        <v>65</v>
      </c>
      <c r="F11" s="3" t="s">
        <v>75</v>
      </c>
      <c r="G11" s="3" t="s">
        <v>118</v>
      </c>
      <c r="H11" s="3" t="s">
        <v>203</v>
      </c>
      <c r="I11" s="3" t="s">
        <v>153</v>
      </c>
      <c r="J11" s="3" t="s">
        <v>202</v>
      </c>
      <c r="K11" s="3" t="s">
        <v>155</v>
      </c>
      <c r="L11" s="3" t="s">
        <v>201</v>
      </c>
      <c r="M11" s="3"/>
      <c r="N11" s="3"/>
      <c r="O11" s="3"/>
      <c r="P11" s="3"/>
      <c r="Q11" s="3" t="s">
        <v>118</v>
      </c>
      <c r="R11" s="3" t="s">
        <v>198</v>
      </c>
    </row>
    <row r="12" spans="1:18" x14ac:dyDescent="0.2">
      <c r="A12" s="1">
        <v>10</v>
      </c>
      <c r="B12" s="3" t="s">
        <v>17</v>
      </c>
      <c r="C12" s="3" t="s">
        <v>240</v>
      </c>
      <c r="D12" s="3" t="s">
        <v>62</v>
      </c>
      <c r="E12" s="3" t="s">
        <v>65</v>
      </c>
      <c r="F12" s="3" t="s">
        <v>76</v>
      </c>
      <c r="G12" s="3" t="s">
        <v>119</v>
      </c>
      <c r="H12" s="3" t="s">
        <v>203</v>
      </c>
      <c r="I12" s="3" t="s">
        <v>153</v>
      </c>
      <c r="J12" s="3" t="s">
        <v>202</v>
      </c>
      <c r="K12" s="3" t="s">
        <v>155</v>
      </c>
      <c r="L12" s="3" t="s">
        <v>201</v>
      </c>
      <c r="M12" s="3" t="s">
        <v>159</v>
      </c>
      <c r="N12" s="3"/>
      <c r="O12" s="3"/>
      <c r="P12" s="3"/>
      <c r="Q12" s="3" t="s">
        <v>119</v>
      </c>
      <c r="R12" s="3" t="s">
        <v>198</v>
      </c>
    </row>
    <row r="13" spans="1:18" x14ac:dyDescent="0.2">
      <c r="A13" s="1">
        <v>11</v>
      </c>
      <c r="B13" s="3" t="s">
        <v>17</v>
      </c>
      <c r="C13" s="3" t="s">
        <v>30</v>
      </c>
      <c r="D13" s="3" t="s">
        <v>63</v>
      </c>
      <c r="E13" s="3" t="s">
        <v>65</v>
      </c>
      <c r="F13" s="3" t="s">
        <v>239</v>
      </c>
      <c r="G13" s="3" t="s">
        <v>121</v>
      </c>
      <c r="H13" s="3" t="s">
        <v>203</v>
      </c>
      <c r="I13" s="3" t="s">
        <v>153</v>
      </c>
      <c r="J13" s="3" t="s">
        <v>202</v>
      </c>
      <c r="K13" s="3" t="s">
        <v>155</v>
      </c>
      <c r="L13" s="3" t="s">
        <v>201</v>
      </c>
      <c r="M13" s="3" t="s">
        <v>159</v>
      </c>
      <c r="N13" s="3"/>
      <c r="O13" s="3"/>
      <c r="P13" s="3"/>
      <c r="Q13" s="3" t="s">
        <v>238</v>
      </c>
      <c r="R13" s="3" t="s">
        <v>200</v>
      </c>
    </row>
    <row r="14" spans="1:18" x14ac:dyDescent="0.2">
      <c r="A14" s="1">
        <v>12</v>
      </c>
      <c r="B14" s="3" t="s">
        <v>17</v>
      </c>
      <c r="C14" s="3" t="s">
        <v>29</v>
      </c>
      <c r="D14" s="3" t="s">
        <v>63</v>
      </c>
      <c r="E14" s="3" t="s">
        <v>65</v>
      </c>
      <c r="F14" s="3" t="s">
        <v>77</v>
      </c>
      <c r="G14" s="3" t="s">
        <v>120</v>
      </c>
      <c r="H14" s="3" t="s">
        <v>203</v>
      </c>
      <c r="I14" s="3" t="s">
        <v>153</v>
      </c>
      <c r="J14" s="3" t="s">
        <v>202</v>
      </c>
      <c r="K14" s="3" t="s">
        <v>155</v>
      </c>
      <c r="L14" s="3" t="s">
        <v>201</v>
      </c>
      <c r="M14" s="3" t="s">
        <v>159</v>
      </c>
      <c r="N14" s="3"/>
      <c r="O14" s="3"/>
      <c r="P14" s="3"/>
      <c r="Q14" s="3" t="s">
        <v>183</v>
      </c>
      <c r="R14" s="3" t="s">
        <v>200</v>
      </c>
    </row>
    <row r="15" spans="1:18" x14ac:dyDescent="0.2">
      <c r="A15" s="1">
        <v>13</v>
      </c>
      <c r="B15" s="3" t="s">
        <v>17</v>
      </c>
      <c r="C15" s="3" t="s">
        <v>237</v>
      </c>
      <c r="D15" s="3" t="s">
        <v>62</v>
      </c>
      <c r="E15" s="3" t="s">
        <v>65</v>
      </c>
      <c r="F15" s="3" t="s">
        <v>79</v>
      </c>
      <c r="G15" s="3" t="s">
        <v>122</v>
      </c>
      <c r="H15" s="3" t="s">
        <v>203</v>
      </c>
      <c r="I15" s="3" t="s">
        <v>153</v>
      </c>
      <c r="J15" s="3" t="s">
        <v>202</v>
      </c>
      <c r="K15" s="3" t="s">
        <v>155</v>
      </c>
      <c r="L15" s="3" t="s">
        <v>201</v>
      </c>
      <c r="M15" s="3" t="s">
        <v>159</v>
      </c>
      <c r="N15" s="3" t="s">
        <v>162</v>
      </c>
      <c r="O15" s="3"/>
      <c r="P15" s="3"/>
      <c r="Q15" s="3" t="s">
        <v>180</v>
      </c>
      <c r="R15" s="3" t="s">
        <v>199</v>
      </c>
    </row>
    <row r="16" spans="1:18" x14ac:dyDescent="0.2">
      <c r="A16" s="1">
        <v>14</v>
      </c>
      <c r="B16" s="3" t="s">
        <v>17</v>
      </c>
      <c r="C16" s="3" t="s">
        <v>236</v>
      </c>
      <c r="D16" s="3" t="s">
        <v>62</v>
      </c>
      <c r="E16" s="3" t="s">
        <v>65</v>
      </c>
      <c r="F16" s="3" t="s">
        <v>80</v>
      </c>
      <c r="G16" s="3" t="s">
        <v>123</v>
      </c>
      <c r="H16" s="3" t="s">
        <v>203</v>
      </c>
      <c r="I16" s="3" t="s">
        <v>153</v>
      </c>
      <c r="J16" s="3" t="s">
        <v>202</v>
      </c>
      <c r="K16" s="3" t="s">
        <v>155</v>
      </c>
      <c r="L16" s="3" t="s">
        <v>201</v>
      </c>
      <c r="M16" s="3" t="s">
        <v>159</v>
      </c>
      <c r="N16" s="3" t="s">
        <v>163</v>
      </c>
      <c r="O16" s="3"/>
      <c r="P16" s="3"/>
      <c r="Q16" s="3" t="s">
        <v>180</v>
      </c>
      <c r="R16" s="3" t="s">
        <v>199</v>
      </c>
    </row>
    <row r="17" spans="1:18" x14ac:dyDescent="0.2">
      <c r="A17" s="1">
        <v>15</v>
      </c>
      <c r="B17" s="3" t="s">
        <v>17</v>
      </c>
      <c r="C17" s="3" t="s">
        <v>33</v>
      </c>
      <c r="D17" s="3" t="s">
        <v>60</v>
      </c>
      <c r="E17" s="3" t="s">
        <v>65</v>
      </c>
      <c r="F17" s="3" t="s">
        <v>81</v>
      </c>
      <c r="G17" s="3" t="s">
        <v>235</v>
      </c>
      <c r="H17" s="3" t="s">
        <v>203</v>
      </c>
      <c r="I17" s="3" t="s">
        <v>153</v>
      </c>
      <c r="J17" s="3" t="s">
        <v>202</v>
      </c>
      <c r="K17" s="3" t="s">
        <v>155</v>
      </c>
      <c r="L17" s="3" t="s">
        <v>201</v>
      </c>
      <c r="M17" s="3" t="s">
        <v>157</v>
      </c>
      <c r="N17" s="3" t="s">
        <v>160</v>
      </c>
      <c r="O17" s="3"/>
      <c r="P17" s="3"/>
      <c r="Q17" s="3" t="s">
        <v>184</v>
      </c>
      <c r="R17" s="3" t="s">
        <v>199</v>
      </c>
    </row>
    <row r="18" spans="1:18" x14ac:dyDescent="0.2">
      <c r="A18" s="1">
        <v>16</v>
      </c>
      <c r="B18" s="3" t="s">
        <v>17</v>
      </c>
      <c r="C18" s="3" t="s">
        <v>34</v>
      </c>
      <c r="D18" s="3" t="s">
        <v>60</v>
      </c>
      <c r="E18" s="3" t="s">
        <v>65</v>
      </c>
      <c r="F18" s="3" t="s">
        <v>82</v>
      </c>
      <c r="G18" s="3" t="s">
        <v>234</v>
      </c>
      <c r="H18" s="3" t="s">
        <v>203</v>
      </c>
      <c r="I18" s="3" t="s">
        <v>153</v>
      </c>
      <c r="J18" s="3" t="s">
        <v>202</v>
      </c>
      <c r="K18" s="3" t="s">
        <v>155</v>
      </c>
      <c r="L18" s="3" t="s">
        <v>201</v>
      </c>
      <c r="M18" s="3" t="s">
        <v>157</v>
      </c>
      <c r="N18" s="3" t="s">
        <v>160</v>
      </c>
      <c r="O18" s="3"/>
      <c r="P18" s="3"/>
      <c r="Q18" s="3" t="s">
        <v>185</v>
      </c>
      <c r="R18" s="3" t="s">
        <v>199</v>
      </c>
    </row>
    <row r="19" spans="1:18" x14ac:dyDescent="0.2">
      <c r="A19" s="1">
        <v>17</v>
      </c>
      <c r="B19" s="3" t="s">
        <v>17</v>
      </c>
      <c r="C19" s="3" t="s">
        <v>35</v>
      </c>
      <c r="D19" s="3" t="s">
        <v>64</v>
      </c>
      <c r="E19" s="3" t="s">
        <v>65</v>
      </c>
      <c r="F19" s="3" t="s">
        <v>83</v>
      </c>
      <c r="G19" s="3" t="s">
        <v>126</v>
      </c>
      <c r="H19" s="3" t="s">
        <v>203</v>
      </c>
      <c r="I19" s="3" t="s">
        <v>153</v>
      </c>
      <c r="J19" s="3" t="s">
        <v>202</v>
      </c>
      <c r="K19" s="3" t="s">
        <v>155</v>
      </c>
      <c r="L19" s="3" t="s">
        <v>201</v>
      </c>
      <c r="M19" s="3" t="s">
        <v>159</v>
      </c>
      <c r="N19" s="3" t="s">
        <v>164</v>
      </c>
      <c r="O19" s="3"/>
      <c r="P19" s="3"/>
      <c r="Q19" s="3" t="s">
        <v>186</v>
      </c>
      <c r="R19" s="3" t="s">
        <v>199</v>
      </c>
    </row>
    <row r="20" spans="1:18" x14ac:dyDescent="0.2">
      <c r="A20" s="1">
        <v>18</v>
      </c>
      <c r="B20" s="3" t="s">
        <v>17</v>
      </c>
      <c r="C20" s="3" t="s">
        <v>36</v>
      </c>
      <c r="D20" s="3" t="s">
        <v>60</v>
      </c>
      <c r="E20" s="3" t="s">
        <v>65</v>
      </c>
      <c r="F20" s="3" t="s">
        <v>84</v>
      </c>
      <c r="G20" s="3" t="s">
        <v>127</v>
      </c>
      <c r="H20" s="3" t="s">
        <v>203</v>
      </c>
      <c r="I20" s="3" t="s">
        <v>153</v>
      </c>
      <c r="J20" s="3" t="s">
        <v>202</v>
      </c>
      <c r="K20" s="3" t="s">
        <v>155</v>
      </c>
      <c r="L20" s="3" t="s">
        <v>201</v>
      </c>
      <c r="M20" s="3" t="s">
        <v>157</v>
      </c>
      <c r="N20" s="3" t="s">
        <v>160</v>
      </c>
      <c r="O20" s="3"/>
      <c r="P20" s="3"/>
      <c r="Q20" s="3" t="s">
        <v>187</v>
      </c>
      <c r="R20" s="3" t="s">
        <v>199</v>
      </c>
    </row>
    <row r="21" spans="1:18" x14ac:dyDescent="0.2">
      <c r="A21" s="1">
        <v>19</v>
      </c>
      <c r="B21" s="3" t="s">
        <v>17</v>
      </c>
      <c r="C21" s="3" t="s">
        <v>37</v>
      </c>
      <c r="D21" s="3" t="s">
        <v>64</v>
      </c>
      <c r="E21" s="3" t="s">
        <v>65</v>
      </c>
      <c r="F21" s="3" t="s">
        <v>85</v>
      </c>
      <c r="G21" s="3" t="s">
        <v>128</v>
      </c>
      <c r="H21" s="3" t="s">
        <v>203</v>
      </c>
      <c r="I21" s="3" t="s">
        <v>153</v>
      </c>
      <c r="J21" s="3" t="s">
        <v>202</v>
      </c>
      <c r="K21" s="3" t="s">
        <v>155</v>
      </c>
      <c r="L21" s="3" t="s">
        <v>201</v>
      </c>
      <c r="M21" s="3" t="s">
        <v>158</v>
      </c>
      <c r="N21" s="3" t="s">
        <v>165</v>
      </c>
      <c r="O21" s="3"/>
      <c r="P21" s="3" t="s">
        <v>173</v>
      </c>
      <c r="Q21" s="3" t="s">
        <v>181</v>
      </c>
      <c r="R21" s="3" t="s">
        <v>199</v>
      </c>
    </row>
    <row r="22" spans="1:18" x14ac:dyDescent="0.2">
      <c r="A22" s="1">
        <v>20</v>
      </c>
      <c r="B22" s="3" t="s">
        <v>17</v>
      </c>
      <c r="C22" s="3" t="s">
        <v>38</v>
      </c>
      <c r="D22" s="3" t="s">
        <v>64</v>
      </c>
      <c r="E22" s="3" t="s">
        <v>65</v>
      </c>
      <c r="F22" s="3" t="s">
        <v>86</v>
      </c>
      <c r="G22" s="3" t="s">
        <v>129</v>
      </c>
      <c r="H22" s="3" t="s">
        <v>203</v>
      </c>
      <c r="I22" s="3" t="s">
        <v>153</v>
      </c>
      <c r="J22" s="3" t="s">
        <v>202</v>
      </c>
      <c r="K22" s="3" t="s">
        <v>155</v>
      </c>
      <c r="L22" s="3" t="s">
        <v>201</v>
      </c>
      <c r="M22" s="3" t="s">
        <v>158</v>
      </c>
      <c r="N22" s="3" t="s">
        <v>165</v>
      </c>
      <c r="O22" s="3"/>
      <c r="P22" s="3" t="s">
        <v>172</v>
      </c>
      <c r="Q22" s="3" t="s">
        <v>181</v>
      </c>
      <c r="R22" s="3" t="s">
        <v>199</v>
      </c>
    </row>
    <row r="23" spans="1:18" x14ac:dyDescent="0.2">
      <c r="A23" s="1">
        <v>21</v>
      </c>
      <c r="B23" s="3" t="s">
        <v>17</v>
      </c>
      <c r="C23" s="3" t="s">
        <v>39</v>
      </c>
      <c r="D23" s="3" t="s">
        <v>62</v>
      </c>
      <c r="E23" s="3" t="s">
        <v>65</v>
      </c>
      <c r="F23" s="3" t="s">
        <v>87</v>
      </c>
      <c r="G23" s="3" t="s">
        <v>130</v>
      </c>
      <c r="H23" s="3" t="s">
        <v>203</v>
      </c>
      <c r="I23" s="3" t="s">
        <v>153</v>
      </c>
      <c r="J23" s="3" t="s">
        <v>202</v>
      </c>
      <c r="K23" s="3" t="s">
        <v>155</v>
      </c>
      <c r="L23" s="3" t="s">
        <v>201</v>
      </c>
      <c r="M23" s="3" t="s">
        <v>159</v>
      </c>
      <c r="N23" s="3" t="s">
        <v>166</v>
      </c>
      <c r="O23" s="3"/>
      <c r="P23" s="3" t="s">
        <v>172</v>
      </c>
      <c r="Q23" s="3" t="s">
        <v>181</v>
      </c>
      <c r="R23" s="3" t="s">
        <v>199</v>
      </c>
    </row>
    <row r="24" spans="1:18" x14ac:dyDescent="0.2">
      <c r="A24" s="1">
        <v>22</v>
      </c>
      <c r="B24" s="3" t="s">
        <v>17</v>
      </c>
      <c r="C24" s="3" t="s">
        <v>41</v>
      </c>
      <c r="D24" s="3" t="s">
        <v>64</v>
      </c>
      <c r="E24" s="3" t="s">
        <v>65</v>
      </c>
      <c r="F24" s="3" t="s">
        <v>90</v>
      </c>
      <c r="G24" s="3" t="s">
        <v>133</v>
      </c>
      <c r="H24" s="3" t="s">
        <v>203</v>
      </c>
      <c r="I24" s="3" t="s">
        <v>153</v>
      </c>
      <c r="J24" s="3" t="s">
        <v>202</v>
      </c>
      <c r="K24" s="3" t="s">
        <v>155</v>
      </c>
      <c r="L24" s="3" t="s">
        <v>201</v>
      </c>
      <c r="M24" s="3" t="s">
        <v>158</v>
      </c>
      <c r="N24" s="3" t="s">
        <v>164</v>
      </c>
      <c r="O24" s="3"/>
      <c r="P24" s="3"/>
      <c r="Q24" s="3" t="s">
        <v>188</v>
      </c>
      <c r="R24" s="3" t="s">
        <v>199</v>
      </c>
    </row>
    <row r="25" spans="1:18" x14ac:dyDescent="0.2">
      <c r="A25" s="1">
        <v>23</v>
      </c>
      <c r="B25" s="3" t="s">
        <v>17</v>
      </c>
      <c r="C25" s="3" t="s">
        <v>233</v>
      </c>
      <c r="D25" s="3" t="s">
        <v>60</v>
      </c>
      <c r="E25" s="3" t="s">
        <v>65</v>
      </c>
      <c r="F25" s="3" t="s">
        <v>232</v>
      </c>
      <c r="G25" s="3" t="s">
        <v>231</v>
      </c>
      <c r="H25" s="3" t="s">
        <v>203</v>
      </c>
      <c r="I25" s="3" t="s">
        <v>153</v>
      </c>
      <c r="J25" s="3" t="s">
        <v>202</v>
      </c>
      <c r="K25" s="3" t="s">
        <v>155</v>
      </c>
      <c r="L25" s="3" t="s">
        <v>201</v>
      </c>
      <c r="M25" s="3" t="s">
        <v>157</v>
      </c>
      <c r="N25" s="3" t="s">
        <v>213</v>
      </c>
      <c r="O25" s="3"/>
      <c r="P25" s="3"/>
      <c r="Q25" s="3" t="s">
        <v>188</v>
      </c>
      <c r="R25" s="3" t="s">
        <v>199</v>
      </c>
    </row>
    <row r="26" spans="1:18" x14ac:dyDescent="0.2">
      <c r="A26" s="1">
        <v>24</v>
      </c>
      <c r="B26" s="3" t="s">
        <v>17</v>
      </c>
      <c r="C26" s="3" t="s">
        <v>42</v>
      </c>
      <c r="D26" s="3" t="s">
        <v>64</v>
      </c>
      <c r="E26" s="3" t="s">
        <v>65</v>
      </c>
      <c r="F26" s="3" t="s">
        <v>91</v>
      </c>
      <c r="G26" s="3" t="s">
        <v>134</v>
      </c>
      <c r="H26" s="3" t="s">
        <v>203</v>
      </c>
      <c r="I26" s="3" t="s">
        <v>153</v>
      </c>
      <c r="J26" s="3" t="s">
        <v>202</v>
      </c>
      <c r="K26" s="3" t="s">
        <v>155</v>
      </c>
      <c r="L26" s="3" t="s">
        <v>201</v>
      </c>
      <c r="M26" s="3" t="s">
        <v>158</v>
      </c>
      <c r="N26" s="3" t="s">
        <v>164</v>
      </c>
      <c r="O26" s="3"/>
      <c r="P26" s="3"/>
      <c r="Q26" s="3" t="s">
        <v>189</v>
      </c>
      <c r="R26" s="3" t="s">
        <v>199</v>
      </c>
    </row>
    <row r="27" spans="1:18" x14ac:dyDescent="0.2">
      <c r="A27" s="1">
        <v>25</v>
      </c>
      <c r="B27" s="3" t="s">
        <v>17</v>
      </c>
      <c r="C27" s="3" t="s">
        <v>43</v>
      </c>
      <c r="D27" s="3" t="s">
        <v>60</v>
      </c>
      <c r="E27" s="3" t="s">
        <v>65</v>
      </c>
      <c r="F27" s="3" t="s">
        <v>230</v>
      </c>
      <c r="G27" s="3" t="s">
        <v>229</v>
      </c>
      <c r="H27" s="3" t="s">
        <v>203</v>
      </c>
      <c r="I27" s="3" t="s">
        <v>153</v>
      </c>
      <c r="J27" s="3" t="s">
        <v>202</v>
      </c>
      <c r="K27" s="3" t="s">
        <v>155</v>
      </c>
      <c r="L27" s="3" t="s">
        <v>201</v>
      </c>
      <c r="M27" s="3" t="s">
        <v>157</v>
      </c>
      <c r="N27" s="3" t="s">
        <v>213</v>
      </c>
      <c r="O27" s="3"/>
      <c r="P27" s="3"/>
      <c r="Q27" s="3" t="s">
        <v>189</v>
      </c>
      <c r="R27" s="3" t="s">
        <v>199</v>
      </c>
    </row>
    <row r="28" spans="1:18" x14ac:dyDescent="0.2">
      <c r="A28" s="1">
        <v>26</v>
      </c>
      <c r="B28" s="3" t="s">
        <v>17</v>
      </c>
      <c r="C28" s="3" t="s">
        <v>44</v>
      </c>
      <c r="D28" s="3" t="s">
        <v>64</v>
      </c>
      <c r="E28" s="3" t="s">
        <v>65</v>
      </c>
      <c r="F28" s="3" t="s">
        <v>92</v>
      </c>
      <c r="G28" s="3" t="s">
        <v>135</v>
      </c>
      <c r="H28" s="3" t="s">
        <v>203</v>
      </c>
      <c r="I28" s="3" t="s">
        <v>153</v>
      </c>
      <c r="J28" s="3" t="s">
        <v>202</v>
      </c>
      <c r="K28" s="3" t="s">
        <v>155</v>
      </c>
      <c r="L28" s="3" t="s">
        <v>201</v>
      </c>
      <c r="M28" s="3" t="s">
        <v>158</v>
      </c>
      <c r="N28" s="3" t="s">
        <v>164</v>
      </c>
      <c r="O28" s="3"/>
      <c r="P28" s="3"/>
      <c r="Q28" s="3" t="s">
        <v>190</v>
      </c>
      <c r="R28" s="3" t="s">
        <v>199</v>
      </c>
    </row>
    <row r="29" spans="1:18" x14ac:dyDescent="0.2">
      <c r="A29" s="1">
        <v>27</v>
      </c>
      <c r="B29" s="3" t="s">
        <v>17</v>
      </c>
      <c r="C29" s="3" t="s">
        <v>45</v>
      </c>
      <c r="D29" s="3" t="s">
        <v>64</v>
      </c>
      <c r="E29" s="3" t="s">
        <v>65</v>
      </c>
      <c r="F29" s="3" t="s">
        <v>94</v>
      </c>
      <c r="G29" s="3" t="s">
        <v>137</v>
      </c>
      <c r="H29" s="3" t="s">
        <v>203</v>
      </c>
      <c r="I29" s="3" t="s">
        <v>153</v>
      </c>
      <c r="J29" s="3" t="s">
        <v>202</v>
      </c>
      <c r="K29" s="3" t="s">
        <v>155</v>
      </c>
      <c r="L29" s="3" t="s">
        <v>201</v>
      </c>
      <c r="M29" s="3" t="s">
        <v>158</v>
      </c>
      <c r="N29" s="3" t="s">
        <v>164</v>
      </c>
      <c r="O29" s="3"/>
      <c r="P29" s="3"/>
      <c r="Q29" s="3" t="s">
        <v>192</v>
      </c>
      <c r="R29" s="3" t="s">
        <v>199</v>
      </c>
    </row>
    <row r="30" spans="1:18" x14ac:dyDescent="0.2">
      <c r="A30" s="1">
        <v>28</v>
      </c>
      <c r="B30" s="3" t="s">
        <v>17</v>
      </c>
      <c r="C30" s="3" t="s">
        <v>46</v>
      </c>
      <c r="D30" s="3" t="s">
        <v>60</v>
      </c>
      <c r="E30" s="3" t="s">
        <v>65</v>
      </c>
      <c r="F30" s="3" t="s">
        <v>228</v>
      </c>
      <c r="G30" s="3" t="s">
        <v>227</v>
      </c>
      <c r="H30" s="3" t="s">
        <v>203</v>
      </c>
      <c r="I30" s="3" t="s">
        <v>153</v>
      </c>
      <c r="J30" s="3" t="s">
        <v>202</v>
      </c>
      <c r="K30" s="3" t="s">
        <v>155</v>
      </c>
      <c r="L30" s="3" t="s">
        <v>201</v>
      </c>
      <c r="M30" s="3" t="s">
        <v>157</v>
      </c>
      <c r="N30" s="3" t="s">
        <v>169</v>
      </c>
      <c r="O30" s="3"/>
      <c r="P30" s="3"/>
      <c r="Q30" s="3" t="s">
        <v>192</v>
      </c>
      <c r="R30" s="3" t="s">
        <v>199</v>
      </c>
    </row>
    <row r="31" spans="1:18" x14ac:dyDescent="0.2">
      <c r="A31" s="1">
        <v>29</v>
      </c>
      <c r="B31" s="3" t="s">
        <v>17</v>
      </c>
      <c r="C31" s="3" t="s">
        <v>47</v>
      </c>
      <c r="D31" s="3" t="s">
        <v>64</v>
      </c>
      <c r="E31" s="3" t="s">
        <v>65</v>
      </c>
      <c r="F31" s="3" t="s">
        <v>96</v>
      </c>
      <c r="G31" s="3" t="s">
        <v>139</v>
      </c>
      <c r="H31" s="3" t="s">
        <v>203</v>
      </c>
      <c r="I31" s="3" t="s">
        <v>153</v>
      </c>
      <c r="J31" s="3" t="s">
        <v>202</v>
      </c>
      <c r="K31" s="3" t="s">
        <v>155</v>
      </c>
      <c r="L31" s="3" t="s">
        <v>201</v>
      </c>
      <c r="M31" s="3" t="s">
        <v>158</v>
      </c>
      <c r="N31" s="3" t="s">
        <v>164</v>
      </c>
      <c r="O31" s="3"/>
      <c r="P31" s="3"/>
      <c r="Q31" s="3" t="s">
        <v>193</v>
      </c>
      <c r="R31" s="3" t="s">
        <v>199</v>
      </c>
    </row>
    <row r="32" spans="1:18" x14ac:dyDescent="0.2">
      <c r="A32" s="1">
        <v>30</v>
      </c>
      <c r="B32" s="3" t="s">
        <v>17</v>
      </c>
      <c r="C32" s="3" t="s">
        <v>48</v>
      </c>
      <c r="D32" s="3" t="s">
        <v>60</v>
      </c>
      <c r="E32" s="3" t="s">
        <v>65</v>
      </c>
      <c r="F32" s="3" t="s">
        <v>226</v>
      </c>
      <c r="G32" s="3" t="s">
        <v>225</v>
      </c>
      <c r="H32" s="3" t="s">
        <v>203</v>
      </c>
      <c r="I32" s="3" t="s">
        <v>153</v>
      </c>
      <c r="J32" s="3" t="s">
        <v>202</v>
      </c>
      <c r="K32" s="3" t="s">
        <v>155</v>
      </c>
      <c r="L32" s="3" t="s">
        <v>201</v>
      </c>
      <c r="M32" s="3" t="s">
        <v>157</v>
      </c>
      <c r="N32" s="3" t="s">
        <v>213</v>
      </c>
      <c r="O32" s="3"/>
      <c r="P32" s="3"/>
      <c r="Q32" s="3" t="s">
        <v>193</v>
      </c>
      <c r="R32" s="3" t="s">
        <v>199</v>
      </c>
    </row>
    <row r="33" spans="1:18" x14ac:dyDescent="0.2">
      <c r="A33" s="1">
        <v>31</v>
      </c>
      <c r="B33" s="3" t="s">
        <v>17</v>
      </c>
      <c r="C33" s="3" t="s">
        <v>49</v>
      </c>
      <c r="D33" s="3" t="s">
        <v>64</v>
      </c>
      <c r="E33" s="3" t="s">
        <v>65</v>
      </c>
      <c r="F33" s="3" t="s">
        <v>97</v>
      </c>
      <c r="G33" s="3" t="s">
        <v>140</v>
      </c>
      <c r="H33" s="3" t="s">
        <v>203</v>
      </c>
      <c r="I33" s="3" t="s">
        <v>153</v>
      </c>
      <c r="J33" s="3" t="s">
        <v>202</v>
      </c>
      <c r="K33" s="3" t="s">
        <v>155</v>
      </c>
      <c r="L33" s="3" t="s">
        <v>201</v>
      </c>
      <c r="M33" s="3" t="s">
        <v>158</v>
      </c>
      <c r="N33" s="3" t="s">
        <v>164</v>
      </c>
      <c r="O33" s="3"/>
      <c r="P33" s="3"/>
      <c r="Q33" s="3" t="s">
        <v>194</v>
      </c>
      <c r="R33" s="3" t="s">
        <v>199</v>
      </c>
    </row>
    <row r="34" spans="1:18" x14ac:dyDescent="0.2">
      <c r="A34" s="1">
        <v>32</v>
      </c>
      <c r="B34" s="3" t="s">
        <v>17</v>
      </c>
      <c r="C34" s="3" t="s">
        <v>50</v>
      </c>
      <c r="D34" s="3" t="s">
        <v>64</v>
      </c>
      <c r="E34" s="3" t="s">
        <v>65</v>
      </c>
      <c r="F34" s="3" t="s">
        <v>98</v>
      </c>
      <c r="G34" s="3" t="s">
        <v>141</v>
      </c>
      <c r="H34" s="3" t="s">
        <v>203</v>
      </c>
      <c r="I34" s="3" t="s">
        <v>153</v>
      </c>
      <c r="J34" s="3" t="s">
        <v>202</v>
      </c>
      <c r="K34" s="3" t="s">
        <v>155</v>
      </c>
      <c r="L34" s="3" t="s">
        <v>201</v>
      </c>
      <c r="M34" s="3" t="s">
        <v>158</v>
      </c>
      <c r="N34" s="3" t="s">
        <v>164</v>
      </c>
      <c r="O34" s="3"/>
      <c r="P34" s="3"/>
      <c r="Q34" s="3" t="s">
        <v>195</v>
      </c>
      <c r="R34" s="3" t="s">
        <v>199</v>
      </c>
    </row>
    <row r="35" spans="1:18" x14ac:dyDescent="0.2">
      <c r="A35" s="1">
        <v>33</v>
      </c>
      <c r="B35" s="3" t="s">
        <v>17</v>
      </c>
      <c r="C35" s="3" t="s">
        <v>51</v>
      </c>
      <c r="D35" s="3" t="s">
        <v>60</v>
      </c>
      <c r="E35" s="3" t="s">
        <v>65</v>
      </c>
      <c r="F35" s="3" t="s">
        <v>224</v>
      </c>
      <c r="G35" s="3" t="s">
        <v>223</v>
      </c>
      <c r="H35" s="3" t="s">
        <v>203</v>
      </c>
      <c r="I35" s="3" t="s">
        <v>153</v>
      </c>
      <c r="J35" s="3" t="s">
        <v>202</v>
      </c>
      <c r="K35" s="3" t="s">
        <v>155</v>
      </c>
      <c r="L35" s="3" t="s">
        <v>201</v>
      </c>
      <c r="M35" s="3" t="s">
        <v>157</v>
      </c>
      <c r="N35" s="3" t="s">
        <v>222</v>
      </c>
      <c r="O35" s="3"/>
      <c r="P35" s="3"/>
      <c r="Q35" s="3" t="s">
        <v>195</v>
      </c>
      <c r="R35" s="3" t="s">
        <v>199</v>
      </c>
    </row>
    <row r="36" spans="1:18" x14ac:dyDescent="0.2">
      <c r="A36" s="1">
        <v>34</v>
      </c>
      <c r="B36" s="3" t="s">
        <v>17</v>
      </c>
      <c r="C36" s="3" t="s">
        <v>221</v>
      </c>
      <c r="D36" s="3" t="s">
        <v>64</v>
      </c>
      <c r="E36" s="3" t="s">
        <v>65</v>
      </c>
      <c r="F36" s="3" t="s">
        <v>101</v>
      </c>
      <c r="G36" s="3" t="s">
        <v>144</v>
      </c>
      <c r="H36" s="3" t="s">
        <v>203</v>
      </c>
      <c r="I36" s="3" t="s">
        <v>153</v>
      </c>
      <c r="J36" s="3" t="s">
        <v>202</v>
      </c>
      <c r="K36" s="3" t="s">
        <v>155</v>
      </c>
      <c r="L36" s="3" t="s">
        <v>201</v>
      </c>
      <c r="M36" s="3" t="s">
        <v>158</v>
      </c>
      <c r="N36" s="3" t="s">
        <v>164</v>
      </c>
      <c r="O36" s="3"/>
      <c r="P36" s="3"/>
      <c r="Q36" s="3" t="s">
        <v>196</v>
      </c>
      <c r="R36" s="3" t="s">
        <v>199</v>
      </c>
    </row>
    <row r="37" spans="1:18" x14ac:dyDescent="0.2">
      <c r="A37" s="1">
        <v>35</v>
      </c>
      <c r="B37" s="3" t="s">
        <v>17</v>
      </c>
      <c r="C37" s="3" t="s">
        <v>220</v>
      </c>
      <c r="D37" s="3" t="s">
        <v>64</v>
      </c>
      <c r="E37" s="3" t="s">
        <v>65</v>
      </c>
      <c r="F37" s="3" t="s">
        <v>102</v>
      </c>
      <c r="G37" s="3" t="s">
        <v>145</v>
      </c>
      <c r="H37" s="3" t="s">
        <v>203</v>
      </c>
      <c r="I37" s="3" t="s">
        <v>153</v>
      </c>
      <c r="J37" s="3" t="s">
        <v>202</v>
      </c>
      <c r="K37" s="3" t="s">
        <v>155</v>
      </c>
      <c r="L37" s="3" t="s">
        <v>201</v>
      </c>
      <c r="M37" s="3" t="s">
        <v>158</v>
      </c>
      <c r="N37" s="3" t="s">
        <v>164</v>
      </c>
      <c r="O37" s="3"/>
      <c r="P37" s="3"/>
      <c r="Q37" s="3" t="s">
        <v>197</v>
      </c>
      <c r="R37" s="3" t="s">
        <v>199</v>
      </c>
    </row>
    <row r="38" spans="1:18" x14ac:dyDescent="0.2">
      <c r="A38" s="1">
        <v>36</v>
      </c>
      <c r="B38" s="3" t="s">
        <v>17</v>
      </c>
      <c r="C38" s="3" t="s">
        <v>219</v>
      </c>
      <c r="D38" s="3" t="s">
        <v>60</v>
      </c>
      <c r="E38" s="3" t="s">
        <v>65</v>
      </c>
      <c r="F38" s="3" t="s">
        <v>218</v>
      </c>
      <c r="G38" s="3" t="s">
        <v>217</v>
      </c>
      <c r="H38" s="3" t="s">
        <v>203</v>
      </c>
      <c r="I38" s="3" t="s">
        <v>153</v>
      </c>
      <c r="J38" s="3" t="s">
        <v>202</v>
      </c>
      <c r="K38" s="3" t="s">
        <v>155</v>
      </c>
      <c r="L38" s="3" t="s">
        <v>201</v>
      </c>
      <c r="M38" s="3" t="s">
        <v>157</v>
      </c>
      <c r="N38" s="3" t="s">
        <v>213</v>
      </c>
      <c r="O38" s="3"/>
      <c r="P38" s="3"/>
      <c r="Q38" s="3" t="s">
        <v>196</v>
      </c>
      <c r="R38" s="3" t="s">
        <v>199</v>
      </c>
    </row>
    <row r="39" spans="1:18" x14ac:dyDescent="0.2">
      <c r="A39" s="1">
        <v>37</v>
      </c>
      <c r="B39" s="3" t="s">
        <v>17</v>
      </c>
      <c r="C39" s="3" t="s">
        <v>216</v>
      </c>
      <c r="D39" s="3" t="s">
        <v>60</v>
      </c>
      <c r="E39" s="3" t="s">
        <v>65</v>
      </c>
      <c r="F39" s="3" t="s">
        <v>215</v>
      </c>
      <c r="G39" s="3" t="s">
        <v>214</v>
      </c>
      <c r="H39" s="3" t="s">
        <v>203</v>
      </c>
      <c r="I39" s="3" t="s">
        <v>153</v>
      </c>
      <c r="J39" s="3" t="s">
        <v>202</v>
      </c>
      <c r="K39" s="3" t="s">
        <v>155</v>
      </c>
      <c r="L39" s="3" t="s">
        <v>201</v>
      </c>
      <c r="M39" s="3" t="s">
        <v>157</v>
      </c>
      <c r="N39" s="3" t="s">
        <v>213</v>
      </c>
      <c r="O39" s="3"/>
      <c r="P39" s="3"/>
      <c r="Q39" s="3" t="s">
        <v>197</v>
      </c>
      <c r="R39" s="3" t="s">
        <v>199</v>
      </c>
    </row>
    <row r="40" spans="1:18" x14ac:dyDescent="0.2">
      <c r="A40" s="1">
        <v>38</v>
      </c>
      <c r="B40" s="3" t="s">
        <v>17</v>
      </c>
      <c r="C40" s="3" t="s">
        <v>212</v>
      </c>
      <c r="D40" s="3" t="s">
        <v>64</v>
      </c>
      <c r="E40" s="3" t="s">
        <v>65</v>
      </c>
      <c r="F40" s="3" t="s">
        <v>211</v>
      </c>
      <c r="G40" s="3" t="s">
        <v>210</v>
      </c>
      <c r="H40" s="3" t="s">
        <v>203</v>
      </c>
      <c r="I40" s="3" t="s">
        <v>153</v>
      </c>
      <c r="J40" s="3" t="s">
        <v>202</v>
      </c>
      <c r="K40" s="3" t="s">
        <v>155</v>
      </c>
      <c r="L40" s="3" t="s">
        <v>201</v>
      </c>
      <c r="M40" s="3" t="s">
        <v>158</v>
      </c>
      <c r="N40" s="3" t="s">
        <v>164</v>
      </c>
      <c r="O40" s="3"/>
      <c r="P40" s="3"/>
      <c r="Q40" s="3" t="s">
        <v>205</v>
      </c>
      <c r="R40" s="3" t="s">
        <v>199</v>
      </c>
    </row>
    <row r="41" spans="1:18" x14ac:dyDescent="0.2">
      <c r="A41" s="1">
        <v>39</v>
      </c>
      <c r="B41" s="3" t="s">
        <v>17</v>
      </c>
      <c r="C41" s="3" t="s">
        <v>209</v>
      </c>
      <c r="D41" s="3" t="s">
        <v>60</v>
      </c>
      <c r="E41" s="3" t="s">
        <v>65</v>
      </c>
      <c r="F41" s="3" t="s">
        <v>208</v>
      </c>
      <c r="G41" s="3" t="s">
        <v>207</v>
      </c>
      <c r="H41" s="3" t="s">
        <v>203</v>
      </c>
      <c r="I41" s="3" t="s">
        <v>153</v>
      </c>
      <c r="J41" s="3" t="s">
        <v>202</v>
      </c>
      <c r="K41" s="3" t="s">
        <v>155</v>
      </c>
      <c r="L41" s="3" t="s">
        <v>201</v>
      </c>
      <c r="M41" s="3" t="s">
        <v>157</v>
      </c>
      <c r="N41" s="3" t="s">
        <v>206</v>
      </c>
      <c r="O41" s="3"/>
      <c r="P41" s="3"/>
      <c r="Q41" s="3" t="s">
        <v>205</v>
      </c>
      <c r="R41" s="3" t="s">
        <v>199</v>
      </c>
    </row>
    <row r="42" spans="1:18" x14ac:dyDescent="0.2">
      <c r="A42" s="1">
        <v>40</v>
      </c>
      <c r="B42" s="3" t="s">
        <v>17</v>
      </c>
      <c r="C42" s="3" t="s">
        <v>55</v>
      </c>
      <c r="D42" s="3" t="s">
        <v>62</v>
      </c>
      <c r="E42" s="3" t="s">
        <v>65</v>
      </c>
      <c r="F42" s="3" t="s">
        <v>103</v>
      </c>
      <c r="G42" s="3" t="s">
        <v>204</v>
      </c>
      <c r="H42" s="3" t="s">
        <v>203</v>
      </c>
      <c r="I42" s="3" t="s">
        <v>153</v>
      </c>
      <c r="J42" s="3" t="s">
        <v>202</v>
      </c>
      <c r="K42" s="3" t="s">
        <v>155</v>
      </c>
      <c r="L42" s="3" t="s">
        <v>201</v>
      </c>
      <c r="M42" s="3"/>
      <c r="N42" s="3" t="s">
        <v>171</v>
      </c>
      <c r="O42" s="3"/>
      <c r="P42" s="3"/>
      <c r="Q42" s="3" t="s">
        <v>103</v>
      </c>
      <c r="R42" s="3" t="s">
        <v>171</v>
      </c>
    </row>
    <row r="43" spans="1:18" x14ac:dyDescent="0.2">
      <c r="A43" s="1">
        <v>41</v>
      </c>
      <c r="B43" s="3" t="s">
        <v>17</v>
      </c>
      <c r="C43" s="3" t="s">
        <v>56</v>
      </c>
      <c r="D43" s="3" t="s">
        <v>62</v>
      </c>
      <c r="E43" s="3" t="s">
        <v>65</v>
      </c>
      <c r="F43" s="3" t="s">
        <v>104</v>
      </c>
      <c r="G43" s="3" t="s">
        <v>147</v>
      </c>
      <c r="H43" s="3" t="s">
        <v>203</v>
      </c>
      <c r="I43" s="3" t="s">
        <v>153</v>
      </c>
      <c r="J43" s="3" t="s">
        <v>202</v>
      </c>
      <c r="K43" s="3" t="s">
        <v>155</v>
      </c>
      <c r="L43" s="3" t="s">
        <v>201</v>
      </c>
      <c r="M43" s="3"/>
      <c r="N43" s="3" t="s">
        <v>171</v>
      </c>
      <c r="O43" s="3"/>
      <c r="P43" s="3"/>
      <c r="Q43" s="3" t="s">
        <v>104</v>
      </c>
      <c r="R43" s="3" t="s">
        <v>171</v>
      </c>
    </row>
    <row r="44" spans="1:18" x14ac:dyDescent="0.2">
      <c r="A44" s="1">
        <v>42</v>
      </c>
      <c r="B44" s="3" t="s">
        <v>17</v>
      </c>
      <c r="C44" s="3" t="s">
        <v>56</v>
      </c>
      <c r="D44" s="3" t="s">
        <v>62</v>
      </c>
      <c r="E44" s="3" t="s">
        <v>65</v>
      </c>
      <c r="F44" s="3" t="s">
        <v>105</v>
      </c>
      <c r="G44" s="3" t="s">
        <v>148</v>
      </c>
      <c r="H44" s="3" t="s">
        <v>203</v>
      </c>
      <c r="I44" s="3" t="s">
        <v>153</v>
      </c>
      <c r="J44" s="3" t="s">
        <v>202</v>
      </c>
      <c r="K44" s="3" t="s">
        <v>155</v>
      </c>
      <c r="L44" s="3" t="s">
        <v>201</v>
      </c>
      <c r="M44" s="3"/>
      <c r="N44" s="3" t="s">
        <v>171</v>
      </c>
      <c r="O44" s="3"/>
      <c r="P44" s="3"/>
      <c r="Q44" s="3" t="s">
        <v>105</v>
      </c>
      <c r="R44" s="3" t="s">
        <v>171</v>
      </c>
    </row>
    <row r="45" spans="1:18" x14ac:dyDescent="0.2">
      <c r="A45" s="1">
        <v>43</v>
      </c>
      <c r="B45" s="3" t="s">
        <v>17</v>
      </c>
      <c r="C45" s="3"/>
      <c r="D45" s="3"/>
      <c r="E45" s="3" t="s">
        <v>65</v>
      </c>
      <c r="F45" s="3" t="s">
        <v>149</v>
      </c>
      <c r="G45" s="3" t="s">
        <v>106</v>
      </c>
      <c r="H45" s="3" t="s">
        <v>203</v>
      </c>
      <c r="I45" s="3" t="s">
        <v>153</v>
      </c>
      <c r="J45" s="3" t="s">
        <v>202</v>
      </c>
      <c r="K45" s="3" t="s">
        <v>155</v>
      </c>
      <c r="L45" s="3" t="s">
        <v>201</v>
      </c>
      <c r="M45" s="3"/>
      <c r="N45" s="3"/>
      <c r="O45" s="3"/>
      <c r="P45" s="3"/>
      <c r="Q45" s="3" t="s">
        <v>106</v>
      </c>
      <c r="R45" s="3" t="s">
        <v>198</v>
      </c>
    </row>
    <row r="46" spans="1:18" x14ac:dyDescent="0.2">
      <c r="A46" s="1">
        <v>44</v>
      </c>
      <c r="B46" s="3" t="s">
        <v>17</v>
      </c>
      <c r="C46" s="3"/>
      <c r="D46" s="3"/>
      <c r="E46" s="3" t="s">
        <v>65</v>
      </c>
      <c r="F46" s="3" t="s">
        <v>107</v>
      </c>
      <c r="G46" s="3" t="s">
        <v>150</v>
      </c>
      <c r="H46" s="3" t="s">
        <v>203</v>
      </c>
      <c r="I46" s="3" t="s">
        <v>153</v>
      </c>
      <c r="J46" s="3" t="s">
        <v>202</v>
      </c>
      <c r="K46" s="3" t="s">
        <v>155</v>
      </c>
      <c r="L46" s="3" t="s">
        <v>201</v>
      </c>
      <c r="M46" s="3"/>
      <c r="N46" s="3"/>
      <c r="O46" s="3"/>
      <c r="P46" s="3"/>
      <c r="Q46" s="3" t="s">
        <v>150</v>
      </c>
      <c r="R46" s="3" t="s">
        <v>198</v>
      </c>
    </row>
    <row r="47" spans="1:18" x14ac:dyDescent="0.2">
      <c r="A47" s="1">
        <v>45</v>
      </c>
      <c r="B47" s="3" t="s">
        <v>17</v>
      </c>
      <c r="C47" s="3"/>
      <c r="D47" s="3"/>
      <c r="E47" s="3" t="s">
        <v>65</v>
      </c>
      <c r="F47" s="3" t="s">
        <v>108</v>
      </c>
      <c r="G47" s="3" t="s">
        <v>151</v>
      </c>
      <c r="H47" s="3" t="s">
        <v>203</v>
      </c>
      <c r="I47" s="3" t="s">
        <v>153</v>
      </c>
      <c r="J47" s="3" t="s">
        <v>202</v>
      </c>
      <c r="K47" s="3" t="s">
        <v>155</v>
      </c>
      <c r="L47" s="3" t="s">
        <v>201</v>
      </c>
      <c r="M47" s="3"/>
      <c r="N47" s="3"/>
      <c r="O47" s="3"/>
      <c r="P47" s="3"/>
      <c r="Q47" s="3" t="s">
        <v>151</v>
      </c>
      <c r="R47" s="3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topLeftCell="M1" zoomScaleNormal="100" workbookViewId="0">
      <selection activeCell="R1" sqref="R1:R55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1.7109375" style="11" customWidth="1"/>
    <col min="5" max="5" width="3.85546875" style="11" customWidth="1"/>
    <col min="6" max="6" width="8.7109375" style="185" customWidth="1"/>
    <col min="7" max="7" width="17.7109375" style="185" customWidth="1"/>
    <col min="8" max="8" width="13.85546875" style="185" customWidth="1"/>
    <col min="9" max="9" width="7.7109375" style="11" customWidth="1"/>
    <col min="10" max="10" width="3.140625" style="11" customWidth="1"/>
    <col min="11" max="11" width="13.85546875" style="185" customWidth="1"/>
    <col min="12" max="12" width="15.5703125" style="185" customWidth="1"/>
    <col min="13" max="13" width="14" style="186" customWidth="1"/>
    <col min="14" max="14" width="9.140625" style="11"/>
    <col min="15" max="15" width="52.42578125" style="268" bestFit="1" customWidth="1"/>
    <col min="16" max="16" width="8.7109375" style="226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225"/>
    </row>
    <row r="2" spans="2:18" x14ac:dyDescent="0.2">
      <c r="B2" s="14"/>
      <c r="C2" s="15"/>
      <c r="D2" s="15"/>
      <c r="E2" s="15"/>
      <c r="F2" s="16"/>
      <c r="G2" s="17" t="s">
        <v>403</v>
      </c>
      <c r="H2" s="16"/>
      <c r="I2" s="15"/>
      <c r="J2" s="15"/>
      <c r="K2" s="16"/>
      <c r="L2" s="18"/>
      <c r="M2" s="10"/>
      <c r="O2" s="225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225"/>
    </row>
    <row r="4" spans="2:18" x14ac:dyDescent="0.2">
      <c r="B4" s="24"/>
      <c r="C4" s="25" t="s">
        <v>66</v>
      </c>
      <c r="D4" s="26" t="s">
        <v>310</v>
      </c>
      <c r="E4" s="27"/>
      <c r="F4" s="25" t="s">
        <v>404</v>
      </c>
      <c r="G4" s="28"/>
      <c r="H4" s="227">
        <v>5400</v>
      </c>
      <c r="I4" s="27"/>
      <c r="J4" s="27"/>
      <c r="K4" s="25" t="s">
        <v>68</v>
      </c>
      <c r="L4" s="30" t="s">
        <v>405</v>
      </c>
      <c r="M4" s="10"/>
      <c r="O4" s="31" t="str">
        <f>C4</f>
        <v>Patient:</v>
      </c>
      <c r="P4" s="228" t="str">
        <f>D4</f>
        <v>??</v>
      </c>
      <c r="R4" s="11" t="s">
        <v>18</v>
      </c>
    </row>
    <row r="5" spans="2:18" ht="13.5" thickBot="1" x14ac:dyDescent="0.25">
      <c r="B5" s="24"/>
      <c r="C5" s="25" t="s">
        <v>67</v>
      </c>
      <c r="D5" s="33" t="s">
        <v>310</v>
      </c>
      <c r="E5" s="27"/>
      <c r="F5" s="25" t="s">
        <v>406</v>
      </c>
      <c r="G5" s="28"/>
      <c r="H5" s="227">
        <v>3</v>
      </c>
      <c r="I5" s="27"/>
      <c r="J5" s="27"/>
      <c r="K5" s="25" t="s">
        <v>69</v>
      </c>
      <c r="L5" s="34" t="s">
        <v>310</v>
      </c>
      <c r="M5" s="10"/>
      <c r="O5" s="31" t="str">
        <f>C5</f>
        <v>CR#:</v>
      </c>
      <c r="P5" s="229" t="str">
        <f>D5</f>
        <v>??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69" t="str">
        <f>L4</f>
        <v>LUNG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 t="s">
        <v>310</v>
      </c>
      <c r="H7" s="28"/>
      <c r="I7" s="27"/>
      <c r="J7" s="27"/>
      <c r="K7" s="28"/>
      <c r="L7" s="38"/>
      <c r="M7" s="10"/>
      <c r="O7" s="31" t="str">
        <f>K5</f>
        <v>Plan Name:</v>
      </c>
      <c r="P7" s="229" t="str">
        <f>L5</f>
        <v>??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 t="s">
        <v>310</v>
      </c>
      <c r="H8" s="28"/>
      <c r="I8" s="27"/>
      <c r="J8" s="27"/>
      <c r="K8" s="28"/>
      <c r="L8" s="38"/>
      <c r="M8" s="10"/>
      <c r="O8" s="31" t="str">
        <f>F4</f>
        <v>Total Prescr. Dose (cGy):</v>
      </c>
      <c r="P8" s="228">
        <f>H4</f>
        <v>5400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 t="s">
        <v>310</v>
      </c>
      <c r="H9" s="28"/>
      <c r="I9" s="27"/>
      <c r="J9" s="27"/>
      <c r="K9" s="28"/>
      <c r="L9" s="38"/>
      <c r="M9" s="10"/>
      <c r="O9" s="31" t="str">
        <f>F5</f>
        <v>Fracttions:</v>
      </c>
      <c r="P9" s="32">
        <f>H5</f>
        <v>3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 t="s">
        <v>310</v>
      </c>
      <c r="H10" s="21"/>
      <c r="I10" s="20"/>
      <c r="J10" s="20"/>
      <c r="K10" s="21"/>
      <c r="L10" s="23"/>
      <c r="M10" s="10"/>
      <c r="O10" s="31" t="str">
        <f>C7</f>
        <v>GTV Volume (cc)</v>
      </c>
      <c r="P10" s="46" t="str">
        <f>G7</f>
        <v>??</v>
      </c>
      <c r="R10" s="11" t="s">
        <v>22</v>
      </c>
    </row>
    <row r="11" spans="2:18" x14ac:dyDescent="0.2">
      <c r="B11" s="36" t="s">
        <v>300</v>
      </c>
      <c r="C11" s="15"/>
      <c r="D11" s="15"/>
      <c r="E11" s="40" t="s">
        <v>301</v>
      </c>
      <c r="F11" s="41"/>
      <c r="G11" s="41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46" t="str">
        <f>G8</f>
        <v>??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407</v>
      </c>
      <c r="H12" s="51" t="s">
        <v>408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 t="str">
        <f>G9</f>
        <v>??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50" t="s">
        <v>409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 t="str">
        <f>G10</f>
        <v>??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230" t="str">
        <f>IFERROR(H14*$H$4,"??")</f>
        <v>??</v>
      </c>
      <c r="H14" s="231" t="s">
        <v>310</v>
      </c>
      <c r="I14" s="68" t="b">
        <f>AND((H14&gt;59.99%),(H14&lt;90.01%))</f>
        <v>0</v>
      </c>
      <c r="J14" s="49"/>
      <c r="K14" s="69" t="s">
        <v>410</v>
      </c>
      <c r="L14" s="63" t="str">
        <f>IF(I14=TRUE, "Yes", "No")</f>
        <v>No</v>
      </c>
      <c r="M14" s="10" t="s">
        <v>386</v>
      </c>
      <c r="O14" s="31" t="str">
        <f>C14</f>
        <v>Plan Normalization Value (%)</v>
      </c>
      <c r="P14" s="65" t="str">
        <f>H14</f>
        <v>??</v>
      </c>
      <c r="R14" s="11" t="s">
        <v>28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232" t="s">
        <v>310</v>
      </c>
      <c r="H15" s="67" t="str">
        <f>IFERROR(G15/$H$4,"??")</f>
        <v>??</v>
      </c>
      <c r="I15" s="68" t="b">
        <f>AND((H15&gt;111%),(H15&lt;166.8%))</f>
        <v>0</v>
      </c>
      <c r="J15" s="49" t="s">
        <v>302</v>
      </c>
      <c r="K15" s="69" t="s">
        <v>313</v>
      </c>
      <c r="L15" s="63" t="str">
        <f>IF(I15=TRUE, "Yes", "No")</f>
        <v>No</v>
      </c>
      <c r="M15" s="10" t="s">
        <v>314</v>
      </c>
      <c r="O15" s="31" t="str">
        <f>C15</f>
        <v>Dose @COM-PTV (cGy)</v>
      </c>
      <c r="P15" s="65" t="str">
        <f t="shared" ref="P15" si="0"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60"/>
      <c r="G17" s="233" t="s">
        <v>310</v>
      </c>
      <c r="H17" s="75" t="str">
        <f>IFERROR(G17/$H$4,"??")</f>
        <v>??</v>
      </c>
      <c r="I17" s="68" t="b">
        <f>AND((H17&gt;59.99%),(H17&lt;90.01%))</f>
        <v>0</v>
      </c>
      <c r="J17" s="49"/>
      <c r="K17" s="69" t="s">
        <v>410</v>
      </c>
      <c r="L17" s="63" t="str">
        <f>IF(I17=TRUE, "Yes", "No")</f>
        <v>No</v>
      </c>
      <c r="M17" s="10"/>
      <c r="O17" s="31" t="str">
        <f>C18</f>
        <v>PTV - V100(%)</v>
      </c>
      <c r="P17" s="86" t="str">
        <f>H18</f>
        <v>??</v>
      </c>
      <c r="R17" s="11" t="s">
        <v>31</v>
      </c>
    </row>
    <row r="18" spans="2:18" x14ac:dyDescent="0.2">
      <c r="B18" s="24"/>
      <c r="C18" s="57" t="s">
        <v>79</v>
      </c>
      <c r="D18" s="27"/>
      <c r="E18" s="27"/>
      <c r="F18" s="28"/>
      <c r="G18" s="234">
        <f>H4</f>
        <v>5400</v>
      </c>
      <c r="H18" s="235" t="s">
        <v>310</v>
      </c>
      <c r="I18" s="77"/>
      <c r="J18" s="77"/>
      <c r="K18" s="78">
        <v>0.95</v>
      </c>
      <c r="L18" s="95" t="str">
        <f>IF(H18&gt;=K18,"Yes","No")</f>
        <v>Yes</v>
      </c>
      <c r="M18" s="80" t="s">
        <v>411</v>
      </c>
      <c r="O18" s="31" t="str">
        <f>C19</f>
        <v>PTV - V90 (%)</v>
      </c>
      <c r="P18" s="86" t="str">
        <f>H19</f>
        <v>??</v>
      </c>
      <c r="R18" s="11" t="s">
        <v>32</v>
      </c>
    </row>
    <row r="19" spans="2:18" ht="13.5" thickBot="1" x14ac:dyDescent="0.25">
      <c r="B19" s="19"/>
      <c r="C19" s="81" t="s">
        <v>80</v>
      </c>
      <c r="D19" s="20"/>
      <c r="E19" s="20"/>
      <c r="F19" s="21"/>
      <c r="G19" s="236">
        <f>0.9*H4</f>
        <v>4860</v>
      </c>
      <c r="H19" s="237" t="s">
        <v>310</v>
      </c>
      <c r="I19" s="84"/>
      <c r="J19" s="20"/>
      <c r="K19" s="85">
        <v>0.99</v>
      </c>
      <c r="L19" s="103" t="str">
        <f>IF(H19&gt;=K19,"Yes","No")</f>
        <v>Yes</v>
      </c>
      <c r="M19" s="80" t="s">
        <v>412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3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 t="shared" ref="P20" si="1"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239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IF(H21&lt;=15%,"Yes","No")</f>
        <v>No</v>
      </c>
      <c r="M21" s="10" t="s">
        <v>413</v>
      </c>
      <c r="O21" s="31" t="str">
        <f>CONCATENATE(C24," ",D24)</f>
        <v>Location 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tr">
        <f>IFERROR('[1]Calculations 54Gy 3F'!J31,"??")</f>
        <v>??</v>
      </c>
      <c r="I22" s="101" t="s">
        <v>302</v>
      </c>
      <c r="J22" s="20"/>
      <c r="K22" s="102" t="s">
        <v>324</v>
      </c>
      <c r="L22" s="114" t="str">
        <f>IFERROR('[1]Calculations 54Gy 3F'!K31,"No")</f>
        <v>No</v>
      </c>
      <c r="M22" s="10" t="s">
        <v>325</v>
      </c>
      <c r="O22" s="31" t="str">
        <f>C25</f>
        <v>Volume(R50)</v>
      </c>
      <c r="P22" s="96" t="str">
        <f t="shared" ref="P22" si="2"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240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414</v>
      </c>
      <c r="D24" s="199" t="s">
        <v>387</v>
      </c>
      <c r="E24" s="77"/>
      <c r="F24" s="91"/>
      <c r="G24" s="120" t="s">
        <v>310</v>
      </c>
      <c r="H24" s="197" t="str">
        <f>IFERROR(G24/H4,"??")</f>
        <v>??</v>
      </c>
      <c r="I24" s="106"/>
      <c r="J24" s="77"/>
      <c r="K24" s="241" t="str">
        <f>IFERROR('[1]Calculations 54Gy 3F'!L27/100,"??")</f>
        <v>??</v>
      </c>
      <c r="L24" s="128" t="str">
        <f>IFERROR('[1]Calculations 54Gy 3F'!K33,"No")</f>
        <v>No</v>
      </c>
      <c r="M24" s="64" t="s">
        <v>415</v>
      </c>
      <c r="O24" s="31" t="str">
        <f>C30</f>
        <v>Mean Dose (Total lung)</v>
      </c>
      <c r="P24" s="96" t="str">
        <f t="shared" ref="P24:P27" si="3"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416</v>
      </c>
      <c r="D25" s="20"/>
      <c r="E25" s="20"/>
      <c r="F25" s="242" t="s">
        <v>417</v>
      </c>
      <c r="G25" s="99" t="s">
        <v>310</v>
      </c>
      <c r="H25" s="243" t="str">
        <f>IFERROR('[1]Calculations 54Gy 3F'!J32,"??")</f>
        <v>??</v>
      </c>
      <c r="I25" s="112" t="s">
        <v>302</v>
      </c>
      <c r="J25" s="20"/>
      <c r="K25" s="113" t="str">
        <f>IFERROR('[1]Calculations 54Gy 3F'!I27,"??")</f>
        <v>??</v>
      </c>
      <c r="L25" s="114" t="str">
        <f>IFERROR('[1]Calculations 54Gy 3F'!K32,"No")</f>
        <v>No</v>
      </c>
      <c r="M25" s="10" t="s">
        <v>418</v>
      </c>
      <c r="O25" s="31" t="str">
        <f>C31</f>
        <v>V20 (Total Lung) in %</v>
      </c>
      <c r="P25" s="96" t="str">
        <f t="shared" si="3"/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419</v>
      </c>
      <c r="H26" s="115" t="s">
        <v>408</v>
      </c>
      <c r="I26" s="116"/>
      <c r="J26" s="116"/>
      <c r="K26" s="117" t="s">
        <v>334</v>
      </c>
      <c r="L26" s="118"/>
      <c r="M26" s="10"/>
      <c r="O26" s="31" t="str">
        <f>CONCATENATE(C32," ",F32)</f>
        <v>Lung-Basic Function V11.6Gy=</v>
      </c>
      <c r="P26" s="96" t="str">
        <f t="shared" si="3"/>
        <v>??</v>
      </c>
      <c r="R26" s="11" t="s">
        <v>40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420</v>
      </c>
      <c r="H27" s="238"/>
      <c r="I27" s="116"/>
      <c r="J27" s="116"/>
      <c r="K27" s="244" t="s">
        <v>421</v>
      </c>
      <c r="L27" s="118"/>
      <c r="M27" s="10"/>
      <c r="O27" s="31" t="str">
        <f>CONCATENATE(C33," ",F33)</f>
        <v>Lung-Pneumonitis V12.4Gy=</v>
      </c>
      <c r="P27" s="96" t="str">
        <f t="shared" si="3"/>
        <v>??</v>
      </c>
      <c r="R27" s="11" t="s">
        <v>41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240"/>
      <c r="I28" s="15"/>
      <c r="J28" s="15"/>
      <c r="K28" s="73"/>
      <c r="L28" s="74"/>
      <c r="M28" s="10"/>
      <c r="O28" s="31" t="str">
        <f>CONCATENATE(C35," ",F35)</f>
        <v>Aorta  (max point dose)</v>
      </c>
      <c r="P28" s="96" t="str">
        <f>G35</f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145"/>
      <c r="I29" s="77"/>
      <c r="J29" s="77"/>
      <c r="K29" s="94"/>
      <c r="L29" s="245"/>
      <c r="M29" s="10"/>
      <c r="O29" s="31" t="str">
        <f>CONCATENATE(C36," ",F35)</f>
        <v>Artery-Pulmnory (max point dose)</v>
      </c>
      <c r="P29" s="96" t="str">
        <f t="shared" ref="P29:P38" si="4">G36</f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246"/>
      <c r="I30" s="123"/>
      <c r="J30" s="123"/>
      <c r="K30" s="124"/>
      <c r="L30" s="247"/>
      <c r="M30" s="10"/>
      <c r="O30" s="31" t="str">
        <f>CONCATENATE(C37," ",F37)</f>
        <v>Spinal Canal (max point dose)</v>
      </c>
      <c r="P30" s="96" t="str">
        <f t="shared" si="4"/>
        <v>??</v>
      </c>
      <c r="R30" s="11" t="s">
        <v>44</v>
      </c>
    </row>
    <row r="31" spans="2:18" ht="13.5" thickBot="1" x14ac:dyDescent="0.25">
      <c r="B31" s="24"/>
      <c r="C31" s="24" t="s">
        <v>340</v>
      </c>
      <c r="D31" s="27"/>
      <c r="E31" s="27"/>
      <c r="F31" s="242" t="s">
        <v>422</v>
      </c>
      <c r="G31" s="248" t="s">
        <v>310</v>
      </c>
      <c r="H31" s="249" t="s">
        <v>302</v>
      </c>
      <c r="I31" s="77"/>
      <c r="J31" s="77"/>
      <c r="K31" s="250" t="str">
        <f>IFERROR('[1]Calculations 54Gy 3F'!O27,"??")</f>
        <v>??</v>
      </c>
      <c r="L31" s="128" t="str">
        <f>IFERROR('[1]Calculations 54Gy 3F'!K34,"No")</f>
        <v>No</v>
      </c>
      <c r="M31" s="10" t="s">
        <v>343</v>
      </c>
      <c r="O31" s="31" t="str">
        <f>CONCATENATE(C38," ",F37)</f>
        <v>Spinal Canal-PRV 5mm (max point dose)</v>
      </c>
      <c r="P31" s="96" t="str">
        <f t="shared" si="4"/>
        <v>??</v>
      </c>
      <c r="R31" s="11" t="s">
        <v>45</v>
      </c>
    </row>
    <row r="32" spans="2:18" x14ac:dyDescent="0.2">
      <c r="B32" s="24"/>
      <c r="C32" s="24" t="s">
        <v>88</v>
      </c>
      <c r="D32" s="27"/>
      <c r="E32" s="27"/>
      <c r="F32" s="238" t="s">
        <v>423</v>
      </c>
      <c r="G32" s="120" t="s">
        <v>310</v>
      </c>
      <c r="H32" s="130" t="s">
        <v>424</v>
      </c>
      <c r="I32" s="77"/>
      <c r="J32" s="77"/>
      <c r="K32" s="250">
        <v>1500</v>
      </c>
      <c r="L32" s="132" t="str">
        <f>IF(G32&lt;=K32,"Yes","No")</f>
        <v>No</v>
      </c>
      <c r="M32" s="64" t="s">
        <v>425</v>
      </c>
      <c r="O32" s="31" t="str">
        <f>CONCATENATE(C39," ",F39)</f>
        <v>Ipsilat Brach.Plex (max point dose)</v>
      </c>
      <c r="P32" s="96" t="str">
        <f t="shared" si="4"/>
        <v>??</v>
      </c>
      <c r="R32" s="11" t="s">
        <v>46</v>
      </c>
    </row>
    <row r="33" spans="1:18" ht="13.5" thickBot="1" x14ac:dyDescent="0.25">
      <c r="B33" s="24"/>
      <c r="C33" s="24" t="s">
        <v>89</v>
      </c>
      <c r="D33" s="27"/>
      <c r="E33" s="27"/>
      <c r="F33" s="28" t="s">
        <v>426</v>
      </c>
      <c r="G33" s="251" t="s">
        <v>310</v>
      </c>
      <c r="H33" s="130" t="s">
        <v>427</v>
      </c>
      <c r="I33" s="27"/>
      <c r="J33" s="27"/>
      <c r="K33" s="117">
        <v>1000</v>
      </c>
      <c r="L33" s="89" t="str">
        <f>IF(G33&lt;=K33,"Yes","No")</f>
        <v>No</v>
      </c>
      <c r="M33" s="64" t="s">
        <v>428</v>
      </c>
      <c r="O33" s="31" t="str">
        <f>CONCATENATE(C40," ",F40)</f>
        <v>Skin V30Gy=</v>
      </c>
      <c r="P33" s="96" t="str">
        <f t="shared" si="4"/>
        <v>??</v>
      </c>
      <c r="R33" s="11" t="s">
        <v>47</v>
      </c>
    </row>
    <row r="34" spans="1:18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CONCATENATE(C41," ",F41)</f>
        <v>Heart (max point dose)</v>
      </c>
      <c r="P34" s="96" t="str">
        <f t="shared" si="4"/>
        <v>??</v>
      </c>
      <c r="R34" s="11" t="s">
        <v>48</v>
      </c>
    </row>
    <row r="35" spans="1:18" x14ac:dyDescent="0.2">
      <c r="B35" s="24"/>
      <c r="C35" s="136" t="s">
        <v>348</v>
      </c>
      <c r="D35" s="49" t="s">
        <v>302</v>
      </c>
      <c r="E35" s="49"/>
      <c r="F35" s="215" t="s">
        <v>349</v>
      </c>
      <c r="G35" s="138" t="s">
        <v>310</v>
      </c>
      <c r="H35" s="60"/>
      <c r="I35" s="49"/>
      <c r="J35" s="49"/>
      <c r="K35" s="53">
        <v>3000</v>
      </c>
      <c r="L35" s="63" t="str">
        <f t="shared" ref="L35:L46" si="5">IF(G35&lt;=K35,"Yes","No")</f>
        <v>No</v>
      </c>
      <c r="M35" s="10"/>
      <c r="O35" s="31" t="str">
        <f>CONCATENATE(C42," ",F42)</f>
        <v>Esophagus (max point dose)</v>
      </c>
      <c r="P35" s="96" t="str">
        <f t="shared" si="4"/>
        <v>??</v>
      </c>
      <c r="R35" s="11" t="s">
        <v>49</v>
      </c>
    </row>
    <row r="36" spans="1:18" x14ac:dyDescent="0.2">
      <c r="B36" s="24"/>
      <c r="C36" s="134" t="s">
        <v>429</v>
      </c>
      <c r="D36" s="27"/>
      <c r="E36" s="27"/>
      <c r="F36" s="28"/>
      <c r="G36" s="138" t="s">
        <v>310</v>
      </c>
      <c r="H36" s="60"/>
      <c r="I36" s="49"/>
      <c r="J36" s="49"/>
      <c r="K36" s="53">
        <v>3000</v>
      </c>
      <c r="L36" s="63" t="str">
        <f t="shared" si="5"/>
        <v>No</v>
      </c>
      <c r="M36" s="10"/>
      <c r="O36" s="31" t="str">
        <f>CONCATENATE(C43," ",F43)</f>
        <v>*Chestwall (rib) (max point dose)</v>
      </c>
      <c r="P36" s="96" t="str">
        <f t="shared" si="4"/>
        <v>??</v>
      </c>
      <c r="R36" s="11" t="s">
        <v>50</v>
      </c>
    </row>
    <row r="37" spans="1:18" x14ac:dyDescent="0.2">
      <c r="B37" s="24"/>
      <c r="C37" s="153" t="s">
        <v>190</v>
      </c>
      <c r="D37" s="49"/>
      <c r="E37" s="49"/>
      <c r="F37" s="215" t="s">
        <v>349</v>
      </c>
      <c r="G37" s="233" t="s">
        <v>310</v>
      </c>
      <c r="H37" s="252" t="s">
        <v>302</v>
      </c>
      <c r="I37" s="49"/>
      <c r="J37" s="49"/>
      <c r="K37" s="69">
        <v>1800</v>
      </c>
      <c r="L37" s="63" t="str">
        <f t="shared" si="5"/>
        <v>No</v>
      </c>
      <c r="M37" s="10" t="s">
        <v>354</v>
      </c>
      <c r="O37" s="31" t="str">
        <f>CONCATENATE(C43," ",F44)</f>
        <v>*Chestwall (rib) V28.2Gy=</v>
      </c>
      <c r="P37" s="96" t="str">
        <f t="shared" si="4"/>
        <v>??</v>
      </c>
      <c r="R37" s="11" t="s">
        <v>51</v>
      </c>
    </row>
    <row r="38" spans="1:18" x14ac:dyDescent="0.2">
      <c r="B38" s="24"/>
      <c r="C38" s="149" t="s">
        <v>93</v>
      </c>
      <c r="D38" s="77"/>
      <c r="E38" s="77"/>
      <c r="F38" s="91"/>
      <c r="G38" s="120" t="s">
        <v>310</v>
      </c>
      <c r="H38" s="91"/>
      <c r="I38" s="77"/>
      <c r="J38" s="77"/>
      <c r="K38" s="94">
        <v>2000</v>
      </c>
      <c r="L38" s="95" t="str">
        <f t="shared" si="5"/>
        <v>No</v>
      </c>
      <c r="M38" s="10"/>
      <c r="O38" s="31" t="str">
        <f>CONCATENATE(C43," ",F45)</f>
        <v>*Chestwall (rib) V30Gy=</v>
      </c>
      <c r="P38" s="96" t="str">
        <f t="shared" si="4"/>
        <v>??</v>
      </c>
      <c r="R38" s="11" t="s">
        <v>52</v>
      </c>
    </row>
    <row r="39" spans="1:18" x14ac:dyDescent="0.2">
      <c r="B39" s="24"/>
      <c r="C39" s="153" t="s">
        <v>430</v>
      </c>
      <c r="D39" s="49"/>
      <c r="E39" s="49"/>
      <c r="F39" s="215" t="s">
        <v>349</v>
      </c>
      <c r="G39" s="233" t="s">
        <v>310</v>
      </c>
      <c r="H39" s="60"/>
      <c r="I39" s="49"/>
      <c r="J39" s="49"/>
      <c r="K39" s="69">
        <v>2400</v>
      </c>
      <c r="L39" s="63" t="str">
        <f t="shared" si="5"/>
        <v>No</v>
      </c>
      <c r="M39" s="10" t="s">
        <v>392</v>
      </c>
      <c r="O39" s="31" t="str">
        <f>A46</f>
        <v>Trachea</v>
      </c>
      <c r="P39" s="154">
        <f>A47</f>
        <v>0</v>
      </c>
      <c r="R39" s="11" t="s">
        <v>53</v>
      </c>
    </row>
    <row r="40" spans="1:18" ht="15.75" x14ac:dyDescent="0.3">
      <c r="B40" s="24"/>
      <c r="C40" s="253" t="s">
        <v>95</v>
      </c>
      <c r="D40" s="254" t="s">
        <v>431</v>
      </c>
      <c r="E40" s="255"/>
      <c r="F40" s="256" t="s">
        <v>432</v>
      </c>
      <c r="G40" s="257" t="s">
        <v>310</v>
      </c>
      <c r="H40" s="258" t="s">
        <v>302</v>
      </c>
      <c r="I40" s="259"/>
      <c r="J40" s="259"/>
      <c r="K40" s="260">
        <v>10</v>
      </c>
      <c r="L40" s="261" t="str">
        <f t="shared" si="5"/>
        <v>No</v>
      </c>
      <c r="M40" s="10" t="s">
        <v>392</v>
      </c>
      <c r="O40" s="31" t="str">
        <f>B46</f>
        <v>Bronchus</v>
      </c>
      <c r="P40" s="154">
        <f>B47</f>
        <v>0</v>
      </c>
      <c r="R40" s="11" t="s">
        <v>54</v>
      </c>
    </row>
    <row r="41" spans="1:18" x14ac:dyDescent="0.2">
      <c r="B41" s="24"/>
      <c r="C41" s="153" t="s">
        <v>193</v>
      </c>
      <c r="D41" s="49"/>
      <c r="E41" s="49"/>
      <c r="F41" s="215" t="s">
        <v>349</v>
      </c>
      <c r="G41" s="233" t="s">
        <v>310</v>
      </c>
      <c r="H41" s="252" t="s">
        <v>302</v>
      </c>
      <c r="I41" s="49"/>
      <c r="J41" s="49"/>
      <c r="K41" s="69">
        <v>3000</v>
      </c>
      <c r="L41" s="63" t="str">
        <f t="shared" si="5"/>
        <v>No</v>
      </c>
      <c r="M41" s="10" t="s">
        <v>433</v>
      </c>
      <c r="O41" s="31" t="str">
        <f>CONCATENATE(C46," ",C47," ",F46)</f>
        <v>Proximal Trachea and Bronchial Tree (max point dose)</v>
      </c>
      <c r="P41" s="96" t="str">
        <f>G46</f>
        <v>??</v>
      </c>
      <c r="R41" s="11" t="s">
        <v>272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233" t="s">
        <v>310</v>
      </c>
      <c r="H42" s="60"/>
      <c r="I42" s="49"/>
      <c r="J42" s="49"/>
      <c r="K42" s="69">
        <v>2700</v>
      </c>
      <c r="L42" s="63" t="str">
        <f t="shared" si="5"/>
        <v>No</v>
      </c>
      <c r="M42" s="10" t="s">
        <v>392</v>
      </c>
      <c r="O42" s="31" t="str">
        <f>C48</f>
        <v>Dosimetrist:</v>
      </c>
      <c r="P42" s="169" t="str">
        <f>C49</f>
        <v>??</v>
      </c>
      <c r="R42" s="11" t="s">
        <v>440</v>
      </c>
    </row>
    <row r="43" spans="1:18" x14ac:dyDescent="0.2">
      <c r="B43" s="24"/>
      <c r="C43" s="153" t="s">
        <v>368</v>
      </c>
      <c r="D43" s="49"/>
      <c r="E43" s="49"/>
      <c r="F43" s="215" t="s">
        <v>349</v>
      </c>
      <c r="G43" s="233" t="s">
        <v>310</v>
      </c>
      <c r="H43" s="60"/>
      <c r="I43" s="49"/>
      <c r="J43" s="49"/>
      <c r="K43" s="69">
        <v>3480</v>
      </c>
      <c r="L43" s="63" t="str">
        <f t="shared" si="5"/>
        <v>No</v>
      </c>
      <c r="M43" s="10" t="s">
        <v>354</v>
      </c>
      <c r="O43" s="31" t="str">
        <f>G48</f>
        <v>Physicist:</v>
      </c>
      <c r="P43" s="169" t="str">
        <f>G49</f>
        <v>??</v>
      </c>
      <c r="R43" s="11" t="s">
        <v>268</v>
      </c>
    </row>
    <row r="44" spans="1:18" ht="14.25" x14ac:dyDescent="0.25">
      <c r="B44" s="24"/>
      <c r="C44" s="24"/>
      <c r="D44" s="116" t="s">
        <v>434</v>
      </c>
      <c r="E44" s="27"/>
      <c r="F44" s="175" t="s">
        <v>435</v>
      </c>
      <c r="G44" s="142" t="str">
        <f>IF(G43&lt;=2820,"OK","??")</f>
        <v>??</v>
      </c>
      <c r="H44" s="91"/>
      <c r="I44" s="77"/>
      <c r="J44" s="77"/>
      <c r="K44" s="94">
        <v>1</v>
      </c>
      <c r="L44" s="95" t="str">
        <f>IF(G43&lt;=2820,"Yes",IF(G44&lt;=K44,"Yes","No"))</f>
        <v>No</v>
      </c>
      <c r="M44" s="10" t="s">
        <v>433</v>
      </c>
      <c r="O44" s="31" t="str">
        <f>J48</f>
        <v>Radiation Oncologist:</v>
      </c>
      <c r="P44" s="169" t="str">
        <f>K49</f>
        <v>??</v>
      </c>
      <c r="R44" s="11" t="s">
        <v>441</v>
      </c>
    </row>
    <row r="45" spans="1:18" ht="15" thickBot="1" x14ac:dyDescent="0.3">
      <c r="B45" s="24"/>
      <c r="C45" s="24"/>
      <c r="D45" s="262" t="s">
        <v>436</v>
      </c>
      <c r="E45" s="158" t="s">
        <v>302</v>
      </c>
      <c r="F45" s="263" t="s">
        <v>363</v>
      </c>
      <c r="G45" s="121" t="str">
        <f>IF(G43&lt;=3000,"OK","??")</f>
        <v>??</v>
      </c>
      <c r="H45" s="122"/>
      <c r="I45" s="123"/>
      <c r="J45" s="123"/>
      <c r="K45" s="124">
        <v>30</v>
      </c>
      <c r="L45" s="95" t="str">
        <f>IF(G43&lt;=3000,"Yes",IF(G45&lt;=K45,"Yes","No"))</f>
        <v>No</v>
      </c>
      <c r="M45" s="10"/>
      <c r="O45" s="31" t="str">
        <f>B50</f>
        <v>NOTES:</v>
      </c>
      <c r="P45" s="169">
        <f>C50</f>
        <v>0</v>
      </c>
      <c r="R45" s="11" t="s">
        <v>437</v>
      </c>
    </row>
    <row r="46" spans="1:18" ht="13.5" thickBot="1" x14ac:dyDescent="0.25">
      <c r="A46" s="160" t="s">
        <v>196</v>
      </c>
      <c r="B46" s="161" t="s">
        <v>371</v>
      </c>
      <c r="C46" s="153" t="s">
        <v>372</v>
      </c>
      <c r="D46" s="49"/>
      <c r="E46" s="49"/>
      <c r="F46" s="215" t="s">
        <v>349</v>
      </c>
      <c r="G46" s="233" t="s">
        <v>310</v>
      </c>
      <c r="H46" s="60" t="s">
        <v>302</v>
      </c>
      <c r="I46" s="49"/>
      <c r="J46" s="49"/>
      <c r="K46" s="69">
        <v>3000</v>
      </c>
      <c r="L46" s="63" t="str">
        <f t="shared" si="5"/>
        <v>No</v>
      </c>
      <c r="M46" s="10" t="s">
        <v>433</v>
      </c>
      <c r="O46" s="225"/>
    </row>
    <row r="47" spans="1:18" ht="13.5" thickBot="1" x14ac:dyDescent="0.25">
      <c r="A47" s="170">
        <v>0</v>
      </c>
      <c r="B47" s="171">
        <v>0</v>
      </c>
      <c r="C47" s="24" t="s">
        <v>373</v>
      </c>
      <c r="D47" s="27"/>
      <c r="E47" s="27"/>
      <c r="F47" s="213"/>
      <c r="G47" s="251" t="s">
        <v>302</v>
      </c>
      <c r="H47" s="28"/>
      <c r="I47" s="27"/>
      <c r="J47" s="27"/>
      <c r="K47" s="87"/>
      <c r="L47" s="89"/>
      <c r="M47" s="10"/>
      <c r="O47" s="225"/>
    </row>
    <row r="48" spans="1:18" x14ac:dyDescent="0.2">
      <c r="B48" s="24"/>
      <c r="C48" s="43" t="s">
        <v>106</v>
      </c>
      <c r="D48" s="15"/>
      <c r="E48" s="15"/>
      <c r="F48" s="16"/>
      <c r="G48" s="17" t="s">
        <v>107</v>
      </c>
      <c r="H48" s="16"/>
      <c r="I48" s="15"/>
      <c r="J48" s="43" t="s">
        <v>108</v>
      </c>
      <c r="K48" s="16"/>
      <c r="L48" s="18"/>
      <c r="M48" s="10"/>
      <c r="O48" s="225"/>
    </row>
    <row r="49" spans="2:15" x14ac:dyDescent="0.2">
      <c r="B49" s="24"/>
      <c r="C49" s="177" t="s">
        <v>310</v>
      </c>
      <c r="D49" s="27"/>
      <c r="E49" s="27"/>
      <c r="F49" s="28"/>
      <c r="G49" s="177" t="s">
        <v>310</v>
      </c>
      <c r="H49" s="28"/>
      <c r="I49" s="27"/>
      <c r="J49" s="27"/>
      <c r="K49" s="177" t="s">
        <v>310</v>
      </c>
      <c r="L49" s="38"/>
      <c r="M49" s="10"/>
      <c r="O49" s="225"/>
    </row>
    <row r="50" spans="2:15" x14ac:dyDescent="0.2">
      <c r="B50" s="47" t="s">
        <v>380</v>
      </c>
      <c r="C50" s="178"/>
      <c r="D50" s="178"/>
      <c r="E50" s="178"/>
      <c r="F50" s="177"/>
      <c r="G50" s="177"/>
      <c r="H50" s="177"/>
      <c r="I50" s="178"/>
      <c r="J50" s="178"/>
      <c r="K50" s="177"/>
      <c r="L50" s="30"/>
      <c r="M50" s="10"/>
      <c r="O50" s="225"/>
    </row>
    <row r="51" spans="2:15" ht="13.5" thickBot="1" x14ac:dyDescent="0.25">
      <c r="B51" s="19"/>
      <c r="C51" s="20"/>
      <c r="D51" s="20"/>
      <c r="E51" s="20"/>
      <c r="F51" s="180" t="s">
        <v>381</v>
      </c>
      <c r="G51" s="181" t="s">
        <v>382</v>
      </c>
      <c r="H51" s="180"/>
      <c r="I51" s="181"/>
      <c r="J51" s="181"/>
      <c r="K51" s="180"/>
      <c r="L51" s="182"/>
      <c r="M51" s="10"/>
      <c r="O51" s="225"/>
    </row>
    <row r="52" spans="2:15" x14ac:dyDescent="0.2">
      <c r="B52" s="183" t="s">
        <v>383</v>
      </c>
      <c r="C52" s="80"/>
      <c r="D52" s="80"/>
      <c r="E52" s="80"/>
      <c r="F52" s="184"/>
      <c r="G52" s="184"/>
      <c r="H52" s="184"/>
      <c r="I52" s="80"/>
      <c r="J52" s="80"/>
      <c r="K52" s="184"/>
      <c r="L52" s="184"/>
      <c r="M52" s="10"/>
      <c r="O52" s="225"/>
    </row>
    <row r="53" spans="2:15" x14ac:dyDescent="0.2">
      <c r="B53" s="80"/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O53" s="225"/>
    </row>
    <row r="55" spans="2:15" x14ac:dyDescent="0.2">
      <c r="F55" s="264"/>
      <c r="G55" s="265"/>
      <c r="H55" s="266"/>
      <c r="I55" s="267"/>
      <c r="J55" s="267"/>
      <c r="K55" s="265"/>
      <c r="L55" s="265"/>
    </row>
  </sheetData>
  <sheetProtection formatCells="0" formatColumns="0" formatRows="0"/>
  <pageMargins left="0.75" right="0.75" top="1" bottom="1" header="0.5" footer="0.5"/>
  <pageSetup scale="8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4"/>
  <sheetViews>
    <sheetView workbookViewId="0"/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2" t="s">
        <v>17</v>
      </c>
      <c r="C2" s="2" t="s">
        <v>18</v>
      </c>
      <c r="D2" s="2" t="s">
        <v>58</v>
      </c>
      <c r="E2" s="2" t="s">
        <v>65</v>
      </c>
      <c r="F2" s="2" t="s">
        <v>66</v>
      </c>
      <c r="G2" s="2" t="s">
        <v>109</v>
      </c>
      <c r="H2" s="2" t="s">
        <v>152</v>
      </c>
      <c r="I2" s="2" t="s">
        <v>153</v>
      </c>
      <c r="J2" s="2" t="s">
        <v>154</v>
      </c>
      <c r="K2" s="2" t="s">
        <v>155</v>
      </c>
      <c r="L2" s="2" t="s">
        <v>156</v>
      </c>
      <c r="M2" s="2"/>
      <c r="N2" s="2"/>
      <c r="O2" s="2"/>
      <c r="P2" s="2"/>
      <c r="Q2" s="2" t="s">
        <v>174</v>
      </c>
      <c r="R2" s="2" t="s">
        <v>198</v>
      </c>
    </row>
    <row r="3" spans="1:18" x14ac:dyDescent="0.2">
      <c r="A3" s="1">
        <v>1</v>
      </c>
      <c r="B3" s="2" t="s">
        <v>17</v>
      </c>
      <c r="C3" s="2" t="s">
        <v>19</v>
      </c>
      <c r="D3" s="2" t="s">
        <v>59</v>
      </c>
      <c r="E3" s="2" t="s">
        <v>65</v>
      </c>
      <c r="F3" s="2" t="s">
        <v>67</v>
      </c>
      <c r="G3" s="2" t="s">
        <v>110</v>
      </c>
      <c r="H3" s="2" t="s">
        <v>152</v>
      </c>
      <c r="I3" s="2" t="s">
        <v>153</v>
      </c>
      <c r="J3" s="2" t="s">
        <v>154</v>
      </c>
      <c r="K3" s="2" t="s">
        <v>155</v>
      </c>
      <c r="L3" s="2" t="s">
        <v>156</v>
      </c>
      <c r="M3" s="2"/>
      <c r="N3" s="2"/>
      <c r="O3" s="2"/>
      <c r="P3" s="2"/>
      <c r="Q3" s="2" t="s">
        <v>175</v>
      </c>
      <c r="R3" s="2" t="s">
        <v>198</v>
      </c>
    </row>
    <row r="4" spans="1:18" x14ac:dyDescent="0.2">
      <c r="A4" s="1">
        <v>2</v>
      </c>
      <c r="B4" s="2" t="s">
        <v>17</v>
      </c>
      <c r="C4" s="2" t="s">
        <v>20</v>
      </c>
      <c r="D4" s="2" t="s">
        <v>59</v>
      </c>
      <c r="E4" s="2" t="s">
        <v>65</v>
      </c>
      <c r="F4" s="2" t="s">
        <v>68</v>
      </c>
      <c r="G4" s="2" t="s">
        <v>111</v>
      </c>
      <c r="H4" s="2" t="s">
        <v>152</v>
      </c>
      <c r="I4" s="2" t="s">
        <v>153</v>
      </c>
      <c r="J4" s="2" t="s">
        <v>154</v>
      </c>
      <c r="K4" s="2" t="s">
        <v>155</v>
      </c>
      <c r="L4" s="2" t="s">
        <v>156</v>
      </c>
      <c r="M4" s="2"/>
      <c r="N4" s="2"/>
      <c r="O4" s="2"/>
      <c r="P4" s="2"/>
      <c r="Q4" s="2" t="s">
        <v>176</v>
      </c>
      <c r="R4" s="2" t="s">
        <v>198</v>
      </c>
    </row>
    <row r="5" spans="1:18" x14ac:dyDescent="0.2">
      <c r="A5" s="1">
        <v>3</v>
      </c>
      <c r="B5" s="2" t="s">
        <v>17</v>
      </c>
      <c r="C5" s="2" t="s">
        <v>21</v>
      </c>
      <c r="D5" s="2" t="s">
        <v>59</v>
      </c>
      <c r="E5" s="2" t="s">
        <v>65</v>
      </c>
      <c r="F5" s="2" t="s">
        <v>69</v>
      </c>
      <c r="G5" s="2" t="s">
        <v>112</v>
      </c>
      <c r="H5" s="2" t="s">
        <v>152</v>
      </c>
      <c r="I5" s="2" t="s">
        <v>153</v>
      </c>
      <c r="J5" s="2" t="s">
        <v>154</v>
      </c>
      <c r="K5" s="2" t="s">
        <v>155</v>
      </c>
      <c r="L5" s="2" t="s">
        <v>156</v>
      </c>
      <c r="M5" s="2"/>
      <c r="N5" s="2"/>
      <c r="O5" s="2"/>
      <c r="P5" s="2"/>
      <c r="Q5" s="2" t="s">
        <v>177</v>
      </c>
      <c r="R5" s="2" t="s">
        <v>198</v>
      </c>
    </row>
    <row r="6" spans="1:18" x14ac:dyDescent="0.2">
      <c r="A6" s="1">
        <v>4</v>
      </c>
      <c r="B6" s="2" t="s">
        <v>17</v>
      </c>
      <c r="C6" s="2" t="s">
        <v>22</v>
      </c>
      <c r="D6" s="2" t="s">
        <v>60</v>
      </c>
      <c r="E6" s="2" t="s">
        <v>65</v>
      </c>
      <c r="F6" s="2" t="s">
        <v>70</v>
      </c>
      <c r="G6" s="2" t="s">
        <v>113</v>
      </c>
      <c r="H6" s="2" t="s">
        <v>152</v>
      </c>
      <c r="I6" s="2" t="s">
        <v>153</v>
      </c>
      <c r="J6" s="2" t="s">
        <v>154</v>
      </c>
      <c r="K6" s="2" t="s">
        <v>155</v>
      </c>
      <c r="L6" s="2" t="s">
        <v>156</v>
      </c>
      <c r="M6" s="2" t="s">
        <v>157</v>
      </c>
      <c r="N6" s="2" t="s">
        <v>160</v>
      </c>
      <c r="O6" s="2"/>
      <c r="P6" s="2"/>
      <c r="Q6" s="2" t="s">
        <v>178</v>
      </c>
      <c r="R6" s="2" t="s">
        <v>199</v>
      </c>
    </row>
    <row r="7" spans="1:18" x14ac:dyDescent="0.2">
      <c r="A7" s="1">
        <v>5</v>
      </c>
      <c r="B7" s="2" t="s">
        <v>17</v>
      </c>
      <c r="C7" s="2" t="s">
        <v>23</v>
      </c>
      <c r="D7" s="2" t="s">
        <v>60</v>
      </c>
      <c r="E7" s="2" t="s">
        <v>65</v>
      </c>
      <c r="F7" s="2" t="s">
        <v>71</v>
      </c>
      <c r="G7" s="2" t="s">
        <v>114</v>
      </c>
      <c r="H7" s="2" t="s">
        <v>152</v>
      </c>
      <c r="I7" s="2" t="s">
        <v>153</v>
      </c>
      <c r="J7" s="2" t="s">
        <v>154</v>
      </c>
      <c r="K7" s="2" t="s">
        <v>155</v>
      </c>
      <c r="L7" s="2" t="s">
        <v>156</v>
      </c>
      <c r="M7" s="2" t="s">
        <v>157</v>
      </c>
      <c r="N7" s="2" t="s">
        <v>160</v>
      </c>
      <c r="O7" s="2"/>
      <c r="P7" s="2"/>
      <c r="Q7" s="2" t="s">
        <v>179</v>
      </c>
      <c r="R7" s="2" t="s">
        <v>199</v>
      </c>
    </row>
    <row r="8" spans="1:18" x14ac:dyDescent="0.2">
      <c r="A8" s="1">
        <v>6</v>
      </c>
      <c r="B8" s="2" t="s">
        <v>17</v>
      </c>
      <c r="C8" s="2" t="s">
        <v>24</v>
      </c>
      <c r="D8" s="2" t="s">
        <v>60</v>
      </c>
      <c r="E8" s="2" t="s">
        <v>65</v>
      </c>
      <c r="F8" s="2" t="s">
        <v>72</v>
      </c>
      <c r="G8" s="2" t="s">
        <v>115</v>
      </c>
      <c r="H8" s="2" t="s">
        <v>152</v>
      </c>
      <c r="I8" s="2" t="s">
        <v>153</v>
      </c>
      <c r="J8" s="2" t="s">
        <v>154</v>
      </c>
      <c r="K8" s="2" t="s">
        <v>155</v>
      </c>
      <c r="L8" s="2" t="s">
        <v>156</v>
      </c>
      <c r="M8" s="2" t="s">
        <v>157</v>
      </c>
      <c r="N8" s="2" t="s">
        <v>160</v>
      </c>
      <c r="O8" s="2"/>
      <c r="P8" s="2"/>
      <c r="Q8" s="2" t="s">
        <v>180</v>
      </c>
      <c r="R8" s="2" t="s">
        <v>199</v>
      </c>
    </row>
    <row r="9" spans="1:18" x14ac:dyDescent="0.2">
      <c r="A9" s="1">
        <v>7</v>
      </c>
      <c r="B9" s="2" t="s">
        <v>17</v>
      </c>
      <c r="C9" s="2" t="s">
        <v>25</v>
      </c>
      <c r="D9" s="2" t="s">
        <v>60</v>
      </c>
      <c r="E9" s="2" t="s">
        <v>65</v>
      </c>
      <c r="F9" s="2" t="s">
        <v>73</v>
      </c>
      <c r="G9" s="2" t="s">
        <v>116</v>
      </c>
      <c r="H9" s="2" t="s">
        <v>152</v>
      </c>
      <c r="I9" s="2" t="s">
        <v>153</v>
      </c>
      <c r="J9" s="2" t="s">
        <v>154</v>
      </c>
      <c r="K9" s="2" t="s">
        <v>155</v>
      </c>
      <c r="L9" s="2" t="s">
        <v>156</v>
      </c>
      <c r="M9" s="2" t="s">
        <v>157</v>
      </c>
      <c r="N9" s="2" t="s">
        <v>160</v>
      </c>
      <c r="O9" s="2"/>
      <c r="P9" s="2" t="s">
        <v>172</v>
      </c>
      <c r="Q9" s="2" t="s">
        <v>181</v>
      </c>
      <c r="R9" s="2" t="s">
        <v>199</v>
      </c>
    </row>
    <row r="10" spans="1:18" x14ac:dyDescent="0.2">
      <c r="A10" s="1">
        <v>8</v>
      </c>
      <c r="B10" s="2" t="s">
        <v>17</v>
      </c>
      <c r="C10" s="2" t="s">
        <v>26</v>
      </c>
      <c r="D10" s="2" t="s">
        <v>58</v>
      </c>
      <c r="E10" s="2" t="s">
        <v>65</v>
      </c>
      <c r="F10" s="2" t="s">
        <v>74</v>
      </c>
      <c r="G10" s="2" t="s">
        <v>117</v>
      </c>
      <c r="H10" s="2" t="s">
        <v>152</v>
      </c>
      <c r="I10" s="2" t="s">
        <v>153</v>
      </c>
      <c r="J10" s="2" t="s">
        <v>154</v>
      </c>
      <c r="K10" s="2" t="s">
        <v>155</v>
      </c>
      <c r="L10" s="2" t="s">
        <v>156</v>
      </c>
      <c r="M10" s="2" t="s">
        <v>158</v>
      </c>
      <c r="N10" s="2"/>
      <c r="O10" s="2"/>
      <c r="P10" s="2"/>
      <c r="Q10" s="2" t="s">
        <v>182</v>
      </c>
      <c r="R10" s="2" t="s">
        <v>198</v>
      </c>
    </row>
    <row r="11" spans="1:18" x14ac:dyDescent="0.2">
      <c r="A11" s="1">
        <v>9</v>
      </c>
      <c r="B11" s="2" t="s">
        <v>17</v>
      </c>
      <c r="C11" s="2" t="s">
        <v>27</v>
      </c>
      <c r="D11" s="2" t="s">
        <v>61</v>
      </c>
      <c r="E11" s="2" t="s">
        <v>65</v>
      </c>
      <c r="F11" s="2" t="s">
        <v>75</v>
      </c>
      <c r="G11" s="2" t="s">
        <v>118</v>
      </c>
      <c r="H11" s="2" t="s">
        <v>152</v>
      </c>
      <c r="I11" s="2" t="s">
        <v>153</v>
      </c>
      <c r="J11" s="2" t="s">
        <v>154</v>
      </c>
      <c r="K11" s="2" t="s">
        <v>155</v>
      </c>
      <c r="L11" s="2" t="s">
        <v>156</v>
      </c>
      <c r="M11" s="2"/>
      <c r="N11" s="2"/>
      <c r="O11" s="2"/>
      <c r="P11" s="2"/>
      <c r="Q11" s="2" t="s">
        <v>118</v>
      </c>
      <c r="R11" s="2" t="s">
        <v>198</v>
      </c>
    </row>
    <row r="12" spans="1:18" x14ac:dyDescent="0.2">
      <c r="A12" s="1">
        <v>10</v>
      </c>
      <c r="B12" s="2" t="s">
        <v>17</v>
      </c>
      <c r="C12" s="2" t="s">
        <v>28</v>
      </c>
      <c r="D12" s="2" t="s">
        <v>62</v>
      </c>
      <c r="E12" s="2" t="s">
        <v>65</v>
      </c>
      <c r="F12" s="2" t="s">
        <v>76</v>
      </c>
      <c r="G12" s="2" t="s">
        <v>119</v>
      </c>
      <c r="H12" s="2" t="s">
        <v>152</v>
      </c>
      <c r="I12" s="2" t="s">
        <v>153</v>
      </c>
      <c r="J12" s="2" t="s">
        <v>154</v>
      </c>
      <c r="K12" s="2" t="s">
        <v>155</v>
      </c>
      <c r="L12" s="2" t="s">
        <v>156</v>
      </c>
      <c r="M12" s="2" t="s">
        <v>159</v>
      </c>
      <c r="N12" s="2"/>
      <c r="O12" s="2"/>
      <c r="P12" s="2"/>
      <c r="Q12" s="2" t="s">
        <v>119</v>
      </c>
      <c r="R12" s="2" t="s">
        <v>198</v>
      </c>
    </row>
    <row r="13" spans="1:18" x14ac:dyDescent="0.2">
      <c r="A13" s="1">
        <v>11</v>
      </c>
      <c r="B13" s="2" t="s">
        <v>17</v>
      </c>
      <c r="C13" s="2" t="s">
        <v>29</v>
      </c>
      <c r="D13" s="2" t="s">
        <v>63</v>
      </c>
      <c r="E13" s="2" t="s">
        <v>65</v>
      </c>
      <c r="F13" s="2" t="s">
        <v>77</v>
      </c>
      <c r="G13" s="2" t="s">
        <v>120</v>
      </c>
      <c r="H13" s="2" t="s">
        <v>152</v>
      </c>
      <c r="I13" s="2" t="s">
        <v>153</v>
      </c>
      <c r="J13" s="2" t="s">
        <v>154</v>
      </c>
      <c r="K13" s="2" t="s">
        <v>155</v>
      </c>
      <c r="L13" s="2" t="s">
        <v>156</v>
      </c>
      <c r="M13" s="2" t="s">
        <v>159</v>
      </c>
      <c r="N13" s="2"/>
      <c r="O13" s="2"/>
      <c r="P13" s="2"/>
      <c r="Q13" s="2" t="s">
        <v>183</v>
      </c>
      <c r="R13" s="2" t="s">
        <v>200</v>
      </c>
    </row>
    <row r="14" spans="1:18" x14ac:dyDescent="0.2">
      <c r="A14" s="1">
        <v>12</v>
      </c>
      <c r="B14" s="2" t="s">
        <v>17</v>
      </c>
      <c r="C14" s="2" t="s">
        <v>30</v>
      </c>
      <c r="D14" s="2" t="s">
        <v>62</v>
      </c>
      <c r="E14" s="2" t="s">
        <v>65</v>
      </c>
      <c r="F14" s="2" t="s">
        <v>78</v>
      </c>
      <c r="G14" s="2" t="s">
        <v>121</v>
      </c>
      <c r="H14" s="2" t="s">
        <v>152</v>
      </c>
      <c r="I14" s="2" t="s">
        <v>153</v>
      </c>
      <c r="J14" s="2" t="s">
        <v>154</v>
      </c>
      <c r="K14" s="2" t="s">
        <v>155</v>
      </c>
      <c r="L14" s="2" t="s">
        <v>156</v>
      </c>
      <c r="M14" s="2" t="s">
        <v>158</v>
      </c>
      <c r="N14" s="2" t="s">
        <v>161</v>
      </c>
      <c r="O14" s="2"/>
      <c r="P14" s="2"/>
      <c r="Q14" s="2" t="s">
        <v>180</v>
      </c>
      <c r="R14" s="2" t="s">
        <v>199</v>
      </c>
    </row>
    <row r="15" spans="1:18" x14ac:dyDescent="0.2">
      <c r="A15" s="1">
        <v>13</v>
      </c>
      <c r="B15" s="2" t="s">
        <v>17</v>
      </c>
      <c r="C15" s="2" t="s">
        <v>31</v>
      </c>
      <c r="D15" s="2" t="s">
        <v>62</v>
      </c>
      <c r="E15" s="2" t="s">
        <v>65</v>
      </c>
      <c r="F15" s="2" t="s">
        <v>79</v>
      </c>
      <c r="G15" s="2" t="s">
        <v>122</v>
      </c>
      <c r="H15" s="2" t="s">
        <v>152</v>
      </c>
      <c r="I15" s="2" t="s">
        <v>153</v>
      </c>
      <c r="J15" s="2" t="s">
        <v>154</v>
      </c>
      <c r="K15" s="2" t="s">
        <v>155</v>
      </c>
      <c r="L15" s="2" t="s">
        <v>156</v>
      </c>
      <c r="M15" s="2" t="s">
        <v>159</v>
      </c>
      <c r="N15" s="2" t="s">
        <v>162</v>
      </c>
      <c r="O15" s="2"/>
      <c r="P15" s="2"/>
      <c r="Q15" s="2" t="s">
        <v>180</v>
      </c>
      <c r="R15" s="2" t="s">
        <v>199</v>
      </c>
    </row>
    <row r="16" spans="1:18" x14ac:dyDescent="0.2">
      <c r="A16" s="1">
        <v>14</v>
      </c>
      <c r="B16" s="2" t="s">
        <v>17</v>
      </c>
      <c r="C16" s="2" t="s">
        <v>32</v>
      </c>
      <c r="D16" s="2" t="s">
        <v>62</v>
      </c>
      <c r="E16" s="2" t="s">
        <v>65</v>
      </c>
      <c r="F16" s="2" t="s">
        <v>80</v>
      </c>
      <c r="G16" s="2" t="s">
        <v>123</v>
      </c>
      <c r="H16" s="2" t="s">
        <v>152</v>
      </c>
      <c r="I16" s="2" t="s">
        <v>153</v>
      </c>
      <c r="J16" s="2" t="s">
        <v>154</v>
      </c>
      <c r="K16" s="2" t="s">
        <v>155</v>
      </c>
      <c r="L16" s="2" t="s">
        <v>156</v>
      </c>
      <c r="M16" s="2" t="s">
        <v>159</v>
      </c>
      <c r="N16" s="2" t="s">
        <v>163</v>
      </c>
      <c r="O16" s="2"/>
      <c r="P16" s="2"/>
      <c r="Q16" s="2" t="s">
        <v>180</v>
      </c>
      <c r="R16" s="2" t="s">
        <v>199</v>
      </c>
    </row>
    <row r="17" spans="1:18" x14ac:dyDescent="0.2">
      <c r="A17" s="1">
        <v>15</v>
      </c>
      <c r="B17" s="2" t="s">
        <v>17</v>
      </c>
      <c r="C17" s="2" t="s">
        <v>33</v>
      </c>
      <c r="D17" s="2" t="s">
        <v>60</v>
      </c>
      <c r="E17" s="2" t="s">
        <v>65</v>
      </c>
      <c r="F17" s="2" t="s">
        <v>81</v>
      </c>
      <c r="G17" s="2" t="s">
        <v>124</v>
      </c>
      <c r="H17" s="2" t="s">
        <v>152</v>
      </c>
      <c r="I17" s="2" t="s">
        <v>153</v>
      </c>
      <c r="J17" s="2" t="s">
        <v>154</v>
      </c>
      <c r="K17" s="2" t="s">
        <v>155</v>
      </c>
      <c r="L17" s="2" t="s">
        <v>156</v>
      </c>
      <c r="M17" s="2" t="s">
        <v>157</v>
      </c>
      <c r="N17" s="2" t="s">
        <v>160</v>
      </c>
      <c r="O17" s="2"/>
      <c r="P17" s="2"/>
      <c r="Q17" s="2" t="s">
        <v>184</v>
      </c>
      <c r="R17" s="2" t="s">
        <v>199</v>
      </c>
    </row>
    <row r="18" spans="1:18" x14ac:dyDescent="0.2">
      <c r="A18" s="1">
        <v>16</v>
      </c>
      <c r="B18" s="2" t="s">
        <v>17</v>
      </c>
      <c r="C18" s="2" t="s">
        <v>34</v>
      </c>
      <c r="D18" s="2" t="s">
        <v>60</v>
      </c>
      <c r="E18" s="2" t="s">
        <v>65</v>
      </c>
      <c r="F18" s="2" t="s">
        <v>82</v>
      </c>
      <c r="G18" s="2" t="s">
        <v>125</v>
      </c>
      <c r="H18" s="2" t="s">
        <v>152</v>
      </c>
      <c r="I18" s="2" t="s">
        <v>153</v>
      </c>
      <c r="J18" s="2" t="s">
        <v>154</v>
      </c>
      <c r="K18" s="2" t="s">
        <v>155</v>
      </c>
      <c r="L18" s="2" t="s">
        <v>156</v>
      </c>
      <c r="M18" s="2" t="s">
        <v>157</v>
      </c>
      <c r="N18" s="2" t="s">
        <v>160</v>
      </c>
      <c r="O18" s="2"/>
      <c r="P18" s="2"/>
      <c r="Q18" s="2" t="s">
        <v>185</v>
      </c>
      <c r="R18" s="2" t="s">
        <v>199</v>
      </c>
    </row>
    <row r="19" spans="1:18" x14ac:dyDescent="0.2">
      <c r="A19" s="1">
        <v>17</v>
      </c>
      <c r="B19" s="2" t="s">
        <v>17</v>
      </c>
      <c r="C19" s="2" t="s">
        <v>35</v>
      </c>
      <c r="D19" s="2" t="s">
        <v>64</v>
      </c>
      <c r="E19" s="2" t="s">
        <v>65</v>
      </c>
      <c r="F19" s="2" t="s">
        <v>83</v>
      </c>
      <c r="G19" s="2" t="s">
        <v>126</v>
      </c>
      <c r="H19" s="2" t="s">
        <v>152</v>
      </c>
      <c r="I19" s="2" t="s">
        <v>153</v>
      </c>
      <c r="J19" s="2" t="s">
        <v>154</v>
      </c>
      <c r="K19" s="2" t="s">
        <v>155</v>
      </c>
      <c r="L19" s="2" t="s">
        <v>156</v>
      </c>
      <c r="M19" s="2" t="s">
        <v>159</v>
      </c>
      <c r="N19" s="2" t="s">
        <v>164</v>
      </c>
      <c r="O19" s="2"/>
      <c r="P19" s="2"/>
      <c r="Q19" s="2" t="s">
        <v>186</v>
      </c>
      <c r="R19" s="2" t="s">
        <v>199</v>
      </c>
    </row>
    <row r="20" spans="1:18" x14ac:dyDescent="0.2">
      <c r="A20" s="1">
        <v>18</v>
      </c>
      <c r="B20" s="2" t="s">
        <v>17</v>
      </c>
      <c r="C20" s="2" t="s">
        <v>36</v>
      </c>
      <c r="D20" s="2" t="s">
        <v>60</v>
      </c>
      <c r="E20" s="2" t="s">
        <v>65</v>
      </c>
      <c r="F20" s="2" t="s">
        <v>84</v>
      </c>
      <c r="G20" s="2" t="s">
        <v>127</v>
      </c>
      <c r="H20" s="2" t="s">
        <v>152</v>
      </c>
      <c r="I20" s="2" t="s">
        <v>153</v>
      </c>
      <c r="J20" s="2" t="s">
        <v>154</v>
      </c>
      <c r="K20" s="2" t="s">
        <v>155</v>
      </c>
      <c r="L20" s="2" t="s">
        <v>156</v>
      </c>
      <c r="M20" s="2" t="s">
        <v>157</v>
      </c>
      <c r="N20" s="2" t="s">
        <v>160</v>
      </c>
      <c r="O20" s="2"/>
      <c r="P20" s="2"/>
      <c r="Q20" s="2" t="s">
        <v>187</v>
      </c>
      <c r="R20" s="2" t="s">
        <v>199</v>
      </c>
    </row>
    <row r="21" spans="1:18" x14ac:dyDescent="0.2">
      <c r="A21" s="1">
        <v>19</v>
      </c>
      <c r="B21" s="2" t="s">
        <v>17</v>
      </c>
      <c r="C21" s="2" t="s">
        <v>37</v>
      </c>
      <c r="D21" s="2" t="s">
        <v>64</v>
      </c>
      <c r="E21" s="2" t="s">
        <v>65</v>
      </c>
      <c r="F21" s="2" t="s">
        <v>85</v>
      </c>
      <c r="G21" s="2" t="s">
        <v>128</v>
      </c>
      <c r="H21" s="2" t="s">
        <v>152</v>
      </c>
      <c r="I21" s="2" t="s">
        <v>153</v>
      </c>
      <c r="J21" s="2" t="s">
        <v>154</v>
      </c>
      <c r="K21" s="2" t="s">
        <v>155</v>
      </c>
      <c r="L21" s="2" t="s">
        <v>156</v>
      </c>
      <c r="M21" s="2" t="s">
        <v>158</v>
      </c>
      <c r="N21" s="2" t="s">
        <v>165</v>
      </c>
      <c r="O21" s="2"/>
      <c r="P21" s="2" t="s">
        <v>173</v>
      </c>
      <c r="Q21" s="2" t="s">
        <v>181</v>
      </c>
      <c r="R21" s="2" t="s">
        <v>199</v>
      </c>
    </row>
    <row r="22" spans="1:18" x14ac:dyDescent="0.2">
      <c r="A22" s="1">
        <v>20</v>
      </c>
      <c r="B22" s="2" t="s">
        <v>17</v>
      </c>
      <c r="C22" s="2" t="s">
        <v>38</v>
      </c>
      <c r="D22" s="2" t="s">
        <v>64</v>
      </c>
      <c r="E22" s="2" t="s">
        <v>65</v>
      </c>
      <c r="F22" s="2" t="s">
        <v>86</v>
      </c>
      <c r="G22" s="2" t="s">
        <v>129</v>
      </c>
      <c r="H22" s="2" t="s">
        <v>152</v>
      </c>
      <c r="I22" s="2" t="s">
        <v>153</v>
      </c>
      <c r="J22" s="2" t="s">
        <v>154</v>
      </c>
      <c r="K22" s="2" t="s">
        <v>155</v>
      </c>
      <c r="L22" s="2" t="s">
        <v>156</v>
      </c>
      <c r="M22" s="2" t="s">
        <v>158</v>
      </c>
      <c r="N22" s="2" t="s">
        <v>165</v>
      </c>
      <c r="O22" s="2"/>
      <c r="P22" s="2" t="s">
        <v>172</v>
      </c>
      <c r="Q22" s="2" t="s">
        <v>181</v>
      </c>
      <c r="R22" s="2" t="s">
        <v>199</v>
      </c>
    </row>
    <row r="23" spans="1:18" x14ac:dyDescent="0.2">
      <c r="A23" s="1">
        <v>21</v>
      </c>
      <c r="B23" s="2" t="s">
        <v>17</v>
      </c>
      <c r="C23" s="2" t="s">
        <v>39</v>
      </c>
      <c r="D23" s="2" t="s">
        <v>62</v>
      </c>
      <c r="E23" s="2" t="s">
        <v>65</v>
      </c>
      <c r="F23" s="2" t="s">
        <v>87</v>
      </c>
      <c r="G23" s="2" t="s">
        <v>130</v>
      </c>
      <c r="H23" s="2" t="s">
        <v>152</v>
      </c>
      <c r="I23" s="2" t="s">
        <v>153</v>
      </c>
      <c r="J23" s="2" t="s">
        <v>154</v>
      </c>
      <c r="K23" s="2" t="s">
        <v>155</v>
      </c>
      <c r="L23" s="2" t="s">
        <v>156</v>
      </c>
      <c r="M23" s="2" t="s">
        <v>159</v>
      </c>
      <c r="N23" s="2" t="s">
        <v>166</v>
      </c>
      <c r="O23" s="2"/>
      <c r="P23" s="2" t="s">
        <v>172</v>
      </c>
      <c r="Q23" s="2" t="s">
        <v>181</v>
      </c>
      <c r="R23" s="2" t="s">
        <v>199</v>
      </c>
    </row>
    <row r="24" spans="1:18" x14ac:dyDescent="0.2">
      <c r="A24" s="1">
        <v>22</v>
      </c>
      <c r="B24" s="2" t="s">
        <v>17</v>
      </c>
      <c r="C24" s="2" t="s">
        <v>40</v>
      </c>
      <c r="D24" s="2" t="s">
        <v>62</v>
      </c>
      <c r="E24" s="2" t="s">
        <v>65</v>
      </c>
      <c r="F24" s="2" t="s">
        <v>88</v>
      </c>
      <c r="G24" s="2" t="s">
        <v>131</v>
      </c>
      <c r="H24" s="2" t="s">
        <v>152</v>
      </c>
      <c r="I24" s="2" t="s">
        <v>153</v>
      </c>
      <c r="J24" s="2" t="s">
        <v>154</v>
      </c>
      <c r="K24" s="2" t="s">
        <v>155</v>
      </c>
      <c r="L24" s="2" t="s">
        <v>156</v>
      </c>
      <c r="M24" s="2" t="s">
        <v>157</v>
      </c>
      <c r="N24" s="2" t="s">
        <v>167</v>
      </c>
      <c r="O24" s="2"/>
      <c r="P24" s="2" t="s">
        <v>172</v>
      </c>
      <c r="Q24" s="2" t="s">
        <v>181</v>
      </c>
      <c r="R24" s="2" t="s">
        <v>199</v>
      </c>
    </row>
    <row r="25" spans="1:18" x14ac:dyDescent="0.2">
      <c r="A25" s="1">
        <v>23</v>
      </c>
      <c r="B25" s="2" t="s">
        <v>17</v>
      </c>
      <c r="C25" s="2" t="s">
        <v>41</v>
      </c>
      <c r="D25" s="2" t="s">
        <v>62</v>
      </c>
      <c r="E25" s="2" t="s">
        <v>65</v>
      </c>
      <c r="F25" s="2" t="s">
        <v>89</v>
      </c>
      <c r="G25" s="2" t="s">
        <v>132</v>
      </c>
      <c r="H25" s="2" t="s">
        <v>152</v>
      </c>
      <c r="I25" s="2" t="s">
        <v>153</v>
      </c>
      <c r="J25" s="2" t="s">
        <v>154</v>
      </c>
      <c r="K25" s="2" t="s">
        <v>155</v>
      </c>
      <c r="L25" s="2" t="s">
        <v>156</v>
      </c>
      <c r="M25" s="2" t="s">
        <v>157</v>
      </c>
      <c r="N25" s="2" t="s">
        <v>168</v>
      </c>
      <c r="O25" s="2"/>
      <c r="P25" s="2" t="s">
        <v>172</v>
      </c>
      <c r="Q25" s="2" t="s">
        <v>181</v>
      </c>
      <c r="R25" s="2" t="s">
        <v>199</v>
      </c>
    </row>
    <row r="26" spans="1:18" x14ac:dyDescent="0.2">
      <c r="A26" s="1">
        <v>24</v>
      </c>
      <c r="B26" s="2" t="s">
        <v>17</v>
      </c>
      <c r="C26" s="2" t="s">
        <v>42</v>
      </c>
      <c r="D26" s="2" t="s">
        <v>64</v>
      </c>
      <c r="E26" s="2" t="s">
        <v>65</v>
      </c>
      <c r="F26" s="2" t="s">
        <v>90</v>
      </c>
      <c r="G26" s="2" t="s">
        <v>133</v>
      </c>
      <c r="H26" s="2" t="s">
        <v>152</v>
      </c>
      <c r="I26" s="2" t="s">
        <v>153</v>
      </c>
      <c r="J26" s="2" t="s">
        <v>154</v>
      </c>
      <c r="K26" s="2" t="s">
        <v>155</v>
      </c>
      <c r="L26" s="2" t="s">
        <v>156</v>
      </c>
      <c r="M26" s="2" t="s">
        <v>158</v>
      </c>
      <c r="N26" s="2" t="s">
        <v>164</v>
      </c>
      <c r="O26" s="2"/>
      <c r="P26" s="2"/>
      <c r="Q26" s="2" t="s">
        <v>188</v>
      </c>
      <c r="R26" s="2" t="s">
        <v>199</v>
      </c>
    </row>
    <row r="27" spans="1:18" x14ac:dyDescent="0.2">
      <c r="A27" s="1">
        <v>25</v>
      </c>
      <c r="B27" s="2" t="s">
        <v>17</v>
      </c>
      <c r="C27" s="2" t="s">
        <v>43</v>
      </c>
      <c r="D27" s="2" t="s">
        <v>64</v>
      </c>
      <c r="E27" s="2" t="s">
        <v>65</v>
      </c>
      <c r="F27" s="2" t="s">
        <v>91</v>
      </c>
      <c r="G27" s="2" t="s">
        <v>134</v>
      </c>
      <c r="H27" s="2" t="s">
        <v>152</v>
      </c>
      <c r="I27" s="2" t="s">
        <v>153</v>
      </c>
      <c r="J27" s="2" t="s">
        <v>154</v>
      </c>
      <c r="K27" s="2" t="s">
        <v>155</v>
      </c>
      <c r="L27" s="2" t="s">
        <v>156</v>
      </c>
      <c r="M27" s="2" t="s">
        <v>158</v>
      </c>
      <c r="N27" s="2" t="s">
        <v>164</v>
      </c>
      <c r="O27" s="2"/>
      <c r="P27" s="2"/>
      <c r="Q27" s="2" t="s">
        <v>189</v>
      </c>
      <c r="R27" s="2" t="s">
        <v>199</v>
      </c>
    </row>
    <row r="28" spans="1:18" x14ac:dyDescent="0.2">
      <c r="A28" s="1">
        <v>26</v>
      </c>
      <c r="B28" s="2" t="s">
        <v>17</v>
      </c>
      <c r="C28" s="2" t="s">
        <v>44</v>
      </c>
      <c r="D28" s="2" t="s">
        <v>64</v>
      </c>
      <c r="E28" s="2" t="s">
        <v>65</v>
      </c>
      <c r="F28" s="2" t="s">
        <v>92</v>
      </c>
      <c r="G28" s="2" t="s">
        <v>135</v>
      </c>
      <c r="H28" s="2" t="s">
        <v>152</v>
      </c>
      <c r="I28" s="2" t="s">
        <v>153</v>
      </c>
      <c r="J28" s="2" t="s">
        <v>154</v>
      </c>
      <c r="K28" s="2" t="s">
        <v>155</v>
      </c>
      <c r="L28" s="2" t="s">
        <v>156</v>
      </c>
      <c r="M28" s="2" t="s">
        <v>158</v>
      </c>
      <c r="N28" s="2" t="s">
        <v>164</v>
      </c>
      <c r="O28" s="2"/>
      <c r="P28" s="2"/>
      <c r="Q28" s="2" t="s">
        <v>190</v>
      </c>
      <c r="R28" s="2" t="s">
        <v>199</v>
      </c>
    </row>
    <row r="29" spans="1:18" x14ac:dyDescent="0.2">
      <c r="A29" s="1">
        <v>27</v>
      </c>
      <c r="B29" s="2" t="s">
        <v>17</v>
      </c>
      <c r="C29" s="2" t="s">
        <v>45</v>
      </c>
      <c r="D29" s="2" t="s">
        <v>64</v>
      </c>
      <c r="E29" s="2" t="s">
        <v>65</v>
      </c>
      <c r="F29" s="2" t="s">
        <v>93</v>
      </c>
      <c r="G29" s="2" t="s">
        <v>136</v>
      </c>
      <c r="H29" s="2" t="s">
        <v>152</v>
      </c>
      <c r="I29" s="2" t="s">
        <v>153</v>
      </c>
      <c r="J29" s="2" t="s">
        <v>154</v>
      </c>
      <c r="K29" s="2" t="s">
        <v>155</v>
      </c>
      <c r="L29" s="2" t="s">
        <v>156</v>
      </c>
      <c r="M29" s="2" t="s">
        <v>158</v>
      </c>
      <c r="N29" s="2" t="s">
        <v>164</v>
      </c>
      <c r="O29" s="2"/>
      <c r="P29" s="2"/>
      <c r="Q29" s="2" t="s">
        <v>191</v>
      </c>
      <c r="R29" s="2" t="s">
        <v>199</v>
      </c>
    </row>
    <row r="30" spans="1:18" x14ac:dyDescent="0.2">
      <c r="A30" s="1">
        <v>28</v>
      </c>
      <c r="B30" s="2" t="s">
        <v>17</v>
      </c>
      <c r="C30" s="2" t="s">
        <v>46</v>
      </c>
      <c r="D30" s="2" t="s">
        <v>64</v>
      </c>
      <c r="E30" s="2" t="s">
        <v>65</v>
      </c>
      <c r="F30" s="2" t="s">
        <v>94</v>
      </c>
      <c r="G30" s="2" t="s">
        <v>137</v>
      </c>
      <c r="H30" s="2" t="s">
        <v>152</v>
      </c>
      <c r="I30" s="2" t="s">
        <v>153</v>
      </c>
      <c r="J30" s="2" t="s">
        <v>154</v>
      </c>
      <c r="K30" s="2" t="s">
        <v>155</v>
      </c>
      <c r="L30" s="2" t="s">
        <v>156</v>
      </c>
      <c r="M30" s="2" t="s">
        <v>158</v>
      </c>
      <c r="N30" s="2" t="s">
        <v>164</v>
      </c>
      <c r="O30" s="2"/>
      <c r="P30" s="2"/>
      <c r="Q30" s="2" t="s">
        <v>192</v>
      </c>
      <c r="R30" s="2" t="s">
        <v>199</v>
      </c>
    </row>
    <row r="31" spans="1:18" x14ac:dyDescent="0.2">
      <c r="A31" s="1">
        <v>29</v>
      </c>
      <c r="B31" s="2" t="s">
        <v>17</v>
      </c>
      <c r="C31" s="2" t="s">
        <v>47</v>
      </c>
      <c r="D31" s="2" t="s">
        <v>60</v>
      </c>
      <c r="E31" s="2" t="s">
        <v>65</v>
      </c>
      <c r="F31" s="2" t="s">
        <v>95</v>
      </c>
      <c r="G31" s="2" t="s">
        <v>138</v>
      </c>
      <c r="H31" s="2" t="s">
        <v>152</v>
      </c>
      <c r="I31" s="2" t="s">
        <v>153</v>
      </c>
      <c r="J31" s="2" t="s">
        <v>154</v>
      </c>
      <c r="K31" s="2" t="s">
        <v>155</v>
      </c>
      <c r="L31" s="2" t="s">
        <v>156</v>
      </c>
      <c r="M31" s="2" t="s">
        <v>157</v>
      </c>
      <c r="N31" s="2" t="s">
        <v>169</v>
      </c>
      <c r="O31" s="2"/>
      <c r="P31" s="2"/>
      <c r="Q31" s="2" t="s">
        <v>95</v>
      </c>
      <c r="R31" s="2" t="s">
        <v>199</v>
      </c>
    </row>
    <row r="32" spans="1:18" x14ac:dyDescent="0.2">
      <c r="A32" s="1">
        <v>30</v>
      </c>
      <c r="B32" s="2" t="s">
        <v>17</v>
      </c>
      <c r="C32" s="2" t="s">
        <v>48</v>
      </c>
      <c r="D32" s="2" t="s">
        <v>64</v>
      </c>
      <c r="E32" s="2" t="s">
        <v>65</v>
      </c>
      <c r="F32" s="2" t="s">
        <v>96</v>
      </c>
      <c r="G32" s="2" t="s">
        <v>139</v>
      </c>
      <c r="H32" s="2" t="s">
        <v>152</v>
      </c>
      <c r="I32" s="2" t="s">
        <v>153</v>
      </c>
      <c r="J32" s="2" t="s">
        <v>154</v>
      </c>
      <c r="K32" s="2" t="s">
        <v>155</v>
      </c>
      <c r="L32" s="2" t="s">
        <v>156</v>
      </c>
      <c r="M32" s="2" t="s">
        <v>158</v>
      </c>
      <c r="N32" s="2" t="s">
        <v>164</v>
      </c>
      <c r="O32" s="2"/>
      <c r="P32" s="2"/>
      <c r="Q32" s="2" t="s">
        <v>193</v>
      </c>
      <c r="R32" s="2" t="s">
        <v>199</v>
      </c>
    </row>
    <row r="33" spans="1:18" x14ac:dyDescent="0.2">
      <c r="A33" s="1">
        <v>31</v>
      </c>
      <c r="B33" s="2" t="s">
        <v>17</v>
      </c>
      <c r="C33" s="2" t="s">
        <v>49</v>
      </c>
      <c r="D33" s="2" t="s">
        <v>64</v>
      </c>
      <c r="E33" s="2" t="s">
        <v>65</v>
      </c>
      <c r="F33" s="2" t="s">
        <v>97</v>
      </c>
      <c r="G33" s="2" t="s">
        <v>140</v>
      </c>
      <c r="H33" s="2" t="s">
        <v>152</v>
      </c>
      <c r="I33" s="2" t="s">
        <v>153</v>
      </c>
      <c r="J33" s="2" t="s">
        <v>154</v>
      </c>
      <c r="K33" s="2" t="s">
        <v>155</v>
      </c>
      <c r="L33" s="2" t="s">
        <v>156</v>
      </c>
      <c r="M33" s="2" t="s">
        <v>158</v>
      </c>
      <c r="N33" s="2" t="s">
        <v>164</v>
      </c>
      <c r="O33" s="2"/>
      <c r="P33" s="2"/>
      <c r="Q33" s="2" t="s">
        <v>194</v>
      </c>
      <c r="R33" s="2" t="s">
        <v>199</v>
      </c>
    </row>
    <row r="34" spans="1:18" x14ac:dyDescent="0.2">
      <c r="A34" s="1">
        <v>32</v>
      </c>
      <c r="B34" s="2" t="s">
        <v>17</v>
      </c>
      <c r="C34" s="2" t="s">
        <v>50</v>
      </c>
      <c r="D34" s="2" t="s">
        <v>64</v>
      </c>
      <c r="E34" s="2" t="s">
        <v>65</v>
      </c>
      <c r="F34" s="2" t="s">
        <v>98</v>
      </c>
      <c r="G34" s="2" t="s">
        <v>141</v>
      </c>
      <c r="H34" s="2" t="s">
        <v>152</v>
      </c>
      <c r="I34" s="2" t="s">
        <v>153</v>
      </c>
      <c r="J34" s="2" t="s">
        <v>154</v>
      </c>
      <c r="K34" s="2" t="s">
        <v>155</v>
      </c>
      <c r="L34" s="2" t="s">
        <v>156</v>
      </c>
      <c r="M34" s="2" t="s">
        <v>158</v>
      </c>
      <c r="N34" s="2" t="s">
        <v>164</v>
      </c>
      <c r="O34" s="2"/>
      <c r="P34" s="2"/>
      <c r="Q34" s="2" t="s">
        <v>195</v>
      </c>
      <c r="R34" s="2" t="s">
        <v>199</v>
      </c>
    </row>
    <row r="35" spans="1:18" x14ac:dyDescent="0.2">
      <c r="A35" s="1">
        <v>33</v>
      </c>
      <c r="B35" s="2" t="s">
        <v>17</v>
      </c>
      <c r="C35" s="2" t="s">
        <v>51</v>
      </c>
      <c r="D35" s="2" t="s">
        <v>60</v>
      </c>
      <c r="E35" s="2" t="s">
        <v>65</v>
      </c>
      <c r="F35" s="2" t="s">
        <v>99</v>
      </c>
      <c r="G35" s="2" t="s">
        <v>142</v>
      </c>
      <c r="H35" s="2" t="s">
        <v>152</v>
      </c>
      <c r="I35" s="2" t="s">
        <v>153</v>
      </c>
      <c r="J35" s="2" t="s">
        <v>154</v>
      </c>
      <c r="K35" s="2" t="s">
        <v>155</v>
      </c>
      <c r="L35" s="2" t="s">
        <v>156</v>
      </c>
      <c r="M35" s="2" t="s">
        <v>157</v>
      </c>
      <c r="N35" s="2" t="s">
        <v>170</v>
      </c>
      <c r="O35" s="2"/>
      <c r="P35" s="2"/>
      <c r="Q35" s="2" t="s">
        <v>195</v>
      </c>
      <c r="R35" s="2" t="s">
        <v>199</v>
      </c>
    </row>
    <row r="36" spans="1:18" x14ac:dyDescent="0.2">
      <c r="A36" s="1">
        <v>34</v>
      </c>
      <c r="B36" s="2" t="s">
        <v>17</v>
      </c>
      <c r="C36" s="2" t="s">
        <v>52</v>
      </c>
      <c r="D36" s="2" t="s">
        <v>60</v>
      </c>
      <c r="E36" s="2" t="s">
        <v>65</v>
      </c>
      <c r="F36" s="2" t="s">
        <v>100</v>
      </c>
      <c r="G36" s="2" t="s">
        <v>143</v>
      </c>
      <c r="H36" s="2" t="s">
        <v>152</v>
      </c>
      <c r="I36" s="2" t="s">
        <v>153</v>
      </c>
      <c r="J36" s="2" t="s">
        <v>154</v>
      </c>
      <c r="K36" s="2" t="s">
        <v>155</v>
      </c>
      <c r="L36" s="2" t="s">
        <v>156</v>
      </c>
      <c r="M36" s="2" t="s">
        <v>157</v>
      </c>
      <c r="N36" s="2" t="s">
        <v>169</v>
      </c>
      <c r="O36" s="2"/>
      <c r="P36" s="2"/>
      <c r="Q36" s="2" t="s">
        <v>195</v>
      </c>
      <c r="R36" s="2" t="s">
        <v>199</v>
      </c>
    </row>
    <row r="37" spans="1:18" x14ac:dyDescent="0.2">
      <c r="A37" s="1">
        <v>35</v>
      </c>
      <c r="B37" s="2" t="s">
        <v>17</v>
      </c>
      <c r="C37" s="2" t="s">
        <v>53</v>
      </c>
      <c r="D37" s="2" t="s">
        <v>64</v>
      </c>
      <c r="E37" s="2" t="s">
        <v>65</v>
      </c>
      <c r="F37" s="2" t="s">
        <v>101</v>
      </c>
      <c r="G37" s="2" t="s">
        <v>144</v>
      </c>
      <c r="H37" s="2" t="s">
        <v>152</v>
      </c>
      <c r="I37" s="2" t="s">
        <v>153</v>
      </c>
      <c r="J37" s="2" t="s">
        <v>154</v>
      </c>
      <c r="K37" s="2" t="s">
        <v>155</v>
      </c>
      <c r="L37" s="2" t="s">
        <v>156</v>
      </c>
      <c r="M37" s="2" t="s">
        <v>158</v>
      </c>
      <c r="N37" s="2" t="s">
        <v>164</v>
      </c>
      <c r="O37" s="2"/>
      <c r="P37" s="2"/>
      <c r="Q37" s="2" t="s">
        <v>196</v>
      </c>
      <c r="R37" s="2" t="s">
        <v>199</v>
      </c>
    </row>
    <row r="38" spans="1:18" x14ac:dyDescent="0.2">
      <c r="A38" s="1">
        <v>36</v>
      </c>
      <c r="B38" s="2" t="s">
        <v>17</v>
      </c>
      <c r="C38" s="2" t="s">
        <v>54</v>
      </c>
      <c r="D38" s="2" t="s">
        <v>64</v>
      </c>
      <c r="E38" s="2" t="s">
        <v>65</v>
      </c>
      <c r="F38" s="2" t="s">
        <v>102</v>
      </c>
      <c r="G38" s="2" t="s">
        <v>145</v>
      </c>
      <c r="H38" s="2" t="s">
        <v>152</v>
      </c>
      <c r="I38" s="2" t="s">
        <v>153</v>
      </c>
      <c r="J38" s="2" t="s">
        <v>154</v>
      </c>
      <c r="K38" s="2" t="s">
        <v>155</v>
      </c>
      <c r="L38" s="2" t="s">
        <v>156</v>
      </c>
      <c r="M38" s="2" t="s">
        <v>158</v>
      </c>
      <c r="N38" s="2" t="s">
        <v>164</v>
      </c>
      <c r="O38" s="2"/>
      <c r="P38" s="2"/>
      <c r="Q38" s="2" t="s">
        <v>197</v>
      </c>
      <c r="R38" s="2" t="s">
        <v>199</v>
      </c>
    </row>
    <row r="39" spans="1:18" x14ac:dyDescent="0.2">
      <c r="A39" s="1">
        <v>37</v>
      </c>
      <c r="B39" s="2" t="s">
        <v>17</v>
      </c>
      <c r="C39" s="2" t="s">
        <v>55</v>
      </c>
      <c r="D39" s="2" t="s">
        <v>62</v>
      </c>
      <c r="E39" s="2" t="s">
        <v>65</v>
      </c>
      <c r="F39" s="2" t="s">
        <v>103</v>
      </c>
      <c r="G39" s="2" t="s">
        <v>146</v>
      </c>
      <c r="H39" s="2" t="s">
        <v>152</v>
      </c>
      <c r="I39" s="2" t="s">
        <v>153</v>
      </c>
      <c r="J39" s="2" t="s">
        <v>154</v>
      </c>
      <c r="K39" s="2" t="s">
        <v>155</v>
      </c>
      <c r="L39" s="2" t="s">
        <v>156</v>
      </c>
      <c r="M39" s="2"/>
      <c r="N39" s="2" t="s">
        <v>171</v>
      </c>
      <c r="O39" s="2"/>
      <c r="P39" s="2"/>
      <c r="Q39" s="2" t="s">
        <v>103</v>
      </c>
      <c r="R39" s="2" t="s">
        <v>171</v>
      </c>
    </row>
    <row r="40" spans="1:18" x14ac:dyDescent="0.2">
      <c r="A40" s="1">
        <v>38</v>
      </c>
      <c r="B40" s="2" t="s">
        <v>17</v>
      </c>
      <c r="C40" s="2" t="s">
        <v>56</v>
      </c>
      <c r="D40" s="2" t="s">
        <v>62</v>
      </c>
      <c r="E40" s="2" t="s">
        <v>65</v>
      </c>
      <c r="F40" s="2" t="s">
        <v>104</v>
      </c>
      <c r="G40" s="2" t="s">
        <v>147</v>
      </c>
      <c r="H40" s="2" t="s">
        <v>152</v>
      </c>
      <c r="I40" s="2" t="s">
        <v>153</v>
      </c>
      <c r="J40" s="2" t="s">
        <v>154</v>
      </c>
      <c r="K40" s="2" t="s">
        <v>155</v>
      </c>
      <c r="L40" s="2" t="s">
        <v>156</v>
      </c>
      <c r="M40" s="2"/>
      <c r="N40" s="2" t="s">
        <v>171</v>
      </c>
      <c r="O40" s="2"/>
      <c r="P40" s="2"/>
      <c r="Q40" s="2" t="s">
        <v>104</v>
      </c>
      <c r="R40" s="2" t="s">
        <v>171</v>
      </c>
    </row>
    <row r="41" spans="1:18" x14ac:dyDescent="0.2">
      <c r="A41" s="1">
        <v>39</v>
      </c>
      <c r="B41" s="2" t="s">
        <v>17</v>
      </c>
      <c r="C41" s="2" t="s">
        <v>57</v>
      </c>
      <c r="D41" s="2" t="s">
        <v>62</v>
      </c>
      <c r="E41" s="2" t="s">
        <v>65</v>
      </c>
      <c r="F41" s="2" t="s">
        <v>105</v>
      </c>
      <c r="G41" s="2" t="s">
        <v>148</v>
      </c>
      <c r="H41" s="2" t="s">
        <v>152</v>
      </c>
      <c r="I41" s="2" t="s">
        <v>153</v>
      </c>
      <c r="J41" s="2" t="s">
        <v>154</v>
      </c>
      <c r="K41" s="2" t="s">
        <v>155</v>
      </c>
      <c r="L41" s="2" t="s">
        <v>156</v>
      </c>
      <c r="M41" s="2"/>
      <c r="N41" s="2" t="s">
        <v>171</v>
      </c>
      <c r="O41" s="2"/>
      <c r="P41" s="2"/>
      <c r="Q41" s="2" t="s">
        <v>105</v>
      </c>
      <c r="R41" s="2" t="s">
        <v>171</v>
      </c>
    </row>
    <row r="42" spans="1:18" x14ac:dyDescent="0.2">
      <c r="A42" s="1">
        <v>40</v>
      </c>
      <c r="B42" s="2" t="s">
        <v>17</v>
      </c>
      <c r="C42" s="2"/>
      <c r="D42" s="2"/>
      <c r="E42" s="2" t="s">
        <v>65</v>
      </c>
      <c r="F42" s="2" t="s">
        <v>106</v>
      </c>
      <c r="G42" s="2" t="s">
        <v>149</v>
      </c>
      <c r="H42" s="2" t="s">
        <v>152</v>
      </c>
      <c r="I42" s="2" t="s">
        <v>153</v>
      </c>
      <c r="J42" s="2" t="s">
        <v>154</v>
      </c>
      <c r="K42" s="2" t="s">
        <v>155</v>
      </c>
      <c r="L42" s="2" t="s">
        <v>156</v>
      </c>
      <c r="M42" s="2"/>
      <c r="N42" s="2"/>
      <c r="O42" s="2"/>
      <c r="P42" s="2"/>
      <c r="Q42" s="2" t="s">
        <v>149</v>
      </c>
      <c r="R42" s="2" t="s">
        <v>198</v>
      </c>
    </row>
    <row r="43" spans="1:18" x14ac:dyDescent="0.2">
      <c r="A43" s="1">
        <v>41</v>
      </c>
      <c r="B43" s="2" t="s">
        <v>17</v>
      </c>
      <c r="C43" s="2"/>
      <c r="D43" s="2"/>
      <c r="E43" s="2" t="s">
        <v>65</v>
      </c>
      <c r="F43" s="2" t="s">
        <v>107</v>
      </c>
      <c r="G43" s="2" t="s">
        <v>150</v>
      </c>
      <c r="H43" s="2" t="s">
        <v>152</v>
      </c>
      <c r="I43" s="2" t="s">
        <v>153</v>
      </c>
      <c r="J43" s="2" t="s">
        <v>154</v>
      </c>
      <c r="K43" s="2" t="s">
        <v>155</v>
      </c>
      <c r="L43" s="2" t="s">
        <v>156</v>
      </c>
      <c r="M43" s="2"/>
      <c r="N43" s="2"/>
      <c r="O43" s="2"/>
      <c r="P43" s="2"/>
      <c r="Q43" s="2" t="s">
        <v>150</v>
      </c>
      <c r="R43" s="2" t="s">
        <v>198</v>
      </c>
    </row>
    <row r="44" spans="1:18" x14ac:dyDescent="0.2">
      <c r="A44" s="1">
        <v>42</v>
      </c>
      <c r="B44" s="2" t="s">
        <v>17</v>
      </c>
      <c r="C44" s="2"/>
      <c r="D44" s="2"/>
      <c r="E44" s="2" t="s">
        <v>65</v>
      </c>
      <c r="F44" s="2" t="s">
        <v>108</v>
      </c>
      <c r="G44" s="2" t="s">
        <v>151</v>
      </c>
      <c r="H44" s="2" t="s">
        <v>152</v>
      </c>
      <c r="I44" s="2" t="s">
        <v>153</v>
      </c>
      <c r="J44" s="2" t="s">
        <v>154</v>
      </c>
      <c r="K44" s="2" t="s">
        <v>155</v>
      </c>
      <c r="L44" s="2" t="s">
        <v>156</v>
      </c>
      <c r="M44" s="2"/>
      <c r="N44" s="2"/>
      <c r="O44" s="2"/>
      <c r="P44" s="2"/>
      <c r="Q44" s="2" t="s">
        <v>151</v>
      </c>
      <c r="R44" s="2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8" sqref="B8"/>
    </sheetView>
  </sheetViews>
  <sheetFormatPr defaultRowHeight="15" x14ac:dyDescent="0.25"/>
  <cols>
    <col min="1" max="1" width="7.7109375" style="276" customWidth="1"/>
    <col min="2" max="2" width="35.42578125" style="276" bestFit="1" customWidth="1"/>
    <col min="3" max="16384" width="9.140625" style="276"/>
  </cols>
  <sheetData>
    <row r="1" spans="1:2" ht="19.5" x14ac:dyDescent="0.25">
      <c r="A1" s="275" t="s">
        <v>446</v>
      </c>
      <c r="B1" s="275"/>
    </row>
    <row r="2" spans="1:2" x14ac:dyDescent="0.25">
      <c r="A2" s="276" t="s">
        <v>447</v>
      </c>
      <c r="B2" s="276" t="s">
        <v>448</v>
      </c>
    </row>
    <row r="3" spans="1:2" x14ac:dyDescent="0.25">
      <c r="A3" s="276" t="s">
        <v>449</v>
      </c>
      <c r="B3" s="277" t="s">
        <v>58</v>
      </c>
    </row>
    <row r="4" spans="1:2" x14ac:dyDescent="0.25">
      <c r="A4" s="276" t="s">
        <v>450</v>
      </c>
      <c r="B4" s="277">
        <v>0</v>
      </c>
    </row>
    <row r="5" spans="1:2" x14ac:dyDescent="0.25">
      <c r="A5" s="276" t="s">
        <v>451</v>
      </c>
      <c r="B5" s="277" t="s">
        <v>64</v>
      </c>
    </row>
    <row r="6" spans="1:2" x14ac:dyDescent="0.25">
      <c r="A6" s="276" t="s">
        <v>452</v>
      </c>
      <c r="B6" s="277" t="s">
        <v>60</v>
      </c>
    </row>
    <row r="7" spans="1:2" x14ac:dyDescent="0.25">
      <c r="A7" s="276" t="s">
        <v>453</v>
      </c>
      <c r="B7" s="277" t="s">
        <v>454</v>
      </c>
    </row>
    <row r="8" spans="1:2" x14ac:dyDescent="0.25">
      <c r="A8" s="276" t="s">
        <v>455</v>
      </c>
      <c r="B8" s="277" t="s">
        <v>456</v>
      </c>
    </row>
    <row r="9" spans="1:2" x14ac:dyDescent="0.25">
      <c r="A9" s="276" t="s">
        <v>457</v>
      </c>
      <c r="B9" s="277" t="s">
        <v>458</v>
      </c>
    </row>
    <row r="10" spans="1:2" x14ac:dyDescent="0.25">
      <c r="A10" s="276" t="s">
        <v>459</v>
      </c>
      <c r="B10" s="277" t="s">
        <v>460</v>
      </c>
    </row>
    <row r="11" spans="1:2" x14ac:dyDescent="0.25">
      <c r="A11" s="276" t="s">
        <v>461</v>
      </c>
      <c r="B11" s="277" t="s">
        <v>462</v>
      </c>
    </row>
    <row r="12" spans="1:2" x14ac:dyDescent="0.25">
      <c r="A12" s="276" t="s">
        <v>463</v>
      </c>
      <c r="B12" s="277" t="s">
        <v>464</v>
      </c>
    </row>
    <row r="13" spans="1:2" x14ac:dyDescent="0.25">
      <c r="A13" s="276" t="s">
        <v>465</v>
      </c>
      <c r="B13" s="277" t="s">
        <v>466</v>
      </c>
    </row>
    <row r="14" spans="1:2" x14ac:dyDescent="0.25">
      <c r="A14" s="276" t="s">
        <v>467</v>
      </c>
      <c r="B14" s="277" t="s">
        <v>468</v>
      </c>
    </row>
    <row r="15" spans="1:2" x14ac:dyDescent="0.25">
      <c r="A15" s="276" t="s">
        <v>469</v>
      </c>
      <c r="B15" s="277" t="s">
        <v>62</v>
      </c>
    </row>
    <row r="16" spans="1:2" x14ac:dyDescent="0.25">
      <c r="A16" s="276" t="s">
        <v>470</v>
      </c>
      <c r="B16" s="277" t="s">
        <v>63</v>
      </c>
    </row>
    <row r="17" spans="1:2" x14ac:dyDescent="0.25">
      <c r="A17" s="276" t="s">
        <v>471</v>
      </c>
      <c r="B17" s="277" t="s">
        <v>472</v>
      </c>
    </row>
    <row r="18" spans="1:2" x14ac:dyDescent="0.25">
      <c r="A18" s="276" t="s">
        <v>449</v>
      </c>
      <c r="B18" s="277" t="s">
        <v>473</v>
      </c>
    </row>
    <row r="19" spans="1:2" x14ac:dyDescent="0.25">
      <c r="A19" s="276" t="s">
        <v>18</v>
      </c>
      <c r="B19" s="277" t="s">
        <v>474</v>
      </c>
    </row>
    <row r="20" spans="1:2" x14ac:dyDescent="0.25">
      <c r="A20" s="276" t="s">
        <v>475</v>
      </c>
      <c r="B20" s="277" t="s">
        <v>476</v>
      </c>
    </row>
    <row r="21" spans="1:2" x14ac:dyDescent="0.25">
      <c r="A21" s="276" t="s">
        <v>477</v>
      </c>
      <c r="B21" s="277" t="s">
        <v>478</v>
      </c>
    </row>
    <row r="22" spans="1:2" x14ac:dyDescent="0.25">
      <c r="A22" s="276" t="s">
        <v>479</v>
      </c>
      <c r="B22" s="277" t="s">
        <v>480</v>
      </c>
    </row>
    <row r="23" spans="1:2" x14ac:dyDescent="0.25">
      <c r="A23" s="276" t="s">
        <v>19</v>
      </c>
      <c r="B23" s="277" t="s">
        <v>481</v>
      </c>
    </row>
    <row r="24" spans="1:2" x14ac:dyDescent="0.25">
      <c r="A24" s="276" t="s">
        <v>482</v>
      </c>
      <c r="B24" s="277" t="s">
        <v>483</v>
      </c>
    </row>
    <row r="25" spans="1:2" x14ac:dyDescent="0.25">
      <c r="A25" s="276" t="s">
        <v>484</v>
      </c>
      <c r="B25" s="277" t="s">
        <v>485</v>
      </c>
    </row>
    <row r="26" spans="1:2" x14ac:dyDescent="0.25">
      <c r="A26" s="276" t="s">
        <v>486</v>
      </c>
      <c r="B26" s="277" t="s">
        <v>487</v>
      </c>
    </row>
    <row r="27" spans="1:2" x14ac:dyDescent="0.25">
      <c r="A27" s="276" t="s">
        <v>488</v>
      </c>
      <c r="B27" s="277" t="s">
        <v>489</v>
      </c>
    </row>
  </sheetData>
  <mergeCells count="1">
    <mergeCell ref="A1:B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SABR 48 in 4</vt:lpstr>
      <vt:lpstr>EvaluationSheet 60Gy 8F</vt:lpstr>
      <vt:lpstr>SABR 60 in 8</vt:lpstr>
      <vt:lpstr>EvaluationSheet 54Gy 3F</vt:lpstr>
      <vt:lpstr>SABR 54 in 3</vt:lpstr>
      <vt:lpstr>CELL format codes</vt:lpstr>
      <vt:lpstr>'EvaluationSheet 48Gy4F 60Gy5F'!Print_Area</vt:lpstr>
      <vt:lpstr>'EvaluationSheet 54Gy 3F'!Print_Area</vt:lpstr>
      <vt:lpstr>'EvaluationSheet 60Gy 8F'!Print_Area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gsalomon</cp:lastModifiedBy>
  <dcterms:created xsi:type="dcterms:W3CDTF">2019-08-20T19:34:02Z</dcterms:created>
  <dcterms:modified xsi:type="dcterms:W3CDTF">2019-08-21T12:29:37Z</dcterms:modified>
</cp:coreProperties>
</file>