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GUI\Testing\"/>
    </mc:Choice>
  </mc:AlternateContent>
  <xr:revisionPtr revIDLastSave="0" documentId="11_B9C4EF12A396D4B7033C52154DBEC399ECC58F9A" xr6:coauthVersionLast="45" xr6:coauthVersionMax="45" xr10:uidLastSave="{00000000-0000-0000-0000-000000000000}"/>
  <bookViews>
    <workbookView xWindow="-120" yWindow="-120" windowWidth="24240" windowHeight="13140" tabRatio="893" activeTab="2" xr2:uid="{00000000-000D-0000-FFFF-FFFF00000000}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H15" i="26"/>
  <c r="I15" i="26" s="1"/>
  <c r="L15" i="26" s="1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5" i="26"/>
  <c r="O15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 s="1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L15" i="18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L47" i="16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5" i="16"/>
  <c r="L14" i="16"/>
  <c r="L49" i="16"/>
  <c r="I34" i="25"/>
  <c r="G44" i="26"/>
  <c r="L44" i="26" s="1"/>
  <c r="G45" i="26"/>
  <c r="P38" i="26" s="1"/>
  <c r="I33" i="25"/>
  <c r="J33" i="25" s="1"/>
  <c r="I32" i="25"/>
  <c r="I31" i="25"/>
  <c r="I30" i="25"/>
  <c r="J27" i="25" s="1"/>
  <c r="I30" i="24"/>
  <c r="L27" i="24" s="1"/>
  <c r="K24" i="16" s="1"/>
  <c r="I33" i="24"/>
  <c r="J33" i="24" s="1"/>
  <c r="I14" i="26"/>
  <c r="L14" i="26" s="1"/>
  <c r="I17" i="26"/>
  <c r="L17" i="26" s="1"/>
  <c r="G18" i="26"/>
  <c r="L18" i="26"/>
  <c r="G19" i="26"/>
  <c r="L19" i="26"/>
  <c r="L21" i="26"/>
  <c r="I31" i="24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 s="1"/>
  <c r="L25" i="18" s="1"/>
  <c r="L21" i="18"/>
  <c r="L21" i="16"/>
  <c r="K31" i="21"/>
  <c r="L22" i="18" s="1"/>
  <c r="L42" i="16"/>
  <c r="L43" i="16"/>
  <c r="L46" i="16"/>
  <c r="L45" i="16"/>
  <c r="L48" i="16"/>
  <c r="L46" i="18"/>
  <c r="L45" i="18"/>
  <c r="M27" i="21"/>
  <c r="L34" i="18"/>
  <c r="L39" i="18"/>
  <c r="L41" i="18"/>
  <c r="L44" i="18"/>
  <c r="K33" i="21"/>
  <c r="L24" i="18" s="1"/>
  <c r="J27" i="24"/>
  <c r="K33" i="24"/>
  <c r="L24" i="16" s="1"/>
  <c r="F27" i="24"/>
  <c r="G27" i="24"/>
  <c r="O27" i="21" l="1"/>
  <c r="I27" i="24"/>
  <c r="K25" i="16" s="1"/>
  <c r="P27" i="24"/>
  <c r="J31" i="25"/>
  <c r="H22" i="26" s="1"/>
  <c r="J32" i="25"/>
  <c r="H25" i="26" s="1"/>
  <c r="M27" i="24"/>
  <c r="F27" i="21"/>
  <c r="J31" i="24"/>
  <c r="H22" i="16" s="1"/>
  <c r="O27" i="24"/>
  <c r="P27" i="21"/>
  <c r="P34" i="16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K25" i="18" s="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L25" i="16" s="1"/>
  <c r="K33" i="25" l="1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<sst xmlns="http://schemas.openxmlformats.org/spreadsheetml/2006/main" count="746" uniqueCount="213">
  <si>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</si>
  <si>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</si>
  <si>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</si>
  <si>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</si>
  <si>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</si>
  <si>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</si>
  <si>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</si>
  <si>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</si>
  <si>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</si>
  <si>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</si>
  <si>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</si>
  <si>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</si>
  <si>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</si>
  <si>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</si>
  <si>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</si>
  <si>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</si>
  <si>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</si>
  <si>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</si>
  <si>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</si>
  <si>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</si>
  <si>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</si>
  <si>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</si>
  <si>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</si>
  <si>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</si>
  <si>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</si>
  <si>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</si>
  <si>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</si>
  <si>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</si>
  <si>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</si>
  <si>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</si>
  <si>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</si>
  <si>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</si>
  <si>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</si>
  <si>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</si>
  <si>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</si>
  <si>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</si>
  <si>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</si>
  <si>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</si>
  <si>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</si>
  <si>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</si>
  <si>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</si>
  <si>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</si>
  <si>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</si>
  <si>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</si>
  <si>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</si>
  <si>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</si>
  <si>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</si>
  <si>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111.1%-166.7%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</si>
  <si>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</si>
  <si>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</si>
  <si>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</si>
  <si>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</si>
  <si>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</si>
  <si>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</si>
  <si>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</si>
  <si>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</si>
  <si>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Preferebly &lt;140%</t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</si>
  <si>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</si>
  <si>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</si>
  <si>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</si>
  <si>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</si>
  <si>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</si>
  <si>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</si>
  <si>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</si>
  <si>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</si>
  <si>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</si>
  <si>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</si>
  <si>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</si>
  <si>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</si>
  <si>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</si>
  <si>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</si>
  <si>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</si>
  <si>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</si>
  <si>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</si>
  <si>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</si>
  <si>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</si>
  <si>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</si>
  <si>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</si>
  <si>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</si>
  <si>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</si>
  <si>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</si>
  <si>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</si>
  <si>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</si>
  <si>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</si>
  <si>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</si>
  <si>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</si>
  <si>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</si>
  <si>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</si>
  <si>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</si>
  <si>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</si>
  <si>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</si>
  <si>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</si>
  <si>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</si>
  <si>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</si>
  <si>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</si>
  <si>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</si>
  <si>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</si>
  <si>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</si>
  <si>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</si>
  <si>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</si>
  <si>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</si>
  <si>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</si>
  <si>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</si>
  <si>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</si>
  <si>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</si>
  <si>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</si>
  <si>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</si>
  <si>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</si>
  <si>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</si>
  <si>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</si>
  <si>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</si>
  <si>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</si>
  <si>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</si>
  <si>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</si>
  <si>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</si>
  <si>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</si>
  <si>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</si>
  <si>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</si>
  <si>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</si>
  <si>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</si>
  <si>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</si>
  <si>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</si>
  <si>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</si>
  <si>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</si>
  <si>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</si>
  <si>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</si>
  <si>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</si>
  <si>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</si>
  <si>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</si>
  <si>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</si>
  <si>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</si>
  <si>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</si>
  <si>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</si>
  <si>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</si>
  <si>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</si>
  <si>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</si>
  <si>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</si>
  <si>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</si>
  <si>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</si>
  <si>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</si>
  <si>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</si>
  <si>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</si>
  <si>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</si>
  <si>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</si>
  <si>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>Dose @COM-PTV (cGy)</t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</si>
  <si>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</si>
  <si>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</si>
  <si>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</si>
  <si>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</si>
  <si>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</si>
  <si>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</si>
  <si>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</si>
  <si>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</si>
  <si>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</si>
  <si>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</si>
  <si>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</si>
  <si>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</si>
  <si>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</si>
  <si>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</si>
  <si>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</si>
  <si>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</si>
  <si>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</si>
  <si>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</si>
  <si>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</si>
  <si>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</si>
  <si>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</si>
  <si>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</si>
  <si>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</si>
  <si>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</si>
  <si>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</si>
  <si>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</si>
  <si>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Dose @COM-PTV (%)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</si>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</sst>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  <cellStyle name="Percent 3" xfId="4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A-4C78-8F14-D76C7A326420}"/>
            </c:ext>
          </c:extLst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A-4C78-8F14-D76C7A32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7920"/>
        <c:axId val="207083712"/>
      </c:scatterChart>
      <c:valAx>
        <c:axId val="17589792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83712"/>
        <c:crosses val="autoZero"/>
        <c:crossBetween val="midCat"/>
      </c:valAx>
      <c:valAx>
        <c:axId val="2070837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>
          <a:extLst>
            <a:ext uri="{FF2B5EF4-FFF2-40B4-BE49-F238E27FC236}">
              <a16:creationId xmlns:a16="http://schemas.microsoft.com/office/drawing/2014/main" id="{00000000-0008-0000-0300-00001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>
          <a:extLst>
            <a:ext uri="{FF2B5EF4-FFF2-40B4-BE49-F238E27FC236}">
              <a16:creationId xmlns:a16="http://schemas.microsoft.com/office/drawing/2014/main" id="{00000000-0008-0000-0600-0000A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P63"/>
  <sheetViews>
    <sheetView zoomScaleNormal="100" workbookViewId="0">
      <selection activeCell="G2" sqref="G2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20" bestFit="1" customWidth="1"/>
    <col min="16" max="16" width="13.5703125" style="321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7"/>
    </row>
    <row r="2" spans="2:16" x14ac:dyDescent="0.2">
      <c r="B2" s="83"/>
      <c r="C2" s="84"/>
      <c r="D2" s="84"/>
      <c r="E2" s="84"/>
      <c r="F2" s="85"/>
      <c r="G2" s="86" t="s">
        <v>135</v>
      </c>
      <c r="H2" s="85"/>
      <c r="I2" s="84"/>
      <c r="J2" s="84"/>
      <c r="K2" s="85"/>
      <c r="L2" s="87"/>
      <c r="M2" s="88"/>
      <c r="O2" s="307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7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 t="s">
        <v>68</v>
      </c>
      <c r="I4" s="97"/>
      <c r="J4" s="97"/>
      <c r="K4" s="96" t="s">
        <v>2</v>
      </c>
      <c r="L4" s="18" t="s">
        <v>68</v>
      </c>
      <c r="M4" s="88"/>
      <c r="O4" s="308" t="str">
        <f>C4</f>
        <v>Patient:</v>
      </c>
      <c r="P4" s="313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 t="s">
        <v>68</v>
      </c>
      <c r="I5" s="97"/>
      <c r="J5" s="97"/>
      <c r="K5" s="96" t="s">
        <v>3</v>
      </c>
      <c r="L5" s="19" t="s">
        <v>68</v>
      </c>
      <c r="M5" s="88"/>
      <c r="O5" s="308" t="str">
        <f>C5</f>
        <v>CR#:</v>
      </c>
      <c r="P5" s="322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3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3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178" t="s">
        <v>68</v>
      </c>
      <c r="H8" s="98"/>
      <c r="I8" s="97"/>
      <c r="J8" s="97"/>
      <c r="K8" s="98"/>
      <c r="L8" s="101"/>
      <c r="M8" s="88"/>
      <c r="O8" s="308" t="str">
        <f>F4</f>
        <v>Prescription Dose (cGy):</v>
      </c>
      <c r="P8" s="313" t="str">
        <f>H4</f>
        <v>??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 t="str">
        <f>H5</f>
        <v>??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3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8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15" t="s">
        <v>183</v>
      </c>
      <c r="H12" s="110" t="s">
        <v>188</v>
      </c>
      <c r="I12" s="111"/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184</v>
      </c>
      <c r="H13" s="221"/>
      <c r="I13" s="222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98"/>
      <c r="I14" s="97"/>
      <c r="J14" s="108"/>
      <c r="K14" s="223" t="s">
        <v>165</v>
      </c>
      <c r="L14" s="10" t="str">
        <f>IF(G14="??","??",IF((AND((G14&gt;59.99%),(G14&lt;95.01%))),"Yes", "No"))</f>
        <v>??</v>
      </c>
      <c r="M14" s="141" t="s">
        <v>193</v>
      </c>
      <c r="O14" s="308" t="str">
        <f>C14</f>
        <v>Plan Normalization Value (%)</v>
      </c>
      <c r="P14" s="316" t="str">
        <f>G14</f>
        <v>??</v>
      </c>
    </row>
    <row r="15" spans="2:16" ht="13.5" thickBot="1" x14ac:dyDescent="0.25">
      <c r="B15" s="95"/>
      <c r="C15" s="107" t="s">
        <v>171</v>
      </c>
      <c r="D15" s="108"/>
      <c r="E15" s="108"/>
      <c r="F15" s="116"/>
      <c r="G15" s="203" t="s">
        <v>68</v>
      </c>
      <c r="H15" s="224"/>
      <c r="I15" s="225"/>
      <c r="J15" s="108" t="s">
        <v>37</v>
      </c>
      <c r="K15" s="117" t="s">
        <v>47</v>
      </c>
      <c r="L15" s="10" t="str">
        <f>IF(G15="??","??",IF((AND((G15&gt;111.19%),(G15&lt;166.7%))),"Yes", "No"))</f>
        <v>??</v>
      </c>
      <c r="M15" s="88" t="s">
        <v>56</v>
      </c>
      <c r="O15" s="308" t="str">
        <f>C15</f>
        <v>Dose @COM-PTV (%)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8" t="str">
        <f>C17</f>
        <v>PTV- Minimum Dose (%)</v>
      </c>
      <c r="P16" s="314" t="str">
        <f>G17</f>
        <v>??</v>
      </c>
    </row>
    <row r="17" spans="2:16" x14ac:dyDescent="0.2">
      <c r="B17" s="95"/>
      <c r="C17" s="107" t="s">
        <v>173</v>
      </c>
      <c r="D17" s="108"/>
      <c r="E17" s="108"/>
      <c r="F17" s="116"/>
      <c r="G17" s="203" t="s">
        <v>68</v>
      </c>
      <c r="H17" s="228"/>
      <c r="I17" s="225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8" t="str">
        <f>C18</f>
        <v>PTV - V100(%)</v>
      </c>
      <c r="P17" s="314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98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8" t="str">
        <f>C19</f>
        <v>PTV - V90 (%)</v>
      </c>
      <c r="P18" s="314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230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8" t="str">
        <f>CONCATENATE(C24," ",D24)</f>
        <v>Location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48Gy4F_ or_ 60Gy5F'!J31,"??")</f>
        <v>??</v>
      </c>
      <c r="I22" s="135" t="s">
        <v>37</v>
      </c>
      <c r="J22" s="91"/>
      <c r="K22" s="136" t="s">
        <v>12</v>
      </c>
      <c r="L22" s="13" t="str">
        <f>'Calculations 48Gy4F_ or_ 60Gy5F'!K31</f>
        <v>??</v>
      </c>
      <c r="M22" s="88" t="s">
        <v>53</v>
      </c>
      <c r="O22" s="308" t="str">
        <f>C25</f>
        <v>Volume</v>
      </c>
      <c r="P22" s="318" t="str">
        <f>G25</f>
        <v xml:space="preserve"> 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5.75" x14ac:dyDescent="0.3">
      <c r="B24" s="102" t="s">
        <v>37</v>
      </c>
      <c r="C24" s="131" t="s">
        <v>40</v>
      </c>
      <c r="D24" s="231" t="s">
        <v>186</v>
      </c>
      <c r="E24" s="123"/>
      <c r="F24" s="132"/>
      <c r="G24" s="199" t="s">
        <v>68</v>
      </c>
      <c r="H24" s="232"/>
      <c r="I24" s="140"/>
      <c r="J24" s="123"/>
      <c r="K24" s="204" t="str">
        <f ca="1">IFERROR('Calculations 48Gy4F_ or_ 60Gy5F'!L27/100,"")</f>
        <v/>
      </c>
      <c r="L24" s="12" t="str">
        <f>'Calculations 48Gy4F_ or_ 60Gy5F'!K33</f>
        <v>??</v>
      </c>
      <c r="M24" s="141" t="s">
        <v>191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33" t="s">
        <v>185</v>
      </c>
      <c r="E25" s="91"/>
      <c r="F25" s="234"/>
      <c r="G25" s="200" t="s">
        <v>187</v>
      </c>
      <c r="H25" s="142" t="str">
        <f>IFERROR('Calculations 48Gy4F_ or_ 60Gy5F'!J32,"??")</f>
        <v>??</v>
      </c>
      <c r="I25" s="143" t="s">
        <v>37</v>
      </c>
      <c r="J25" s="91"/>
      <c r="K25" s="163" t="str">
        <f ca="1">IFERROR('Calculations 48Gy4F_ or_ 60Gy5F'!I27,"")</f>
        <v/>
      </c>
      <c r="L25" s="82" t="str">
        <f ca="1">IFERROR('Calculations 48Gy4F_ or_ 60Gy5F'!K32,"??")</f>
        <v>??</v>
      </c>
      <c r="M25" s="141" t="s">
        <v>192</v>
      </c>
      <c r="O25" s="308" t="str">
        <f>C31</f>
        <v>V20 (Total Lung) in %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8" t="str">
        <f>CONCATENATE(C32," ",F32)</f>
        <v xml:space="preserve">Lung-Basic Function </v>
      </c>
      <c r="P26" s="318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8" t="str">
        <f>CONCATENATE(C33," ",F33)</f>
        <v xml:space="preserve">Lung-Pneumonitis </v>
      </c>
      <c r="P27" s="318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8" t="str">
        <f>CONCATENATE(C35," ",F35)</f>
        <v>Aorta  (max point dose)</v>
      </c>
      <c r="P28" s="318" t="str">
        <f t="shared" ref="P28:P45" si="0"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8" t="str">
        <f>CONCATENATE(C35," ",F36)</f>
        <v>Aorta  V40Gy=</v>
      </c>
      <c r="P29" s="318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8" t="str">
        <f>CONCATENATE(C37," ",F37)</f>
        <v>Artery-Pulmonary (max point dose)</v>
      </c>
      <c r="P30" s="318" t="str">
        <f t="shared" si="0"/>
        <v>??</v>
      </c>
    </row>
    <row r="31" spans="2:16" ht="14.25" x14ac:dyDescent="0.25">
      <c r="B31" s="95"/>
      <c r="C31" s="95" t="s">
        <v>120</v>
      </c>
      <c r="D31" s="97"/>
      <c r="E31" s="326" t="s">
        <v>175</v>
      </c>
      <c r="F31" s="327"/>
      <c r="G31" s="202" t="s">
        <v>68</v>
      </c>
      <c r="H31" s="186" t="s">
        <v>37</v>
      </c>
      <c r="I31" s="123"/>
      <c r="J31" s="123"/>
      <c r="K31" s="209" t="s">
        <v>70</v>
      </c>
      <c r="L31" s="81" t="str">
        <f>'Calculations 48Gy4F_ or_ 60Gy5F'!K34</f>
        <v>??</v>
      </c>
      <c r="M31" s="235" t="s">
        <v>52</v>
      </c>
      <c r="O31" s="308" t="str">
        <f>CONCATENATE(C37," ",F38)</f>
        <v>Artery-Pulmonary V40Gy=</v>
      </c>
      <c r="P31" s="318" t="str">
        <f t="shared" si="0"/>
        <v>??</v>
      </c>
    </row>
    <row r="32" spans="2:16" ht="14.25" x14ac:dyDescent="0.25">
      <c r="B32" s="95"/>
      <c r="C32" s="95" t="s">
        <v>66</v>
      </c>
      <c r="D32" s="97"/>
      <c r="E32" s="326" t="s">
        <v>177</v>
      </c>
      <c r="F32" s="327"/>
      <c r="G32" s="199" t="s">
        <v>68</v>
      </c>
      <c r="H32" s="236"/>
      <c r="I32" s="123"/>
      <c r="J32" s="123"/>
      <c r="K32" s="237">
        <v>1500</v>
      </c>
      <c r="L32" s="196" t="str">
        <f>IF(G32="??","??",IF(G32&lt;=K32,"Yes","No"))</f>
        <v>??</v>
      </c>
      <c r="M32" s="238" t="s">
        <v>194</v>
      </c>
      <c r="O32" s="308" t="str">
        <f>CONCATENATE(C39," ",F39)</f>
        <v>Spinal Canal (max point dose)</v>
      </c>
      <c r="P32" s="318" t="str">
        <f t="shared" si="0"/>
        <v>??</v>
      </c>
    </row>
    <row r="33" spans="2:16" ht="15" thickBot="1" x14ac:dyDescent="0.3">
      <c r="B33" s="95"/>
      <c r="C33" s="195" t="s">
        <v>67</v>
      </c>
      <c r="D33" s="97"/>
      <c r="E33" s="328" t="s">
        <v>176</v>
      </c>
      <c r="F33" s="329"/>
      <c r="G33" s="170" t="s">
        <v>68</v>
      </c>
      <c r="H33" s="236"/>
      <c r="I33" s="97"/>
      <c r="J33" s="97"/>
      <c r="K33" s="145">
        <v>1000</v>
      </c>
      <c r="L33" s="196" t="str">
        <f>IF(G33="??","??",IF(G33&lt;=K33,"Yes","No"))</f>
        <v>??</v>
      </c>
      <c r="M33" s="238" t="s">
        <v>194</v>
      </c>
      <c r="O33" s="308" t="str">
        <f>CONCATENATE(C39," ",F40)</f>
        <v>Spinal Canal V20.8Gy=</v>
      </c>
      <c r="P33" s="318" t="str">
        <f t="shared" si="0"/>
        <v>??</v>
      </c>
    </row>
    <row r="34" spans="2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8" t="str">
        <f>CONCATENATE(C39," ",F41)</f>
        <v>Spinal Canal V13.6Gy=</v>
      </c>
      <c r="P34" s="318" t="str">
        <f t="shared" si="0"/>
        <v>??</v>
      </c>
    </row>
    <row r="35" spans="2:16" x14ac:dyDescent="0.2">
      <c r="B35" s="95"/>
      <c r="C35" s="210" t="s">
        <v>132</v>
      </c>
      <c r="D35" s="108" t="s">
        <v>37</v>
      </c>
      <c r="E35" s="123"/>
      <c r="F35" s="239" t="s">
        <v>62</v>
      </c>
      <c r="G35" s="3" t="s">
        <v>68</v>
      </c>
      <c r="H35" s="116"/>
      <c r="I35" s="108"/>
      <c r="J35" s="108"/>
      <c r="K35" s="109">
        <v>4800</v>
      </c>
      <c r="L35" s="12" t="str">
        <f>IF(G35="??","??",IF(G35&lt;=4800,"Yes","No"))</f>
        <v>??</v>
      </c>
      <c r="M35" s="141" t="s">
        <v>167</v>
      </c>
      <c r="O35" s="308" t="str">
        <f>CONCATENATE(C42," ",F42)</f>
        <v>Spinal Canal-PRV 5mm (max point dose)</v>
      </c>
      <c r="P35" s="318" t="str">
        <f t="shared" si="0"/>
        <v>??</v>
      </c>
    </row>
    <row r="36" spans="2:16" ht="14.25" x14ac:dyDescent="0.2">
      <c r="B36" s="95"/>
      <c r="C36" s="240"/>
      <c r="D36" s="241" t="s">
        <v>199</v>
      </c>
      <c r="E36" s="148"/>
      <c r="F36" s="242" t="s">
        <v>139</v>
      </c>
      <c r="G36" s="4" t="str">
        <f>IF(G35&lt;=4000,"OK","??")</f>
        <v>??</v>
      </c>
      <c r="H36" s="132" t="s">
        <v>37</v>
      </c>
      <c r="I36" s="123"/>
      <c r="J36" s="123"/>
      <c r="K36" s="243">
        <v>10</v>
      </c>
      <c r="L36" s="12" t="str">
        <f>IF(G36="??","??",IF(G36&lt;=10,"Yes",IF(G36="OK","Yes","No")))</f>
        <v>??</v>
      </c>
      <c r="M36" s="88" t="s">
        <v>167</v>
      </c>
      <c r="O36" s="308" t="str">
        <f>CONCATENATE(C43," ",F43)</f>
        <v>Ipsilat. Brach. Plex. (max point dose)</v>
      </c>
      <c r="P36" s="318" t="str">
        <f t="shared" si="0"/>
        <v>??</v>
      </c>
    </row>
    <row r="37" spans="2:16" x14ac:dyDescent="0.2">
      <c r="B37" s="95"/>
      <c r="C37" s="195" t="s">
        <v>170</v>
      </c>
      <c r="D37" s="97"/>
      <c r="E37" s="244"/>
      <c r="F37" s="239" t="s">
        <v>62</v>
      </c>
      <c r="G37" s="4" t="s">
        <v>68</v>
      </c>
      <c r="H37" s="185" t="s">
        <v>37</v>
      </c>
      <c r="I37" s="123"/>
      <c r="J37" s="123"/>
      <c r="K37" s="243">
        <v>4800</v>
      </c>
      <c r="L37" s="12" t="str">
        <f>IF(G37="??","??",IF(G37&lt;=4800,"Yes","No"))</f>
        <v>??</v>
      </c>
      <c r="M37" s="88" t="s">
        <v>167</v>
      </c>
      <c r="O37" s="308" t="str">
        <f>CONCATENATE(C43," ",F44)</f>
        <v>Ipsilat. Brach. Plex. V23.6Gy=</v>
      </c>
      <c r="P37" s="318" t="str">
        <f t="shared" si="0"/>
        <v>??</v>
      </c>
    </row>
    <row r="38" spans="2:16" ht="14.25" x14ac:dyDescent="0.2">
      <c r="B38" s="95"/>
      <c r="C38" s="240"/>
      <c r="D38" s="241" t="s">
        <v>199</v>
      </c>
      <c r="E38" s="148"/>
      <c r="F38" s="242" t="s">
        <v>139</v>
      </c>
      <c r="G38" s="4" t="str">
        <f>IF(G37&lt;=4000,"OK","??")</f>
        <v>??</v>
      </c>
      <c r="H38" s="132"/>
      <c r="I38" s="123"/>
      <c r="J38" s="123"/>
      <c r="K38" s="243">
        <v>10</v>
      </c>
      <c r="L38" s="12" t="str">
        <f>IF(G38="??","??",IF(G38&lt;=10,"Yes",IF(G38="OK","Yes","No")))</f>
        <v>??</v>
      </c>
      <c r="M38" s="141" t="s">
        <v>167</v>
      </c>
      <c r="O38" s="308" t="str">
        <f>CONCATENATE(C45," ",F45)</f>
        <v>Skin V30Gy=</v>
      </c>
      <c r="P38" s="318" t="str">
        <f t="shared" si="0"/>
        <v>??</v>
      </c>
    </row>
    <row r="39" spans="2:16" x14ac:dyDescent="0.2">
      <c r="B39" s="95"/>
      <c r="C39" s="95" t="s">
        <v>15</v>
      </c>
      <c r="D39" s="97"/>
      <c r="E39" s="123"/>
      <c r="F39" s="245" t="s">
        <v>62</v>
      </c>
      <c r="G39" s="170" t="s">
        <v>68</v>
      </c>
      <c r="H39" s="98"/>
      <c r="I39" s="144" t="s">
        <v>37</v>
      </c>
      <c r="J39" s="97"/>
      <c r="K39" s="129">
        <v>2600</v>
      </c>
      <c r="L39" s="12" t="str">
        <f>IF(G39="??","??",IF(G39&lt;=2600,"Yes","No"))</f>
        <v>??</v>
      </c>
      <c r="M39" s="88" t="s">
        <v>63</v>
      </c>
      <c r="O39" s="308" t="str">
        <f>CONCATENATE(C46," ",F46)</f>
        <v>Heart (max point dose)</v>
      </c>
      <c r="P39" s="318" t="str">
        <f t="shared" si="0"/>
        <v>??</v>
      </c>
    </row>
    <row r="40" spans="2:16" ht="14.25" x14ac:dyDescent="0.2">
      <c r="B40" s="95"/>
      <c r="C40" s="95"/>
      <c r="D40" s="330" t="s">
        <v>196</v>
      </c>
      <c r="E40" s="331"/>
      <c r="F40" s="246" t="s">
        <v>146</v>
      </c>
      <c r="G40" s="4" t="str">
        <f>IF(G39&lt;=2080,"OK","??")</f>
        <v>??</v>
      </c>
      <c r="H40" s="132"/>
      <c r="I40" s="123"/>
      <c r="J40" s="123"/>
      <c r="K40" s="17">
        <v>0.35</v>
      </c>
      <c r="L40" s="12" t="str">
        <f>IF(G40="??","??",IF(G40&lt;=0.35,"Yes",IF(G40="OK","Yes","No")))</f>
        <v>??</v>
      </c>
      <c r="M40" s="88" t="s">
        <v>63</v>
      </c>
      <c r="O40" s="308" t="str">
        <f>CONCATENATE(C46," ",F47)</f>
        <v>Heart V28Gy=</v>
      </c>
      <c r="P40" s="318" t="str">
        <f t="shared" si="0"/>
        <v>??</v>
      </c>
    </row>
    <row r="41" spans="2:16" ht="14.25" x14ac:dyDescent="0.2">
      <c r="B41" s="95"/>
      <c r="C41" s="180"/>
      <c r="D41" s="144" t="s">
        <v>198</v>
      </c>
      <c r="E41" s="148"/>
      <c r="F41" s="247" t="s">
        <v>147</v>
      </c>
      <c r="G41" s="4" t="str">
        <f>IF(G39&lt;=1360,"OK","??")</f>
        <v>??</v>
      </c>
      <c r="H41" s="147"/>
      <c r="I41" s="148"/>
      <c r="J41" s="148"/>
      <c r="K41" s="149">
        <v>1.2</v>
      </c>
      <c r="L41" s="12" t="str">
        <f>IF(G41="??","??",IF(G41&lt;=1.2,"Yes",IF(G41="OK","Yes","No")))</f>
        <v>??</v>
      </c>
      <c r="M41" s="88" t="s">
        <v>63</v>
      </c>
      <c r="O41" s="308" t="str">
        <f>CONCATENATE(C48," ",F48)</f>
        <v>Esophagus (max point dose)</v>
      </c>
      <c r="P41" s="318" t="str">
        <f t="shared" si="0"/>
        <v>??</v>
      </c>
    </row>
    <row r="42" spans="2:16" x14ac:dyDescent="0.2">
      <c r="B42" s="95"/>
      <c r="C42" s="248" t="s">
        <v>35</v>
      </c>
      <c r="D42" s="123"/>
      <c r="E42" s="123"/>
      <c r="F42" s="249" t="s">
        <v>62</v>
      </c>
      <c r="G42" s="199" t="s">
        <v>68</v>
      </c>
      <c r="H42" s="132"/>
      <c r="I42" s="123"/>
      <c r="J42" s="123"/>
      <c r="K42" s="17">
        <v>2900</v>
      </c>
      <c r="L42" s="12" t="str">
        <f>IF(G42="??","??",IF(G42&lt;=2900,"Yes","No"))</f>
        <v>??</v>
      </c>
      <c r="M42" s="88"/>
      <c r="O42" s="308" t="str">
        <f>CONCATENATE(C48," ",F49)</f>
        <v>Esophagus V18.8Gy=</v>
      </c>
      <c r="P42" s="318" t="str">
        <f t="shared" si="0"/>
        <v>??</v>
      </c>
    </row>
    <row r="43" spans="2:16" x14ac:dyDescent="0.2">
      <c r="B43" s="95"/>
      <c r="C43" s="210" t="s">
        <v>189</v>
      </c>
      <c r="D43" s="108"/>
      <c r="E43" s="123"/>
      <c r="F43" s="239" t="s">
        <v>62</v>
      </c>
      <c r="G43" s="171" t="s">
        <v>68</v>
      </c>
      <c r="H43" s="116"/>
      <c r="I43" s="108"/>
      <c r="J43" s="108"/>
      <c r="K43" s="117">
        <v>2700</v>
      </c>
      <c r="L43" s="12" t="str">
        <f>IF(G43="??","??",IF(G43&lt;=2700,"Yes","No"))</f>
        <v>??</v>
      </c>
      <c r="M43" s="141" t="s">
        <v>167</v>
      </c>
      <c r="O43" s="308" t="str">
        <f>CONCATENATE(C50," ",F50)</f>
        <v>*Chestwall (rib) (max point dose)</v>
      </c>
      <c r="P43" s="318" t="str">
        <f t="shared" si="0"/>
        <v>??</v>
      </c>
    </row>
    <row r="44" spans="2:16" ht="14.25" customHeight="1" x14ac:dyDescent="0.2">
      <c r="B44" s="95"/>
      <c r="C44" s="95"/>
      <c r="D44" s="144" t="s">
        <v>200</v>
      </c>
      <c r="E44" s="153" t="s">
        <v>37</v>
      </c>
      <c r="F44" s="247" t="s">
        <v>148</v>
      </c>
      <c r="G44" s="4" t="str">
        <f>IF(G43&lt;=2360,"OK","??")</f>
        <v>??</v>
      </c>
      <c r="H44" s="132"/>
      <c r="I44" s="123"/>
      <c r="J44" s="123"/>
      <c r="K44" s="17">
        <v>3</v>
      </c>
      <c r="L44" s="12" t="str">
        <f>IF(G44="??","??",IF(G44&lt;=3,"Yes",IF(G44="OK","Yes","No")))</f>
        <v>??</v>
      </c>
      <c r="M44" s="141" t="s">
        <v>195</v>
      </c>
      <c r="O44" s="308" t="str">
        <f>CONCATENATE(C50," ",F51)</f>
        <v>*Chestwall (rib) V40Gy=</v>
      </c>
      <c r="P44" s="318" t="str">
        <f t="shared" si="0"/>
        <v>??</v>
      </c>
    </row>
    <row r="45" spans="2:16" ht="14.25" x14ac:dyDescent="0.2">
      <c r="B45" s="95"/>
      <c r="C45" s="248" t="s">
        <v>14</v>
      </c>
      <c r="D45" s="231" t="s">
        <v>201</v>
      </c>
      <c r="E45" s="123"/>
      <c r="F45" s="246" t="s">
        <v>121</v>
      </c>
      <c r="G45" s="199" t="s">
        <v>68</v>
      </c>
      <c r="H45" s="132" t="s">
        <v>37</v>
      </c>
      <c r="I45" s="123"/>
      <c r="J45" s="123"/>
      <c r="K45" s="17">
        <v>10</v>
      </c>
      <c r="L45" s="12" t="str">
        <f>IF(G45="??","??",IF(G45&lt;=10,"Yes",IF(G45="OK","Yes","No")))</f>
        <v>??</v>
      </c>
      <c r="M45" s="141" t="s">
        <v>195</v>
      </c>
      <c r="O45" s="308" t="str">
        <f>CONCATENATE(C50," ",F52)</f>
        <v>*Chestwall (rib) V30Gy=</v>
      </c>
      <c r="P45" s="318" t="str">
        <f t="shared" si="0"/>
        <v>??</v>
      </c>
    </row>
    <row r="46" spans="2:16" x14ac:dyDescent="0.2">
      <c r="B46" s="95"/>
      <c r="C46" s="152" t="s">
        <v>17</v>
      </c>
      <c r="D46" s="108"/>
      <c r="E46" s="123"/>
      <c r="F46" s="245" t="s">
        <v>62</v>
      </c>
      <c r="G46" s="171" t="s">
        <v>68</v>
      </c>
      <c r="H46" s="116"/>
      <c r="I46" s="108"/>
      <c r="J46" s="108"/>
      <c r="K46" s="117">
        <v>3400</v>
      </c>
      <c r="L46" s="12" t="str">
        <f>IF(G46="??","??",IF(G46&lt;=3400,"Yes","No"))</f>
        <v>??</v>
      </c>
      <c r="M46" s="88" t="s">
        <v>63</v>
      </c>
      <c r="O46" s="308" t="str">
        <f>CONCATENATE(A53," ",F53)</f>
        <v>Trachea (max point dose)</v>
      </c>
      <c r="P46" s="319">
        <f>A54</f>
        <v>0</v>
      </c>
    </row>
    <row r="47" spans="2:16" ht="14.25" x14ac:dyDescent="0.2">
      <c r="B47" s="95"/>
      <c r="C47" s="240" t="s">
        <v>37</v>
      </c>
      <c r="D47" s="241" t="s">
        <v>202</v>
      </c>
      <c r="E47" s="148"/>
      <c r="F47" s="250" t="s">
        <v>122</v>
      </c>
      <c r="G47" s="4" t="str">
        <f>IF(G46&lt;=2800,"OK","??")</f>
        <v>??</v>
      </c>
      <c r="H47" s="132"/>
      <c r="I47" s="123"/>
      <c r="J47" s="123"/>
      <c r="K47" s="17">
        <v>15</v>
      </c>
      <c r="L47" s="12" t="str">
        <f>IF(G47="??","??",IF(G47&lt;=15,"Yes",IF(G47="OK","Yes","No")))</f>
        <v>??</v>
      </c>
      <c r="M47" s="88" t="s">
        <v>63</v>
      </c>
      <c r="O47" s="308" t="str">
        <f>CONCATENATE(A53," ",F55)</f>
        <v>Trachea V15.6Gy=</v>
      </c>
      <c r="P47" s="319">
        <f>A55</f>
        <v>0</v>
      </c>
    </row>
    <row r="48" spans="2:16" x14ac:dyDescent="0.2">
      <c r="B48" s="95"/>
      <c r="C48" s="95" t="s">
        <v>13</v>
      </c>
      <c r="D48" s="97"/>
      <c r="E48" s="123"/>
      <c r="F48" s="245" t="s">
        <v>62</v>
      </c>
      <c r="G48" s="171" t="s">
        <v>68</v>
      </c>
      <c r="H48" s="116"/>
      <c r="I48" s="108"/>
      <c r="J48" s="108"/>
      <c r="K48" s="117">
        <v>3000</v>
      </c>
      <c r="L48" s="12" t="str">
        <f>IF(G48="??","??",IF(G48&lt;=3000,"Yes","No"))</f>
        <v>??</v>
      </c>
      <c r="M48" s="141" t="s">
        <v>195</v>
      </c>
      <c r="O48" s="308" t="str">
        <f>CONCATENATE(B53," ",F53)</f>
        <v>Bronchus (max point dose)</v>
      </c>
      <c r="P48" s="319">
        <f>B54</f>
        <v>0</v>
      </c>
    </row>
    <row r="49" spans="1:16" ht="14.25" x14ac:dyDescent="0.2">
      <c r="B49" s="95"/>
      <c r="C49" s="180"/>
      <c r="D49" s="251" t="s">
        <v>203</v>
      </c>
      <c r="E49" s="148"/>
      <c r="F49" s="250" t="s">
        <v>123</v>
      </c>
      <c r="G49" s="4" t="str">
        <f>IF(G48&lt;=1880,"OK","??")</f>
        <v>??</v>
      </c>
      <c r="H49" s="132"/>
      <c r="I49" s="123"/>
      <c r="J49" s="123"/>
      <c r="K49" s="17">
        <v>5</v>
      </c>
      <c r="L49" s="12" t="str">
        <f>IF(G49="??","??",IF(G49&lt;=5,"Yes",IF(G49="OK","Yes","No")))</f>
        <v>??</v>
      </c>
      <c r="M49" s="88"/>
      <c r="O49" s="308" t="str">
        <f>CONCATENATE(B53," ",F55)</f>
        <v>Bronchus V15.6Gy=</v>
      </c>
      <c r="P49" s="319">
        <f>B55</f>
        <v>0</v>
      </c>
    </row>
    <row r="50" spans="1:16" x14ac:dyDescent="0.2">
      <c r="B50" s="95"/>
      <c r="C50" s="152" t="s">
        <v>127</v>
      </c>
      <c r="D50" s="108"/>
      <c r="E50" s="123"/>
      <c r="F50" s="245" t="s">
        <v>62</v>
      </c>
      <c r="G50" s="171" t="s">
        <v>68</v>
      </c>
      <c r="H50" s="116"/>
      <c r="I50" s="108"/>
      <c r="J50" s="108"/>
      <c r="K50" s="117">
        <v>5000</v>
      </c>
      <c r="L50" s="12" t="str">
        <f>IF(G50="??","??",IF(G50&lt;=5000,"Yes","No"))</f>
        <v>??</v>
      </c>
      <c r="M50" s="141" t="s">
        <v>167</v>
      </c>
      <c r="O50" s="308" t="str">
        <f>CONCATENATE(C53," ",C54," ",F53)</f>
        <v>Proximal Trachea and Bronchial Tree (max point dose)</v>
      </c>
      <c r="P50" s="318" t="str">
        <f>G53</f>
        <v>??</v>
      </c>
    </row>
    <row r="51" spans="1:16" ht="14.25" x14ac:dyDescent="0.2">
      <c r="B51" s="95"/>
      <c r="C51" s="95"/>
      <c r="D51" s="144" t="s">
        <v>204</v>
      </c>
      <c r="E51" s="97"/>
      <c r="F51" s="247" t="s">
        <v>139</v>
      </c>
      <c r="G51" s="4" t="str">
        <f>IF(G50&lt;=4000,"OK","??")</f>
        <v>??</v>
      </c>
      <c r="H51" s="132"/>
      <c r="I51" s="123"/>
      <c r="J51" s="123"/>
      <c r="K51" s="17">
        <v>5</v>
      </c>
      <c r="L51" s="12" t="str">
        <f>IF(G51="??","??",IF(G51&lt;=5,"Yes",IF(G51="OK","Yes","No")))</f>
        <v>??</v>
      </c>
      <c r="M51" s="88" t="s">
        <v>167</v>
      </c>
      <c r="O51" s="308" t="str">
        <f>CONCATENATE(C53," ",C54," ",F55)</f>
        <v>Proximal Trachea and Bronchial Tree V15.6Gy=</v>
      </c>
      <c r="P51" s="318" t="str">
        <f>G55</f>
        <v>??</v>
      </c>
    </row>
    <row r="52" spans="1:16" ht="15" thickBot="1" x14ac:dyDescent="0.25">
      <c r="B52" s="95"/>
      <c r="C52" s="95"/>
      <c r="D52" s="252" t="s">
        <v>197</v>
      </c>
      <c r="E52" s="253" t="s">
        <v>37</v>
      </c>
      <c r="F52" s="254" t="s">
        <v>121</v>
      </c>
      <c r="G52" s="7" t="str">
        <f>IF(G50&lt;=3000,"OK","??")</f>
        <v>??</v>
      </c>
      <c r="H52" s="147"/>
      <c r="I52" s="148"/>
      <c r="J52" s="148"/>
      <c r="K52" s="149">
        <v>30</v>
      </c>
      <c r="L52" s="12" t="str">
        <f>IF(G52="??","??",IF(G52&lt;=30,"Yes",IF(G52="OK","Yes","No")))</f>
        <v>??</v>
      </c>
      <c r="M52" s="88" t="s">
        <v>63</v>
      </c>
      <c r="O52" s="308" t="str">
        <f>CONCATENATE(C56," ",C57," ",F56)</f>
        <v>Stomach and Intestines (max point dose)</v>
      </c>
      <c r="P52" s="318" t="str">
        <f>G56</f>
        <v>??</v>
      </c>
    </row>
    <row r="53" spans="1:16" ht="13.5" thickBot="1" x14ac:dyDescent="0.25">
      <c r="A53" s="299" t="s">
        <v>209</v>
      </c>
      <c r="B53" s="300" t="s">
        <v>210</v>
      </c>
      <c r="C53" s="152" t="s">
        <v>16</v>
      </c>
      <c r="D53" s="108"/>
      <c r="E53" s="108"/>
      <c r="F53" s="255" t="s">
        <v>62</v>
      </c>
      <c r="G53" s="199" t="str">
        <f>IF(MAX(A54:B54)&gt;0,MAX(A54:B54),"??")</f>
        <v>??</v>
      </c>
      <c r="H53" s="116" t="s">
        <v>37</v>
      </c>
      <c r="I53" s="108"/>
      <c r="J53" s="108"/>
      <c r="K53" s="117">
        <v>3480</v>
      </c>
      <c r="L53" s="256" t="str">
        <f>IF(G53="??","??",IF(G53&lt;=3480,"Yes","No"))</f>
        <v>??</v>
      </c>
      <c r="M53" s="88" t="s">
        <v>63</v>
      </c>
      <c r="O53" s="308" t="str">
        <f>CONCATENATE(C56," ",C57," ",F57)</f>
        <v>Stomach and Intestines V21Gy=</v>
      </c>
      <c r="P53" s="318" t="str">
        <f>G57</f>
        <v>??</v>
      </c>
    </row>
    <row r="54" spans="1:16" x14ac:dyDescent="0.2">
      <c r="A54" s="301">
        <v>0</v>
      </c>
      <c r="B54" s="302">
        <v>0</v>
      </c>
      <c r="C54" s="95" t="s">
        <v>125</v>
      </c>
      <c r="D54" s="97"/>
      <c r="E54" s="148"/>
      <c r="F54" s="257"/>
      <c r="G54" s="172" t="s">
        <v>37</v>
      </c>
      <c r="H54" s="147"/>
      <c r="I54" s="148"/>
      <c r="J54" s="148"/>
      <c r="K54" s="149"/>
      <c r="L54" s="258"/>
      <c r="M54" s="88"/>
      <c r="O54" s="308" t="str">
        <f>C58</f>
        <v>Dosimetrist:</v>
      </c>
      <c r="P54" s="312" t="str">
        <f>C59</f>
        <v>??</v>
      </c>
    </row>
    <row r="55" spans="1:16" ht="15" thickBot="1" x14ac:dyDescent="0.25">
      <c r="A55" s="303">
        <v>0</v>
      </c>
      <c r="B55" s="304">
        <v>0</v>
      </c>
      <c r="C55" s="180"/>
      <c r="D55" s="241" t="s">
        <v>205</v>
      </c>
      <c r="E55" s="148"/>
      <c r="F55" s="250" t="s">
        <v>124</v>
      </c>
      <c r="G55" s="199" t="str">
        <f>IF(MAX(A55:B55)&gt;0,MAX(A55:B55),"??")</f>
        <v>??</v>
      </c>
      <c r="H55" s="147" t="s">
        <v>37</v>
      </c>
      <c r="I55" s="148"/>
      <c r="J55" s="148"/>
      <c r="K55" s="149">
        <v>4</v>
      </c>
      <c r="L55" s="12" t="str">
        <f>IF(G55="??","??",IF(G55&lt;=4,"Yes",IF(G55="OK","Yes","No")))</f>
        <v>??</v>
      </c>
      <c r="M55" s="88" t="s">
        <v>63</v>
      </c>
      <c r="O55" s="308" t="str">
        <f>G58</f>
        <v>Physicist:</v>
      </c>
      <c r="P55" s="312" t="str">
        <f>G59</f>
        <v>??</v>
      </c>
    </row>
    <row r="56" spans="1:16" x14ac:dyDescent="0.2">
      <c r="B56" s="95"/>
      <c r="C56" s="95" t="s">
        <v>130</v>
      </c>
      <c r="D56" s="97"/>
      <c r="E56" s="123"/>
      <c r="F56" s="245" t="s">
        <v>62</v>
      </c>
      <c r="G56" s="199" t="s">
        <v>68</v>
      </c>
      <c r="H56" s="98"/>
      <c r="I56" s="97"/>
      <c r="J56" s="97"/>
      <c r="K56" s="129">
        <v>2800</v>
      </c>
      <c r="L56" s="12" t="str">
        <f>IF(G56="??","??",IF(G56&lt;=2800,"Yes","No"))</f>
        <v>??</v>
      </c>
      <c r="M56" s="88" t="s">
        <v>167</v>
      </c>
      <c r="O56" s="308" t="str">
        <f>K58</f>
        <v>Radiation Oncologist:</v>
      </c>
      <c r="P56" s="312" t="str">
        <f>K59</f>
        <v>??</v>
      </c>
    </row>
    <row r="57" spans="1:16" ht="16.5" thickBot="1" x14ac:dyDescent="0.35">
      <c r="B57" s="95"/>
      <c r="C57" s="259" t="s">
        <v>138</v>
      </c>
      <c r="D57" s="260" t="s">
        <v>208</v>
      </c>
      <c r="E57" s="97"/>
      <c r="F57" s="247" t="s">
        <v>166</v>
      </c>
      <c r="G57" s="168" t="str">
        <f>IF(G56&lt;=2100,"OK","??")</f>
        <v>??</v>
      </c>
      <c r="H57" s="98" t="s">
        <v>37</v>
      </c>
      <c r="I57" s="97"/>
      <c r="J57" s="97"/>
      <c r="K57" s="136">
        <v>1</v>
      </c>
      <c r="L57" s="12" t="str">
        <f>IF(G57="??","??",IF(G57&lt;=1,"Yes",IF(G57="OK","Yes","No")))</f>
        <v>??</v>
      </c>
      <c r="M57" s="88" t="s">
        <v>167</v>
      </c>
      <c r="O57" s="308" t="str">
        <f>B60</f>
        <v>NOTES:</v>
      </c>
      <c r="P57" s="312">
        <f>C60</f>
        <v>0</v>
      </c>
    </row>
    <row r="58" spans="1:16" x14ac:dyDescent="0.2">
      <c r="B58" s="83"/>
      <c r="C58" s="118" t="s">
        <v>57</v>
      </c>
      <c r="D58" s="84"/>
      <c r="E58" s="84"/>
      <c r="F58" s="85"/>
      <c r="G58" s="99" t="s">
        <v>58</v>
      </c>
      <c r="H58" s="85"/>
      <c r="I58" s="84"/>
      <c r="J58" s="118" t="s">
        <v>59</v>
      </c>
      <c r="K58" s="86" t="s">
        <v>59</v>
      </c>
      <c r="L58" s="87"/>
      <c r="M58" s="88"/>
    </row>
    <row r="59" spans="1:16" x14ac:dyDescent="0.2">
      <c r="B59" s="95"/>
      <c r="C59" s="23" t="s">
        <v>68</v>
      </c>
      <c r="D59" s="97"/>
      <c r="E59" s="97"/>
      <c r="F59" s="98"/>
      <c r="G59" s="23" t="s">
        <v>68</v>
      </c>
      <c r="H59" s="98"/>
      <c r="I59" s="97"/>
      <c r="J59" s="97"/>
      <c r="K59" s="23" t="s">
        <v>68</v>
      </c>
      <c r="L59" s="101"/>
      <c r="M59" s="88"/>
    </row>
    <row r="60" spans="1:16" x14ac:dyDescent="0.2">
      <c r="B60" s="102" t="s">
        <v>141</v>
      </c>
      <c r="C60" s="22"/>
      <c r="D60" s="184" t="s">
        <v>37</v>
      </c>
      <c r="E60" s="22"/>
      <c r="F60" s="23"/>
      <c r="G60" s="23"/>
      <c r="H60" s="23"/>
      <c r="I60" s="22"/>
      <c r="J60" s="22"/>
      <c r="K60" s="23"/>
      <c r="L60" s="18"/>
      <c r="M60" s="88"/>
    </row>
    <row r="61" spans="1:16" ht="13.5" thickBot="1" x14ac:dyDescent="0.25">
      <c r="B61" s="90"/>
      <c r="C61" s="91"/>
      <c r="D61" s="91"/>
      <c r="E61" s="91"/>
      <c r="F61" s="261" t="s">
        <v>128</v>
      </c>
      <c r="G61" s="262" t="s">
        <v>126</v>
      </c>
      <c r="H61" s="261"/>
      <c r="I61" s="262"/>
      <c r="J61" s="262"/>
      <c r="K61" s="261"/>
      <c r="L61" s="263"/>
      <c r="M61" s="88"/>
    </row>
    <row r="62" spans="1:16" x14ac:dyDescent="0.2">
      <c r="B62" s="154" t="s">
        <v>164</v>
      </c>
      <c r="C62" s="89"/>
      <c r="D62" s="89"/>
      <c r="E62" s="89"/>
      <c r="F62" s="155"/>
      <c r="G62" s="155"/>
      <c r="H62" s="155"/>
      <c r="I62" s="89"/>
      <c r="J62" s="89"/>
      <c r="K62" s="155"/>
      <c r="L62" s="155"/>
      <c r="M62" s="88"/>
    </row>
    <row r="63" spans="1:16" x14ac:dyDescent="0.2">
      <c r="B63" s="89"/>
      <c r="C63" s="89"/>
      <c r="D63" s="89"/>
      <c r="E63" s="89"/>
      <c r="F63" s="155"/>
      <c r="G63" s="155"/>
      <c r="H63" s="155"/>
      <c r="I63" s="89"/>
      <c r="J63" s="89"/>
      <c r="K63" s="155"/>
      <c r="L63" s="155"/>
      <c r="M63" s="88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pageSetUpPr fitToPage="1"/>
  </sheetPr>
  <dimension ref="A1:P60"/>
  <sheetViews>
    <sheetView zoomScaleNormal="100" workbookViewId="0">
      <selection activeCell="G2" sqref="G2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20" bestFit="1" customWidth="1"/>
    <col min="16" max="16" width="13.5703125" style="321" bestFit="1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7"/>
    </row>
    <row r="2" spans="2:16" x14ac:dyDescent="0.2">
      <c r="B2" s="83"/>
      <c r="C2" s="84"/>
      <c r="D2" s="84"/>
      <c r="E2" s="84"/>
      <c r="F2" s="85"/>
      <c r="G2" s="86" t="s">
        <v>140</v>
      </c>
      <c r="H2" s="85"/>
      <c r="I2" s="84"/>
      <c r="J2" s="84"/>
      <c r="K2" s="85"/>
      <c r="L2" s="87"/>
      <c r="M2" s="88"/>
      <c r="O2" s="307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7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6000</v>
      </c>
      <c r="I4" s="97"/>
      <c r="J4" s="97"/>
      <c r="K4" s="99" t="s">
        <v>2</v>
      </c>
      <c r="L4" s="18" t="s">
        <v>68</v>
      </c>
      <c r="M4" s="88"/>
      <c r="O4" s="308" t="str">
        <f>C4</f>
        <v>Patient:</v>
      </c>
      <c r="P4" s="313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8</v>
      </c>
      <c r="I5" s="97"/>
      <c r="J5" s="97"/>
      <c r="K5" s="99" t="s">
        <v>3</v>
      </c>
      <c r="L5" s="19" t="s">
        <v>68</v>
      </c>
      <c r="M5" s="88"/>
      <c r="O5" s="308" t="str">
        <f>C5</f>
        <v>CR#:</v>
      </c>
      <c r="P5" s="313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3" t="str">
        <f>L4</f>
        <v>??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3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 t="s">
        <v>37</v>
      </c>
      <c r="M8" s="88"/>
      <c r="O8" s="308" t="str">
        <f>F4</f>
        <v>Prescription Dose (cGy):</v>
      </c>
      <c r="P8" s="313">
        <f>H4</f>
        <v>6000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>
        <f>H5</f>
        <v>8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3" t="str">
        <f>G7</f>
        <v>??</v>
      </c>
    </row>
    <row r="11" spans="2:16" x14ac:dyDescent="0.2">
      <c r="B11" s="102" t="s">
        <v>8</v>
      </c>
      <c r="C11" s="97"/>
      <c r="D11" s="97"/>
      <c r="E11" s="103" t="s">
        <v>42</v>
      </c>
      <c r="F11" s="104"/>
      <c r="G11" s="104"/>
      <c r="H11" s="104"/>
      <c r="I11" s="96" t="s">
        <v>37</v>
      </c>
      <c r="J11" s="97"/>
      <c r="K11" s="105" t="s">
        <v>37</v>
      </c>
      <c r="L11" s="106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183</v>
      </c>
      <c r="H12" s="110" t="s">
        <v>188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264" t="s">
        <v>184</v>
      </c>
      <c r="H13" s="105"/>
      <c r="I13" s="96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05" t="s">
        <v>68</v>
      </c>
      <c r="H14" s="265"/>
      <c r="I14" s="225"/>
      <c r="J14" s="108"/>
      <c r="K14" s="223" t="s">
        <v>165</v>
      </c>
      <c r="L14" s="10" t="str">
        <f>IF(G14="??","??",IF((AND((G14&gt;59.99%),(G14&lt;95.01%))),"Yes", "No"))</f>
        <v>??</v>
      </c>
      <c r="M14" s="88" t="s">
        <v>46</v>
      </c>
      <c r="O14" s="308" t="str">
        <f>C14</f>
        <v>Plan Normalization Value (%)</v>
      </c>
      <c r="P14" s="316" t="str">
        <f>G14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203" t="s">
        <v>68</v>
      </c>
      <c r="H15" s="224"/>
      <c r="I15" s="156"/>
      <c r="J15" s="108" t="s">
        <v>37</v>
      </c>
      <c r="K15" s="117" t="s">
        <v>47</v>
      </c>
      <c r="L15" s="10" t="str">
        <f>IF(G15="??","??",IF((AND((G15&gt;=111.1%),(G15&lt;=166.7%))),"Yes", "No"))</f>
        <v>??</v>
      </c>
      <c r="M15" s="88" t="s">
        <v>56</v>
      </c>
      <c r="O15" s="308" t="str">
        <f>C15</f>
        <v>Dose @COM-PTV (cGy)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157"/>
      <c r="J16" s="84"/>
      <c r="K16" s="120"/>
      <c r="L16" s="11"/>
      <c r="M16" s="88"/>
      <c r="O16" s="308" t="str">
        <f>C17</f>
        <v>PTV- Minimum Dose</v>
      </c>
      <c r="P16" s="314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21"/>
      <c r="G17" s="203" t="s">
        <v>68</v>
      </c>
      <c r="H17" s="228"/>
      <c r="I17" s="156"/>
      <c r="J17" s="108"/>
      <c r="K17" s="117" t="s">
        <v>165</v>
      </c>
      <c r="L17" s="10" t="str">
        <f>IF(G17="??","??",IF((AND((G17&gt;=60%),(G17&lt;=95%))),"Yes", "No"))</f>
        <v>??</v>
      </c>
      <c r="M17" s="88"/>
      <c r="O17" s="308" t="str">
        <f>C18</f>
        <v>PTV - V100(%)</v>
      </c>
      <c r="P17" s="314" t="str">
        <f>G18</f>
        <v>??</v>
      </c>
    </row>
    <row r="18" spans="2:16" ht="13.5" thickBot="1" x14ac:dyDescent="0.25">
      <c r="B18" s="95"/>
      <c r="C18" s="114" t="s">
        <v>71</v>
      </c>
      <c r="D18" s="97"/>
      <c r="E18" s="97"/>
      <c r="F18" s="122"/>
      <c r="G18" s="202" t="s">
        <v>68</v>
      </c>
      <c r="H18" s="228"/>
      <c r="I18" s="123"/>
      <c r="J18" s="123"/>
      <c r="K18" s="124">
        <v>0.95</v>
      </c>
      <c r="L18" s="197" t="str">
        <f>IF(G18="??","??",(IF(G18&gt;=95%,"Yes","No")))</f>
        <v>??</v>
      </c>
      <c r="M18" s="89" t="s">
        <v>31</v>
      </c>
      <c r="O18" s="308" t="str">
        <f>C19</f>
        <v>PTV - V90 (%)</v>
      </c>
      <c r="P18" s="314" t="str">
        <f>G19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126"/>
      <c r="G19" s="201" t="s">
        <v>68</v>
      </c>
      <c r="H19" s="229"/>
      <c r="I19" s="127"/>
      <c r="J19" s="91"/>
      <c r="K19" s="128">
        <v>0.99</v>
      </c>
      <c r="L19" s="197" t="str">
        <f>IF(G19="??","??",(IF(G19&gt;=99%,"Yes","No")))</f>
        <v>??</v>
      </c>
      <c r="M19" s="89" t="s">
        <v>32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98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99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IF(G21="??","??",IF(H21&lt;15%,"Yes","No"))</f>
        <v>??</v>
      </c>
      <c r="M21" s="141" t="s">
        <v>190</v>
      </c>
      <c r="O21" s="308" t="str">
        <f>CONCATENATE(C24," ",D24)</f>
        <v>Location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177" t="s">
        <v>37</v>
      </c>
      <c r="G22" s="200" t="s">
        <v>68</v>
      </c>
      <c r="H22" s="174" t="str">
        <f>IFERROR(G22/G9,"??")</f>
        <v>??</v>
      </c>
      <c r="I22" s="135" t="s">
        <v>37</v>
      </c>
      <c r="J22" s="91"/>
      <c r="K22" s="136" t="s">
        <v>12</v>
      </c>
      <c r="L22" s="13" t="str">
        <f>'Calculations 60Gy_8F'!K31</f>
        <v>??</v>
      </c>
      <c r="M22" s="88" t="s">
        <v>53</v>
      </c>
      <c r="O22" s="308" t="str">
        <f>CONCATENATE(C25," ",D25)</f>
        <v>Volume V50% (cc) =</v>
      </c>
      <c r="P22" s="318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85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4.25" x14ac:dyDescent="0.25">
      <c r="B24" s="102" t="s">
        <v>37</v>
      </c>
      <c r="C24" s="131" t="s">
        <v>40</v>
      </c>
      <c r="D24" s="137" t="s">
        <v>50</v>
      </c>
      <c r="E24" s="123"/>
      <c r="F24" s="138"/>
      <c r="G24" s="208" t="s">
        <v>68</v>
      </c>
      <c r="H24" s="139"/>
      <c r="I24" s="140"/>
      <c r="J24" s="123"/>
      <c r="K24" s="158" t="str">
        <f ca="1">IFERROR('Calculations 60Gy_8F'!L27/100,"??")</f>
        <v>??</v>
      </c>
      <c r="L24" s="81" t="str">
        <f>'Calculations 60Gy_8F'!K33</f>
        <v>??</v>
      </c>
      <c r="M24" s="141" t="s">
        <v>191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43</v>
      </c>
      <c r="D25" s="266" t="s">
        <v>180</v>
      </c>
      <c r="E25" s="91"/>
      <c r="F25" s="194"/>
      <c r="G25" s="200" t="s">
        <v>68</v>
      </c>
      <c r="H25" s="142" t="str">
        <f>IFERROR(G25/G9,"??")</f>
        <v>??</v>
      </c>
      <c r="I25" s="143" t="s">
        <v>37</v>
      </c>
      <c r="J25" s="91"/>
      <c r="K25" s="159" t="str">
        <f ca="1">IFERROR('Calculations 60Gy_8F'!I27,"??")</f>
        <v>??</v>
      </c>
      <c r="L25" s="82" t="str">
        <f>'Calculations 60Gy_8F'!K32</f>
        <v>??</v>
      </c>
      <c r="M25" s="141" t="s">
        <v>192</v>
      </c>
      <c r="O25" s="308" t="str">
        <f>C31</f>
        <v>V20 (Total Lung)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181</v>
      </c>
      <c r="H26" s="105" t="s">
        <v>188</v>
      </c>
      <c r="I26" s="144"/>
      <c r="J26" s="144"/>
      <c r="K26" s="145" t="s">
        <v>34</v>
      </c>
      <c r="L26" s="146"/>
      <c r="M26" s="88"/>
      <c r="O26" s="308" t="str">
        <f>CONCATENATE(C33," ",F33)</f>
        <v>Aorta  (max point dose)</v>
      </c>
      <c r="P26" s="318" t="str">
        <f>G33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182</v>
      </c>
      <c r="H27" s="105"/>
      <c r="I27" s="144"/>
      <c r="J27" s="144"/>
      <c r="K27" s="206" t="s">
        <v>179</v>
      </c>
      <c r="L27" s="146"/>
      <c r="M27" s="88"/>
      <c r="O27" s="308" t="str">
        <f>CONCATENATE(C33," ",F34)</f>
        <v>Aorta  V60Gy=</v>
      </c>
      <c r="P27" s="318" t="str">
        <f t="shared" ref="P27:P37" si="0">G34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85"/>
      <c r="I28" s="84"/>
      <c r="J28" s="84"/>
      <c r="K28" s="120"/>
      <c r="L28" s="11"/>
      <c r="M28" s="88"/>
      <c r="O28" s="308" t="str">
        <f>CONCATENATE(C35," ",F35)</f>
        <v>Artery-Pulmonary (max point dose)</v>
      </c>
      <c r="P28" s="318" t="str">
        <f t="shared" si="0"/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32"/>
      <c r="I29" s="123"/>
      <c r="J29" s="123"/>
      <c r="K29" s="17"/>
      <c r="L29" s="12" t="s">
        <v>68</v>
      </c>
      <c r="M29" s="88"/>
      <c r="O29" s="308" t="str">
        <f>CONCATENATE(C35," ",F36)</f>
        <v>Artery-Pulmonary V60Gy=</v>
      </c>
      <c r="P29" s="318" t="str">
        <f t="shared" si="0"/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147"/>
      <c r="I30" s="148"/>
      <c r="J30" s="148"/>
      <c r="K30" s="149"/>
      <c r="L30" s="207" t="s">
        <v>68</v>
      </c>
      <c r="M30" s="88"/>
      <c r="O30" s="308" t="str">
        <f>CONCATENATE(C37," ",F37)</f>
        <v>Spinal Canal (max point dose)</v>
      </c>
      <c r="P30" s="318" t="str">
        <f t="shared" si="0"/>
        <v>??</v>
      </c>
    </row>
    <row r="31" spans="2:16" ht="15" thickBot="1" x14ac:dyDescent="0.3">
      <c r="B31" s="95"/>
      <c r="C31" s="90" t="s">
        <v>27</v>
      </c>
      <c r="D31" s="91"/>
      <c r="E31" s="328" t="s">
        <v>175</v>
      </c>
      <c r="F31" s="329"/>
      <c r="G31" s="201" t="s">
        <v>68</v>
      </c>
      <c r="H31" s="191" t="s">
        <v>37</v>
      </c>
      <c r="I31" s="189"/>
      <c r="J31" s="189"/>
      <c r="K31" s="190" t="s">
        <v>70</v>
      </c>
      <c r="L31" s="197" t="str">
        <f>'Calculations 60Gy_8F'!K34</f>
        <v>??</v>
      </c>
      <c r="M31" s="88" t="s">
        <v>52</v>
      </c>
      <c r="O31" s="308" t="str">
        <f>CONCATENATE(C38," ",F38)</f>
        <v>Ipsilat. Brach. Plex. (max point dose)</v>
      </c>
      <c r="P31" s="318" t="str">
        <f t="shared" si="0"/>
        <v>??</v>
      </c>
    </row>
    <row r="32" spans="2:16" x14ac:dyDescent="0.2">
      <c r="B32" s="102" t="s">
        <v>37</v>
      </c>
      <c r="C32" s="102" t="s">
        <v>51</v>
      </c>
      <c r="D32" s="97"/>
      <c r="E32" s="97"/>
      <c r="F32" s="98"/>
      <c r="G32" s="129"/>
      <c r="H32" s="98"/>
      <c r="I32" s="97"/>
      <c r="J32" s="97"/>
      <c r="K32" s="129"/>
      <c r="L32" s="101"/>
      <c r="M32" s="88"/>
      <c r="O32" s="308" t="str">
        <f>CONCATENATE(C38," ",F39)</f>
        <v>Ipsilat. Brach. Plex. V30Gy=</v>
      </c>
      <c r="P32" s="318" t="str">
        <f t="shared" si="0"/>
        <v>??</v>
      </c>
    </row>
    <row r="33" spans="1:16" x14ac:dyDescent="0.2">
      <c r="B33" s="95"/>
      <c r="C33" s="210" t="s">
        <v>132</v>
      </c>
      <c r="D33" s="108" t="s">
        <v>37</v>
      </c>
      <c r="E33" s="123"/>
      <c r="F33" s="181" t="s">
        <v>62</v>
      </c>
      <c r="G33" s="3" t="s">
        <v>68</v>
      </c>
      <c r="H33" s="116"/>
      <c r="I33" s="108"/>
      <c r="J33" s="108"/>
      <c r="K33" s="109">
        <v>6400</v>
      </c>
      <c r="L33" s="196" t="str">
        <f>IF(G33="??","??",IF(G33&lt;=6400,"Yes","No"))</f>
        <v>??</v>
      </c>
      <c r="M33" s="141" t="s">
        <v>167</v>
      </c>
      <c r="O33" s="308" t="str">
        <f>CONCATENATE(C40," ",F40)</f>
        <v>Heart (max point dose)</v>
      </c>
      <c r="P33" s="318" t="str">
        <f t="shared" si="0"/>
        <v>??</v>
      </c>
    </row>
    <row r="34" spans="1:16" ht="14.25" x14ac:dyDescent="0.25">
      <c r="B34" s="95"/>
      <c r="C34" s="240"/>
      <c r="D34" s="241" t="s">
        <v>152</v>
      </c>
      <c r="E34" s="148"/>
      <c r="F34" s="267" t="s">
        <v>153</v>
      </c>
      <c r="G34" s="4" t="str">
        <f>IF(G33&lt;=6000,"OK","??")</f>
        <v>??</v>
      </c>
      <c r="H34" s="116"/>
      <c r="I34" s="108"/>
      <c r="J34" s="108"/>
      <c r="K34" s="109">
        <v>10</v>
      </c>
      <c r="L34" s="196" t="str">
        <f>IF(G34="??","??",IF(G34&lt;=10,"Yes",IF(G34="OK","Yes","No")))</f>
        <v>??</v>
      </c>
      <c r="M34" s="88"/>
      <c r="O34" s="308" t="str">
        <f>CONCATENATE(C40," ",F41)</f>
        <v>Heart V60Gy=</v>
      </c>
      <c r="P34" s="318" t="str">
        <f t="shared" si="0"/>
        <v>??</v>
      </c>
    </row>
    <row r="35" spans="1:16" x14ac:dyDescent="0.2">
      <c r="B35" s="95"/>
      <c r="C35" s="210" t="s">
        <v>170</v>
      </c>
      <c r="D35" s="108"/>
      <c r="E35" s="123"/>
      <c r="F35" s="181" t="s">
        <v>62</v>
      </c>
      <c r="G35" s="3" t="s">
        <v>68</v>
      </c>
      <c r="H35" s="116"/>
      <c r="I35" s="108"/>
      <c r="J35" s="108"/>
      <c r="K35" s="109">
        <v>6400</v>
      </c>
      <c r="L35" s="196" t="str">
        <f>IF(G35="??","??",IF(G35&lt;=6400,"Yes","No"))</f>
        <v>??</v>
      </c>
      <c r="M35" s="141" t="s">
        <v>167</v>
      </c>
      <c r="O35" s="308" t="str">
        <f>CONCATENATE(C42," ",F42)</f>
        <v>Esophagus (max point dose)</v>
      </c>
      <c r="P35" s="318" t="str">
        <f t="shared" si="0"/>
        <v>??</v>
      </c>
    </row>
    <row r="36" spans="1:16" ht="14.25" x14ac:dyDescent="0.25">
      <c r="B36" s="95"/>
      <c r="C36" s="240"/>
      <c r="D36" s="241" t="s">
        <v>152</v>
      </c>
      <c r="E36" s="148"/>
      <c r="F36" s="267" t="s">
        <v>153</v>
      </c>
      <c r="G36" s="4" t="str">
        <f>IF(G35&lt;=6000,"OK","??")</f>
        <v>??</v>
      </c>
      <c r="H36" s="116"/>
      <c r="I36" s="108"/>
      <c r="J36" s="108"/>
      <c r="K36" s="109">
        <v>10</v>
      </c>
      <c r="L36" s="196" t="str">
        <f>IF(G36="??","??",IF(G36&lt;=10,"Yes",IF(G36="OK","Yes","No")))</f>
        <v>??</v>
      </c>
      <c r="M36" s="88"/>
      <c r="O36" s="308" t="str">
        <f>CONCATENATE(C43," ",F43)</f>
        <v>Chestwall (rib) (max point dose)</v>
      </c>
      <c r="P36" s="318" t="str">
        <f t="shared" si="0"/>
        <v>??</v>
      </c>
    </row>
    <row r="37" spans="1:16" x14ac:dyDescent="0.2">
      <c r="B37" s="95"/>
      <c r="C37" s="95" t="s">
        <v>15</v>
      </c>
      <c r="D37" s="97"/>
      <c r="E37" s="179"/>
      <c r="F37" s="151" t="s">
        <v>62</v>
      </c>
      <c r="G37" s="171" t="s">
        <v>68</v>
      </c>
      <c r="H37" s="116"/>
      <c r="I37" s="108"/>
      <c r="J37" s="108"/>
      <c r="K37" s="117">
        <v>3200</v>
      </c>
      <c r="L37" s="196" t="str">
        <f>IF(G37="??","??",IF(G37&lt;=3200,"Yes","No"))</f>
        <v>??</v>
      </c>
      <c r="M37" s="88" t="s">
        <v>28</v>
      </c>
      <c r="O37" s="308" t="str">
        <f>CONCATENATE(C43," ",F44)</f>
        <v>Chestwall (rib) V50Gy=</v>
      </c>
      <c r="P37" s="318" t="str">
        <f t="shared" si="0"/>
        <v>??</v>
      </c>
    </row>
    <row r="38" spans="1:16" x14ac:dyDescent="0.2">
      <c r="B38" s="95"/>
      <c r="C38" s="210" t="s">
        <v>189</v>
      </c>
      <c r="D38" s="108"/>
      <c r="E38" s="123"/>
      <c r="F38" s="181" t="s">
        <v>62</v>
      </c>
      <c r="G38" s="171" t="s">
        <v>68</v>
      </c>
      <c r="H38" s="116"/>
      <c r="I38" s="108"/>
      <c r="J38" s="108"/>
      <c r="K38" s="117">
        <v>3800</v>
      </c>
      <c r="L38" s="196" t="str">
        <f>IF(G38="??","??",IF(G38&lt;=3800,"Yes","No"))</f>
        <v>??</v>
      </c>
      <c r="M38" s="141" t="s">
        <v>167</v>
      </c>
      <c r="O38" s="308" t="str">
        <f>CONCATENATE(A44," ",F45)</f>
        <v>Trachea (max point dose)</v>
      </c>
      <c r="P38" s="319">
        <f>A45</f>
        <v>0</v>
      </c>
    </row>
    <row r="39" spans="1:16" ht="14.25" x14ac:dyDescent="0.25">
      <c r="B39" s="95"/>
      <c r="C39" s="180"/>
      <c r="D39" s="241" t="s">
        <v>206</v>
      </c>
      <c r="E39" s="148"/>
      <c r="F39" s="268" t="s">
        <v>121</v>
      </c>
      <c r="G39" s="4" t="str">
        <f>IF(G38&lt;=3000,"OK","??")</f>
        <v>??</v>
      </c>
      <c r="H39" s="116"/>
      <c r="I39" s="108"/>
      <c r="J39" s="108"/>
      <c r="K39" s="117">
        <v>3</v>
      </c>
      <c r="L39" s="196" t="str">
        <f>IF(G39="??","??",IF(G39&lt;=3,"Yes",IF(G39="OK","Yes","No")))</f>
        <v>??</v>
      </c>
      <c r="M39" s="141"/>
      <c r="O39" s="308" t="str">
        <f>CONCATENATE(A44," ",F46)</f>
        <v>Trachea V60Gy =</v>
      </c>
      <c r="P39" s="319">
        <f>A46</f>
        <v>0</v>
      </c>
    </row>
    <row r="40" spans="1:16" x14ac:dyDescent="0.2">
      <c r="B40" s="95"/>
      <c r="C40" s="152" t="s">
        <v>17</v>
      </c>
      <c r="D40" s="108"/>
      <c r="E40" s="123"/>
      <c r="F40" s="182" t="s">
        <v>62</v>
      </c>
      <c r="G40" s="171" t="s">
        <v>68</v>
      </c>
      <c r="H40" s="116"/>
      <c r="I40" s="108"/>
      <c r="J40" s="108"/>
      <c r="K40" s="117">
        <v>6400</v>
      </c>
      <c r="L40" s="196" t="str">
        <f>IF(G40="??","??",IF(G40&lt;=6400,"Yes","No"))</f>
        <v>??</v>
      </c>
      <c r="M40" s="88" t="s">
        <v>28</v>
      </c>
      <c r="O40" s="308" t="str">
        <f>CONCATENATE(B44," ",F45)</f>
        <v>Bronchus (max point dose)</v>
      </c>
      <c r="P40" s="319">
        <f>B45</f>
        <v>0</v>
      </c>
    </row>
    <row r="41" spans="1:16" ht="14.25" x14ac:dyDescent="0.25">
      <c r="B41" s="95"/>
      <c r="C41" s="240"/>
      <c r="D41" s="241" t="s">
        <v>152</v>
      </c>
      <c r="E41" s="148"/>
      <c r="F41" s="267" t="s">
        <v>153</v>
      </c>
      <c r="G41" s="4" t="str">
        <f>IF(G40&lt;=6000,"OK","??")</f>
        <v>??</v>
      </c>
      <c r="H41" s="116"/>
      <c r="I41" s="108"/>
      <c r="J41" s="108"/>
      <c r="K41" s="109">
        <v>10</v>
      </c>
      <c r="L41" s="196" t="str">
        <f>IF(G41="??","??",IF(G41&lt;=10,"Yes",IF(G41="OK","Yes","No")))</f>
        <v>??</v>
      </c>
      <c r="M41" s="141" t="s">
        <v>167</v>
      </c>
      <c r="O41" s="308" t="str">
        <f>CONCATENATE(B44," ",F48)</f>
        <v>Bronchus V36Gy=</v>
      </c>
      <c r="P41" s="319">
        <f>B46</f>
        <v>0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171" t="s">
        <v>68</v>
      </c>
      <c r="H42" s="116"/>
      <c r="I42" s="108"/>
      <c r="J42" s="108"/>
      <c r="K42" s="117">
        <v>4000</v>
      </c>
      <c r="L42" s="196" t="str">
        <f>IF(G42="??","??",IF(G42&lt;=4000,"Yes","No"))</f>
        <v>??</v>
      </c>
      <c r="M42" s="141" t="s">
        <v>167</v>
      </c>
      <c r="O42" s="308" t="str">
        <f>CONCATENATE(C45," ",C46," ",F45)</f>
        <v>Proximal Trachea &amp; Bronch. Tree:  (max point dose)</v>
      </c>
      <c r="P42" s="318" t="str">
        <f>G45</f>
        <v>??</v>
      </c>
    </row>
    <row r="43" spans="1:16" ht="13.5" thickBot="1" x14ac:dyDescent="0.25">
      <c r="B43" s="95"/>
      <c r="C43" s="152" t="s">
        <v>69</v>
      </c>
      <c r="D43" s="108"/>
      <c r="E43" s="123"/>
      <c r="F43" s="182" t="s">
        <v>62</v>
      </c>
      <c r="G43" s="171" t="s">
        <v>68</v>
      </c>
      <c r="H43" s="116"/>
      <c r="I43" s="108"/>
      <c r="J43" s="108"/>
      <c r="K43" s="117">
        <v>6000</v>
      </c>
      <c r="L43" s="196" t="str">
        <f>IF(G43="??","??",IF(G43&lt;=6000,"Yes","No"))</f>
        <v>??</v>
      </c>
      <c r="M43" s="141" t="s">
        <v>167</v>
      </c>
      <c r="O43" s="308" t="str">
        <f>CONCATENATE(C45," ",C46," ",F46)</f>
        <v>Proximal Trachea &amp; Bronch. Tree:  V60Gy =</v>
      </c>
      <c r="P43" s="318" t="str">
        <f>G46</f>
        <v>??</v>
      </c>
    </row>
    <row r="44" spans="1:16" ht="15" thickBot="1" x14ac:dyDescent="0.3">
      <c r="A44" s="299" t="s">
        <v>209</v>
      </c>
      <c r="B44" s="300" t="s">
        <v>210</v>
      </c>
      <c r="C44" s="95"/>
      <c r="D44" s="144" t="s">
        <v>168</v>
      </c>
      <c r="E44" s="148"/>
      <c r="F44" s="267" t="s">
        <v>169</v>
      </c>
      <c r="G44" s="4" t="str">
        <f>IF(G43&lt;=5000,"OK","??")</f>
        <v>??</v>
      </c>
      <c r="H44" s="116"/>
      <c r="I44" s="108"/>
      <c r="J44" s="108"/>
      <c r="K44" s="109">
        <v>5</v>
      </c>
      <c r="L44" s="196" t="str">
        <f>IF(G44="??","??",IF(G44&lt;=5,"Yes",IF(G44="OK","Yes","No")))</f>
        <v>??</v>
      </c>
      <c r="M44" s="141" t="s">
        <v>167</v>
      </c>
      <c r="O44" s="308" t="str">
        <f>CONCATENATE(C47," ",C48," ",F47)</f>
        <v>Stomach and  Intestines (max point dose)</v>
      </c>
      <c r="P44" s="318" t="str">
        <f>G47</f>
        <v>??</v>
      </c>
    </row>
    <row r="45" spans="1:16" x14ac:dyDescent="0.2">
      <c r="A45" s="301">
        <v>0</v>
      </c>
      <c r="B45" s="302">
        <v>0</v>
      </c>
      <c r="C45" s="152" t="s">
        <v>16</v>
      </c>
      <c r="D45" s="296"/>
      <c r="E45" s="108"/>
      <c r="F45" s="150" t="s">
        <v>62</v>
      </c>
      <c r="G45" s="199" t="str">
        <f>IF(MAX(A45:B45)&gt;0,MAX(A45:B45),"??")</f>
        <v>??</v>
      </c>
      <c r="H45" s="297" t="s">
        <v>37</v>
      </c>
      <c r="I45" s="123"/>
      <c r="J45" s="123"/>
      <c r="K45" s="17">
        <v>6400</v>
      </c>
      <c r="L45" s="196" t="str">
        <f>IF(G45="??","??",IF(G45&lt;=6400,"Yes","No"))</f>
        <v>??</v>
      </c>
      <c r="M45" s="88" t="s">
        <v>28</v>
      </c>
      <c r="O45" s="308" t="str">
        <f>CONCATENATE(C47," ",C48," ",F48)</f>
        <v>Stomach and  Intestines V36Gy=</v>
      </c>
      <c r="P45" s="318" t="str">
        <f>G48</f>
        <v>??</v>
      </c>
    </row>
    <row r="46" spans="1:16" ht="15" thickBot="1" x14ac:dyDescent="0.3">
      <c r="A46" s="303">
        <v>0</v>
      </c>
      <c r="B46" s="304">
        <v>0</v>
      </c>
      <c r="C46" s="195" t="s">
        <v>211</v>
      </c>
      <c r="D46" s="144" t="s">
        <v>212</v>
      </c>
      <c r="E46" s="97"/>
      <c r="F46" s="99" t="s">
        <v>178</v>
      </c>
      <c r="G46" s="199" t="str">
        <f>IF(MAX(A46:B46)&gt;0,MAX(A46:B46),"??")</f>
        <v>??</v>
      </c>
      <c r="H46" s="298" t="s">
        <v>37</v>
      </c>
      <c r="I46" s="97"/>
      <c r="J46" s="97"/>
      <c r="K46" s="117">
        <v>5</v>
      </c>
      <c r="L46" s="196" t="str">
        <f>IF(G46="??","??",IF(G46&lt;=5,"Yes",IF(G46="OK","Yes","No")))</f>
        <v>??</v>
      </c>
      <c r="M46" s="141" t="s">
        <v>167</v>
      </c>
      <c r="O46" s="308" t="str">
        <f>C49</f>
        <v>Dosimetrist:</v>
      </c>
      <c r="P46" s="312" t="str">
        <f>C50</f>
        <v>??</v>
      </c>
    </row>
    <row r="47" spans="1:16" x14ac:dyDescent="0.2">
      <c r="B47" s="95"/>
      <c r="C47" s="152" t="s">
        <v>137</v>
      </c>
      <c r="D47" s="108"/>
      <c r="E47" s="123"/>
      <c r="F47" s="150" t="s">
        <v>62</v>
      </c>
      <c r="G47" s="199" t="s">
        <v>68</v>
      </c>
      <c r="H47" s="132"/>
      <c r="I47" s="123"/>
      <c r="J47" s="123"/>
      <c r="K47" s="17">
        <v>4000</v>
      </c>
      <c r="L47" s="196" t="str">
        <f>IF(G47="??","??",IF(G47&lt;=4000,"Yes","No"))</f>
        <v>??</v>
      </c>
      <c r="M47" s="141" t="s">
        <v>167</v>
      </c>
      <c r="O47" s="308" t="str">
        <f>G49</f>
        <v>Physicist:</v>
      </c>
      <c r="P47" s="312" t="str">
        <f>G50</f>
        <v>??</v>
      </c>
    </row>
    <row r="48" spans="1:16" ht="15" thickBot="1" x14ac:dyDescent="0.3">
      <c r="B48" s="95"/>
      <c r="C48" s="90" t="s">
        <v>138</v>
      </c>
      <c r="D48" s="233" t="s">
        <v>207</v>
      </c>
      <c r="E48" s="91" t="s">
        <v>37</v>
      </c>
      <c r="F48" s="269" t="s">
        <v>131</v>
      </c>
      <c r="G48" s="198" t="str">
        <f>IF(G47&lt;=3600,"OK","??")</f>
        <v>??</v>
      </c>
      <c r="H48" s="92"/>
      <c r="I48" s="91"/>
      <c r="J48" s="91"/>
      <c r="K48" s="136">
        <v>1</v>
      </c>
      <c r="L48" s="197" t="str">
        <f>IF(G48="??","??",IF(G48&lt;=1,"Yes",IF(G48="OK","Yes","No")))</f>
        <v>??</v>
      </c>
      <c r="M48" s="141" t="s">
        <v>167</v>
      </c>
      <c r="O48" s="308" t="str">
        <f>K49</f>
        <v>Radiation Oncologist:</v>
      </c>
      <c r="P48" s="312" t="str">
        <f>K50</f>
        <v>??</v>
      </c>
    </row>
    <row r="49" spans="2:16" x14ac:dyDescent="0.2">
      <c r="B49" s="95"/>
      <c r="C49" s="96" t="s">
        <v>57</v>
      </c>
      <c r="D49" s="97"/>
      <c r="E49" s="97"/>
      <c r="F49" s="98"/>
      <c r="G49" s="99" t="s">
        <v>58</v>
      </c>
      <c r="H49" s="98"/>
      <c r="I49" s="97"/>
      <c r="J49" s="96" t="s">
        <v>59</v>
      </c>
      <c r="K49" s="86" t="s">
        <v>59</v>
      </c>
      <c r="L49" s="101"/>
      <c r="M49" s="88"/>
      <c r="O49" s="308" t="str">
        <f>B51</f>
        <v>NOTES:</v>
      </c>
      <c r="P49" s="312">
        <f>C51</f>
        <v>0</v>
      </c>
    </row>
    <row r="50" spans="2:16" x14ac:dyDescent="0.2">
      <c r="B50" s="95"/>
      <c r="C50" s="23" t="s">
        <v>68</v>
      </c>
      <c r="D50" s="97"/>
      <c r="E50" s="97"/>
      <c r="F50" s="98"/>
      <c r="G50" s="23" t="s">
        <v>68</v>
      </c>
      <c r="H50" s="98"/>
      <c r="I50" s="97"/>
      <c r="J50" s="97"/>
      <c r="K50" s="23" t="s">
        <v>68</v>
      </c>
      <c r="L50" s="101"/>
      <c r="M50" s="88"/>
      <c r="P50" s="320"/>
    </row>
    <row r="51" spans="2:16" x14ac:dyDescent="0.2">
      <c r="B51" s="102" t="s">
        <v>141</v>
      </c>
      <c r="C51" s="22"/>
      <c r="D51" s="22"/>
      <c r="E51" s="22"/>
      <c r="F51" s="23"/>
      <c r="G51" s="23"/>
      <c r="H51" s="23"/>
      <c r="I51" s="22"/>
      <c r="J51" s="22"/>
      <c r="K51" s="23"/>
      <c r="L51" s="18"/>
      <c r="M51" s="88"/>
      <c r="P51" s="320"/>
    </row>
    <row r="52" spans="2:16" ht="13.5" thickBot="1" x14ac:dyDescent="0.25">
      <c r="B52" s="90"/>
      <c r="C52" s="270"/>
      <c r="D52" s="270"/>
      <c r="E52" s="270"/>
      <c r="F52" s="271"/>
      <c r="G52" s="271"/>
      <c r="H52" s="272" t="s">
        <v>37</v>
      </c>
      <c r="I52" s="270"/>
      <c r="J52" s="270"/>
      <c r="K52" s="271"/>
      <c r="L52" s="273"/>
      <c r="M52" s="88"/>
      <c r="P52" s="320"/>
    </row>
    <row r="53" spans="2:16" x14ac:dyDescent="0.2">
      <c r="B53" s="154" t="s">
        <v>164</v>
      </c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P53" s="320"/>
    </row>
    <row r="54" spans="2:16" x14ac:dyDescent="0.2">
      <c r="B54" s="89"/>
      <c r="C54" s="89"/>
      <c r="D54" s="89"/>
      <c r="E54" s="89"/>
      <c r="F54" s="155"/>
      <c r="G54" s="155"/>
      <c r="H54" s="155"/>
      <c r="I54" s="89"/>
      <c r="J54" s="89"/>
      <c r="K54" s="155"/>
      <c r="L54" s="155"/>
      <c r="M54" s="88"/>
      <c r="P54" s="320"/>
    </row>
    <row r="55" spans="2:16" x14ac:dyDescent="0.2">
      <c r="B55" s="89"/>
      <c r="C55" s="89"/>
      <c r="D55" s="89"/>
      <c r="E55" s="89"/>
      <c r="F55" s="155"/>
      <c r="G55" s="155"/>
      <c r="H55" s="155"/>
      <c r="I55" s="89"/>
      <c r="J55" s="89"/>
      <c r="K55" s="155"/>
      <c r="L55" s="155"/>
      <c r="M55" s="88"/>
      <c r="P55" s="320"/>
    </row>
    <row r="56" spans="2:16" x14ac:dyDescent="0.2">
      <c r="B56" s="89"/>
      <c r="C56" s="89"/>
      <c r="D56" s="89"/>
      <c r="E56" s="89"/>
      <c r="F56" s="155"/>
      <c r="G56" s="155"/>
      <c r="H56" s="155"/>
      <c r="I56" s="89"/>
      <c r="J56" s="89"/>
      <c r="K56" s="155"/>
      <c r="L56" s="155"/>
      <c r="M56" s="88"/>
      <c r="P56" s="320"/>
    </row>
    <row r="57" spans="2:16" x14ac:dyDescent="0.2">
      <c r="M57" s="88"/>
      <c r="P57" s="320"/>
    </row>
    <row r="58" spans="2:16" x14ac:dyDescent="0.2">
      <c r="P58" s="320"/>
    </row>
    <row r="59" spans="2:16" x14ac:dyDescent="0.2">
      <c r="P59" s="320"/>
    </row>
    <row r="60" spans="2:16" x14ac:dyDescent="0.2">
      <c r="P60" s="320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pageSetUpPr fitToPage="1"/>
  </sheetPr>
  <dimension ref="A1:P55"/>
  <sheetViews>
    <sheetView tabSelected="1" zoomScaleNormal="100" workbookViewId="0">
      <selection activeCell="G2" sqref="G2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6" bestFit="1" customWidth="1"/>
    <col min="16" max="16" width="8.7109375" style="309" customWidth="1"/>
  </cols>
  <sheetData>
    <row r="1" spans="2:16" ht="13.5" thickBot="1" x14ac:dyDescent="0.25">
      <c r="B1" s="211" t="s">
        <v>160</v>
      </c>
      <c r="C1" s="212"/>
      <c r="D1" s="211"/>
      <c r="E1" s="212"/>
      <c r="F1" s="213"/>
      <c r="G1" s="213"/>
      <c r="H1" s="214" t="s">
        <v>159</v>
      </c>
      <c r="I1" s="211"/>
      <c r="J1" s="211"/>
      <c r="K1" s="215"/>
      <c r="L1" s="215"/>
      <c r="M1" s="88"/>
      <c r="O1" s="305"/>
    </row>
    <row r="2" spans="2:16" x14ac:dyDescent="0.2">
      <c r="B2" s="83"/>
      <c r="C2" s="84"/>
      <c r="D2" s="84"/>
      <c r="E2" s="84"/>
      <c r="F2" s="85"/>
      <c r="G2" s="86" t="s">
        <v>142</v>
      </c>
      <c r="H2" s="85"/>
      <c r="I2" s="84"/>
      <c r="J2" s="84"/>
      <c r="K2" s="85"/>
      <c r="L2" s="87"/>
      <c r="M2" s="88"/>
      <c r="O2" s="305"/>
    </row>
    <row r="3" spans="2:16" ht="13.5" thickBot="1" x14ac:dyDescent="0.25">
      <c r="B3" s="90"/>
      <c r="C3" s="91"/>
      <c r="D3" s="91"/>
      <c r="E3" s="91"/>
      <c r="F3" s="92"/>
      <c r="G3" s="93" t="s">
        <v>36</v>
      </c>
      <c r="H3" s="92"/>
      <c r="I3" s="91"/>
      <c r="J3" s="91"/>
      <c r="K3" s="92"/>
      <c r="L3" s="94"/>
      <c r="M3" s="88"/>
      <c r="O3" s="305"/>
    </row>
    <row r="4" spans="2:16" x14ac:dyDescent="0.2">
      <c r="B4" s="95"/>
      <c r="C4" s="96" t="s">
        <v>0</v>
      </c>
      <c r="D4" s="20" t="s">
        <v>68</v>
      </c>
      <c r="E4" s="97"/>
      <c r="F4" s="96" t="s">
        <v>174</v>
      </c>
      <c r="G4" s="98"/>
      <c r="H4" s="164">
        <v>5400</v>
      </c>
      <c r="I4" s="97"/>
      <c r="J4" s="97"/>
      <c r="K4" s="96" t="s">
        <v>2</v>
      </c>
      <c r="L4" s="18" t="s">
        <v>75</v>
      </c>
      <c r="M4" s="88"/>
      <c r="O4" s="308" t="str">
        <f>C4</f>
        <v>Patient:</v>
      </c>
      <c r="P4" s="310" t="str">
        <f>D4</f>
        <v>??</v>
      </c>
    </row>
    <row r="5" spans="2:16" ht="13.5" thickBot="1" x14ac:dyDescent="0.25">
      <c r="B5" s="95"/>
      <c r="C5" s="96" t="s">
        <v>1</v>
      </c>
      <c r="D5" s="21" t="s">
        <v>68</v>
      </c>
      <c r="E5" s="97"/>
      <c r="F5" s="96" t="s">
        <v>172</v>
      </c>
      <c r="G5" s="98"/>
      <c r="H5" s="164">
        <v>3</v>
      </c>
      <c r="I5" s="97"/>
      <c r="J5" s="97"/>
      <c r="K5" s="96" t="s">
        <v>3</v>
      </c>
      <c r="L5" s="19" t="s">
        <v>68</v>
      </c>
      <c r="M5" s="88"/>
      <c r="O5" s="308" t="str">
        <f>C5</f>
        <v>CR#:</v>
      </c>
      <c r="P5" s="311" t="str">
        <f>D5</f>
        <v>??</v>
      </c>
    </row>
    <row r="6" spans="2:16" x14ac:dyDescent="0.2">
      <c r="B6" s="100" t="s">
        <v>9</v>
      </c>
      <c r="C6" s="84"/>
      <c r="D6" s="84"/>
      <c r="E6" s="84"/>
      <c r="F6" s="85"/>
      <c r="G6" s="85"/>
      <c r="H6" s="85"/>
      <c r="I6" s="84"/>
      <c r="J6" s="84"/>
      <c r="K6" s="85"/>
      <c r="L6" s="87"/>
      <c r="M6" s="88"/>
      <c r="O6" s="308" t="str">
        <f>K4</f>
        <v>Site:</v>
      </c>
      <c r="P6" s="312" t="str">
        <f>L4</f>
        <v>LUNG</v>
      </c>
    </row>
    <row r="7" spans="2:16" x14ac:dyDescent="0.2">
      <c r="B7" s="95"/>
      <c r="C7" s="97" t="s">
        <v>4</v>
      </c>
      <c r="D7" s="97"/>
      <c r="E7" s="97"/>
      <c r="F7" s="98"/>
      <c r="G7" s="178" t="s">
        <v>68</v>
      </c>
      <c r="H7" s="98"/>
      <c r="I7" s="97"/>
      <c r="J7" s="97"/>
      <c r="K7" s="98"/>
      <c r="L7" s="101"/>
      <c r="M7" s="88"/>
      <c r="O7" s="308" t="str">
        <f>K5</f>
        <v>Plan Name:</v>
      </c>
      <c r="P7" s="311" t="str">
        <f>L5</f>
        <v>??</v>
      </c>
    </row>
    <row r="8" spans="2:16" x14ac:dyDescent="0.2">
      <c r="B8" s="95"/>
      <c r="C8" s="97" t="s">
        <v>5</v>
      </c>
      <c r="D8" s="97"/>
      <c r="E8" s="97"/>
      <c r="F8" s="98"/>
      <c r="G8" s="23" t="s">
        <v>68</v>
      </c>
      <c r="H8" s="98"/>
      <c r="I8" s="97"/>
      <c r="J8" s="97"/>
      <c r="K8" s="98"/>
      <c r="L8" s="101"/>
      <c r="M8" s="88"/>
      <c r="O8" s="308" t="str">
        <f>F4</f>
        <v>Prescription Dose (cGy):</v>
      </c>
      <c r="P8" s="310">
        <f>H4</f>
        <v>5400</v>
      </c>
    </row>
    <row r="9" spans="2:16" x14ac:dyDescent="0.2">
      <c r="B9" s="95"/>
      <c r="C9" s="97" t="s">
        <v>6</v>
      </c>
      <c r="D9" s="97"/>
      <c r="E9" s="97"/>
      <c r="F9" s="98"/>
      <c r="G9" s="178" t="s">
        <v>68</v>
      </c>
      <c r="H9" s="98"/>
      <c r="I9" s="97"/>
      <c r="J9" s="97"/>
      <c r="K9" s="98"/>
      <c r="L9" s="101"/>
      <c r="M9" s="88"/>
      <c r="O9" s="308" t="str">
        <f>F5</f>
        <v>Fractions:</v>
      </c>
      <c r="P9" s="313">
        <f>H5</f>
        <v>3</v>
      </c>
    </row>
    <row r="10" spans="2:16" ht="13.5" thickBot="1" x14ac:dyDescent="0.25">
      <c r="B10" s="90"/>
      <c r="C10" s="91" t="s">
        <v>7</v>
      </c>
      <c r="D10" s="91"/>
      <c r="E10" s="91"/>
      <c r="F10" s="92"/>
      <c r="G10" s="24" t="s">
        <v>68</v>
      </c>
      <c r="H10" s="92"/>
      <c r="I10" s="91"/>
      <c r="J10" s="91"/>
      <c r="K10" s="92"/>
      <c r="L10" s="94"/>
      <c r="M10" s="88"/>
      <c r="O10" s="308" t="str">
        <f>C7</f>
        <v>GTV Volume (cc)</v>
      </c>
      <c r="P10" s="314" t="str">
        <f>G7</f>
        <v>??</v>
      </c>
    </row>
    <row r="11" spans="2:16" x14ac:dyDescent="0.2">
      <c r="B11" s="100" t="s">
        <v>8</v>
      </c>
      <c r="C11" s="84"/>
      <c r="D11" s="84"/>
      <c r="E11" s="216" t="s">
        <v>42</v>
      </c>
      <c r="F11" s="217"/>
      <c r="G11" s="217"/>
      <c r="H11" s="217"/>
      <c r="I11" s="118" t="s">
        <v>37</v>
      </c>
      <c r="J11" s="84"/>
      <c r="K11" s="219" t="s">
        <v>37</v>
      </c>
      <c r="L11" s="220" t="s">
        <v>37</v>
      </c>
      <c r="M11" s="88"/>
      <c r="O11" s="308" t="str">
        <f>C8</f>
        <v>ITV Volume (cc):</v>
      </c>
      <c r="P11" s="314" t="str">
        <f>G8</f>
        <v>??</v>
      </c>
    </row>
    <row r="12" spans="2:16" x14ac:dyDescent="0.2">
      <c r="B12" s="102"/>
      <c r="C12" s="107"/>
      <c r="D12" s="108"/>
      <c r="E12" s="108"/>
      <c r="F12" s="108"/>
      <c r="G12" s="109" t="s">
        <v>145</v>
      </c>
      <c r="H12" s="110" t="s">
        <v>48</v>
      </c>
      <c r="I12" s="111" t="s">
        <v>20</v>
      </c>
      <c r="J12" s="108"/>
      <c r="K12" s="109" t="s">
        <v>19</v>
      </c>
      <c r="L12" s="112" t="s">
        <v>11</v>
      </c>
      <c r="M12" s="113" t="s">
        <v>44</v>
      </c>
      <c r="O12" s="308" t="str">
        <f>C9</f>
        <v>PTV Volume (cc)</v>
      </c>
      <c r="P12" s="315" t="str">
        <f>G9</f>
        <v>??</v>
      </c>
    </row>
    <row r="13" spans="2:16" x14ac:dyDescent="0.2">
      <c r="B13" s="102"/>
      <c r="C13" s="114"/>
      <c r="D13" s="97"/>
      <c r="E13" s="97"/>
      <c r="F13" s="98"/>
      <c r="G13" s="115" t="s">
        <v>60</v>
      </c>
      <c r="H13" s="105"/>
      <c r="I13" s="96"/>
      <c r="J13" s="97"/>
      <c r="K13" s="115" t="s">
        <v>18</v>
      </c>
      <c r="L13" s="101"/>
      <c r="M13" s="88"/>
      <c r="O13" s="308" t="str">
        <f>C10</f>
        <v>Total Lung Volume (cc)</v>
      </c>
      <c r="P13" s="314" t="str">
        <f>G10</f>
        <v>??</v>
      </c>
    </row>
    <row r="14" spans="2:16" x14ac:dyDescent="0.2">
      <c r="B14" s="102"/>
      <c r="C14" s="107" t="s">
        <v>45</v>
      </c>
      <c r="D14" s="108"/>
      <c r="E14" s="108"/>
      <c r="F14" s="116"/>
      <c r="G14" s="274" t="str">
        <f>IFERROR(H14*$H$4,"??")</f>
        <v>??</v>
      </c>
      <c r="H14" s="169" t="s">
        <v>68</v>
      </c>
      <c r="I14" s="225" t="b">
        <f>AND((H14&gt;59.99%),(H14&lt;90.01%))</f>
        <v>0</v>
      </c>
      <c r="J14" s="108"/>
      <c r="K14" s="117" t="s">
        <v>23</v>
      </c>
      <c r="L14" s="10" t="str">
        <f>IF(I14=TRUE, "Yes", "No")</f>
        <v>No</v>
      </c>
      <c r="M14" s="88" t="s">
        <v>46</v>
      </c>
      <c r="O14" s="308" t="str">
        <f>C14</f>
        <v>Plan Normalization Value (%)</v>
      </c>
      <c r="P14" s="316" t="str">
        <f>H14</f>
        <v>??</v>
      </c>
    </row>
    <row r="15" spans="2:16" ht="13.5" thickBot="1" x14ac:dyDescent="0.25">
      <c r="B15" s="95"/>
      <c r="C15" s="107" t="s">
        <v>144</v>
      </c>
      <c r="D15" s="108"/>
      <c r="E15" s="108"/>
      <c r="F15" s="116"/>
      <c r="G15" s="15" t="s">
        <v>68</v>
      </c>
      <c r="H15" s="224" t="str">
        <f>IFERROR(G15/$H$4,"??")</f>
        <v>??</v>
      </c>
      <c r="I15" s="225" t="b">
        <f>AND((H15&gt;111%),(H15&lt;166.8%))</f>
        <v>0</v>
      </c>
      <c r="J15" s="108" t="s">
        <v>37</v>
      </c>
      <c r="K15" s="117" t="s">
        <v>47</v>
      </c>
      <c r="L15" s="10" t="str">
        <f>IF(I15=TRUE, "Yes", "No")</f>
        <v>No</v>
      </c>
      <c r="M15" s="88" t="s">
        <v>56</v>
      </c>
      <c r="O15" s="308" t="str">
        <f>C15</f>
        <v>Dose @COM-PTV (cGy)</v>
      </c>
      <c r="P15" s="316" t="str">
        <f>G15</f>
        <v>??</v>
      </c>
    </row>
    <row r="16" spans="2:16" x14ac:dyDescent="0.2">
      <c r="B16" s="100" t="s">
        <v>30</v>
      </c>
      <c r="C16" s="118"/>
      <c r="D16" s="84"/>
      <c r="E16" s="84"/>
      <c r="F16" s="119"/>
      <c r="G16" s="226"/>
      <c r="H16" s="85"/>
      <c r="I16" s="227"/>
      <c r="J16" s="84"/>
      <c r="K16" s="120"/>
      <c r="L16" s="11"/>
      <c r="M16" s="88"/>
      <c r="O16" s="308" t="str">
        <f>C17</f>
        <v>PTV- Minimum Dose</v>
      </c>
      <c r="P16" s="314" t="str">
        <f>G17</f>
        <v>??</v>
      </c>
    </row>
    <row r="17" spans="2:16" x14ac:dyDescent="0.2">
      <c r="B17" s="95"/>
      <c r="C17" s="107" t="s">
        <v>41</v>
      </c>
      <c r="D17" s="108"/>
      <c r="E17" s="108"/>
      <c r="F17" s="116"/>
      <c r="G17" s="5" t="s">
        <v>68</v>
      </c>
      <c r="H17" s="228" t="str">
        <f>IFERROR(G17/$H$4,"??")</f>
        <v>??</v>
      </c>
      <c r="I17" s="225" t="b">
        <f>AND((H17&gt;59.99%),(H17&lt;90.01%))</f>
        <v>0</v>
      </c>
      <c r="J17" s="108"/>
      <c r="K17" s="117" t="s">
        <v>23</v>
      </c>
      <c r="L17" s="10" t="str">
        <f>IF(I17=TRUE, "Yes", "No")</f>
        <v>No</v>
      </c>
      <c r="M17" s="88"/>
      <c r="O17" s="308" t="str">
        <f>C18</f>
        <v>PTV - V100(%)</v>
      </c>
      <c r="P17" s="317" t="str">
        <f>H18</f>
        <v>??</v>
      </c>
    </row>
    <row r="18" spans="2:16" x14ac:dyDescent="0.2">
      <c r="B18" s="95"/>
      <c r="C18" s="114" t="s">
        <v>71</v>
      </c>
      <c r="D18" s="97"/>
      <c r="E18" s="97"/>
      <c r="F18" s="98"/>
      <c r="G18" s="275">
        <f>H4</f>
        <v>5400</v>
      </c>
      <c r="H18" s="175" t="s">
        <v>68</v>
      </c>
      <c r="I18" s="123"/>
      <c r="J18" s="123"/>
      <c r="K18" s="124">
        <v>0.95</v>
      </c>
      <c r="L18" s="12" t="str">
        <f>IF(H18&gt;=K18,"Yes","No")</f>
        <v>Yes</v>
      </c>
      <c r="M18" s="89" t="s">
        <v>154</v>
      </c>
      <c r="O18" s="308" t="str">
        <f>C19</f>
        <v>PTV - V90 (%)</v>
      </c>
      <c r="P18" s="317" t="str">
        <f>H19</f>
        <v>??</v>
      </c>
    </row>
    <row r="19" spans="2:16" ht="13.5" thickBot="1" x14ac:dyDescent="0.25">
      <c r="B19" s="90"/>
      <c r="C19" s="125" t="s">
        <v>72</v>
      </c>
      <c r="D19" s="91"/>
      <c r="E19" s="91"/>
      <c r="F19" s="92"/>
      <c r="G19" s="276">
        <f>0.9*H4</f>
        <v>4860</v>
      </c>
      <c r="H19" s="176" t="s">
        <v>68</v>
      </c>
      <c r="I19" s="127"/>
      <c r="J19" s="91"/>
      <c r="K19" s="128">
        <v>0.99</v>
      </c>
      <c r="L19" s="13" t="str">
        <f>IF(H19&gt;=K19,"Yes","No")</f>
        <v>Yes</v>
      </c>
      <c r="M19" s="89" t="s">
        <v>155</v>
      </c>
      <c r="O19" s="308" t="str">
        <f>CONCATENATE(C21," ",D21)</f>
        <v>Location V105% - PTV (cc) =</v>
      </c>
      <c r="P19" s="317" t="str">
        <f>G21</f>
        <v>??</v>
      </c>
    </row>
    <row r="20" spans="2:16" x14ac:dyDescent="0.2">
      <c r="B20" s="102" t="s">
        <v>39</v>
      </c>
      <c r="C20" s="97"/>
      <c r="D20" s="97"/>
      <c r="E20" s="97"/>
      <c r="F20" s="98"/>
      <c r="G20" s="129"/>
      <c r="H20" s="277"/>
      <c r="I20" s="97"/>
      <c r="J20" s="97"/>
      <c r="K20" s="130"/>
      <c r="L20" s="14"/>
      <c r="M20" s="88"/>
      <c r="O20" s="308" t="str">
        <f>CONCATENATE(C22," ",D22)</f>
        <v>Volume V100% (cc) =</v>
      </c>
      <c r="P20" s="317" t="str">
        <f>G22</f>
        <v>??</v>
      </c>
    </row>
    <row r="21" spans="2:16" ht="15.75" x14ac:dyDescent="0.3">
      <c r="B21" s="102" t="s">
        <v>37</v>
      </c>
      <c r="C21" s="131" t="s">
        <v>40</v>
      </c>
      <c r="D21" s="123" t="s">
        <v>115</v>
      </c>
      <c r="E21" s="123"/>
      <c r="F21" s="132"/>
      <c r="G21" s="16" t="s">
        <v>68</v>
      </c>
      <c r="H21" s="173" t="str">
        <f>IFERROR(G21/G9,"??")</f>
        <v>??</v>
      </c>
      <c r="I21" s="123"/>
      <c r="J21" s="123"/>
      <c r="K21" s="17" t="s">
        <v>10</v>
      </c>
      <c r="L21" s="12" t="str">
        <f>IF(H21&lt;=15%,"Yes","No")</f>
        <v>No</v>
      </c>
      <c r="M21" s="88" t="s">
        <v>49</v>
      </c>
      <c r="O21" s="308" t="str">
        <f>CONCATENATE(C24," ",D24)</f>
        <v>Location  D³2cm (%) =</v>
      </c>
      <c r="P21" s="318" t="str">
        <f>G24</f>
        <v>??</v>
      </c>
    </row>
    <row r="22" spans="2:16" ht="16.5" thickBot="1" x14ac:dyDescent="0.35">
      <c r="B22" s="133" t="s">
        <v>37</v>
      </c>
      <c r="C22" s="134" t="s">
        <v>43</v>
      </c>
      <c r="D22" s="91" t="s">
        <v>114</v>
      </c>
      <c r="E22" s="91"/>
      <c r="F22" s="92"/>
      <c r="G22" s="9" t="s">
        <v>68</v>
      </c>
      <c r="H22" s="174" t="str">
        <f>IFERROR('Calculations 54Gy 3F'!J31,"??")</f>
        <v>??</v>
      </c>
      <c r="I22" s="135" t="s">
        <v>37</v>
      </c>
      <c r="J22" s="91"/>
      <c r="K22" s="136" t="s">
        <v>12</v>
      </c>
      <c r="L22" s="82" t="str">
        <f ca="1">IFERROR('Calculations 54Gy 3F'!K31,"No")</f>
        <v>No</v>
      </c>
      <c r="M22" s="88" t="s">
        <v>53</v>
      </c>
      <c r="O22" s="308" t="str">
        <f>C25</f>
        <v>Volume(R50)</v>
      </c>
      <c r="P22" s="318" t="str">
        <f>G25</f>
        <v>??</v>
      </c>
    </row>
    <row r="23" spans="2:16" x14ac:dyDescent="0.2">
      <c r="B23" s="100" t="s">
        <v>38</v>
      </c>
      <c r="C23" s="84"/>
      <c r="D23" s="84"/>
      <c r="E23" s="84"/>
      <c r="F23" s="85"/>
      <c r="G23" s="120"/>
      <c r="H23" s="278"/>
      <c r="I23" s="84"/>
      <c r="J23" s="84"/>
      <c r="K23" s="120"/>
      <c r="L23" s="11"/>
      <c r="M23" s="88"/>
      <c r="O23" s="308" t="str">
        <f>C29</f>
        <v>Mean Dose (contralateral lung)</v>
      </c>
      <c r="P23" s="318" t="str">
        <f>G29</f>
        <v>??</v>
      </c>
    </row>
    <row r="24" spans="2:16" ht="14.25" x14ac:dyDescent="0.25">
      <c r="B24" s="102" t="s">
        <v>37</v>
      </c>
      <c r="C24" s="131" t="s">
        <v>161</v>
      </c>
      <c r="D24" s="137" t="s">
        <v>50</v>
      </c>
      <c r="E24" s="123"/>
      <c r="F24" s="132"/>
      <c r="G24" s="324" t="s">
        <v>68</v>
      </c>
      <c r="H24" s="323" t="str">
        <f>IFERROR(G24/H4,"??")</f>
        <v>??</v>
      </c>
      <c r="I24" s="140"/>
      <c r="J24" s="123"/>
      <c r="K24" s="162" t="str">
        <f ca="1">IFERROR('Calculations 54Gy 3F'!L27/100,"??")</f>
        <v>??</v>
      </c>
      <c r="L24" s="81" t="str">
        <f ca="1">IFERROR('Calculations 54Gy 3F'!K33,"No")</f>
        <v>No</v>
      </c>
      <c r="M24" s="141" t="s">
        <v>55</v>
      </c>
      <c r="O24" s="308" t="str">
        <f>C30</f>
        <v>Mean Dose (Total lung)</v>
      </c>
      <c r="P24" s="318" t="str">
        <f>G30</f>
        <v>??</v>
      </c>
    </row>
    <row r="25" spans="2:16" ht="16.5" thickBot="1" x14ac:dyDescent="0.35">
      <c r="B25" s="133" t="s">
        <v>37</v>
      </c>
      <c r="C25" s="134" t="s">
        <v>162</v>
      </c>
      <c r="D25" s="91"/>
      <c r="E25" s="91"/>
      <c r="F25" s="188" t="s">
        <v>163</v>
      </c>
      <c r="G25" s="325" t="s">
        <v>68</v>
      </c>
      <c r="H25" s="142" t="str">
        <f>IFERROR('Calculations 54Gy 3F'!J32,"??")</f>
        <v>??</v>
      </c>
      <c r="I25" s="143" t="s">
        <v>37</v>
      </c>
      <c r="J25" s="91"/>
      <c r="K25" s="163" t="str">
        <f ca="1">IFERROR('Calculations 54Gy 3F'!I27,"??")</f>
        <v>??</v>
      </c>
      <c r="L25" s="82" t="str">
        <f ca="1">IFERROR('Calculations 54Gy 3F'!K32,"No")</f>
        <v>No</v>
      </c>
      <c r="M25" s="88" t="s">
        <v>54</v>
      </c>
      <c r="O25" s="308" t="str">
        <f>C31</f>
        <v>V20 (Total Lung) in %</v>
      </c>
      <c r="P25" s="318" t="str">
        <f>G31</f>
        <v>??</v>
      </c>
    </row>
    <row r="26" spans="2:16" x14ac:dyDescent="0.2">
      <c r="B26" s="102" t="s">
        <v>22</v>
      </c>
      <c r="C26" s="97"/>
      <c r="D26" s="97"/>
      <c r="E26" s="97"/>
      <c r="F26" s="98"/>
      <c r="G26" s="115" t="s">
        <v>29</v>
      </c>
      <c r="H26" s="105" t="s">
        <v>48</v>
      </c>
      <c r="I26" s="144"/>
      <c r="J26" s="144"/>
      <c r="K26" s="145" t="s">
        <v>34</v>
      </c>
      <c r="L26" s="146"/>
      <c r="M26" s="88"/>
      <c r="O26" s="308" t="str">
        <f>CONCATENATE(C32," ",F32)</f>
        <v>Lung-Basic Function V11.6Gy=</v>
      </c>
      <c r="P26" s="318" t="str">
        <f>G32</f>
        <v>??</v>
      </c>
    </row>
    <row r="27" spans="2:16" ht="13.5" thickBot="1" x14ac:dyDescent="0.25">
      <c r="B27" s="102" t="s">
        <v>37</v>
      </c>
      <c r="C27" s="97"/>
      <c r="D27" s="97"/>
      <c r="E27" s="97"/>
      <c r="F27" s="98"/>
      <c r="G27" s="115" t="s">
        <v>21</v>
      </c>
      <c r="H27" s="277"/>
      <c r="I27" s="144"/>
      <c r="J27" s="144"/>
      <c r="K27" s="279" t="s">
        <v>61</v>
      </c>
      <c r="L27" s="146"/>
      <c r="M27" s="88"/>
      <c r="O27" s="308" t="str">
        <f>CONCATENATE(C33," ",F33)</f>
        <v>Lung-Pneumonitis V12.4Gy=</v>
      </c>
      <c r="P27" s="318" t="str">
        <f>G33</f>
        <v>??</v>
      </c>
    </row>
    <row r="28" spans="2:16" x14ac:dyDescent="0.2">
      <c r="B28" s="102" t="s">
        <v>37</v>
      </c>
      <c r="C28" s="100" t="s">
        <v>24</v>
      </c>
      <c r="D28" s="84"/>
      <c r="E28" s="84"/>
      <c r="F28" s="85"/>
      <c r="G28" s="120"/>
      <c r="H28" s="278"/>
      <c r="I28" s="84"/>
      <c r="J28" s="84"/>
      <c r="K28" s="120"/>
      <c r="L28" s="11"/>
      <c r="M28" s="88"/>
      <c r="O28" s="308" t="str">
        <f>CONCATENATE(C35," ",F35)</f>
        <v>Aorta  (max point dose)</v>
      </c>
      <c r="P28" s="318" t="str">
        <f>G35</f>
        <v>??</v>
      </c>
    </row>
    <row r="29" spans="2:16" x14ac:dyDescent="0.2">
      <c r="B29" s="95"/>
      <c r="C29" s="95" t="s">
        <v>25</v>
      </c>
      <c r="D29" s="97"/>
      <c r="E29" s="97"/>
      <c r="F29" s="98"/>
      <c r="G29" s="6" t="s">
        <v>68</v>
      </c>
      <c r="H29" s="185"/>
      <c r="I29" s="123"/>
      <c r="J29" s="123"/>
      <c r="K29" s="17"/>
      <c r="L29" s="280"/>
      <c r="M29" s="88"/>
      <c r="O29" s="308" t="str">
        <f>CONCATENATE(C36," ",F35)</f>
        <v>Artery-Pulmnory (max point dose)</v>
      </c>
      <c r="P29" s="318" t="str">
        <f t="shared" ref="P29:P38" si="0">G36</f>
        <v>??</v>
      </c>
    </row>
    <row r="30" spans="2:16" x14ac:dyDescent="0.2">
      <c r="B30" s="95"/>
      <c r="C30" s="95" t="s">
        <v>26</v>
      </c>
      <c r="D30" s="97"/>
      <c r="E30" s="97"/>
      <c r="F30" s="98"/>
      <c r="G30" s="7" t="s">
        <v>68</v>
      </c>
      <c r="H30" s="281"/>
      <c r="I30" s="148"/>
      <c r="J30" s="148"/>
      <c r="K30" s="149"/>
      <c r="L30" s="282"/>
      <c r="M30" s="88"/>
      <c r="O30" s="308" t="str">
        <f>CONCATENATE(C37," ",F37)</f>
        <v>Spinal Canal (max point dose)</v>
      </c>
      <c r="P30" s="318" t="str">
        <f t="shared" si="0"/>
        <v>??</v>
      </c>
    </row>
    <row r="31" spans="2:16" ht="13.5" thickBot="1" x14ac:dyDescent="0.25">
      <c r="B31" s="95"/>
      <c r="C31" s="95" t="s">
        <v>120</v>
      </c>
      <c r="D31" s="97"/>
      <c r="E31" s="97"/>
      <c r="F31" s="188" t="s">
        <v>150</v>
      </c>
      <c r="G31" s="187" t="s">
        <v>68</v>
      </c>
      <c r="H31" s="192" t="s">
        <v>37</v>
      </c>
      <c r="I31" s="123"/>
      <c r="J31" s="123"/>
      <c r="K31" s="283" t="str">
        <f ca="1">IFERROR('Calculations 54Gy 3F'!O27,"??")</f>
        <v>??</v>
      </c>
      <c r="L31" s="81" t="str">
        <f ca="1">IFERROR('Calculations 54Gy 3F'!K34,"No")</f>
        <v>No</v>
      </c>
      <c r="M31" s="88" t="s">
        <v>52</v>
      </c>
      <c r="O31" s="308" t="str">
        <f>CONCATENATE(C38," ",F37)</f>
        <v>Spinal Canal-PRV 5mm (max point dose)</v>
      </c>
      <c r="P31" s="318" t="str">
        <f t="shared" si="0"/>
        <v>??</v>
      </c>
    </row>
    <row r="32" spans="2:16" x14ac:dyDescent="0.2">
      <c r="B32" s="95"/>
      <c r="C32" s="95" t="s">
        <v>66</v>
      </c>
      <c r="D32" s="97"/>
      <c r="E32" s="97"/>
      <c r="F32" s="277" t="s">
        <v>133</v>
      </c>
      <c r="G32" s="6" t="s">
        <v>68</v>
      </c>
      <c r="H32" s="236" t="s">
        <v>151</v>
      </c>
      <c r="I32" s="123"/>
      <c r="J32" s="123"/>
      <c r="K32" s="283">
        <v>1500</v>
      </c>
      <c r="L32" s="196" t="str">
        <f>IF(G32&lt;=K32,"Yes","No")</f>
        <v>No</v>
      </c>
      <c r="M32" s="141" t="s">
        <v>73</v>
      </c>
      <c r="O32" s="308" t="str">
        <f>CONCATENATE(C39," ",F39)</f>
        <v>Ipsilat Brach.Plex (max point dose)</v>
      </c>
      <c r="P32" s="318" t="str">
        <f t="shared" si="0"/>
        <v>??</v>
      </c>
    </row>
    <row r="33" spans="1:16" ht="13.5" thickBot="1" x14ac:dyDescent="0.25">
      <c r="B33" s="95"/>
      <c r="C33" s="95" t="s">
        <v>67</v>
      </c>
      <c r="D33" s="97"/>
      <c r="E33" s="97"/>
      <c r="F33" s="98" t="s">
        <v>134</v>
      </c>
      <c r="G33" s="8" t="s">
        <v>68</v>
      </c>
      <c r="H33" s="236" t="s">
        <v>149</v>
      </c>
      <c r="I33" s="97"/>
      <c r="J33" s="97"/>
      <c r="K33" s="145">
        <v>1000</v>
      </c>
      <c r="L33" s="14" t="str">
        <f>IF(G33&lt;=K33,"Yes","No")</f>
        <v>No</v>
      </c>
      <c r="M33" s="141" t="s">
        <v>74</v>
      </c>
      <c r="O33" s="308" t="str">
        <f>CONCATENATE(C40," ",F40)</f>
        <v>Skin V30Gy=</v>
      </c>
      <c r="P33" s="318" t="str">
        <f t="shared" si="0"/>
        <v>??</v>
      </c>
    </row>
    <row r="34" spans="1:16" x14ac:dyDescent="0.2">
      <c r="B34" s="102" t="s">
        <v>37</v>
      </c>
      <c r="C34" s="100" t="s">
        <v>51</v>
      </c>
      <c r="D34" s="84"/>
      <c r="E34" s="84"/>
      <c r="F34" s="85"/>
      <c r="G34" s="120"/>
      <c r="H34" s="85"/>
      <c r="I34" s="84"/>
      <c r="J34" s="84"/>
      <c r="K34" s="120"/>
      <c r="L34" s="87"/>
      <c r="M34" s="88"/>
      <c r="O34" s="308" t="str">
        <f>CONCATENATE(C41," ",F41)</f>
        <v>Heart (max point dose)</v>
      </c>
      <c r="P34" s="318" t="str">
        <f t="shared" si="0"/>
        <v>??</v>
      </c>
    </row>
    <row r="35" spans="1:16" x14ac:dyDescent="0.2">
      <c r="B35" s="95"/>
      <c r="C35" s="210" t="s">
        <v>132</v>
      </c>
      <c r="D35" s="108" t="s">
        <v>37</v>
      </c>
      <c r="E35" s="108"/>
      <c r="F35" s="150" t="s">
        <v>62</v>
      </c>
      <c r="G35" s="3" t="s">
        <v>68</v>
      </c>
      <c r="H35" s="116"/>
      <c r="I35" s="108"/>
      <c r="J35" s="108"/>
      <c r="K35" s="109">
        <v>3000</v>
      </c>
      <c r="L35" s="10" t="str">
        <f t="shared" ref="L35:L46" si="1">IF(G35&lt;=K35,"Yes","No")</f>
        <v>No</v>
      </c>
      <c r="M35" s="88"/>
      <c r="O35" s="308" t="str">
        <f>CONCATENATE(C42," ",F42)</f>
        <v>Esophagus (max point dose)</v>
      </c>
      <c r="P35" s="318" t="str">
        <f t="shared" si="0"/>
        <v>??</v>
      </c>
    </row>
    <row r="36" spans="1:16" x14ac:dyDescent="0.2">
      <c r="B36" s="95"/>
      <c r="C36" s="195" t="s">
        <v>33</v>
      </c>
      <c r="D36" s="97"/>
      <c r="E36" s="97"/>
      <c r="F36" s="98"/>
      <c r="G36" s="3" t="s">
        <v>68</v>
      </c>
      <c r="H36" s="116"/>
      <c r="I36" s="108"/>
      <c r="J36" s="108"/>
      <c r="K36" s="109">
        <v>3000</v>
      </c>
      <c r="L36" s="10" t="str">
        <f t="shared" si="1"/>
        <v>No</v>
      </c>
      <c r="M36" s="88"/>
      <c r="O36" s="308" t="str">
        <f>CONCATENATE(C43," ",F43)</f>
        <v>*Chestwall (rib) (max point dose)</v>
      </c>
      <c r="P36" s="318" t="str">
        <f t="shared" si="0"/>
        <v>??</v>
      </c>
    </row>
    <row r="37" spans="1:16" x14ac:dyDescent="0.2">
      <c r="B37" s="95"/>
      <c r="C37" s="152" t="s">
        <v>15</v>
      </c>
      <c r="D37" s="108"/>
      <c r="E37" s="108"/>
      <c r="F37" s="150" t="s">
        <v>62</v>
      </c>
      <c r="G37" s="5" t="s">
        <v>68</v>
      </c>
      <c r="H37" s="284" t="s">
        <v>37</v>
      </c>
      <c r="I37" s="108"/>
      <c r="J37" s="108"/>
      <c r="K37" s="117">
        <v>1800</v>
      </c>
      <c r="L37" s="10" t="str">
        <f t="shared" si="1"/>
        <v>No</v>
      </c>
      <c r="M37" s="88" t="s">
        <v>63</v>
      </c>
      <c r="O37" s="308" t="str">
        <f>CONCATENATE(C43," ",F44)</f>
        <v>*Chestwall (rib) V28.2Gy=</v>
      </c>
      <c r="P37" s="318" t="str">
        <f t="shared" si="0"/>
        <v>??</v>
      </c>
    </row>
    <row r="38" spans="1:16" x14ac:dyDescent="0.2">
      <c r="B38" s="95"/>
      <c r="C38" s="248" t="s">
        <v>35</v>
      </c>
      <c r="D38" s="123"/>
      <c r="E38" s="123"/>
      <c r="F38" s="132"/>
      <c r="G38" s="6" t="s">
        <v>68</v>
      </c>
      <c r="H38" s="132"/>
      <c r="I38" s="123"/>
      <c r="J38" s="123"/>
      <c r="K38" s="17">
        <v>2000</v>
      </c>
      <c r="L38" s="12" t="str">
        <f t="shared" si="1"/>
        <v>No</v>
      </c>
      <c r="M38" s="88"/>
      <c r="O38" s="308" t="str">
        <f>CONCATENATE(C43," ",F45)</f>
        <v>*Chestwall (rib) V30Gy=</v>
      </c>
      <c r="P38" s="318" t="str">
        <f t="shared" si="0"/>
        <v>??</v>
      </c>
    </row>
    <row r="39" spans="1:16" x14ac:dyDescent="0.2">
      <c r="B39" s="95"/>
      <c r="C39" s="152" t="s">
        <v>64</v>
      </c>
      <c r="D39" s="108"/>
      <c r="E39" s="108"/>
      <c r="F39" s="285" t="s">
        <v>62</v>
      </c>
      <c r="G39" s="5" t="s">
        <v>68</v>
      </c>
      <c r="H39" s="116"/>
      <c r="I39" s="108"/>
      <c r="J39" s="108"/>
      <c r="K39" s="117">
        <v>2400</v>
      </c>
      <c r="L39" s="10" t="str">
        <f t="shared" si="1"/>
        <v>No</v>
      </c>
      <c r="M39" s="88" t="s">
        <v>28</v>
      </c>
      <c r="O39" s="308" t="str">
        <f>A46</f>
        <v>Trachea</v>
      </c>
      <c r="P39" s="319">
        <f>A47</f>
        <v>0</v>
      </c>
    </row>
    <row r="40" spans="1:16" ht="15.75" x14ac:dyDescent="0.3">
      <c r="B40" s="95"/>
      <c r="C40" s="286" t="s">
        <v>14</v>
      </c>
      <c r="D40" s="287" t="s">
        <v>157</v>
      </c>
      <c r="E40" s="288"/>
      <c r="F40" s="289" t="s">
        <v>158</v>
      </c>
      <c r="G40" s="183" t="s">
        <v>68</v>
      </c>
      <c r="H40" s="290" t="s">
        <v>37</v>
      </c>
      <c r="I40" s="291"/>
      <c r="J40" s="291"/>
      <c r="K40" s="292">
        <v>10</v>
      </c>
      <c r="L40" s="293" t="str">
        <f t="shared" si="1"/>
        <v>No</v>
      </c>
      <c r="M40" s="88" t="s">
        <v>28</v>
      </c>
      <c r="O40" s="308" t="str">
        <f>B46</f>
        <v>Bronchus</v>
      </c>
      <c r="P40" s="319">
        <f>B47</f>
        <v>0</v>
      </c>
    </row>
    <row r="41" spans="1:16" x14ac:dyDescent="0.2">
      <c r="B41" s="95"/>
      <c r="C41" s="152" t="s">
        <v>17</v>
      </c>
      <c r="D41" s="108"/>
      <c r="E41" s="108"/>
      <c r="F41" s="150" t="s">
        <v>62</v>
      </c>
      <c r="G41" s="5" t="s">
        <v>68</v>
      </c>
      <c r="H41" s="284" t="s">
        <v>37</v>
      </c>
      <c r="I41" s="108"/>
      <c r="J41" s="108"/>
      <c r="K41" s="117">
        <v>3000</v>
      </c>
      <c r="L41" s="10" t="str">
        <f t="shared" si="1"/>
        <v>No</v>
      </c>
      <c r="M41" s="88" t="s">
        <v>65</v>
      </c>
      <c r="O41" s="308" t="str">
        <f>CONCATENATE(C46," ",C47," ",F46)</f>
        <v>Proximal Trachea and Bronchial Tree (max point dose)</v>
      </c>
      <c r="P41" s="318" t="str">
        <f>G46</f>
        <v>??</v>
      </c>
    </row>
    <row r="42" spans="1:16" x14ac:dyDescent="0.2">
      <c r="B42" s="95"/>
      <c r="C42" s="152" t="s">
        <v>13</v>
      </c>
      <c r="D42" s="108"/>
      <c r="E42" s="108"/>
      <c r="F42" s="150" t="s">
        <v>62</v>
      </c>
      <c r="G42" s="5" t="s">
        <v>68</v>
      </c>
      <c r="H42" s="116"/>
      <c r="I42" s="108"/>
      <c r="J42" s="108"/>
      <c r="K42" s="117">
        <v>2700</v>
      </c>
      <c r="L42" s="10" t="str">
        <f t="shared" si="1"/>
        <v>No</v>
      </c>
      <c r="M42" s="88" t="s">
        <v>28</v>
      </c>
      <c r="O42" s="308" t="str">
        <f>C48</f>
        <v>Dosimetrist:</v>
      </c>
      <c r="P42" s="312" t="str">
        <f>C49</f>
        <v>??</v>
      </c>
    </row>
    <row r="43" spans="1:16" x14ac:dyDescent="0.2">
      <c r="B43" s="95"/>
      <c r="C43" s="152" t="s">
        <v>127</v>
      </c>
      <c r="D43" s="108"/>
      <c r="E43" s="108"/>
      <c r="F43" s="150" t="s">
        <v>62</v>
      </c>
      <c r="G43" s="5" t="s">
        <v>68</v>
      </c>
      <c r="H43" s="116"/>
      <c r="I43" s="108"/>
      <c r="J43" s="108"/>
      <c r="K43" s="117">
        <v>3480</v>
      </c>
      <c r="L43" s="10" t="str">
        <f t="shared" si="1"/>
        <v>No</v>
      </c>
      <c r="M43" s="88" t="s">
        <v>63</v>
      </c>
      <c r="O43" s="308" t="str">
        <f>G48</f>
        <v>Physicist:</v>
      </c>
      <c r="P43" s="312" t="str">
        <f>G49</f>
        <v>??</v>
      </c>
    </row>
    <row r="44" spans="1:16" ht="14.25" x14ac:dyDescent="0.25">
      <c r="B44" s="95"/>
      <c r="C44" s="95"/>
      <c r="D44" s="144" t="s">
        <v>156</v>
      </c>
      <c r="E44" s="97"/>
      <c r="F44" s="99" t="s">
        <v>143</v>
      </c>
      <c r="G44" s="4" t="str">
        <f>IF(G43&lt;=2820,"OK","??")</f>
        <v>??</v>
      </c>
      <c r="H44" s="132"/>
      <c r="I44" s="123"/>
      <c r="J44" s="123"/>
      <c r="K44" s="17">
        <v>1</v>
      </c>
      <c r="L44" s="12" t="str">
        <f>IF(G43&lt;=2820,"Yes",IF(G44&lt;=K44,"Yes","No"))</f>
        <v>No</v>
      </c>
      <c r="M44" s="88" t="s">
        <v>65</v>
      </c>
      <c r="O44" s="308" t="str">
        <f>J48</f>
        <v>Radiation Oncologist:</v>
      </c>
      <c r="P44" s="312" t="str">
        <f>K49</f>
        <v>??</v>
      </c>
    </row>
    <row r="45" spans="1:16" ht="15" thickBot="1" x14ac:dyDescent="0.3">
      <c r="B45" s="95"/>
      <c r="C45" s="95"/>
      <c r="D45" s="294" t="s">
        <v>129</v>
      </c>
      <c r="E45" s="253" t="s">
        <v>37</v>
      </c>
      <c r="F45" s="295" t="s">
        <v>121</v>
      </c>
      <c r="G45" s="7" t="str">
        <f>IF(G43&lt;=3000,"OK","??")</f>
        <v>??</v>
      </c>
      <c r="H45" s="147"/>
      <c r="I45" s="148"/>
      <c r="J45" s="148"/>
      <c r="K45" s="149">
        <v>30</v>
      </c>
      <c r="L45" s="12" t="str">
        <f>IF(G43&lt;=3000,"Yes",IF(G45&lt;=K45,"Yes","No"))</f>
        <v>No</v>
      </c>
      <c r="M45" s="88"/>
      <c r="O45" s="308" t="str">
        <f>B50</f>
        <v>NOTES:</v>
      </c>
      <c r="P45" s="312">
        <f>C50</f>
        <v>0</v>
      </c>
    </row>
    <row r="46" spans="1:16" ht="13.5" thickBot="1" x14ac:dyDescent="0.25">
      <c r="A46" s="299" t="s">
        <v>209</v>
      </c>
      <c r="B46" s="300" t="s">
        <v>210</v>
      </c>
      <c r="C46" s="152" t="s">
        <v>16</v>
      </c>
      <c r="D46" s="108"/>
      <c r="E46" s="108"/>
      <c r="F46" s="150" t="s">
        <v>62</v>
      </c>
      <c r="G46" s="5" t="str">
        <f>IF(MAX(A47:B47)&gt;0,MAX(A47:B47),"??")</f>
        <v>??</v>
      </c>
      <c r="H46" s="116" t="s">
        <v>37</v>
      </c>
      <c r="I46" s="108"/>
      <c r="J46" s="108"/>
      <c r="K46" s="117">
        <v>3000</v>
      </c>
      <c r="L46" s="10" t="str">
        <f t="shared" si="1"/>
        <v>No</v>
      </c>
      <c r="M46" s="88" t="s">
        <v>65</v>
      </c>
      <c r="O46" s="305"/>
    </row>
    <row r="47" spans="1:16" ht="13.5" thickBot="1" x14ac:dyDescent="0.25">
      <c r="A47" s="303">
        <v>0</v>
      </c>
      <c r="B47" s="304">
        <v>0</v>
      </c>
      <c r="C47" s="95" t="s">
        <v>125</v>
      </c>
      <c r="D47" s="97"/>
      <c r="E47" s="97"/>
      <c r="F47" s="151"/>
      <c r="G47" s="8" t="s">
        <v>37</v>
      </c>
      <c r="H47" s="98"/>
      <c r="I47" s="97"/>
      <c r="J47" s="97"/>
      <c r="K47" s="129"/>
      <c r="L47" s="14"/>
      <c r="M47" s="88"/>
      <c r="O47" s="305"/>
    </row>
    <row r="48" spans="1:16" x14ac:dyDescent="0.2">
      <c r="B48" s="95"/>
      <c r="C48" s="118" t="s">
        <v>57</v>
      </c>
      <c r="D48" s="84"/>
      <c r="E48" s="84"/>
      <c r="F48" s="85"/>
      <c r="G48" s="86" t="s">
        <v>58</v>
      </c>
      <c r="H48" s="85"/>
      <c r="I48" s="84"/>
      <c r="J48" s="118" t="s">
        <v>59</v>
      </c>
      <c r="K48" s="85"/>
      <c r="L48" s="87"/>
      <c r="M48" s="88"/>
      <c r="O48" s="305"/>
    </row>
    <row r="49" spans="2:15" x14ac:dyDescent="0.2">
      <c r="B49" s="95"/>
      <c r="C49" s="23" t="s">
        <v>68</v>
      </c>
      <c r="D49" s="97"/>
      <c r="E49" s="97"/>
      <c r="F49" s="98"/>
      <c r="G49" s="23" t="s">
        <v>68</v>
      </c>
      <c r="H49" s="98"/>
      <c r="I49" s="97"/>
      <c r="J49" s="97"/>
      <c r="K49" s="23" t="s">
        <v>68</v>
      </c>
      <c r="L49" s="101"/>
      <c r="M49" s="88"/>
      <c r="O49" s="305"/>
    </row>
    <row r="50" spans="2:15" x14ac:dyDescent="0.2">
      <c r="B50" s="102" t="s">
        <v>141</v>
      </c>
      <c r="C50" s="22"/>
      <c r="D50" s="22"/>
      <c r="E50" s="22"/>
      <c r="F50" s="23"/>
      <c r="G50" s="23"/>
      <c r="H50" s="23"/>
      <c r="I50" s="22"/>
      <c r="J50" s="22"/>
      <c r="K50" s="23"/>
      <c r="L50" s="18"/>
      <c r="M50" s="88"/>
      <c r="O50" s="305"/>
    </row>
    <row r="51" spans="2:15" ht="13.5" thickBot="1" x14ac:dyDescent="0.25">
      <c r="B51" s="90"/>
      <c r="C51" s="91"/>
      <c r="D51" s="91"/>
      <c r="E51" s="91"/>
      <c r="F51" s="261" t="s">
        <v>128</v>
      </c>
      <c r="G51" s="262" t="s">
        <v>126</v>
      </c>
      <c r="H51" s="261"/>
      <c r="I51" s="262"/>
      <c r="J51" s="262"/>
      <c r="K51" s="261"/>
      <c r="L51" s="263"/>
      <c r="M51" s="88"/>
      <c r="O51" s="305"/>
    </row>
    <row r="52" spans="2:15" x14ac:dyDescent="0.2">
      <c r="B52" s="154" t="s">
        <v>164</v>
      </c>
      <c r="C52" s="89"/>
      <c r="D52" s="89"/>
      <c r="E52" s="89"/>
      <c r="F52" s="155"/>
      <c r="G52" s="155"/>
      <c r="H52" s="155"/>
      <c r="I52" s="89"/>
      <c r="J52" s="89"/>
      <c r="K52" s="155"/>
      <c r="L52" s="155"/>
      <c r="M52" s="88"/>
      <c r="O52" s="305"/>
    </row>
    <row r="53" spans="2:15" x14ac:dyDescent="0.2">
      <c r="B53" s="89"/>
      <c r="C53" s="89"/>
      <c r="D53" s="89"/>
      <c r="E53" s="89"/>
      <c r="F53" s="155"/>
      <c r="G53" s="155"/>
      <c r="H53" s="155"/>
      <c r="I53" s="89"/>
      <c r="J53" s="89"/>
      <c r="K53" s="155"/>
      <c r="L53" s="155"/>
      <c r="M53" s="88"/>
      <c r="O53" s="305"/>
    </row>
    <row r="55" spans="2:15" x14ac:dyDescent="0.2">
      <c r="F55" s="167"/>
      <c r="G55" s="165"/>
      <c r="H55" s="193"/>
      <c r="I55" s="166"/>
      <c r="J55" s="166"/>
      <c r="K55" s="165"/>
      <c r="L55" s="165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8" x14ac:dyDescent="0.3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136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161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48Gy4F 60Gy5F'!G9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48Gy4F 60Gy5F'!G22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48Gy4F 60Gy5F'!G25</f>
        <v xml:space="preserve"> ??</v>
      </c>
      <c r="J32" s="77" t="e">
        <f>I32/I30</f>
        <v>#VALUE!</v>
      </c>
      <c r="K32" s="75" t="e">
        <f ca="1">IF(I32="??","??",IF(J32&lt;=I27,I26,IF(J32&lt;=J27,J26,K26)))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48Gy4F 60Gy5F'!G24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48Gy4F 60Gy5F'!G31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60Gy 8F'!G9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60Gy 8F'!G22</f>
        <v>??</v>
      </c>
      <c r="J31" s="77" t="e">
        <f>I31/I30</f>
        <v>#VALUE!</v>
      </c>
      <c r="K31" s="75" t="str">
        <f>IF(I31="??","??",IF(J31&lt;F27,F26,IF(J31&lt;=G27,G26,H26)))</f>
        <v>??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60Gy 8F'!G25</f>
        <v>??</v>
      </c>
      <c r="J32" s="77" t="e">
        <f>I32/I30</f>
        <v>#VALUE!</v>
      </c>
      <c r="K32" s="75" t="str">
        <f>IF(I32="??", "??",IF(J32&lt;=I27,I26,IF(J32&lt;=J27,J26,K26)))</f>
        <v>??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60Gy 8F'!G24</f>
        <v>??</v>
      </c>
      <c r="J33" s="77" t="str">
        <f>I33</f>
        <v>??</v>
      </c>
      <c r="K33" s="75" t="str">
        <f>IF(I33="??","??",IF(J33&lt;=L27,L26,IF(J33&lt;=M27,M26,N26)))</f>
        <v>??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str">
        <f>'EvaluationSheet 60Gy 8F'!G31</f>
        <v>??</v>
      </c>
      <c r="J34" s="75"/>
      <c r="K34" s="75" t="str">
        <f>IF(I34="??","??",IF(I34&lt;=0.1,O26,IF(I34&lt;=0.15,P26,Q26)))</f>
        <v>??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6" spans="3:17" x14ac:dyDescent="0.2">
      <c r="C46" s="154" t="s">
        <v>164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5"/>
      <c r="D1" s="26"/>
      <c r="E1" s="26"/>
      <c r="F1" s="26"/>
      <c r="G1" s="26"/>
      <c r="H1" s="26"/>
      <c r="I1" s="27" t="s">
        <v>113</v>
      </c>
      <c r="J1" s="26"/>
      <c r="K1" s="26"/>
      <c r="L1" s="26"/>
      <c r="M1" s="26"/>
      <c r="N1" s="26"/>
      <c r="O1" s="26"/>
      <c r="P1" s="26"/>
      <c r="Q1" s="28"/>
    </row>
    <row r="2" spans="3:17" ht="15.75" thickBot="1" x14ac:dyDescent="0.3">
      <c r="C2" s="29"/>
      <c r="D2" s="30"/>
      <c r="E2" s="31" t="s">
        <v>81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2"/>
    </row>
    <row r="3" spans="3:17" ht="15" x14ac:dyDescent="0.25">
      <c r="C3" s="25"/>
      <c r="D3" s="33"/>
      <c r="E3" s="26"/>
      <c r="F3" s="25"/>
      <c r="G3" s="26"/>
      <c r="H3" s="28"/>
      <c r="I3" s="26"/>
      <c r="J3" s="26"/>
      <c r="K3" s="26"/>
      <c r="L3" s="25" t="s">
        <v>82</v>
      </c>
      <c r="M3" s="26"/>
      <c r="N3" s="28"/>
      <c r="O3" s="26" t="s">
        <v>83</v>
      </c>
      <c r="P3" s="26"/>
      <c r="Q3" s="28"/>
    </row>
    <row r="4" spans="3:17" ht="15" x14ac:dyDescent="0.25">
      <c r="C4" s="29"/>
      <c r="D4" s="34"/>
      <c r="E4" s="30"/>
      <c r="F4" s="35" t="s">
        <v>84</v>
      </c>
      <c r="G4" s="30"/>
      <c r="H4" s="32"/>
      <c r="I4" s="30" t="s">
        <v>85</v>
      </c>
      <c r="J4" s="30"/>
      <c r="K4" s="30"/>
      <c r="L4" s="29" t="s">
        <v>86</v>
      </c>
      <c r="M4" s="30"/>
      <c r="N4" s="32"/>
      <c r="O4" s="30" t="s">
        <v>87</v>
      </c>
      <c r="P4" s="30"/>
      <c r="Q4" s="32"/>
    </row>
    <row r="5" spans="3:17" x14ac:dyDescent="0.2">
      <c r="C5" s="29"/>
      <c r="D5" s="30"/>
      <c r="E5" s="30"/>
      <c r="F5" s="35" t="s">
        <v>88</v>
      </c>
      <c r="G5" s="30"/>
      <c r="H5" s="32"/>
      <c r="I5" s="36" t="s">
        <v>89</v>
      </c>
      <c r="J5" s="30"/>
      <c r="K5" s="30"/>
      <c r="L5" s="29" t="s">
        <v>90</v>
      </c>
      <c r="M5" s="30"/>
      <c r="N5" s="32"/>
      <c r="O5" s="30"/>
      <c r="P5" s="30"/>
      <c r="Q5" s="32"/>
    </row>
    <row r="6" spans="3:17" ht="13.5" thickBot="1" x14ac:dyDescent="0.25">
      <c r="C6" s="29"/>
      <c r="D6" s="37" t="s">
        <v>76</v>
      </c>
      <c r="E6" s="30"/>
      <c r="F6" s="35" t="s">
        <v>91</v>
      </c>
      <c r="G6" s="30"/>
      <c r="H6" s="32"/>
      <c r="I6" s="36"/>
      <c r="J6" s="30"/>
      <c r="K6" s="30"/>
      <c r="L6" s="29"/>
      <c r="M6" s="30"/>
      <c r="N6" s="32"/>
      <c r="O6" s="30"/>
      <c r="P6" s="30"/>
      <c r="Q6" s="32"/>
    </row>
    <row r="7" spans="3:17" x14ac:dyDescent="0.2">
      <c r="C7" s="29"/>
      <c r="D7" s="37" t="s">
        <v>92</v>
      </c>
      <c r="E7" s="30"/>
      <c r="F7" s="38" t="s">
        <v>93</v>
      </c>
      <c r="G7" s="26"/>
      <c r="H7" s="28"/>
      <c r="I7" s="26"/>
      <c r="J7" s="26" t="s">
        <v>94</v>
      </c>
      <c r="K7" s="26"/>
      <c r="L7" s="39" t="s">
        <v>95</v>
      </c>
      <c r="M7" s="26"/>
      <c r="N7" s="28"/>
      <c r="O7" s="40" t="s">
        <v>96</v>
      </c>
      <c r="P7" s="26"/>
      <c r="Q7" s="28"/>
    </row>
    <row r="8" spans="3:17" ht="13.5" thickBot="1" x14ac:dyDescent="0.25">
      <c r="C8" s="41"/>
      <c r="D8" s="42" t="s">
        <v>77</v>
      </c>
      <c r="E8" s="42"/>
      <c r="F8" s="43" t="s">
        <v>78</v>
      </c>
      <c r="G8" s="42" t="s">
        <v>97</v>
      </c>
      <c r="H8" s="44"/>
      <c r="I8" s="42" t="s">
        <v>78</v>
      </c>
      <c r="J8" s="42" t="s">
        <v>97</v>
      </c>
      <c r="K8" s="42"/>
      <c r="L8" s="43" t="s">
        <v>78</v>
      </c>
      <c r="M8" s="42" t="s">
        <v>97</v>
      </c>
      <c r="N8" s="44"/>
      <c r="O8" s="42" t="s">
        <v>78</v>
      </c>
      <c r="P8" s="45" t="s">
        <v>97</v>
      </c>
      <c r="Q8" s="44"/>
    </row>
    <row r="9" spans="3:17" ht="15" x14ac:dyDescent="0.25">
      <c r="C9" s="29"/>
      <c r="D9" s="46">
        <v>1.8</v>
      </c>
      <c r="E9" s="37"/>
      <c r="F9" s="47">
        <v>1.2</v>
      </c>
      <c r="G9" s="48">
        <v>1.5</v>
      </c>
      <c r="H9" s="49"/>
      <c r="I9" s="50">
        <v>5.9</v>
      </c>
      <c r="J9" s="50">
        <v>7.5</v>
      </c>
      <c r="K9" s="37"/>
      <c r="L9" s="47">
        <v>50</v>
      </c>
      <c r="M9" s="48">
        <v>57</v>
      </c>
      <c r="N9" s="49"/>
      <c r="O9" s="37">
        <v>10</v>
      </c>
      <c r="P9" s="37">
        <v>15</v>
      </c>
      <c r="Q9" s="49"/>
    </row>
    <row r="10" spans="3:17" ht="15" x14ac:dyDescent="0.25">
      <c r="C10" s="29"/>
      <c r="D10" s="46">
        <v>3.8</v>
      </c>
      <c r="E10" s="37"/>
      <c r="F10" s="47">
        <v>1.2</v>
      </c>
      <c r="G10" s="48">
        <v>1.5</v>
      </c>
      <c r="H10" s="49"/>
      <c r="I10" s="50">
        <v>5.5</v>
      </c>
      <c r="J10" s="50">
        <v>6.5</v>
      </c>
      <c r="K10" s="37"/>
      <c r="L10" s="47">
        <v>50</v>
      </c>
      <c r="M10" s="48">
        <v>57</v>
      </c>
      <c r="N10" s="49"/>
      <c r="O10" s="37">
        <v>10</v>
      </c>
      <c r="P10" s="37">
        <v>15</v>
      </c>
      <c r="Q10" s="49"/>
    </row>
    <row r="11" spans="3:17" ht="15" x14ac:dyDescent="0.25">
      <c r="C11" s="29"/>
      <c r="D11" s="46">
        <v>7.4</v>
      </c>
      <c r="E11" s="37"/>
      <c r="F11" s="47">
        <v>1.2</v>
      </c>
      <c r="G11" s="48">
        <v>1.5</v>
      </c>
      <c r="H11" s="49"/>
      <c r="I11" s="50">
        <v>5.0999999999999996</v>
      </c>
      <c r="J11" s="50">
        <v>6</v>
      </c>
      <c r="K11" s="37"/>
      <c r="L11" s="47">
        <v>50</v>
      </c>
      <c r="M11" s="48">
        <v>58</v>
      </c>
      <c r="N11" s="49"/>
      <c r="O11" s="37">
        <v>10</v>
      </c>
      <c r="P11" s="37">
        <v>15</v>
      </c>
      <c r="Q11" s="49"/>
    </row>
    <row r="12" spans="3:17" ht="15" x14ac:dyDescent="0.25">
      <c r="C12" s="29"/>
      <c r="D12" s="46">
        <v>13.2</v>
      </c>
      <c r="E12" s="37"/>
      <c r="F12" s="47">
        <v>1.2</v>
      </c>
      <c r="G12" s="48">
        <v>1.5</v>
      </c>
      <c r="H12" s="49"/>
      <c r="I12" s="50">
        <v>4.7</v>
      </c>
      <c r="J12" s="50">
        <v>5.8</v>
      </c>
      <c r="K12" s="37"/>
      <c r="L12" s="47">
        <v>50</v>
      </c>
      <c r="M12" s="48">
        <v>58</v>
      </c>
      <c r="N12" s="49"/>
      <c r="O12" s="37">
        <v>10</v>
      </c>
      <c r="P12" s="37">
        <v>15</v>
      </c>
      <c r="Q12" s="49"/>
    </row>
    <row r="13" spans="3:17" ht="15" x14ac:dyDescent="0.25">
      <c r="C13" s="29"/>
      <c r="D13" s="46">
        <v>22</v>
      </c>
      <c r="E13" s="37"/>
      <c r="F13" s="47">
        <v>1.2</v>
      </c>
      <c r="G13" s="48">
        <v>1.5</v>
      </c>
      <c r="H13" s="49"/>
      <c r="I13" s="50">
        <v>4.5</v>
      </c>
      <c r="J13" s="50">
        <v>5.5</v>
      </c>
      <c r="K13" s="37"/>
      <c r="L13" s="47">
        <v>54</v>
      </c>
      <c r="M13" s="48">
        <v>63</v>
      </c>
      <c r="N13" s="49"/>
      <c r="O13" s="37">
        <v>10</v>
      </c>
      <c r="P13" s="37">
        <v>15</v>
      </c>
      <c r="Q13" s="49"/>
    </row>
    <row r="14" spans="3:17" ht="15" x14ac:dyDescent="0.25">
      <c r="C14" s="29"/>
      <c r="D14" s="46">
        <v>34</v>
      </c>
      <c r="E14" s="37"/>
      <c r="F14" s="47">
        <v>1.2</v>
      </c>
      <c r="G14" s="48">
        <v>1.5</v>
      </c>
      <c r="H14" s="49"/>
      <c r="I14" s="50">
        <v>4.3</v>
      </c>
      <c r="J14" s="50">
        <v>5.3</v>
      </c>
      <c r="K14" s="37"/>
      <c r="L14" s="47">
        <v>58</v>
      </c>
      <c r="M14" s="48">
        <v>68</v>
      </c>
      <c r="N14" s="49"/>
      <c r="O14" s="37">
        <v>10</v>
      </c>
      <c r="P14" s="37">
        <v>15</v>
      </c>
      <c r="Q14" s="49"/>
    </row>
    <row r="15" spans="3:17" ht="15" x14ac:dyDescent="0.25">
      <c r="C15" s="29"/>
      <c r="D15" s="46">
        <v>50</v>
      </c>
      <c r="E15" s="37"/>
      <c r="F15" s="47">
        <v>1.2</v>
      </c>
      <c r="G15" s="48">
        <v>1.5</v>
      </c>
      <c r="H15" s="49"/>
      <c r="I15" s="50">
        <v>4</v>
      </c>
      <c r="J15" s="50">
        <v>5</v>
      </c>
      <c r="K15" s="37"/>
      <c r="L15" s="47">
        <v>62</v>
      </c>
      <c r="M15" s="48">
        <v>77</v>
      </c>
      <c r="N15" s="49"/>
      <c r="O15" s="37">
        <v>10</v>
      </c>
      <c r="P15" s="37">
        <v>15</v>
      </c>
      <c r="Q15" s="49"/>
    </row>
    <row r="16" spans="3:17" ht="15" x14ac:dyDescent="0.25">
      <c r="C16" s="29"/>
      <c r="D16" s="46">
        <v>70</v>
      </c>
      <c r="E16" s="37"/>
      <c r="F16" s="47">
        <v>1.2</v>
      </c>
      <c r="G16" s="48">
        <v>1.5</v>
      </c>
      <c r="H16" s="49"/>
      <c r="I16" s="50">
        <v>3.5</v>
      </c>
      <c r="J16" s="50">
        <v>4.8</v>
      </c>
      <c r="K16" s="37"/>
      <c r="L16" s="47">
        <v>66</v>
      </c>
      <c r="M16" s="48">
        <v>86</v>
      </c>
      <c r="N16" s="49"/>
      <c r="O16" s="37">
        <v>10</v>
      </c>
      <c r="P16" s="37">
        <v>15</v>
      </c>
      <c r="Q16" s="49"/>
    </row>
    <row r="17" spans="3:17" ht="15" x14ac:dyDescent="0.25">
      <c r="C17" s="29"/>
      <c r="D17" s="46">
        <v>95</v>
      </c>
      <c r="E17" s="37"/>
      <c r="F17" s="47">
        <v>1.2</v>
      </c>
      <c r="G17" s="48">
        <v>1.5</v>
      </c>
      <c r="H17" s="49"/>
      <c r="I17" s="50">
        <v>3.3</v>
      </c>
      <c r="J17" s="50">
        <v>4.4000000000000004</v>
      </c>
      <c r="K17" s="37"/>
      <c r="L17" s="47">
        <v>70</v>
      </c>
      <c r="M17" s="48">
        <v>89</v>
      </c>
      <c r="N17" s="49"/>
      <c r="O17" s="37">
        <v>10</v>
      </c>
      <c r="P17" s="37">
        <v>15</v>
      </c>
      <c r="Q17" s="49"/>
    </row>
    <row r="18" spans="3:17" ht="15" x14ac:dyDescent="0.25">
      <c r="C18" s="29"/>
      <c r="D18" s="46">
        <v>126</v>
      </c>
      <c r="E18" s="37"/>
      <c r="F18" s="47">
        <v>1.2</v>
      </c>
      <c r="G18" s="48">
        <v>1.5</v>
      </c>
      <c r="H18" s="49"/>
      <c r="I18" s="50">
        <v>3.1</v>
      </c>
      <c r="J18" s="50">
        <v>4</v>
      </c>
      <c r="K18" s="37"/>
      <c r="L18" s="47">
        <v>73</v>
      </c>
      <c r="M18" s="48">
        <v>91</v>
      </c>
      <c r="N18" s="49"/>
      <c r="O18" s="37">
        <v>10</v>
      </c>
      <c r="P18" s="37">
        <v>15</v>
      </c>
      <c r="Q18" s="49"/>
    </row>
    <row r="19" spans="3:17" ht="15.75" thickBot="1" x14ac:dyDescent="0.3">
      <c r="C19" s="41"/>
      <c r="D19" s="51">
        <v>163</v>
      </c>
      <c r="E19" s="42"/>
      <c r="F19" s="52">
        <v>1.2</v>
      </c>
      <c r="G19" s="53">
        <v>1.5</v>
      </c>
      <c r="H19" s="44"/>
      <c r="I19" s="54">
        <v>2.9</v>
      </c>
      <c r="J19" s="54">
        <v>3.7</v>
      </c>
      <c r="K19" s="42"/>
      <c r="L19" s="52">
        <v>77</v>
      </c>
      <c r="M19" s="53">
        <v>94</v>
      </c>
      <c r="N19" s="44"/>
      <c r="O19" s="42">
        <v>10</v>
      </c>
      <c r="P19" s="42">
        <v>15</v>
      </c>
      <c r="Q19" s="44"/>
    </row>
    <row r="20" spans="3:17" ht="15" x14ac:dyDescent="0.25">
      <c r="C20" s="29"/>
      <c r="D20" s="46"/>
      <c r="E20" s="37"/>
      <c r="F20" s="48"/>
      <c r="G20" s="48"/>
      <c r="H20" s="37"/>
      <c r="I20" s="50"/>
      <c r="J20" s="50"/>
      <c r="K20" s="37"/>
      <c r="L20" s="48"/>
      <c r="M20" s="48"/>
      <c r="N20" s="37"/>
      <c r="O20" s="37"/>
      <c r="P20" s="37"/>
      <c r="Q20" s="49"/>
    </row>
    <row r="21" spans="3:17" ht="15" x14ac:dyDescent="0.25">
      <c r="C21" s="29" t="s">
        <v>79</v>
      </c>
      <c r="D21" s="46"/>
      <c r="E21" s="37"/>
      <c r="F21" s="48"/>
      <c r="G21" s="48"/>
      <c r="H21" s="37"/>
      <c r="I21" s="50"/>
      <c r="J21" s="50"/>
      <c r="K21" s="37"/>
      <c r="L21" s="48"/>
      <c r="M21" s="48"/>
      <c r="N21" s="37"/>
      <c r="O21" s="37"/>
      <c r="P21" s="37"/>
      <c r="Q21" s="49"/>
    </row>
    <row r="22" spans="3:17" x14ac:dyDescent="0.2">
      <c r="C22" s="29" t="s">
        <v>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49"/>
    </row>
    <row r="23" spans="3:17" ht="13.5" thickBot="1" x14ac:dyDescent="0.25">
      <c r="C23" s="41" t="s">
        <v>37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8.75" x14ac:dyDescent="0.3">
      <c r="C24" s="57" t="s">
        <v>99</v>
      </c>
      <c r="D24" s="58"/>
      <c r="E24" s="58"/>
      <c r="F24" s="58"/>
      <c r="G24" s="58"/>
      <c r="H24" s="58"/>
      <c r="I24" s="58"/>
      <c r="J24" s="59" t="s">
        <v>37</v>
      </c>
      <c r="K24" s="58"/>
      <c r="L24" s="58"/>
      <c r="M24" s="58"/>
      <c r="N24" s="58"/>
      <c r="O24" s="58"/>
      <c r="P24" s="58"/>
      <c r="Q24" s="60"/>
    </row>
    <row r="25" spans="3:17" ht="15" x14ac:dyDescent="0.25">
      <c r="C25" s="61"/>
      <c r="D25" s="62"/>
      <c r="E25" s="62"/>
      <c r="F25" s="63" t="s">
        <v>100</v>
      </c>
      <c r="G25" s="64"/>
      <c r="H25" s="65"/>
      <c r="I25" s="63" t="s">
        <v>100</v>
      </c>
      <c r="J25" s="64"/>
      <c r="K25" s="65"/>
      <c r="L25" s="63" t="s">
        <v>101</v>
      </c>
      <c r="M25" s="64"/>
      <c r="N25" s="65"/>
      <c r="O25" s="63" t="s">
        <v>101</v>
      </c>
      <c r="P25" s="64"/>
      <c r="Q25" s="66"/>
    </row>
    <row r="26" spans="3:17" ht="15" x14ac:dyDescent="0.25">
      <c r="C26" s="61"/>
      <c r="D26" s="62"/>
      <c r="E26" s="62"/>
      <c r="F26" s="64" t="s">
        <v>102</v>
      </c>
      <c r="G26" s="67" t="s">
        <v>97</v>
      </c>
      <c r="H26" s="68" t="s">
        <v>103</v>
      </c>
      <c r="I26" s="64" t="s">
        <v>102</v>
      </c>
      <c r="J26" s="67" t="s">
        <v>97</v>
      </c>
      <c r="K26" s="68" t="s">
        <v>103</v>
      </c>
      <c r="L26" s="64" t="s">
        <v>102</v>
      </c>
      <c r="M26" s="67" t="s">
        <v>97</v>
      </c>
      <c r="N26" s="68" t="s">
        <v>103</v>
      </c>
      <c r="O26" s="64" t="s">
        <v>102</v>
      </c>
      <c r="P26" s="67" t="s">
        <v>97</v>
      </c>
      <c r="Q26" s="69" t="s">
        <v>103</v>
      </c>
    </row>
    <row r="27" spans="3:17" ht="13.5" thickBot="1" x14ac:dyDescent="0.25">
      <c r="C27" s="70"/>
      <c r="D27" s="71"/>
      <c r="E27" s="72"/>
      <c r="F27" s="71" t="e">
        <f ca="1">FORECAST(I30,OFFSET(F9:F19,MATCH(I30,D9:D19,1)-1,0,2),OFFSET(D9:D19,MATCH(I30,D9:D19,1)-1,0,2))</f>
        <v>#VALUE!</v>
      </c>
      <c r="G27" s="71" t="e">
        <f ca="1">FORECAST(I30,OFFSET(G9:G19,MATCH(I30,D9:D19,1)-1,0,2),OFFSET(D9:D19,MATCH(I30,D9:D19,1)-1,0,2))</f>
        <v>#VALUE!</v>
      </c>
      <c r="H27" s="72"/>
      <c r="I27" s="71" t="e">
        <f ca="1">FORECAST(I30,OFFSET(I9:I19,MATCH(I30,D9:D19,1)-1,0,2),OFFSET(D9:D19,MATCH(I30,D9:D19,1)-1,0,2))</f>
        <v>#VALUE!</v>
      </c>
      <c r="J27" s="71" t="e">
        <f ca="1">FORECAST(I30,OFFSET(J9:J19,MATCH(I30,D9:D19,1)-1,0,2),OFFSET(D9:D19,MATCH(I30,D9:D19,1)-1,0,2))</f>
        <v>#VALUE!</v>
      </c>
      <c r="K27" s="72"/>
      <c r="L27" s="71" t="e">
        <f ca="1">FORECAST(I30,OFFSET(L9:L19,MATCH(I30,D9:D19,1)-1,0,2),OFFSET(D9:D19,MATCH(I30,D9:D19,1)-1,0,2))</f>
        <v>#VALUE!</v>
      </c>
      <c r="M27" s="71" t="e">
        <f ca="1">FORECAST(I30,OFFSET(M9:M19,MATCH(I30,D9:D19,1)-1,0,2),OFFSET(D9:D19,MATCH(I30,D9:D19,1)-1,0,2))</f>
        <v>#VALUE!</v>
      </c>
      <c r="N27" s="72"/>
      <c r="O27" s="71" t="e">
        <f ca="1">FORECAST(I30,OFFSET(O9:O19,MATCH(I30,D9:D19,1)-1,0,2),OFFSET(D9:D19,MATCH(I30,D9:D19,1)-1,0,2))</f>
        <v>#VALUE!</v>
      </c>
      <c r="P27" s="71" t="e">
        <f ca="1">FORECAST(I30,OFFSET(P9:P19,MATCH(I30,D9:D19,1)-1,0,2),OFFSET(D9:D19,MATCH(I30,D9:D19,1)-1,0,2))</f>
        <v>#VALUE!</v>
      </c>
      <c r="Q27" s="73"/>
    </row>
    <row r="28" spans="3:17" ht="18.75" x14ac:dyDescent="0.3">
      <c r="C28" s="74" t="s">
        <v>104</v>
      </c>
      <c r="D28" s="75"/>
      <c r="E28" s="62"/>
      <c r="F28" s="75"/>
      <c r="G28" s="75"/>
      <c r="H28" s="62"/>
      <c r="I28" s="75"/>
      <c r="J28" s="75"/>
      <c r="K28" s="62"/>
      <c r="L28" s="75"/>
      <c r="M28" s="75"/>
      <c r="N28" s="62"/>
      <c r="O28" s="75"/>
      <c r="P28" s="75"/>
      <c r="Q28" s="66"/>
    </row>
    <row r="29" spans="3:17" ht="18.75" x14ac:dyDescent="0.3">
      <c r="C29" s="61"/>
      <c r="D29" s="62"/>
      <c r="E29" s="62"/>
      <c r="F29" s="62"/>
      <c r="G29" s="62"/>
      <c r="H29" s="75"/>
      <c r="I29" s="64" t="s">
        <v>105</v>
      </c>
      <c r="J29" s="64" t="s">
        <v>106</v>
      </c>
      <c r="K29" s="76" t="s">
        <v>107</v>
      </c>
      <c r="L29" s="62"/>
      <c r="M29" s="62"/>
      <c r="N29" s="62"/>
      <c r="O29" s="62"/>
      <c r="P29" s="62"/>
      <c r="Q29" s="66"/>
    </row>
    <row r="30" spans="3:17" ht="18.75" x14ac:dyDescent="0.3">
      <c r="C30" s="61"/>
      <c r="D30" s="62"/>
      <c r="E30" s="62"/>
      <c r="F30" s="62"/>
      <c r="G30" s="62"/>
      <c r="H30" s="160" t="s">
        <v>108</v>
      </c>
      <c r="I30" s="75" t="str">
        <f>'EvaluationSheet 54Gy 3F'!G9</f>
        <v>??</v>
      </c>
      <c r="J30" s="75"/>
      <c r="K30" s="62" t="s">
        <v>37</v>
      </c>
      <c r="L30" s="62"/>
      <c r="M30" s="62"/>
      <c r="N30" s="62"/>
      <c r="O30" s="62"/>
      <c r="P30" s="62"/>
      <c r="Q30" s="66"/>
    </row>
    <row r="31" spans="3:17" ht="20.25" x14ac:dyDescent="0.35">
      <c r="C31" s="61"/>
      <c r="D31" s="62"/>
      <c r="E31" s="62"/>
      <c r="F31" s="62"/>
      <c r="G31" s="62"/>
      <c r="H31" s="78" t="s">
        <v>116</v>
      </c>
      <c r="I31" s="75" t="str">
        <f>'EvaluationSheet 54Gy 3F'!G22</f>
        <v>??</v>
      </c>
      <c r="J31" s="77" t="e">
        <f>I31/I30</f>
        <v>#VALUE!</v>
      </c>
      <c r="K31" s="62" t="e">
        <f ca="1">IF(J31&lt;=F27,F26,IF(J31&lt;=G27,G26,H26))</f>
        <v>#VALUE!</v>
      </c>
      <c r="L31" s="62"/>
      <c r="M31" s="62"/>
      <c r="N31" s="62"/>
      <c r="O31" s="62"/>
      <c r="P31" s="62"/>
      <c r="Q31" s="66"/>
    </row>
    <row r="32" spans="3:17" ht="20.25" x14ac:dyDescent="0.35">
      <c r="C32" s="61"/>
      <c r="D32" s="62"/>
      <c r="E32" s="62"/>
      <c r="F32" s="62"/>
      <c r="G32" s="62"/>
      <c r="H32" s="78" t="s">
        <v>117</v>
      </c>
      <c r="I32" s="75" t="str">
        <f>'EvaluationSheet 54Gy 3F'!G25</f>
        <v>??</v>
      </c>
      <c r="J32" s="77" t="e">
        <f>I32/I30</f>
        <v>#VALUE!</v>
      </c>
      <c r="K32" s="62" t="e">
        <f ca="1">IF(J32&lt;=I27,I26,IF(J32&lt;=J27,J26,K26))</f>
        <v>#VALUE!</v>
      </c>
      <c r="L32" s="62"/>
      <c r="M32" s="62"/>
      <c r="N32" s="62"/>
      <c r="O32" s="62"/>
      <c r="P32" s="62"/>
      <c r="Q32" s="66"/>
    </row>
    <row r="33" spans="3:17" ht="20.25" x14ac:dyDescent="0.35">
      <c r="C33" s="61"/>
      <c r="D33" s="62"/>
      <c r="E33" s="62"/>
      <c r="F33" s="62"/>
      <c r="G33" s="62"/>
      <c r="H33" s="78" t="s">
        <v>118</v>
      </c>
      <c r="I33" s="75" t="str">
        <f>'EvaluationSheet 54Gy 3F'!G24</f>
        <v>??</v>
      </c>
      <c r="J33" s="77" t="e">
        <f>I33/'EvaluationSheet 54Gy 3F'!H4*100</f>
        <v>#VALUE!</v>
      </c>
      <c r="K33" s="62" t="e">
        <f ca="1">IF(J33&lt;=L27,L26,IF(J33&lt;=M27,M26,N26))</f>
        <v>#VALUE!</v>
      </c>
      <c r="L33" s="62"/>
      <c r="M33" s="62"/>
      <c r="N33" s="62"/>
      <c r="O33" s="62"/>
      <c r="P33" s="62"/>
      <c r="Q33" s="66"/>
    </row>
    <row r="34" spans="3:17" ht="20.25" x14ac:dyDescent="0.35">
      <c r="C34" s="61"/>
      <c r="D34" s="62"/>
      <c r="E34" s="62"/>
      <c r="F34" s="62"/>
      <c r="G34" s="62"/>
      <c r="H34" s="78" t="s">
        <v>119</v>
      </c>
      <c r="I34" s="77" t="e">
        <f>'EvaluationSheet 54Gy 3F'!G31*100</f>
        <v>#VALUE!</v>
      </c>
      <c r="J34" s="75"/>
      <c r="K34" s="62" t="e">
        <f ca="1">IF(I34&lt;=O27,O26,IF(I34&lt;=P27,P26,Q26))</f>
        <v>#VALUE!</v>
      </c>
      <c r="L34" s="62"/>
      <c r="M34" s="62"/>
      <c r="N34" s="62"/>
      <c r="O34" s="62"/>
      <c r="P34" s="62"/>
      <c r="Q34" s="66"/>
    </row>
    <row r="35" spans="3:17" ht="13.5" thickBot="1" x14ac:dyDescent="0.25">
      <c r="C35" s="7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3"/>
    </row>
    <row r="43" spans="3:17" x14ac:dyDescent="0.2">
      <c r="C43" s="154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9" t="s">
        <v>80</v>
      </c>
      <c r="P2" t="s">
        <v>109</v>
      </c>
    </row>
    <row r="3" spans="8:16" x14ac:dyDescent="0.2">
      <c r="O3" t="s">
        <v>110</v>
      </c>
    </row>
    <row r="5" spans="8:16" ht="15.75" x14ac:dyDescent="0.3">
      <c r="O5" s="80" t="s">
        <v>111</v>
      </c>
    </row>
    <row r="6" spans="8:16" ht="15.75" x14ac:dyDescent="0.3">
      <c r="O6" s="80" t="s">
        <v>112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2019-10-14T23:22:32Z</dcterms:modified>
</cp:coreProperties>
</file>