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salomon\plan_checking\PlanEvaluation\data\"/>
    </mc:Choice>
  </mc:AlternateContent>
  <bookViews>
    <workbookView xWindow="11055" yWindow="-225" windowWidth="12900" windowHeight="13650" tabRatio="893"/>
  </bookViews>
  <sheets>
    <sheet name="EvalutionSheet 48Gy4F or 60Gy5F" sheetId="16" r:id="rId1"/>
    <sheet name="Evalution Sheet 60Gy 8F" sheetId="18" r:id="rId2"/>
    <sheet name="EvalutionSheet 54Gy 3F" sheetId="26" r:id="rId3"/>
    <sheet name="EvalutionSheet 34Gy 1F" sheetId="27" r:id="rId4"/>
    <sheet name="Calculations 48Gy4F_ or_ 60Gy5F" sheetId="24" r:id="rId5"/>
    <sheet name="Calculations 60Gy_8F" sheetId="21" r:id="rId6"/>
    <sheet name="Calculations 54Gy 3F" sheetId="25" r:id="rId7"/>
    <sheet name="Calculations 34Gy 1F" sheetId="28" r:id="rId8"/>
    <sheet name="RTOG Conformality Table" sheetId="20" r:id="rId9"/>
    <sheet name="Format Conversion" sheetId="29" r:id="rId10"/>
  </sheets>
  <definedNames>
    <definedName name="B">#REF!</definedName>
    <definedName name="_xlnm.Print_Area" localSheetId="1">'Evalution Sheet 60Gy 8F'!$B$3:$K$45</definedName>
    <definedName name="_xlnm.Print_Area" localSheetId="3">'EvalutionSheet 34Gy 1F'!$A$1:$K$51</definedName>
    <definedName name="_xlnm.Print_Area" localSheetId="0">'EvalutionSheet 48Gy4F or 60Gy5F'!$A$3:$K$53</definedName>
    <definedName name="_xlnm.Print_Area" localSheetId="2">'EvalutionSheet 54Gy 3F'!$B$2:$K$43</definedName>
  </definedNames>
  <calcPr calcId="152511"/>
</workbook>
</file>

<file path=xl/calcChain.xml><?xml version="1.0" encoding="utf-8"?>
<calcChain xmlns="http://schemas.openxmlformats.org/spreadsheetml/2006/main">
  <c r="Q47" i="27" l="1"/>
  <c r="S47" i="27" s="1"/>
  <c r="W47" i="27" s="1"/>
  <c r="Q46" i="27"/>
  <c r="Q45" i="27"/>
  <c r="S45" i="27" s="1"/>
  <c r="W45" i="27" s="1"/>
  <c r="Q44" i="27"/>
  <c r="S44" i="27" s="1"/>
  <c r="W44" i="27" s="1"/>
  <c r="Q43" i="27"/>
  <c r="S43" i="27" s="1"/>
  <c r="W43" i="27" s="1"/>
  <c r="Q42" i="27"/>
  <c r="Q41" i="27"/>
  <c r="S41" i="27" s="1"/>
  <c r="W41" i="27" s="1"/>
  <c r="Q40" i="27"/>
  <c r="Q39" i="27"/>
  <c r="S39" i="27" s="1"/>
  <c r="W39" i="27" s="1"/>
  <c r="Q38" i="27"/>
  <c r="Q37" i="27"/>
  <c r="S37" i="27" s="1"/>
  <c r="W37" i="27" s="1"/>
  <c r="Q36" i="27"/>
  <c r="Q35" i="27"/>
  <c r="S35" i="27" s="1"/>
  <c r="W35" i="27" s="1"/>
  <c r="Q34" i="27"/>
  <c r="S34" i="27" s="1"/>
  <c r="W34" i="27" s="1"/>
  <c r="Q33" i="27"/>
  <c r="S33" i="27" s="1"/>
  <c r="W33" i="27" s="1"/>
  <c r="Q32" i="27"/>
  <c r="S32" i="27" s="1"/>
  <c r="W32" i="27" s="1"/>
  <c r="Q31" i="27"/>
  <c r="S31" i="27" s="1"/>
  <c r="W31" i="27" s="1"/>
  <c r="Q30" i="27"/>
  <c r="Q29" i="27"/>
  <c r="S29" i="27" s="1"/>
  <c r="W29" i="27" s="1"/>
  <c r="Q28" i="27"/>
  <c r="Q27" i="27"/>
  <c r="S27" i="27" s="1"/>
  <c r="W27" i="27" s="1"/>
  <c r="Q26" i="27"/>
  <c r="Q25" i="27"/>
  <c r="S25" i="27" s="1"/>
  <c r="W25" i="27" s="1"/>
  <c r="Q24" i="27"/>
  <c r="Q23" i="27"/>
  <c r="S23" i="27" s="1"/>
  <c r="W23" i="27" s="1"/>
  <c r="Q22" i="27"/>
  <c r="Q21" i="27"/>
  <c r="S21" i="27" s="1"/>
  <c r="W21" i="27" s="1"/>
  <c r="Q20" i="27"/>
  <c r="Q19" i="27"/>
  <c r="S19" i="27" s="1"/>
  <c r="W19" i="27" s="1"/>
  <c r="Q18" i="27"/>
  <c r="S18" i="27" s="1"/>
  <c r="W18" i="27" s="1"/>
  <c r="Q17" i="27"/>
  <c r="S17" i="27" s="1"/>
  <c r="W17" i="27" s="1"/>
  <c r="Q16" i="27"/>
  <c r="S16" i="27" s="1"/>
  <c r="W16" i="27" s="1"/>
  <c r="Q15" i="27"/>
  <c r="S15" i="27" s="1"/>
  <c r="W15" i="27" s="1"/>
  <c r="Q14" i="27"/>
  <c r="Q13" i="27"/>
  <c r="S13" i="27" s="1"/>
  <c r="W13" i="27" s="1"/>
  <c r="Q12" i="27"/>
  <c r="Q11" i="27"/>
  <c r="S11" i="27" s="1"/>
  <c r="W11" i="27" s="1"/>
  <c r="Q10" i="27"/>
  <c r="S10" i="27" s="1"/>
  <c r="W10" i="27" s="1"/>
  <c r="Q9" i="27"/>
  <c r="S9" i="27" s="1"/>
  <c r="W9" i="27" s="1"/>
  <c r="Q8" i="27"/>
  <c r="S8" i="27" s="1"/>
  <c r="W8" i="27" s="1"/>
  <c r="Q7" i="27"/>
  <c r="Q6" i="27"/>
  <c r="S6" i="27" s="1"/>
  <c r="W6" i="27" s="1"/>
  <c r="Q5" i="27"/>
  <c r="S5" i="27" s="1"/>
  <c r="W5" i="27" s="1"/>
  <c r="Q4" i="27"/>
  <c r="S4" i="27" s="1"/>
  <c r="W4" i="27" s="1"/>
  <c r="Y47" i="27"/>
  <c r="V46" i="27"/>
  <c r="Y46" i="27" s="1"/>
  <c r="U46" i="27"/>
  <c r="Y45" i="27"/>
  <c r="Y44" i="27"/>
  <c r="V43" i="27"/>
  <c r="Y43" i="27" s="1"/>
  <c r="U43" i="27"/>
  <c r="V42" i="27"/>
  <c r="Y42" i="27" s="1"/>
  <c r="U42" i="27"/>
  <c r="Y41" i="27"/>
  <c r="V40" i="27"/>
  <c r="Y40" i="27" s="1"/>
  <c r="U40" i="27"/>
  <c r="Y39" i="27"/>
  <c r="V38" i="27"/>
  <c r="Y38" i="27" s="1"/>
  <c r="U38" i="27"/>
  <c r="Y37" i="27"/>
  <c r="V37" i="27"/>
  <c r="U37" i="27"/>
  <c r="Y36" i="27"/>
  <c r="Y35" i="27"/>
  <c r="Y34" i="27"/>
  <c r="V33" i="27"/>
  <c r="Y33" i="27" s="1"/>
  <c r="U33" i="27"/>
  <c r="Y32" i="27"/>
  <c r="Y31" i="27"/>
  <c r="Y30" i="27"/>
  <c r="V29" i="27"/>
  <c r="Y29" i="27" s="1"/>
  <c r="U29" i="27"/>
  <c r="Y28" i="27"/>
  <c r="V27" i="27"/>
  <c r="Y27" i="27" s="1"/>
  <c r="U27" i="27"/>
  <c r="Y26" i="27"/>
  <c r="V25" i="27"/>
  <c r="Y25" i="27" s="1"/>
  <c r="U25" i="27"/>
  <c r="Y24" i="27"/>
  <c r="Y23" i="27"/>
  <c r="V22" i="27"/>
  <c r="Y22" i="27" s="1"/>
  <c r="V21" i="27"/>
  <c r="Y21" i="27" s="1"/>
  <c r="U21" i="27"/>
  <c r="Y20" i="27"/>
  <c r="V20" i="27"/>
  <c r="Y19" i="27"/>
  <c r="Y18" i="27"/>
  <c r="Y17" i="27"/>
  <c r="Y16" i="27"/>
  <c r="V16" i="27"/>
  <c r="U16" i="27"/>
  <c r="Y15" i="27"/>
  <c r="V15" i="27"/>
  <c r="U15" i="27"/>
  <c r="V14" i="27"/>
  <c r="Y14" i="27" s="1"/>
  <c r="U14" i="27"/>
  <c r="Y13" i="27"/>
  <c r="V12" i="27"/>
  <c r="Y12" i="27" s="1"/>
  <c r="U12" i="27"/>
  <c r="V11" i="27"/>
  <c r="Y11" i="27" s="1"/>
  <c r="U11" i="27"/>
  <c r="Y10" i="27"/>
  <c r="V10" i="27"/>
  <c r="U10" i="27"/>
  <c r="V9" i="27"/>
  <c r="Y9" i="27" s="1"/>
  <c r="U9" i="27"/>
  <c r="V8" i="27"/>
  <c r="Y8" i="27" s="1"/>
  <c r="Y7" i="27"/>
  <c r="V7" i="27"/>
  <c r="U7" i="27"/>
  <c r="V6" i="27"/>
  <c r="Y6" i="27" s="1"/>
  <c r="U6" i="27"/>
  <c r="Y5" i="27"/>
  <c r="V5" i="27"/>
  <c r="U5" i="27"/>
  <c r="Y4" i="27"/>
  <c r="V4" i="27"/>
  <c r="U4" i="27"/>
  <c r="K13" i="27"/>
  <c r="H13" i="27"/>
  <c r="H18" i="27"/>
  <c r="K18" i="27"/>
  <c r="Q37" i="26"/>
  <c r="Q36" i="26"/>
  <c r="S36" i="26" s="1"/>
  <c r="W36" i="26" s="1"/>
  <c r="Q35" i="26"/>
  <c r="S35" i="26" s="1"/>
  <c r="W35" i="26" s="1"/>
  <c r="Q34" i="26"/>
  <c r="Q33" i="26"/>
  <c r="S33" i="26" s="1"/>
  <c r="W33" i="26" s="1"/>
  <c r="Q32" i="26"/>
  <c r="Q31" i="26"/>
  <c r="Q30" i="26"/>
  <c r="S30" i="26" s="1"/>
  <c r="W30" i="26" s="1"/>
  <c r="Q29" i="26"/>
  <c r="Q28" i="26"/>
  <c r="S28" i="26" s="1"/>
  <c r="W28" i="26" s="1"/>
  <c r="Q27" i="26"/>
  <c r="S27" i="26" s="1"/>
  <c r="W27" i="26" s="1"/>
  <c r="Q26" i="26"/>
  <c r="Q25" i="26"/>
  <c r="Q24" i="26"/>
  <c r="Q23" i="26"/>
  <c r="S23" i="26" s="1"/>
  <c r="W23" i="26" s="1"/>
  <c r="Q22" i="26"/>
  <c r="S22" i="26" s="1"/>
  <c r="W22" i="26" s="1"/>
  <c r="Q21" i="26"/>
  <c r="S21" i="26" s="1"/>
  <c r="W21" i="26" s="1"/>
  <c r="Q20" i="26"/>
  <c r="S20" i="26" s="1"/>
  <c r="W20" i="26" s="1"/>
  <c r="Q19" i="26"/>
  <c r="S19" i="26" s="1"/>
  <c r="W19" i="26" s="1"/>
  <c r="Q18" i="26"/>
  <c r="Q17" i="26"/>
  <c r="Q16" i="26"/>
  <c r="Q15" i="26"/>
  <c r="Q14" i="26"/>
  <c r="Q13" i="26"/>
  <c r="S13" i="26" s="1"/>
  <c r="W13" i="26" s="1"/>
  <c r="Q12" i="26"/>
  <c r="S12" i="26" s="1"/>
  <c r="W12" i="26" s="1"/>
  <c r="Q11" i="26"/>
  <c r="S11" i="26" s="1"/>
  <c r="W11" i="26" s="1"/>
  <c r="Q10" i="26"/>
  <c r="S10" i="26" s="1"/>
  <c r="W10" i="26" s="1"/>
  <c r="Q9" i="26"/>
  <c r="Q8" i="26"/>
  <c r="S8" i="26" s="1"/>
  <c r="W8" i="26" s="1"/>
  <c r="Q7" i="26"/>
  <c r="Q6" i="26"/>
  <c r="Q5" i="26"/>
  <c r="S5" i="26" s="1"/>
  <c r="W5" i="26" s="1"/>
  <c r="Q4" i="26"/>
  <c r="V37" i="26"/>
  <c r="Y37" i="26" s="1"/>
  <c r="U37" i="26"/>
  <c r="V36" i="26"/>
  <c r="Y36" i="26" s="1"/>
  <c r="U36" i="26"/>
  <c r="V35" i="26"/>
  <c r="Y35" i="26" s="1"/>
  <c r="U35" i="26"/>
  <c r="V34" i="26"/>
  <c r="Y34" i="26" s="1"/>
  <c r="U34" i="26"/>
  <c r="V33" i="26"/>
  <c r="Y33" i="26" s="1"/>
  <c r="U33" i="26"/>
  <c r="Y32" i="26"/>
  <c r="V32" i="26"/>
  <c r="U32" i="26"/>
  <c r="Y31" i="26"/>
  <c r="V31" i="26"/>
  <c r="U31" i="26"/>
  <c r="V30" i="26"/>
  <c r="Y30" i="26" s="1"/>
  <c r="U30" i="26"/>
  <c r="Y29" i="26"/>
  <c r="V29" i="26"/>
  <c r="U29" i="26"/>
  <c r="V28" i="26"/>
  <c r="Y28" i="26" s="1"/>
  <c r="U28" i="26"/>
  <c r="V27" i="26"/>
  <c r="Y27" i="26" s="1"/>
  <c r="U27" i="26"/>
  <c r="V26" i="26"/>
  <c r="Y26" i="26" s="1"/>
  <c r="U26" i="26"/>
  <c r="V25" i="26"/>
  <c r="Y25" i="26" s="1"/>
  <c r="U25" i="26"/>
  <c r="Y24" i="26"/>
  <c r="V24" i="26"/>
  <c r="U24" i="26"/>
  <c r="V23" i="26"/>
  <c r="Y23" i="26" s="1"/>
  <c r="U23" i="26"/>
  <c r="Y22" i="26"/>
  <c r="V22" i="26"/>
  <c r="U22" i="26"/>
  <c r="V21" i="26"/>
  <c r="Y21" i="26" s="1"/>
  <c r="U21" i="26"/>
  <c r="V20" i="26"/>
  <c r="Y20" i="26" s="1"/>
  <c r="U20" i="26"/>
  <c r="V19" i="26"/>
  <c r="Y19" i="26" s="1"/>
  <c r="U19" i="26"/>
  <c r="V18" i="26"/>
  <c r="Y18" i="26" s="1"/>
  <c r="U18" i="26"/>
  <c r="Y17" i="26"/>
  <c r="V17" i="26"/>
  <c r="V16" i="26"/>
  <c r="Y16" i="26" s="1"/>
  <c r="U16" i="26"/>
  <c r="Y15" i="26"/>
  <c r="V15" i="26"/>
  <c r="U15" i="26"/>
  <c r="V14" i="26"/>
  <c r="Y14" i="26" s="1"/>
  <c r="U14" i="26"/>
  <c r="Y13" i="26"/>
  <c r="V13" i="26"/>
  <c r="U13" i="26"/>
  <c r="V12" i="26"/>
  <c r="Y12" i="26" s="1"/>
  <c r="U12" i="26"/>
  <c r="V11" i="26"/>
  <c r="Y11" i="26" s="1"/>
  <c r="U11" i="26"/>
  <c r="V10" i="26"/>
  <c r="Y10" i="26" s="1"/>
  <c r="U10" i="26"/>
  <c r="V9" i="26"/>
  <c r="Y9" i="26" s="1"/>
  <c r="U9" i="26"/>
  <c r="V8" i="26"/>
  <c r="Y8" i="26" s="1"/>
  <c r="U8" i="26"/>
  <c r="Y7" i="26"/>
  <c r="V7" i="26"/>
  <c r="U7" i="26"/>
  <c r="Y6" i="26"/>
  <c r="V6" i="26"/>
  <c r="U6" i="26"/>
  <c r="V5" i="26"/>
  <c r="Y5" i="26" s="1"/>
  <c r="U5" i="26"/>
  <c r="Y4" i="26"/>
  <c r="V4" i="26"/>
  <c r="U4" i="26"/>
  <c r="Q40" i="18"/>
  <c r="S40" i="18" s="1"/>
  <c r="W40" i="18" s="1"/>
  <c r="Q39" i="18"/>
  <c r="Q38" i="18"/>
  <c r="S38" i="18" s="1"/>
  <c r="W38" i="18" s="1"/>
  <c r="Q37" i="18"/>
  <c r="Q36" i="18"/>
  <c r="S36" i="18" s="1"/>
  <c r="W36" i="18" s="1"/>
  <c r="Q35" i="18"/>
  <c r="Q34" i="18"/>
  <c r="S34" i="18" s="1"/>
  <c r="W34" i="18" s="1"/>
  <c r="Q33" i="18"/>
  <c r="Q32" i="18"/>
  <c r="S32" i="18" s="1"/>
  <c r="W32" i="18" s="1"/>
  <c r="Q31" i="18"/>
  <c r="Q30" i="18"/>
  <c r="S30" i="18" s="1"/>
  <c r="W30" i="18" s="1"/>
  <c r="Q29" i="18"/>
  <c r="Q28" i="18"/>
  <c r="S28" i="18" s="1"/>
  <c r="W28" i="18" s="1"/>
  <c r="Q27" i="18"/>
  <c r="Q26" i="18"/>
  <c r="S26" i="18" s="1"/>
  <c r="W26" i="18" s="1"/>
  <c r="Q25" i="18"/>
  <c r="Q24" i="18"/>
  <c r="S24" i="18" s="1"/>
  <c r="W24" i="18" s="1"/>
  <c r="Q23" i="18"/>
  <c r="Q22" i="18"/>
  <c r="S22" i="18" s="1"/>
  <c r="W22" i="18" s="1"/>
  <c r="Q21" i="18"/>
  <c r="Q20" i="18"/>
  <c r="S20" i="18" s="1"/>
  <c r="W20" i="18" s="1"/>
  <c r="Q19" i="18"/>
  <c r="Q18" i="18"/>
  <c r="S18" i="18" s="1"/>
  <c r="W18" i="18" s="1"/>
  <c r="Q17" i="18"/>
  <c r="Q16" i="18"/>
  <c r="S16" i="18" s="1"/>
  <c r="W16" i="18" s="1"/>
  <c r="Q15" i="18"/>
  <c r="Q14" i="18"/>
  <c r="S14" i="18" s="1"/>
  <c r="W14" i="18" s="1"/>
  <c r="Q13" i="18"/>
  <c r="Q12" i="18"/>
  <c r="S12" i="18" s="1"/>
  <c r="W12" i="18" s="1"/>
  <c r="Q11" i="18"/>
  <c r="Q10" i="18"/>
  <c r="S10" i="18" s="1"/>
  <c r="W10" i="18" s="1"/>
  <c r="Q9" i="18"/>
  <c r="Q8" i="18"/>
  <c r="S8" i="18" s="1"/>
  <c r="W8" i="18" s="1"/>
  <c r="Q7" i="18"/>
  <c r="Q6" i="18"/>
  <c r="S6" i="18" s="1"/>
  <c r="W6" i="18" s="1"/>
  <c r="Q5" i="18"/>
  <c r="Q4" i="18"/>
  <c r="S4" i="18" s="1"/>
  <c r="W4" i="18" s="1"/>
  <c r="V40" i="18"/>
  <c r="Y40" i="18" s="1"/>
  <c r="V39" i="18"/>
  <c r="Y39" i="18" s="1"/>
  <c r="V38" i="18"/>
  <c r="Y38" i="18" s="1"/>
  <c r="V37" i="18"/>
  <c r="Y37" i="18" s="1"/>
  <c r="V36" i="18"/>
  <c r="Y36" i="18" s="1"/>
  <c r="V35" i="18"/>
  <c r="Y35" i="18" s="1"/>
  <c r="V34" i="18"/>
  <c r="Y34" i="18" s="1"/>
  <c r="V33" i="18"/>
  <c r="Y33" i="18" s="1"/>
  <c r="V32" i="18"/>
  <c r="Y32" i="18" s="1"/>
  <c r="V31" i="18"/>
  <c r="Y31" i="18" s="1"/>
  <c r="V30" i="18"/>
  <c r="Y30" i="18" s="1"/>
  <c r="V29" i="18"/>
  <c r="Y29" i="18" s="1"/>
  <c r="V28" i="18"/>
  <c r="Y28" i="18" s="1"/>
  <c r="V27" i="18"/>
  <c r="Y27" i="18" s="1"/>
  <c r="V26" i="18"/>
  <c r="Y26" i="18" s="1"/>
  <c r="V25" i="18"/>
  <c r="Y25" i="18" s="1"/>
  <c r="V24" i="18"/>
  <c r="Y24" i="18" s="1"/>
  <c r="V23" i="18"/>
  <c r="Y23" i="18" s="1"/>
  <c r="V22" i="18"/>
  <c r="Y22" i="18" s="1"/>
  <c r="V21" i="18"/>
  <c r="Y21" i="18" s="1"/>
  <c r="V20" i="18"/>
  <c r="Y20" i="18" s="1"/>
  <c r="V19" i="18"/>
  <c r="Y19" i="18" s="1"/>
  <c r="V18" i="18"/>
  <c r="Y18" i="18" s="1"/>
  <c r="V17" i="18"/>
  <c r="Y17" i="18" s="1"/>
  <c r="V16" i="18"/>
  <c r="Y16" i="18" s="1"/>
  <c r="V15" i="18"/>
  <c r="Y15" i="18" s="1"/>
  <c r="V14" i="18"/>
  <c r="Y14" i="18" s="1"/>
  <c r="V13" i="18"/>
  <c r="Y13" i="18" s="1"/>
  <c r="V12" i="18"/>
  <c r="Y12" i="18" s="1"/>
  <c r="V11" i="18"/>
  <c r="Y11" i="18" s="1"/>
  <c r="V10" i="18"/>
  <c r="Y10" i="18" s="1"/>
  <c r="V9" i="18"/>
  <c r="Y9" i="18" s="1"/>
  <c r="V8" i="18"/>
  <c r="Y8" i="18" s="1"/>
  <c r="V7" i="18"/>
  <c r="Y7" i="18" s="1"/>
  <c r="V6" i="18"/>
  <c r="Y6" i="18" s="1"/>
  <c r="V5" i="18"/>
  <c r="Y5" i="18" s="1"/>
  <c r="V4" i="18"/>
  <c r="Y4" i="18" s="1"/>
  <c r="Q48" i="16"/>
  <c r="S48" i="16" s="1"/>
  <c r="W48" i="16" s="1"/>
  <c r="Q47" i="16"/>
  <c r="S47" i="16" s="1"/>
  <c r="W47" i="16" s="1"/>
  <c r="Q46" i="16"/>
  <c r="S46" i="16" s="1"/>
  <c r="W46" i="16" s="1"/>
  <c r="Q45" i="16"/>
  <c r="Q44" i="16"/>
  <c r="Q43" i="16"/>
  <c r="Q42" i="16"/>
  <c r="Q41" i="16"/>
  <c r="S41" i="16" s="1"/>
  <c r="W41" i="16" s="1"/>
  <c r="Q40" i="16"/>
  <c r="Q39" i="16"/>
  <c r="Q38" i="16"/>
  <c r="Q37" i="16"/>
  <c r="Q36" i="16"/>
  <c r="S36" i="16" s="1"/>
  <c r="W36" i="16" s="1"/>
  <c r="Q35" i="16"/>
  <c r="S35" i="16" s="1"/>
  <c r="W35" i="16" s="1"/>
  <c r="Q34" i="16"/>
  <c r="Q33" i="16"/>
  <c r="Q32" i="16"/>
  <c r="Q31" i="16"/>
  <c r="Q30" i="16"/>
  <c r="Q29" i="16"/>
  <c r="S29" i="16" s="1"/>
  <c r="W29" i="16" s="1"/>
  <c r="Q28" i="16"/>
  <c r="Q27" i="16"/>
  <c r="S27" i="16" s="1"/>
  <c r="W27" i="16" s="1"/>
  <c r="Q26" i="16"/>
  <c r="S26" i="16" s="1"/>
  <c r="W26" i="16" s="1"/>
  <c r="Q25" i="16"/>
  <c r="Q24" i="16"/>
  <c r="S24" i="16" s="1"/>
  <c r="W24" i="16" s="1"/>
  <c r="Q23" i="16"/>
  <c r="Q22" i="16"/>
  <c r="S22" i="16" s="1"/>
  <c r="W22" i="16" s="1"/>
  <c r="Q21" i="16"/>
  <c r="S21" i="16" s="1"/>
  <c r="W21" i="16" s="1"/>
  <c r="Q20" i="16"/>
  <c r="Q19" i="16"/>
  <c r="Q18" i="16"/>
  <c r="S18" i="16" s="1"/>
  <c r="W18" i="16" s="1"/>
  <c r="Q17" i="16"/>
  <c r="Q16" i="16"/>
  <c r="S16" i="16" s="1"/>
  <c r="W16" i="16" s="1"/>
  <c r="Q15" i="16"/>
  <c r="S15" i="16" s="1"/>
  <c r="W15" i="16" s="1"/>
  <c r="Q14" i="16"/>
  <c r="Q13" i="16"/>
  <c r="Q12" i="16"/>
  <c r="Q11" i="16"/>
  <c r="Q10" i="16"/>
  <c r="S10" i="16" s="1"/>
  <c r="W10" i="16" s="1"/>
  <c r="Q9" i="16"/>
  <c r="S9" i="16" s="1"/>
  <c r="W9" i="16" s="1"/>
  <c r="Q8" i="16"/>
  <c r="Q7" i="16"/>
  <c r="Q6" i="16"/>
  <c r="Q5" i="16"/>
  <c r="V48" i="16"/>
  <c r="Y48" i="16" s="1"/>
  <c r="V47" i="16"/>
  <c r="Y47" i="16" s="1"/>
  <c r="V46" i="16"/>
  <c r="Y46" i="16" s="1"/>
  <c r="V45" i="16"/>
  <c r="Y45" i="16" s="1"/>
  <c r="V44" i="16"/>
  <c r="Y44" i="16" s="1"/>
  <c r="V43" i="16"/>
  <c r="Y43" i="16" s="1"/>
  <c r="V42" i="16"/>
  <c r="Y42" i="16" s="1"/>
  <c r="V41" i="16"/>
  <c r="Y41" i="16" s="1"/>
  <c r="V40" i="16"/>
  <c r="Y40" i="16" s="1"/>
  <c r="V39" i="16"/>
  <c r="Y39" i="16" s="1"/>
  <c r="V38" i="16"/>
  <c r="Y38" i="16" s="1"/>
  <c r="V37" i="16"/>
  <c r="Y37" i="16" s="1"/>
  <c r="V36" i="16"/>
  <c r="Y36" i="16" s="1"/>
  <c r="V35" i="16"/>
  <c r="Y35" i="16" s="1"/>
  <c r="V34" i="16"/>
  <c r="Y34" i="16" s="1"/>
  <c r="V33" i="16"/>
  <c r="Y33" i="16" s="1"/>
  <c r="V32" i="16"/>
  <c r="Y32" i="16" s="1"/>
  <c r="V31" i="16"/>
  <c r="Y31" i="16" s="1"/>
  <c r="V30" i="16"/>
  <c r="Y30" i="16" s="1"/>
  <c r="V29" i="16"/>
  <c r="Y29" i="16" s="1"/>
  <c r="V28" i="16"/>
  <c r="Y28" i="16" s="1"/>
  <c r="V27" i="16"/>
  <c r="Y27" i="16" s="1"/>
  <c r="V26" i="16"/>
  <c r="Y26" i="16" s="1"/>
  <c r="V25" i="16"/>
  <c r="Y25" i="16" s="1"/>
  <c r="V24" i="16"/>
  <c r="Y24" i="16" s="1"/>
  <c r="V23" i="16"/>
  <c r="Y23" i="16" s="1"/>
  <c r="V22" i="16"/>
  <c r="Y22" i="16" s="1"/>
  <c r="V21" i="16"/>
  <c r="Y21" i="16" s="1"/>
  <c r="V20" i="16"/>
  <c r="Y20" i="16" s="1"/>
  <c r="V19" i="16"/>
  <c r="Y19" i="16" s="1"/>
  <c r="V18" i="16"/>
  <c r="Y18" i="16" s="1"/>
  <c r="V17" i="16"/>
  <c r="Y17" i="16" s="1"/>
  <c r="V16" i="16"/>
  <c r="Y16" i="16" s="1"/>
  <c r="V15" i="16"/>
  <c r="Y15" i="16" s="1"/>
  <c r="V14" i="16"/>
  <c r="Y14" i="16" s="1"/>
  <c r="V13" i="16"/>
  <c r="Y13" i="16" s="1"/>
  <c r="V12" i="16"/>
  <c r="Y12" i="16" s="1"/>
  <c r="V11" i="16"/>
  <c r="Y11" i="16" s="1"/>
  <c r="V10" i="16"/>
  <c r="Y10" i="16" s="1"/>
  <c r="V9" i="16"/>
  <c r="Y9" i="16" s="1"/>
  <c r="V8" i="16"/>
  <c r="Y8" i="16" s="1"/>
  <c r="V7" i="16"/>
  <c r="Y7" i="16" s="1"/>
  <c r="V6" i="16"/>
  <c r="Y6" i="16" s="1"/>
  <c r="V5" i="16"/>
  <c r="Y5" i="16" s="1"/>
  <c r="V4" i="16"/>
  <c r="Y4" i="16" s="1"/>
  <c r="Q4" i="16"/>
  <c r="T37" i="18"/>
  <c r="T4" i="26"/>
  <c r="T13" i="18"/>
  <c r="T11" i="18"/>
  <c r="T28" i="27"/>
  <c r="T14" i="27"/>
  <c r="P35" i="27"/>
  <c r="P20" i="26"/>
  <c r="P28" i="26"/>
  <c r="T21" i="18"/>
  <c r="T34" i="26"/>
  <c r="T31" i="16"/>
  <c r="T45" i="16"/>
  <c r="P38" i="18"/>
  <c r="T13" i="16"/>
  <c r="T12" i="27"/>
  <c r="T30" i="26"/>
  <c r="T39" i="18"/>
  <c r="T44" i="16"/>
  <c r="T22" i="27"/>
  <c r="T8" i="16"/>
  <c r="T33" i="18"/>
  <c r="P5" i="27"/>
  <c r="P5" i="26"/>
  <c r="T7" i="18"/>
  <c r="T9" i="18"/>
  <c r="T12" i="16"/>
  <c r="P17" i="27"/>
  <c r="P18" i="27"/>
  <c r="P19" i="26"/>
  <c r="P28" i="18"/>
  <c r="T11" i="16"/>
  <c r="T25" i="18"/>
  <c r="T30" i="27"/>
  <c r="P6" i="27"/>
  <c r="P16" i="27"/>
  <c r="P10" i="26"/>
  <c r="P22" i="18"/>
  <c r="T27" i="26"/>
  <c r="T31" i="18"/>
  <c r="T40" i="27"/>
  <c r="T43" i="16"/>
  <c r="T31" i="26"/>
  <c r="P31" i="27"/>
  <c r="P8" i="27"/>
  <c r="P9" i="26"/>
  <c r="T26" i="27"/>
  <c r="P36" i="26"/>
  <c r="T16" i="26"/>
  <c r="P22" i="16"/>
  <c r="T32" i="26"/>
  <c r="P6" i="18"/>
  <c r="T29" i="18"/>
  <c r="P4" i="18"/>
  <c r="T15" i="26"/>
  <c r="P4" i="26"/>
  <c r="T19" i="16"/>
  <c r="P26" i="16"/>
  <c r="P27" i="26"/>
  <c r="T38" i="27"/>
  <c r="P32" i="18"/>
  <c r="T14" i="26"/>
  <c r="P22" i="27"/>
  <c r="T24" i="27"/>
  <c r="T17" i="18"/>
  <c r="P27" i="27"/>
  <c r="P37" i="27"/>
  <c r="P44" i="16"/>
  <c r="T28" i="18"/>
  <c r="T25" i="26"/>
  <c r="P21" i="27"/>
  <c r="P10" i="27"/>
  <c r="T23" i="26"/>
  <c r="T20" i="27"/>
  <c r="P32" i="27"/>
  <c r="P28" i="16"/>
  <c r="T7" i="26"/>
  <c r="T37" i="26"/>
  <c r="P44" i="27"/>
  <c r="P12" i="18"/>
  <c r="P9" i="27"/>
  <c r="P40" i="16"/>
  <c r="T6" i="26"/>
  <c r="P30" i="18"/>
  <c r="T36" i="27"/>
  <c r="P8" i="26"/>
  <c r="T9" i="26"/>
  <c r="P15" i="26"/>
  <c r="T42" i="27"/>
  <c r="P29" i="27"/>
  <c r="P22" i="26"/>
  <c r="T7" i="27"/>
  <c r="P11" i="27"/>
  <c r="P14" i="26"/>
  <c r="T46" i="27"/>
  <c r="T27" i="18"/>
  <c r="P29" i="26"/>
  <c r="P38" i="16"/>
  <c r="P12" i="16"/>
  <c r="T23" i="18"/>
  <c r="T23" i="16"/>
  <c r="P24" i="26"/>
  <c r="P8" i="16"/>
  <c r="T1" i="27"/>
  <c r="T12" i="18"/>
  <c r="T42" i="16"/>
  <c r="P25" i="27"/>
  <c r="P10" i="18"/>
  <c r="T41" i="16"/>
  <c r="T39" i="16"/>
  <c r="P11" i="26"/>
  <c r="P8" i="18"/>
  <c r="T24" i="26"/>
  <c r="P42" i="16"/>
  <c r="T5" i="16"/>
  <c r="T25" i="16"/>
  <c r="T18" i="26"/>
  <c r="P25" i="26"/>
  <c r="T36" i="26"/>
  <c r="T26" i="26"/>
  <c r="T1" i="26"/>
  <c r="P16" i="26"/>
  <c r="P33" i="27"/>
  <c r="T37" i="16"/>
  <c r="P43" i="27"/>
  <c r="T40" i="16"/>
  <c r="P45" i="27"/>
  <c r="T20" i="16"/>
  <c r="T28" i="16"/>
  <c r="T20" i="26"/>
  <c r="T5" i="18"/>
  <c r="P36" i="18"/>
  <c r="P20" i="16"/>
  <c r="T33" i="16"/>
  <c r="T17" i="16"/>
  <c r="P32" i="16"/>
  <c r="T14" i="16"/>
  <c r="T34" i="16"/>
  <c r="T29" i="26"/>
  <c r="T30" i="16"/>
  <c r="T17" i="26"/>
  <c r="T19" i="18"/>
  <c r="T15" i="18"/>
  <c r="T6" i="16"/>
  <c r="T4" i="16"/>
  <c r="T38" i="16"/>
  <c r="T35" i="18"/>
  <c r="T7" i="16"/>
  <c r="X38" i="27" l="1"/>
  <c r="X12" i="27"/>
  <c r="X22" i="27"/>
  <c r="X28" i="27"/>
  <c r="X30" i="27"/>
  <c r="X36" i="27"/>
  <c r="X40" i="27"/>
  <c r="X24" i="27"/>
  <c r="X14" i="27"/>
  <c r="X46" i="27"/>
  <c r="X20" i="27"/>
  <c r="X26" i="27"/>
  <c r="X42" i="27"/>
  <c r="X7" i="27"/>
  <c r="S36" i="27"/>
  <c r="W36" i="27" s="1"/>
  <c r="S38" i="27"/>
  <c r="W38" i="27" s="1"/>
  <c r="S40" i="27"/>
  <c r="W40" i="27" s="1"/>
  <c r="S42" i="27"/>
  <c r="W42" i="27" s="1"/>
  <c r="S46" i="27"/>
  <c r="W46" i="27" s="1"/>
  <c r="S12" i="27"/>
  <c r="W12" i="27" s="1"/>
  <c r="S14" i="27"/>
  <c r="W14" i="27" s="1"/>
  <c r="S20" i="27"/>
  <c r="W20" i="27" s="1"/>
  <c r="S24" i="27"/>
  <c r="W24" i="27" s="1"/>
  <c r="S26" i="27"/>
  <c r="W26" i="27" s="1"/>
  <c r="S28" i="27"/>
  <c r="W28" i="27" s="1"/>
  <c r="S30" i="27"/>
  <c r="W30" i="27" s="1"/>
  <c r="S22" i="27"/>
  <c r="W22" i="27" s="1"/>
  <c r="S7" i="27"/>
  <c r="W7" i="27" s="1"/>
  <c r="X37" i="26"/>
  <c r="X16" i="26"/>
  <c r="X25" i="26"/>
  <c r="X36" i="26"/>
  <c r="X7" i="26"/>
  <c r="X15" i="26"/>
  <c r="X9" i="26"/>
  <c r="X26" i="26"/>
  <c r="X18" i="26"/>
  <c r="X31" i="26"/>
  <c r="X20" i="26"/>
  <c r="X24" i="26"/>
  <c r="X17" i="26"/>
  <c r="X34" i="26"/>
  <c r="X6" i="26"/>
  <c r="X23" i="26"/>
  <c r="X32" i="26"/>
  <c r="X29" i="26"/>
  <c r="X4" i="26"/>
  <c r="X30" i="26"/>
  <c r="S14" i="26"/>
  <c r="W14" i="26" s="1"/>
  <c r="S4" i="26"/>
  <c r="W4" i="26" s="1"/>
  <c r="S29" i="26"/>
  <c r="W29" i="26" s="1"/>
  <c r="S6" i="26"/>
  <c r="W6" i="26" s="1"/>
  <c r="S31" i="26"/>
  <c r="W31" i="26" s="1"/>
  <c r="S15" i="26"/>
  <c r="W15" i="26" s="1"/>
  <c r="S24" i="26"/>
  <c r="W24" i="26" s="1"/>
  <c r="S17" i="26"/>
  <c r="W17" i="26" s="1"/>
  <c r="S26" i="26"/>
  <c r="W26" i="26" s="1"/>
  <c r="S37" i="26"/>
  <c r="W37" i="26" s="1"/>
  <c r="S32" i="26"/>
  <c r="W32" i="26" s="1"/>
  <c r="S25" i="26"/>
  <c r="W25" i="26" s="1"/>
  <c r="S7" i="26"/>
  <c r="W7" i="26" s="1"/>
  <c r="S16" i="26"/>
  <c r="W16" i="26" s="1"/>
  <c r="S9" i="26"/>
  <c r="W9" i="26" s="1"/>
  <c r="S18" i="26"/>
  <c r="W18" i="26" s="1"/>
  <c r="S34" i="26"/>
  <c r="W34" i="26" s="1"/>
  <c r="X9" i="18"/>
  <c r="X35" i="18"/>
  <c r="X23" i="18"/>
  <c r="X37" i="18"/>
  <c r="X12" i="18"/>
  <c r="X31" i="18"/>
  <c r="X25" i="18"/>
  <c r="X29" i="18"/>
  <c r="X19" i="18"/>
  <c r="X11" i="18"/>
  <c r="X13" i="18"/>
  <c r="X7" i="18"/>
  <c r="X39" i="18"/>
  <c r="X17" i="18"/>
  <c r="X5" i="18"/>
  <c r="X33" i="18"/>
  <c r="X27" i="18"/>
  <c r="X21" i="18"/>
  <c r="X15" i="18"/>
  <c r="X28" i="18"/>
  <c r="S5" i="18"/>
  <c r="W5" i="18" s="1"/>
  <c r="S7" i="18"/>
  <c r="W7" i="18" s="1"/>
  <c r="S9" i="18"/>
  <c r="W9" i="18" s="1"/>
  <c r="S11" i="18"/>
  <c r="W11" i="18" s="1"/>
  <c r="S13" i="18"/>
  <c r="W13" i="18" s="1"/>
  <c r="S15" i="18"/>
  <c r="W15" i="18" s="1"/>
  <c r="S17" i="18"/>
  <c r="W17" i="18" s="1"/>
  <c r="S19" i="18"/>
  <c r="W19" i="18" s="1"/>
  <c r="S21" i="18"/>
  <c r="W21" i="18" s="1"/>
  <c r="S23" i="18"/>
  <c r="W23" i="18" s="1"/>
  <c r="S25" i="18"/>
  <c r="W25" i="18" s="1"/>
  <c r="S27" i="18"/>
  <c r="W27" i="18" s="1"/>
  <c r="S29" i="18"/>
  <c r="W29" i="18" s="1"/>
  <c r="S31" i="18"/>
  <c r="W31" i="18" s="1"/>
  <c r="S33" i="18"/>
  <c r="W33" i="18" s="1"/>
  <c r="S35" i="18"/>
  <c r="W35" i="18" s="1"/>
  <c r="S37" i="18"/>
  <c r="W37" i="18" s="1"/>
  <c r="S39" i="18"/>
  <c r="W39" i="18" s="1"/>
  <c r="X8" i="16"/>
  <c r="X4" i="16"/>
  <c r="X12" i="16"/>
  <c r="X20" i="16"/>
  <c r="X28" i="16"/>
  <c r="X6" i="16"/>
  <c r="X14" i="16"/>
  <c r="X30" i="16"/>
  <c r="X31" i="16"/>
  <c r="X42" i="16"/>
  <c r="X37" i="16"/>
  <c r="X43" i="16"/>
  <c r="X7" i="16"/>
  <c r="X23" i="16"/>
  <c r="X38" i="16"/>
  <c r="X5" i="16"/>
  <c r="X33" i="16"/>
  <c r="X19" i="16"/>
  <c r="X44" i="16"/>
  <c r="X39" i="16"/>
  <c r="X34" i="16"/>
  <c r="X45" i="16"/>
  <c r="X11" i="16"/>
  <c r="X40" i="16"/>
  <c r="X25" i="16"/>
  <c r="X17" i="16"/>
  <c r="X13" i="16"/>
  <c r="S30" i="16"/>
  <c r="W30" i="16" s="1"/>
  <c r="S12" i="16"/>
  <c r="W12" i="16" s="1"/>
  <c r="S8" i="16"/>
  <c r="W8" i="16" s="1"/>
  <c r="S42" i="16"/>
  <c r="W42" i="16" s="1"/>
  <c r="S4" i="16"/>
  <c r="W4" i="16" s="1"/>
  <c r="S32" i="16"/>
  <c r="W32" i="16" s="1"/>
  <c r="S14" i="16"/>
  <c r="W14" i="16" s="1"/>
  <c r="S38" i="16"/>
  <c r="W38" i="16" s="1"/>
  <c r="S28" i="16"/>
  <c r="W28" i="16" s="1"/>
  <c r="S44" i="16"/>
  <c r="W44" i="16" s="1"/>
  <c r="S6" i="16"/>
  <c r="W6" i="16" s="1"/>
  <c r="S34" i="16"/>
  <c r="W34" i="16" s="1"/>
  <c r="S20" i="16"/>
  <c r="W20" i="16" s="1"/>
  <c r="S40" i="16"/>
  <c r="W40" i="16" s="1"/>
  <c r="S7" i="16"/>
  <c r="W7" i="16" s="1"/>
  <c r="S13" i="16"/>
  <c r="W13" i="16" s="1"/>
  <c r="S19" i="16"/>
  <c r="W19" i="16" s="1"/>
  <c r="S25" i="16"/>
  <c r="W25" i="16" s="1"/>
  <c r="S31" i="16"/>
  <c r="W31" i="16" s="1"/>
  <c r="S39" i="16"/>
  <c r="W39" i="16" s="1"/>
  <c r="S45" i="16"/>
  <c r="W45" i="16" s="1"/>
  <c r="S33" i="16"/>
  <c r="W33" i="16" s="1"/>
  <c r="S37" i="16"/>
  <c r="W37" i="16" s="1"/>
  <c r="S43" i="16"/>
  <c r="W43" i="16" s="1"/>
  <c r="S5" i="16"/>
  <c r="W5" i="16" s="1"/>
  <c r="S11" i="16"/>
  <c r="W11" i="16" s="1"/>
  <c r="S17" i="16"/>
  <c r="W17" i="16" s="1"/>
  <c r="S23" i="16"/>
  <c r="W23" i="16" s="1"/>
  <c r="F46" i="27"/>
  <c r="I34" i="28"/>
  <c r="K34" i="28" s="1"/>
  <c r="K27" i="27" s="1"/>
  <c r="I33" i="28"/>
  <c r="J33" i="28" s="1"/>
  <c r="K33" i="28"/>
  <c r="K23" i="27" s="1"/>
  <c r="I32" i="28"/>
  <c r="I31" i="28"/>
  <c r="I30" i="28"/>
  <c r="O27" i="28" s="1"/>
  <c r="K18" i="16"/>
  <c r="H18" i="16"/>
  <c r="K17" i="16"/>
  <c r="K16" i="16"/>
  <c r="K18" i="18"/>
  <c r="H18" i="18"/>
  <c r="K17" i="18"/>
  <c r="K16" i="18"/>
  <c r="K18" i="26"/>
  <c r="H18" i="26"/>
  <c r="K17" i="26"/>
  <c r="K16" i="26"/>
  <c r="K41" i="18"/>
  <c r="K48" i="27"/>
  <c r="K47" i="27"/>
  <c r="F49" i="27"/>
  <c r="K49" i="27" s="1"/>
  <c r="F31" i="16"/>
  <c r="K31" i="16"/>
  <c r="F33" i="16"/>
  <c r="K33" i="16"/>
  <c r="F35" i="16"/>
  <c r="K35" i="16"/>
  <c r="F36" i="16"/>
  <c r="K36" i="16"/>
  <c r="F39" i="16"/>
  <c r="K39" i="16"/>
  <c r="F42" i="16"/>
  <c r="K42" i="16"/>
  <c r="F44" i="16"/>
  <c r="K44" i="16"/>
  <c r="F46" i="16"/>
  <c r="K46" i="16"/>
  <c r="F47" i="16"/>
  <c r="K47" i="16"/>
  <c r="F52" i="16"/>
  <c r="K52" i="16"/>
  <c r="K50" i="27"/>
  <c r="F51" i="27"/>
  <c r="K41" i="16"/>
  <c r="F33" i="27"/>
  <c r="K33" i="27" s="1"/>
  <c r="F31" i="27"/>
  <c r="K31" i="27" s="1"/>
  <c r="K32" i="27"/>
  <c r="K30" i="27"/>
  <c r="K36" i="27"/>
  <c r="F35" i="27"/>
  <c r="K35" i="27" s="1"/>
  <c r="F44" i="27"/>
  <c r="K40" i="27"/>
  <c r="F41" i="27"/>
  <c r="K41" i="27" s="1"/>
  <c r="F39" i="27"/>
  <c r="K45" i="27"/>
  <c r="K43" i="27"/>
  <c r="K42" i="27"/>
  <c r="K38" i="27"/>
  <c r="K37" i="27"/>
  <c r="K34" i="27"/>
  <c r="K29" i="27"/>
  <c r="K28" i="27"/>
  <c r="G20" i="27"/>
  <c r="K20" i="27" s="1"/>
  <c r="K17" i="27"/>
  <c r="K16" i="27"/>
  <c r="K42" i="26"/>
  <c r="K50" i="16"/>
  <c r="K49" i="16"/>
  <c r="I34" i="25"/>
  <c r="K34" i="25" s="1"/>
  <c r="K27" i="26" s="1"/>
  <c r="F40" i="26"/>
  <c r="K40" i="26"/>
  <c r="F39" i="26"/>
  <c r="K29" i="26"/>
  <c r="K28" i="26"/>
  <c r="K35" i="26"/>
  <c r="K41" i="26"/>
  <c r="K38" i="26"/>
  <c r="K37" i="26"/>
  <c r="K36" i="26"/>
  <c r="K34" i="26"/>
  <c r="K33" i="26"/>
  <c r="K32" i="26"/>
  <c r="K31" i="26"/>
  <c r="K30" i="26"/>
  <c r="K28" i="18"/>
  <c r="H13" i="26"/>
  <c r="K48" i="16"/>
  <c r="F42" i="18"/>
  <c r="K42" i="18"/>
  <c r="F40" i="18"/>
  <c r="K40" i="18"/>
  <c r="F44" i="18"/>
  <c r="K44" i="18" s="1"/>
  <c r="F39" i="18"/>
  <c r="K39" i="18"/>
  <c r="F36" i="18"/>
  <c r="K36" i="18" s="1"/>
  <c r="F34" i="18"/>
  <c r="K34" i="18"/>
  <c r="F31" i="18"/>
  <c r="K31" i="18" s="1"/>
  <c r="K43" i="18"/>
  <c r="F29" i="18"/>
  <c r="K29" i="18"/>
  <c r="I34" i="24"/>
  <c r="K34" i="24"/>
  <c r="K27" i="16"/>
  <c r="I34" i="21"/>
  <c r="K34" i="21" s="1"/>
  <c r="K27" i="18" s="1"/>
  <c r="K51" i="16"/>
  <c r="K38" i="18"/>
  <c r="K37" i="18"/>
  <c r="K35" i="18"/>
  <c r="K33" i="18"/>
  <c r="K32" i="18"/>
  <c r="K30" i="18"/>
  <c r="K45" i="16"/>
  <c r="K13" i="18"/>
  <c r="K28" i="16"/>
  <c r="K29" i="16"/>
  <c r="K34" i="16"/>
  <c r="K32" i="16"/>
  <c r="K30" i="16"/>
  <c r="K13" i="16"/>
  <c r="K13" i="26"/>
  <c r="I33" i="25"/>
  <c r="K33" i="25" s="1"/>
  <c r="K23" i="26" s="1"/>
  <c r="I32" i="25"/>
  <c r="J32" i="25" s="1"/>
  <c r="G24" i="26" s="1"/>
  <c r="I31" i="25"/>
  <c r="J31" i="25" s="1"/>
  <c r="G21" i="26" s="1"/>
  <c r="I30" i="25"/>
  <c r="M27" i="25" s="1"/>
  <c r="I30" i="24"/>
  <c r="G27" i="24"/>
  <c r="I33" i="24"/>
  <c r="K33" i="24"/>
  <c r="K23" i="16"/>
  <c r="G20" i="26"/>
  <c r="K20" i="26"/>
  <c r="I31" i="24"/>
  <c r="K31" i="24"/>
  <c r="K21" i="16"/>
  <c r="I32" i="24"/>
  <c r="K32" i="24"/>
  <c r="K24" i="16"/>
  <c r="I30" i="21"/>
  <c r="G27" i="21" s="1"/>
  <c r="F27" i="21"/>
  <c r="I31" i="21"/>
  <c r="K31" i="21"/>
  <c r="K21" i="18"/>
  <c r="I33" i="21"/>
  <c r="K33" i="21" s="1"/>
  <c r="K23" i="18" s="1"/>
  <c r="J33" i="21"/>
  <c r="I32" i="21"/>
  <c r="K32" i="21"/>
  <c r="K24" i="18"/>
  <c r="G20" i="18"/>
  <c r="K20" i="18"/>
  <c r="G21" i="18"/>
  <c r="G24" i="18"/>
  <c r="G20" i="16"/>
  <c r="K20" i="16"/>
  <c r="K37" i="16"/>
  <c r="K38" i="16"/>
  <c r="K40" i="16"/>
  <c r="K43" i="16"/>
  <c r="O27" i="25"/>
  <c r="P27" i="25"/>
  <c r="J27" i="25"/>
  <c r="L27" i="21"/>
  <c r="J23" i="18" s="1"/>
  <c r="I27" i="25"/>
  <c r="J24" i="26" s="1"/>
  <c r="J33" i="25"/>
  <c r="J31" i="21"/>
  <c r="P27" i="21"/>
  <c r="O27" i="21"/>
  <c r="M27" i="21"/>
  <c r="I27" i="21"/>
  <c r="J24" i="18" s="1"/>
  <c r="J32" i="21"/>
  <c r="L27" i="24"/>
  <c r="J23" i="16" s="1"/>
  <c r="O27" i="24"/>
  <c r="F27" i="24"/>
  <c r="P27" i="24"/>
  <c r="I27" i="24"/>
  <c r="J24" i="16" s="1"/>
  <c r="J27" i="24"/>
  <c r="M27" i="24"/>
  <c r="J33" i="24"/>
  <c r="J32" i="24"/>
  <c r="G24" i="16"/>
  <c r="J31" i="24"/>
  <c r="G21" i="16"/>
  <c r="P34" i="16"/>
  <c r="T34" i="18"/>
  <c r="T15" i="27"/>
  <c r="T9" i="27"/>
  <c r="T13" i="27"/>
  <c r="T19" i="27"/>
  <c r="P28" i="27"/>
  <c r="P26" i="26"/>
  <c r="P39" i="18"/>
  <c r="P7" i="16"/>
  <c r="P6" i="16"/>
  <c r="P47" i="27"/>
  <c r="P21" i="26"/>
  <c r="P9" i="16"/>
  <c r="T24" i="16"/>
  <c r="P40" i="27"/>
  <c r="P41" i="16"/>
  <c r="T18" i="27"/>
  <c r="P13" i="27"/>
  <c r="P27" i="18"/>
  <c r="T11" i="27"/>
  <c r="T4" i="18"/>
  <c r="P37" i="26"/>
  <c r="T18" i="16"/>
  <c r="T32" i="16"/>
  <c r="T22" i="18"/>
  <c r="T19" i="26"/>
  <c r="T44" i="27"/>
  <c r="T10" i="18"/>
  <c r="P34" i="27"/>
  <c r="P23" i="27"/>
  <c r="P7" i="26"/>
  <c r="P23" i="18"/>
  <c r="P39" i="16"/>
  <c r="P30" i="16"/>
  <c r="T8" i="18"/>
  <c r="T9" i="16"/>
  <c r="T37" i="27"/>
  <c r="T28" i="26"/>
  <c r="P38" i="27"/>
  <c r="P9" i="18"/>
  <c r="P46" i="16"/>
  <c r="T16" i="18"/>
  <c r="T22" i="16"/>
  <c r="P41" i="27"/>
  <c r="P6" i="26"/>
  <c r="P11" i="18"/>
  <c r="T8" i="27"/>
  <c r="P11" i="16"/>
  <c r="P13" i="16"/>
  <c r="P27" i="16"/>
  <c r="T36" i="18"/>
  <c r="P32" i="26"/>
  <c r="P37" i="18"/>
  <c r="P13" i="26"/>
  <c r="T29" i="27"/>
  <c r="P23" i="16"/>
  <c r="T21" i="26"/>
  <c r="P14" i="27"/>
  <c r="P31" i="18"/>
  <c r="P45" i="16"/>
  <c r="P24" i="27"/>
  <c r="P35" i="18"/>
  <c r="T34" i="27"/>
  <c r="P18" i="26"/>
  <c r="P47" i="16"/>
  <c r="P16" i="16"/>
  <c r="P18" i="16"/>
  <c r="T5" i="27"/>
  <c r="P33" i="16"/>
  <c r="P14" i="18"/>
  <c r="T10" i="26"/>
  <c r="T43" i="27"/>
  <c r="T10" i="16"/>
  <c r="T23" i="27"/>
  <c r="P39" i="27"/>
  <c r="P36" i="27"/>
  <c r="P23" i="26"/>
  <c r="P13" i="18"/>
  <c r="P14" i="16"/>
  <c r="P25" i="16"/>
  <c r="T24" i="18"/>
  <c r="T6" i="27"/>
  <c r="T10" i="27"/>
  <c r="P34" i="26"/>
  <c r="P26" i="18"/>
  <c r="P15" i="18"/>
  <c r="P35" i="26"/>
  <c r="T26" i="16"/>
  <c r="T4" i="27"/>
  <c r="P15" i="27"/>
  <c r="P10" i="16"/>
  <c r="T13" i="26"/>
  <c r="T31" i="27"/>
  <c r="T41" i="27"/>
  <c r="T26" i="18"/>
  <c r="P46" i="27"/>
  <c r="P30" i="27"/>
  <c r="P40" i="18"/>
  <c r="P19" i="18"/>
  <c r="P43" i="16"/>
  <c r="P37" i="16"/>
  <c r="P7" i="27"/>
  <c r="P20" i="27"/>
  <c r="T33" i="27"/>
  <c r="T45" i="27"/>
  <c r="P17" i="18"/>
  <c r="T25" i="27"/>
  <c r="P25" i="18"/>
  <c r="P29" i="18"/>
  <c r="P30" i="26"/>
  <c r="T40" i="18"/>
  <c r="P15" i="16"/>
  <c r="T16" i="27"/>
  <c r="P31" i="16"/>
  <c r="P16" i="18"/>
  <c r="T38" i="18"/>
  <c r="T32" i="18"/>
  <c r="T20" i="18"/>
  <c r="T27" i="16"/>
  <c r="P42" i="27"/>
  <c r="P34" i="18"/>
  <c r="P21" i="18"/>
  <c r="P21" i="16"/>
  <c r="P48" i="16"/>
  <c r="T22" i="26"/>
  <c r="T18" i="18"/>
  <c r="P24" i="18"/>
  <c r="P5" i="16"/>
  <c r="T36" i="16"/>
  <c r="P12" i="26"/>
  <c r="T35" i="16"/>
  <c r="T14" i="18"/>
  <c r="P33" i="18"/>
  <c r="T6" i="18"/>
  <c r="P29" i="16"/>
  <c r="P17" i="16"/>
  <c r="T12" i="26"/>
  <c r="P18" i="18"/>
  <c r="T21" i="27"/>
  <c r="P33" i="26"/>
  <c r="T5" i="26"/>
  <c r="P12" i="27"/>
  <c r="T11" i="26"/>
  <c r="T39" i="27"/>
  <c r="P19" i="27"/>
  <c r="P19" i="16"/>
  <c r="P4" i="16"/>
  <c r="P24" i="16"/>
  <c r="T32" i="27"/>
  <c r="T33" i="26"/>
  <c r="T35" i="26"/>
  <c r="T46" i="16"/>
  <c r="T15" i="16"/>
  <c r="P4" i="27"/>
  <c r="P20" i="18"/>
  <c r="T27" i="27"/>
  <c r="P17" i="26"/>
  <c r="P36" i="16"/>
  <c r="T21" i="16"/>
  <c r="T16" i="16"/>
  <c r="P5" i="18"/>
  <c r="T17" i="27"/>
  <c r="T47" i="16"/>
  <c r="P7" i="18"/>
  <c r="T48" i="16"/>
  <c r="T35" i="27"/>
  <c r="T29" i="16"/>
  <c r="T47" i="27"/>
  <c r="T8" i="26"/>
  <c r="T30" i="18"/>
  <c r="P26" i="27"/>
  <c r="P31" i="26"/>
  <c r="P35" i="16"/>
  <c r="X11" i="26" l="1"/>
  <c r="X32" i="16"/>
  <c r="X30" i="18"/>
  <c r="X16" i="27"/>
  <c r="X18" i="16"/>
  <c r="X14" i="18"/>
  <c r="X36" i="16"/>
  <c r="X45" i="27"/>
  <c r="X10" i="27"/>
  <c r="X26" i="18"/>
  <c r="X29" i="27"/>
  <c r="X28" i="26"/>
  <c r="X10" i="18"/>
  <c r="X12" i="26"/>
  <c r="X8" i="26"/>
  <c r="X34" i="27"/>
  <c r="X36" i="18"/>
  <c r="X46" i="16"/>
  <c r="X18" i="27"/>
  <c r="X18" i="18"/>
  <c r="X6" i="27"/>
  <c r="X20" i="18"/>
  <c r="X41" i="27"/>
  <c r="X10" i="16"/>
  <c r="X37" i="27"/>
  <c r="X44" i="27"/>
  <c r="X9" i="27"/>
  <c r="X17" i="27"/>
  <c r="X47" i="27"/>
  <c r="X16" i="16"/>
  <c r="X5" i="27"/>
  <c r="X35" i="26"/>
  <c r="X4" i="18"/>
  <c r="X25" i="27"/>
  <c r="X33" i="27"/>
  <c r="X21" i="27"/>
  <c r="X32" i="18"/>
  <c r="X31" i="27"/>
  <c r="X43" i="27"/>
  <c r="X16" i="18"/>
  <c r="X19" i="26"/>
  <c r="X27" i="27"/>
  <c r="X40" i="18"/>
  <c r="X33" i="26"/>
  <c r="X11" i="27"/>
  <c r="X8" i="27"/>
  <c r="X22" i="26"/>
  <c r="X24" i="18"/>
  <c r="X38" i="18"/>
  <c r="X13" i="26"/>
  <c r="X10" i="26"/>
  <c r="X24" i="16"/>
  <c r="X8" i="18"/>
  <c r="X22" i="18"/>
  <c r="X34" i="18"/>
  <c r="X39" i="27"/>
  <c r="X35" i="27"/>
  <c r="X6" i="18"/>
  <c r="X32" i="27"/>
  <c r="X21" i="26"/>
  <c r="X5" i="26"/>
  <c r="K44" i="27"/>
  <c r="K46" i="27"/>
  <c r="K51" i="27"/>
  <c r="K39" i="27"/>
  <c r="X23" i="27"/>
  <c r="X19" i="27"/>
  <c r="X15" i="27"/>
  <c r="X13" i="27"/>
  <c r="X4" i="27"/>
  <c r="M27" i="28"/>
  <c r="J27" i="28"/>
  <c r="J31" i="28"/>
  <c r="G21" i="27" s="1"/>
  <c r="J32" i="28"/>
  <c r="G24" i="27" s="1"/>
  <c r="L27" i="28"/>
  <c r="J23" i="27" s="1"/>
  <c r="G27" i="28"/>
  <c r="P27" i="28"/>
  <c r="F27" i="28"/>
  <c r="K31" i="28" s="1"/>
  <c r="K21" i="27" s="1"/>
  <c r="I27" i="28"/>
  <c r="K32" i="28" s="1"/>
  <c r="K24" i="27" s="1"/>
  <c r="G27" i="25"/>
  <c r="L27" i="25"/>
  <c r="J23" i="26" s="1"/>
  <c r="F27" i="25"/>
  <c r="K31" i="25" s="1"/>
  <c r="K21" i="26" s="1"/>
  <c r="K39" i="26"/>
  <c r="X14" i="26"/>
  <c r="X27" i="26"/>
  <c r="J27" i="21"/>
  <c r="X15" i="16"/>
  <c r="X41" i="16"/>
  <c r="X29" i="16"/>
  <c r="X9" i="16"/>
  <c r="X47" i="16"/>
  <c r="X27" i="16"/>
  <c r="X21" i="16"/>
  <c r="X26" i="16"/>
  <c r="X48" i="16"/>
  <c r="X22" i="16"/>
  <c r="X35" i="16"/>
  <c r="K32" i="25"/>
  <c r="K24" i="26" s="1"/>
  <c r="J24" i="27" l="1"/>
</calcChain>
</file>

<file path=xl/sharedStrings.xml><?xml version="1.0" encoding="utf-8"?>
<sst xmlns="http://schemas.openxmlformats.org/spreadsheetml/2006/main" count="2828" uniqueCount="547">
  <si>
    <t>Patient:</t>
  </si>
  <si>
    <t>CR#:</t>
  </si>
  <si>
    <t>Site:</t>
  </si>
  <si>
    <t>Plan Name:</t>
  </si>
  <si>
    <t>GTV Volume (cc)</t>
  </si>
  <si>
    <t>ITV Volume (cc):</t>
  </si>
  <si>
    <t>PTV Volume (cc)</t>
  </si>
  <si>
    <t>Total Lung Volume (cc)</t>
  </si>
  <si>
    <t>Normalization:</t>
  </si>
  <si>
    <t>Target/OAR Volumes:</t>
  </si>
  <si>
    <t>&lt;15%</t>
  </si>
  <si>
    <t>Acceptable</t>
  </si>
  <si>
    <t>&lt;1.2</t>
  </si>
  <si>
    <t>Esophagus</t>
  </si>
  <si>
    <t>Skin</t>
  </si>
  <si>
    <t>Spinal Canal</t>
  </si>
  <si>
    <t>Heart</t>
  </si>
  <si>
    <t>Requirement</t>
  </si>
  <si>
    <t>Protocol</t>
  </si>
  <si>
    <t>Calculated</t>
  </si>
  <si>
    <t>RTOG0236</t>
  </si>
  <si>
    <t>PTV Dose Inhomogeneity:</t>
  </si>
  <si>
    <t>PTV (V48Gy)</t>
  </si>
  <si>
    <t>PTV (V43.2Gy)</t>
  </si>
  <si>
    <t xml:space="preserve">Tolerance </t>
  </si>
  <si>
    <t>Spinal Canal-PRV 5mm</t>
  </si>
  <si>
    <t xml:space="preserve"> </t>
  </si>
  <si>
    <t>Location</t>
  </si>
  <si>
    <t>100% Dose covers 95% of Target Volume</t>
  </si>
  <si>
    <t>Volume</t>
  </si>
  <si>
    <t>Comments</t>
  </si>
  <si>
    <t>Plan Normalization Value (%)</t>
  </si>
  <si>
    <t>See "Prescription" on Eclipse</t>
  </si>
  <si>
    <t>Calculated/Plan</t>
  </si>
  <si>
    <t>Volume of the structure (Dose 105% - PTV), D105%=56.7Gy</t>
  </si>
  <si>
    <r>
      <t>D</t>
    </r>
    <r>
      <rPr>
        <b/>
        <vertAlign val="subscript"/>
        <sz val="10"/>
        <rFont val="Symbol"/>
        <family val="1"/>
        <charset val="2"/>
      </rPr>
      <t>³</t>
    </r>
    <r>
      <rPr>
        <b/>
        <vertAlign val="subscript"/>
        <sz val="10"/>
        <rFont val="Arial"/>
        <family val="2"/>
      </rPr>
      <t>2cm (%)</t>
    </r>
    <r>
      <rPr>
        <b/>
        <sz val="10"/>
        <rFont val="Arial"/>
        <family val="2"/>
      </rPr>
      <t xml:space="preserve"> =</t>
    </r>
  </si>
  <si>
    <t>RTOG 0813 and 0236 (Deviations NONE=10%, MINOR=15%)</t>
  </si>
  <si>
    <r>
      <t>Ratio V</t>
    </r>
    <r>
      <rPr>
        <vertAlign val="subscript"/>
        <sz val="10"/>
        <rFont val="Arial"/>
        <family val="2"/>
      </rPr>
      <t>D100%</t>
    </r>
    <r>
      <rPr>
        <sz val="10"/>
        <rFont val="Arial"/>
        <family val="2"/>
      </rPr>
      <t>/V</t>
    </r>
    <r>
      <rPr>
        <vertAlign val="subscript"/>
        <sz val="10"/>
        <rFont val="Arial"/>
        <family val="2"/>
      </rPr>
      <t>PTV</t>
    </r>
    <r>
      <rPr>
        <sz val="10"/>
        <rFont val="Arial"/>
        <family val="2"/>
      </rPr>
      <t xml:space="preserve"> (On DVH see BODY volume for 100% prescription dose)</t>
    </r>
  </si>
  <si>
    <r>
      <t>Ratio V</t>
    </r>
    <r>
      <rPr>
        <vertAlign val="subscript"/>
        <sz val="10"/>
        <rFont val="Arial"/>
        <family val="2"/>
      </rPr>
      <t>D50%</t>
    </r>
    <r>
      <rPr>
        <sz val="10"/>
        <rFont val="Arial"/>
        <family val="2"/>
      </rPr>
      <t>/V</t>
    </r>
    <r>
      <rPr>
        <vertAlign val="subscript"/>
        <sz val="10"/>
        <rFont val="Arial"/>
        <family val="2"/>
      </rPr>
      <t xml:space="preserve">PTV </t>
    </r>
    <r>
      <rPr>
        <sz val="10"/>
        <rFont val="Arial"/>
        <family val="2"/>
      </rPr>
      <t>should be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(None) in Table 1, MINOR deviation acceptable in rare cases (On DVH see BODY volume for 50% prescription dose)</t>
    </r>
  </si>
  <si>
    <r>
      <t xml:space="preserve">Max dose (in %) </t>
    </r>
    <r>
      <rPr>
        <sz val="10"/>
        <rFont val="Symbol"/>
        <family val="1"/>
        <charset val="2"/>
      </rPr>
      <t>³</t>
    </r>
    <r>
      <rPr>
        <sz val="10"/>
        <rFont val="Arial"/>
        <family val="2"/>
      </rPr>
      <t xml:space="preserve">2cm from PTV (structure BODY-(PTV+2cm)), should be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(None) in Table 1, MINOR deviation acceptable in rare cases</t>
    </r>
  </si>
  <si>
    <t>(max point dose)</t>
  </si>
  <si>
    <t>RTOG 0915</t>
  </si>
  <si>
    <t>Ipsilat Brach.Plex</t>
  </si>
  <si>
    <t>RTOG0915</t>
  </si>
  <si>
    <t>Lung-Basic Function</t>
  </si>
  <si>
    <t>Lung-Pneumonitis</t>
  </si>
  <si>
    <t>??</t>
  </si>
  <si>
    <r>
      <t>£</t>
    </r>
    <r>
      <rPr>
        <sz val="10"/>
        <rFont val="Arial"/>
        <family val="2"/>
      </rPr>
      <t>10%</t>
    </r>
  </si>
  <si>
    <t>PTV Volume</t>
  </si>
  <si>
    <t>(cc)</t>
  </si>
  <si>
    <t>None</t>
  </si>
  <si>
    <t>Note 1: For values of PTV dimension or volume not specified, linear interpolation between table entries is required.</t>
  </si>
  <si>
    <t>RTOG 0813</t>
  </si>
  <si>
    <t>Table 1: Conformality of Prescribed Dose for Calculations Based on Deposition of Photon Beam Energy in Heterogeneous Tissue</t>
  </si>
  <si>
    <t>Maximum Dose (in %</t>
  </si>
  <si>
    <t>Percent of Lung Receiving</t>
  </si>
  <si>
    <t>Ratio of Prescription</t>
  </si>
  <si>
    <t>Ratio of 50% Isodose</t>
  </si>
  <si>
    <t>of dose prescribed) @ 2cm</t>
  </si>
  <si>
    <t xml:space="preserve"> 20 Gy Total or More,</t>
  </si>
  <si>
    <t>Isodose Volume to the</t>
  </si>
  <si>
    <t xml:space="preserve"> Volume to the PTV Volume</t>
  </si>
  <si>
    <t>from PTV in Any Direction</t>
  </si>
  <si>
    <t xml:space="preserve">PTV Volume  </t>
  </si>
  <si>
    <t>Vptv</t>
  </si>
  <si>
    <t>(Vptv/V100)</t>
  </si>
  <si>
    <t>R50%</t>
  </si>
  <si>
    <t>D2cm (Gy)</t>
  </si>
  <si>
    <t>V20 (%)</t>
  </si>
  <si>
    <t>Minor Deviation</t>
  </si>
  <si>
    <t>Note 2: Protocol deviations greater than listed here as “minor” will be classified as “major” for protocol compliance (see Section 6.7).</t>
  </si>
  <si>
    <t>INTERPOLATIONS</t>
  </si>
  <si>
    <t>Interpolation Vptv/V100%</t>
  </si>
  <si>
    <t>Interpolation D2cm</t>
  </si>
  <si>
    <t>Yes</t>
  </si>
  <si>
    <t>MAJOR Deviation</t>
  </si>
  <si>
    <t>CALCULATIONS</t>
  </si>
  <si>
    <t>value</t>
  </si>
  <si>
    <t>ratio</t>
  </si>
  <si>
    <t>pass/fail/deviation</t>
  </si>
  <si>
    <t>PTV Volume Vptv(cc)</t>
  </si>
  <si>
    <t>Reference: EXCEL LOGICAL OPERATIONS</t>
  </si>
  <si>
    <t>http://www.blueleafsoftware.com/Products/Dagra/LinearInterpolationExcel.php</t>
  </si>
  <si>
    <r>
      <t>FORECAST(</t>
    </r>
    <r>
      <rPr>
        <i/>
        <sz val="11"/>
        <color indexed="8"/>
        <rFont val="Courier New"/>
        <family val="3"/>
      </rPr>
      <t>NewX</t>
    </r>
    <r>
      <rPr>
        <sz val="11"/>
        <color indexed="8"/>
        <rFont val="Courier New"/>
        <family val="3"/>
      </rPr>
      <t>,OFFSET(</t>
    </r>
    <r>
      <rPr>
        <i/>
        <sz val="11"/>
        <color indexed="8"/>
        <rFont val="Courier New"/>
        <family val="3"/>
      </rPr>
      <t>KnownY</t>
    </r>
    <r>
      <rPr>
        <sz val="11"/>
        <color indexed="8"/>
        <rFont val="Courier New"/>
        <family val="3"/>
      </rPr>
      <t>,MATCH(</t>
    </r>
    <r>
      <rPr>
        <i/>
        <sz val="11"/>
        <color indexed="8"/>
        <rFont val="Courier New"/>
        <family val="3"/>
      </rPr>
      <t>NewX</t>
    </r>
    <r>
      <rPr>
        <sz val="11"/>
        <color indexed="8"/>
        <rFont val="Courier New"/>
        <family val="3"/>
      </rPr>
      <t>,</t>
    </r>
    <r>
      <rPr>
        <i/>
        <sz val="11"/>
        <color indexed="8"/>
        <rFont val="Courier New"/>
        <family val="3"/>
      </rPr>
      <t>KnownX</t>
    </r>
    <r>
      <rPr>
        <sz val="11"/>
        <color indexed="8"/>
        <rFont val="Courier New"/>
        <family val="3"/>
      </rPr>
      <t>,1)-1,0,2),</t>
    </r>
  </si>
  <si>
    <r>
      <t>OFFSET(</t>
    </r>
    <r>
      <rPr>
        <i/>
        <sz val="11"/>
        <color indexed="8"/>
        <rFont val="Courier New"/>
        <family val="3"/>
      </rPr>
      <t>KnownX</t>
    </r>
    <r>
      <rPr>
        <sz val="11"/>
        <color indexed="8"/>
        <rFont val="Courier New"/>
        <family val="3"/>
      </rPr>
      <t>,MATCH(</t>
    </r>
    <r>
      <rPr>
        <i/>
        <sz val="11"/>
        <color indexed="8"/>
        <rFont val="Courier New"/>
        <family val="3"/>
      </rPr>
      <t>NewX</t>
    </r>
    <r>
      <rPr>
        <sz val="11"/>
        <color indexed="8"/>
        <rFont val="Courier New"/>
        <family val="3"/>
      </rPr>
      <t>,</t>
    </r>
    <r>
      <rPr>
        <i/>
        <sz val="11"/>
        <color indexed="8"/>
        <rFont val="Courier New"/>
        <family val="3"/>
      </rPr>
      <t>KnownX</t>
    </r>
    <r>
      <rPr>
        <sz val="11"/>
        <color indexed="8"/>
        <rFont val="Courier New"/>
        <family val="3"/>
      </rPr>
      <t>,1)-1,0,2))</t>
    </r>
  </si>
  <si>
    <t>RTOG 0813:  Conformality Table</t>
  </si>
  <si>
    <r>
      <t>V</t>
    </r>
    <r>
      <rPr>
        <vertAlign val="subscript"/>
        <sz val="10"/>
        <rFont val="Arial"/>
        <family val="2"/>
      </rPr>
      <t>100%</t>
    </r>
    <r>
      <rPr>
        <sz val="10"/>
        <rFont val="Arial"/>
        <family val="2"/>
      </rPr>
      <t xml:space="preserve"> (cc) =</t>
    </r>
  </si>
  <si>
    <r>
      <t>V</t>
    </r>
    <r>
      <rPr>
        <vertAlign val="subscript"/>
        <sz val="10"/>
        <rFont val="Arial"/>
        <family val="2"/>
      </rPr>
      <t>105%</t>
    </r>
    <r>
      <rPr>
        <sz val="10"/>
        <rFont val="Arial"/>
        <family val="2"/>
      </rPr>
      <t xml:space="preserve"> - PTV (cc) =</t>
    </r>
  </si>
  <si>
    <r>
      <t>V</t>
    </r>
    <r>
      <rPr>
        <b/>
        <vertAlign val="subscript"/>
        <sz val="14"/>
        <color indexed="8"/>
        <rFont val="Calibri"/>
        <family val="2"/>
      </rPr>
      <t>100%</t>
    </r>
  </si>
  <si>
    <r>
      <t>R</t>
    </r>
    <r>
      <rPr>
        <b/>
        <vertAlign val="subscript"/>
        <sz val="14"/>
        <color indexed="8"/>
        <rFont val="Calibri"/>
        <family val="2"/>
      </rPr>
      <t>50%</t>
    </r>
    <r>
      <rPr>
        <b/>
        <sz val="14"/>
        <color indexed="8"/>
        <rFont val="Calibri"/>
        <family val="2"/>
      </rPr>
      <t xml:space="preserve"> (cc)</t>
    </r>
  </si>
  <si>
    <r>
      <t>D</t>
    </r>
    <r>
      <rPr>
        <b/>
        <vertAlign val="subscript"/>
        <sz val="14"/>
        <color indexed="8"/>
        <rFont val="Calibri"/>
        <family val="2"/>
      </rPr>
      <t>2cm</t>
    </r>
    <r>
      <rPr>
        <b/>
        <sz val="14"/>
        <color indexed="8"/>
        <rFont val="Calibri"/>
        <family val="2"/>
      </rPr>
      <t xml:space="preserve"> (%)</t>
    </r>
  </si>
  <si>
    <r>
      <t>Lung V</t>
    </r>
    <r>
      <rPr>
        <b/>
        <vertAlign val="subscript"/>
        <sz val="14"/>
        <color indexed="8"/>
        <rFont val="Calibri"/>
        <family val="2"/>
      </rPr>
      <t>20Gy</t>
    </r>
  </si>
  <si>
    <r>
      <t>V</t>
    </r>
    <r>
      <rPr>
        <b/>
        <vertAlign val="subscript"/>
        <sz val="10"/>
        <rFont val="Arial"/>
        <family val="2"/>
      </rPr>
      <t>30Gy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</si>
  <si>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28Gy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</si>
  <si>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18.8Gy</t>
    </r>
    <r>
      <rPr>
        <b/>
        <sz val="10"/>
        <rFont val="Arial"/>
        <family val="2"/>
      </rPr>
      <t>=</t>
    </r>
  </si>
  <si>
    <t>*Chestwall (rib)</t>
  </si>
  <si>
    <t>Stomach and</t>
  </si>
  <si>
    <r>
      <t>V</t>
    </r>
    <r>
      <rPr>
        <b/>
        <vertAlign val="subscript"/>
        <sz val="10"/>
        <rFont val="Arial"/>
        <family val="2"/>
      </rPr>
      <t>36Gy</t>
    </r>
    <r>
      <rPr>
        <b/>
        <sz val="10"/>
        <rFont val="Arial"/>
        <family val="2"/>
      </rPr>
      <t>=</t>
    </r>
  </si>
  <si>
    <t xml:space="preserve">Aorta </t>
  </si>
  <si>
    <r>
      <t>Interpolation V</t>
    </r>
    <r>
      <rPr>
        <b/>
        <vertAlign val="subscript"/>
        <sz val="11"/>
        <color indexed="8"/>
        <rFont val="Calibri"/>
        <family val="2"/>
      </rPr>
      <t>20Gy</t>
    </r>
  </si>
  <si>
    <t xml:space="preserve">Stomach and </t>
  </si>
  <si>
    <t>Intestines</t>
  </si>
  <si>
    <r>
      <t>V</t>
    </r>
    <r>
      <rPr>
        <b/>
        <vertAlign val="subscript"/>
        <sz val="10"/>
        <rFont val="Arial"/>
        <family val="2"/>
      </rPr>
      <t>40Gy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</si>
  <si>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28.2Gy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</si>
  <si>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20.8Gy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</si>
  <si>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13.6Gy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</si>
  <si>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23.6Gy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</si>
  <si>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60Gy</t>
    </r>
    <r>
      <rPr>
        <b/>
        <sz val="10"/>
        <rFont val="Arial"/>
        <family val="2"/>
      </rPr>
      <t>=</t>
    </r>
  </si>
  <si>
    <t>PTV (V54Gy)</t>
  </si>
  <si>
    <t>PTV (V48.6Gy)</t>
  </si>
  <si>
    <t xml:space="preserve">Location </t>
  </si>
  <si>
    <t>Q:\SBRT\Policy\SABR  Plan Evaluation Worksheet 4Dec2013.xls</t>
  </si>
  <si>
    <t>60%-95%</t>
  </si>
  <si>
    <r>
      <t>V</t>
    </r>
    <r>
      <rPr>
        <b/>
        <vertAlign val="subscript"/>
        <sz val="10"/>
        <rFont val="Arial"/>
        <family val="2"/>
      </rPr>
      <t>21Gy</t>
    </r>
    <r>
      <rPr>
        <b/>
        <sz val="10"/>
        <rFont val="Arial"/>
        <family val="2"/>
      </rPr>
      <t>=</t>
    </r>
  </si>
  <si>
    <t>LUSTRE</t>
  </si>
  <si>
    <r>
      <t>V</t>
    </r>
    <r>
      <rPr>
        <b/>
        <vertAlign val="subscript"/>
        <sz val="10"/>
        <rFont val="Arial"/>
        <family val="2"/>
      </rPr>
      <t>50Gy</t>
    </r>
    <r>
      <rPr>
        <b/>
        <sz val="10"/>
        <rFont val="Arial"/>
        <family val="2"/>
      </rPr>
      <t>=</t>
    </r>
  </si>
  <si>
    <t>Fractions:</t>
  </si>
  <si>
    <t>Prescription Dose (cGy):</t>
  </si>
  <si>
    <r>
      <t>V</t>
    </r>
    <r>
      <rPr>
        <b/>
        <vertAlign val="subscript"/>
        <sz val="10"/>
        <rFont val="Arial"/>
        <family val="2"/>
      </rPr>
      <t>20Gy (%) =</t>
    </r>
  </si>
  <si>
    <r>
      <t>V</t>
    </r>
    <r>
      <rPr>
        <b/>
        <vertAlign val="subscript"/>
        <sz val="10"/>
        <rFont val="Arial"/>
        <family val="2"/>
      </rPr>
      <t xml:space="preserve">12.4Gy (cc) 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</si>
  <si>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 xml:space="preserve">11.6Gy (cc) </t>
    </r>
    <r>
      <rPr>
        <b/>
        <sz val="10"/>
        <rFont val="Arial"/>
        <family val="2"/>
      </rPr>
      <t>=</t>
    </r>
  </si>
  <si>
    <t>(cGy) / (cc)</t>
  </si>
  <si>
    <t>Maximum  Dose (cGy)</t>
  </si>
  <si>
    <t>/ Volume (cc)</t>
  </si>
  <si>
    <t>Ref Dose (%) /</t>
  </si>
  <si>
    <t>Ref Volume (cc)</t>
  </si>
  <si>
    <r>
      <t>V</t>
    </r>
    <r>
      <rPr>
        <vertAlign val="subscript"/>
        <sz val="10"/>
        <rFont val="Arial"/>
        <family val="2"/>
      </rPr>
      <t>50%</t>
    </r>
    <r>
      <rPr>
        <sz val="10"/>
        <rFont val="Arial"/>
        <family val="2"/>
      </rPr>
      <t xml:space="preserve"> (cc) =</t>
    </r>
  </si>
  <si>
    <r>
      <t>D</t>
    </r>
    <r>
      <rPr>
        <vertAlign val="subscript"/>
        <sz val="10"/>
        <rFont val="Symbol"/>
        <family val="1"/>
        <charset val="2"/>
      </rPr>
      <t>³</t>
    </r>
    <r>
      <rPr>
        <vertAlign val="subscript"/>
        <sz val="10"/>
        <rFont val="Arial"/>
        <family val="2"/>
      </rPr>
      <t>2cm</t>
    </r>
    <r>
      <rPr>
        <sz val="10"/>
        <rFont val="Arial"/>
        <family val="2"/>
      </rPr>
      <t xml:space="preserve"> (%) =</t>
    </r>
  </si>
  <si>
    <t>Calculated Value</t>
  </si>
  <si>
    <t>Ipsilat. Brach. Plex.</t>
  </si>
  <si>
    <t>Volume of the structure (Dose 105% - PTV), D105% = 50.4 Gy</t>
  </si>
  <si>
    <r>
      <t xml:space="preserve">Max dose (in %) </t>
    </r>
    <r>
      <rPr>
        <sz val="10"/>
        <rFont val="Symbol"/>
        <family val="1"/>
        <charset val="2"/>
      </rPr>
      <t>³</t>
    </r>
    <r>
      <rPr>
        <sz val="10"/>
        <rFont val="Arial"/>
        <family val="2"/>
      </rPr>
      <t xml:space="preserve">2cm from PTV (structure BODY-(PTV+2cm)), should be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in Table 1, MINOR deviation acceptable</t>
    </r>
  </si>
  <si>
    <r>
      <t>Ratio V</t>
    </r>
    <r>
      <rPr>
        <vertAlign val="subscript"/>
        <sz val="10"/>
        <rFont val="Arial"/>
        <family val="2"/>
      </rPr>
      <t>D50%</t>
    </r>
    <r>
      <rPr>
        <sz val="10"/>
        <rFont val="Arial"/>
        <family val="2"/>
      </rPr>
      <t>/V</t>
    </r>
    <r>
      <rPr>
        <vertAlign val="subscript"/>
        <sz val="10"/>
        <rFont val="Arial"/>
        <family val="2"/>
      </rPr>
      <t xml:space="preserve">PTV </t>
    </r>
    <r>
      <rPr>
        <sz val="10"/>
        <rFont val="Arial"/>
        <family val="2"/>
      </rPr>
      <t>should be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in Table 1, MINOR deviation acceptable</t>
    </r>
  </si>
  <si>
    <t>See "Prescription" in Eclipse</t>
  </si>
  <si>
    <r>
      <t xml:space="preserve">V11.6Gy </t>
    </r>
    <r>
      <rPr>
        <sz val="10"/>
        <rFont val="Calibri"/>
        <family val="2"/>
      </rPr>
      <t xml:space="preserve">≤ </t>
    </r>
    <r>
      <rPr>
        <sz val="10"/>
        <rFont val="Arial"/>
        <family val="2"/>
      </rPr>
      <t>1500cc (R or L Lung)</t>
    </r>
  </si>
  <si>
    <t>RTOG 0236</t>
  </si>
  <si>
    <t>Trachea</t>
  </si>
  <si>
    <t>See "Prescription on Eclipse</t>
  </si>
  <si>
    <t>Bronchial Tree</t>
  </si>
  <si>
    <r>
      <rPr>
        <b/>
        <vertAlign val="subscript"/>
        <sz val="10"/>
        <rFont val="Arial"/>
        <family val="2"/>
      </rPr>
      <t>max</t>
    </r>
    <r>
      <rPr>
        <b/>
        <sz val="10"/>
        <rFont val="Arial"/>
        <family val="2"/>
      </rPr>
      <t>V</t>
    </r>
    <r>
      <rPr>
        <b/>
        <vertAlign val="subscript"/>
        <sz val="10"/>
        <rFont val="Arial"/>
        <family val="2"/>
      </rPr>
      <t>15.6Gy</t>
    </r>
    <r>
      <rPr>
        <b/>
        <sz val="10"/>
        <rFont val="Arial"/>
        <family val="2"/>
      </rPr>
      <t>=</t>
    </r>
  </si>
  <si>
    <r>
      <rPr>
        <b/>
        <vertAlign val="subscript"/>
        <sz val="10"/>
        <rFont val="Arial"/>
        <family val="2"/>
      </rPr>
      <t>max</t>
    </r>
    <r>
      <rPr>
        <b/>
        <sz val="10"/>
        <rFont val="Arial"/>
        <family val="2"/>
      </rPr>
      <t>V</t>
    </r>
    <r>
      <rPr>
        <b/>
        <vertAlign val="subscript"/>
        <sz val="10"/>
        <rFont val="Arial"/>
        <family val="2"/>
      </rPr>
      <t>60Gy =</t>
    </r>
  </si>
  <si>
    <t>Lung</t>
  </si>
  <si>
    <t>SABR Plan Evaluation Sheet for 34Gy/1F</t>
  </si>
  <si>
    <t>SABR Plan Evaluation Sheet for 54Gy/3F</t>
  </si>
  <si>
    <t>SABR Plan Evaluation Sheet for 60Gy/8F</t>
  </si>
  <si>
    <r>
      <t>V</t>
    </r>
    <r>
      <rPr>
        <b/>
        <vertAlign val="subscript"/>
        <sz val="10"/>
        <rFont val="Arial"/>
        <family val="2"/>
      </rPr>
      <t xml:space="preserve">7Gy (cc) 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</si>
  <si>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 xml:space="preserve">7.4Gy (cc) </t>
    </r>
    <r>
      <rPr>
        <b/>
        <sz val="10"/>
        <rFont val="Arial"/>
        <family val="2"/>
      </rPr>
      <t>=</t>
    </r>
  </si>
  <si>
    <t>PTV (V60Gy)</t>
  </si>
  <si>
    <t>Volume of the structure (Dose 105% - PTV), D105% = 63 Gy</t>
  </si>
  <si>
    <t>PTV (V34Gy)</t>
  </si>
  <si>
    <t>PTV (V30.6Gy)</t>
  </si>
  <si>
    <t>Volume of the structure (Dose 105% - PTV), D105%=35.7Gy</t>
  </si>
  <si>
    <r>
      <t xml:space="preserve">V12.4Gy </t>
    </r>
    <r>
      <rPr>
        <sz val="10"/>
        <rFont val="Calibri"/>
        <family val="2"/>
      </rPr>
      <t xml:space="preserve">≤ </t>
    </r>
    <r>
      <rPr>
        <sz val="10"/>
        <rFont val="Arial"/>
        <family val="2"/>
      </rPr>
      <t>1500cc (R or L Lung)</t>
    </r>
  </si>
  <si>
    <t>R or L Lung volume getting &gt;11.6 Gy</t>
  </si>
  <si>
    <t>R or L Lung volume getting&gt;12.4 Gy</t>
  </si>
  <si>
    <t>R or L Lung volume getting &gt;7 Gy</t>
  </si>
  <si>
    <t>R or L Lung volume getting &gt;7.4 Gy</t>
  </si>
  <si>
    <t>-</t>
  </si>
  <si>
    <r>
      <t>V</t>
    </r>
    <r>
      <rPr>
        <b/>
        <vertAlign val="subscript"/>
        <sz val="10"/>
        <rFont val="Arial"/>
        <family val="2"/>
      </rPr>
      <t>14Gy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</si>
  <si>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23Gy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</si>
  <si>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11.9Gy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</si>
  <si>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7Gy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</si>
  <si>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10Gy</t>
    </r>
    <r>
      <rPr>
        <b/>
        <sz val="10"/>
        <rFont val="Arial"/>
        <family val="2"/>
      </rPr>
      <t>=</t>
    </r>
  </si>
  <si>
    <t>Pulmonary Artery</t>
  </si>
  <si>
    <r>
      <t>V</t>
    </r>
    <r>
      <rPr>
        <b/>
        <vertAlign val="subscript"/>
        <sz val="10"/>
        <rFont val="Arial"/>
        <family val="2"/>
      </rPr>
      <t>31Gy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</si>
  <si>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22Gy</t>
    </r>
    <r>
      <rPr>
        <b/>
        <sz val="10"/>
        <rFont val="Arial"/>
        <family val="2"/>
      </rPr>
      <t>=</t>
    </r>
  </si>
  <si>
    <r>
      <t>V</t>
    </r>
    <r>
      <rPr>
        <b/>
        <vertAlign val="subscript"/>
        <sz val="10"/>
        <rFont val="Arial"/>
        <family val="2"/>
      </rPr>
      <t>11.2Gy</t>
    </r>
    <r>
      <rPr>
        <b/>
        <sz val="10"/>
        <rFont val="Arial"/>
        <family val="2"/>
      </rPr>
      <t>=</t>
    </r>
  </si>
  <si>
    <r>
      <rPr>
        <b/>
        <vertAlign val="subscript"/>
        <sz val="10"/>
        <rFont val="Arial"/>
        <family val="2"/>
      </rPr>
      <t>max</t>
    </r>
    <r>
      <rPr>
        <b/>
        <sz val="10"/>
        <rFont val="Arial"/>
        <family val="2"/>
      </rPr>
      <t>V</t>
    </r>
    <r>
      <rPr>
        <b/>
        <vertAlign val="subscript"/>
        <sz val="10"/>
        <rFont val="Arial"/>
        <family val="2"/>
      </rPr>
      <t>10.5Gy =</t>
    </r>
  </si>
  <si>
    <r>
      <t>V</t>
    </r>
    <r>
      <rPr>
        <b/>
        <vertAlign val="subscript"/>
        <sz val="10"/>
        <rFont val="Arial"/>
        <family val="2"/>
      </rPr>
      <t>26Gy</t>
    </r>
    <r>
      <rPr>
        <b/>
        <sz val="10"/>
        <rFont val="Arial"/>
        <family val="2"/>
      </rPr>
      <t>=</t>
    </r>
  </si>
  <si>
    <t>111%-140%</t>
  </si>
  <si>
    <t>Organs at Risk</t>
  </si>
  <si>
    <t>PTV: V100%</t>
  </si>
  <si>
    <t>PTV: V90%</t>
  </si>
  <si>
    <t>PTV: Maximum Dose</t>
  </si>
  <si>
    <t>ITV Volume (cc)</t>
  </si>
  <si>
    <t>SABR Plan Evaluation Sheet for 48 Gy/4F and 60Gy/5F</t>
  </si>
  <si>
    <t>Chestwall</t>
  </si>
  <si>
    <t>High Dose Spillage:</t>
  </si>
  <si>
    <t>Low Dose Spillage:</t>
  </si>
  <si>
    <r>
      <t>V</t>
    </r>
    <r>
      <rPr>
        <vertAlign val="subscript"/>
        <sz val="10"/>
        <rFont val="Arial"/>
        <family val="2"/>
      </rPr>
      <t>50%</t>
    </r>
    <r>
      <rPr>
        <sz val="10"/>
        <rFont val="Arial"/>
        <family val="2"/>
      </rPr>
      <t xml:space="preserve"> (cc)</t>
    </r>
    <r>
      <rPr>
        <vertAlign val="subscript"/>
        <sz val="10"/>
        <rFont val="Arial"/>
        <family val="2"/>
      </rPr>
      <t xml:space="preserve"> =</t>
    </r>
  </si>
  <si>
    <t>The CELL function returns</t>
  </si>
  <si>
    <t>If the Excel format is</t>
  </si>
  <si>
    <t>G</t>
  </si>
  <si>
    <t>General</t>
  </si>
  <si>
    <t>F0</t>
  </si>
  <si>
    <t>,0</t>
  </si>
  <si>
    <t>#,##0</t>
  </si>
  <si>
    <t>F1</t>
  </si>
  <si>
    <t>0.0</t>
  </si>
  <si>
    <t>F2</t>
  </si>
  <si>
    <t>0.00</t>
  </si>
  <si>
    <t>,2</t>
  </si>
  <si>
    <t>#,##0.00</t>
  </si>
  <si>
    <t>C0</t>
  </si>
  <si>
    <t>$#,##0_);($#,##0)</t>
  </si>
  <si>
    <t>C0-</t>
  </si>
  <si>
    <t>$#,##0_);[Red]($#,##0)</t>
  </si>
  <si>
    <t>C2</t>
  </si>
  <si>
    <t>$#,##0.00_);($#,##0.00)</t>
  </si>
  <si>
    <t>C2-</t>
  </si>
  <si>
    <t>$#,##0.00_);[Red]($#,##0.00)</t>
  </si>
  <si>
    <t>P0</t>
  </si>
  <si>
    <t>0%</t>
  </si>
  <si>
    <t>P1</t>
  </si>
  <si>
    <t>0.0%</t>
  </si>
  <si>
    <t>P2</t>
  </si>
  <si>
    <t>0.00%</t>
  </si>
  <si>
    <t>S2</t>
  </si>
  <si>
    <t>0.00E+00</t>
  </si>
  <si>
    <t># ?/? or # ??/??</t>
  </si>
  <si>
    <t>D4</t>
  </si>
  <si>
    <t>m/d/yy or m/d/yy h:mm or mm/dd/yy</t>
  </si>
  <si>
    <t>D1</t>
  </si>
  <si>
    <t>d-mmm-yy or dd-mmm-yy</t>
  </si>
  <si>
    <t>D2</t>
  </si>
  <si>
    <t>d-mmm or dd-mmm</t>
  </si>
  <si>
    <t>D3</t>
  </si>
  <si>
    <t>mmm-yy</t>
  </si>
  <si>
    <t>D5</t>
  </si>
  <si>
    <t>mm/dd</t>
  </si>
  <si>
    <t>D7</t>
  </si>
  <si>
    <t>h:mm AM/PM</t>
  </si>
  <si>
    <t>D6</t>
  </si>
  <si>
    <t>h:mm:ss AM/PM</t>
  </si>
  <si>
    <t>D9</t>
  </si>
  <si>
    <t>h:mm</t>
  </si>
  <si>
    <t>D8</t>
  </si>
  <si>
    <t>h:mm:ss</t>
  </si>
  <si>
    <t>Label</t>
  </si>
  <si>
    <t>Value</t>
  </si>
  <si>
    <t>Cell</t>
  </si>
  <si>
    <t>Name</t>
  </si>
  <si>
    <t>Address</t>
  </si>
  <si>
    <t>Extracted Format</t>
  </si>
  <si>
    <t>Expected Format</t>
  </si>
  <si>
    <t>Units</t>
  </si>
  <si>
    <t>Address Check</t>
  </si>
  <si>
    <t>Format Check</t>
  </si>
  <si>
    <t>Unit Check</t>
  </si>
  <si>
    <t>Format</t>
  </si>
  <si>
    <t>Reference</t>
  </si>
  <si>
    <t>Type</t>
  </si>
  <si>
    <t>Laterality</t>
  </si>
  <si>
    <t>Constructor</t>
  </si>
  <si>
    <t>Patient</t>
  </si>
  <si>
    <t>@</t>
  </si>
  <si>
    <t>C3</t>
  </si>
  <si>
    <t>Patient Name</t>
  </si>
  <si>
    <t>Plan Property</t>
  </si>
  <si>
    <t>PatientID</t>
  </si>
  <si>
    <t>C4</t>
  </si>
  <si>
    <t>Patient ID</t>
  </si>
  <si>
    <t>Site</t>
  </si>
  <si>
    <t>K3</t>
  </si>
  <si>
    <t>Body Region</t>
  </si>
  <si>
    <t>PlanName</t>
  </si>
  <si>
    <t>K4</t>
  </si>
  <si>
    <t>Plan</t>
  </si>
  <si>
    <t>Dose</t>
  </si>
  <si>
    <t>G3</t>
  </si>
  <si>
    <t>cGy</t>
  </si>
  <si>
    <t>Total dose</t>
  </si>
  <si>
    <t>Fractions</t>
  </si>
  <si>
    <t>G4</t>
  </si>
  <si>
    <t>0</t>
  </si>
  <si>
    <t>GTV_Volume</t>
  </si>
  <si>
    <t>F6</t>
  </si>
  <si>
    <t>cc</t>
  </si>
  <si>
    <t>IGTV</t>
  </si>
  <si>
    <t>Structure</t>
  </si>
  <si>
    <t>ITV_Volume</t>
  </si>
  <si>
    <t>F7</t>
  </si>
  <si>
    <t>ITV</t>
  </si>
  <si>
    <t>PTV_Volume</t>
  </si>
  <si>
    <t>F8</t>
  </si>
  <si>
    <t>PTV</t>
  </si>
  <si>
    <t>TotalLungVolume</t>
  </si>
  <si>
    <t>F9</t>
  </si>
  <si>
    <t>Both</t>
  </si>
  <si>
    <t>Normalization</t>
  </si>
  <si>
    <t>F13</t>
  </si>
  <si>
    <t>%</t>
  </si>
  <si>
    <t>PTV - V100(%)</t>
  </si>
  <si>
    <t>PTV_V100</t>
  </si>
  <si>
    <t>PTV_Max</t>
  </si>
  <si>
    <t>F18</t>
  </si>
  <si>
    <t>PTV- Maximum Dose (%)</t>
  </si>
  <si>
    <t>Max Dose</t>
  </si>
  <si>
    <t>PTV - V90 (%)</t>
  </si>
  <si>
    <t>PTV_V90</t>
  </si>
  <si>
    <t>F16</t>
  </si>
  <si>
    <t>V 4800 cGy</t>
  </si>
  <si>
    <t>F17</t>
  </si>
  <si>
    <t>V 4320 cGy</t>
  </si>
  <si>
    <t>Location V105% - PTV (cc) =</t>
  </si>
  <si>
    <t>HighDoseSpillage</t>
  </si>
  <si>
    <t>F20</t>
  </si>
  <si>
    <t>HIGH Dose Spillage Location</t>
  </si>
  <si>
    <t>Dose105[%]-PTV</t>
  </si>
  <si>
    <t>Volume V100% (cc) =</t>
  </si>
  <si>
    <t>HighDoseSpillageVolume</t>
  </si>
  <si>
    <t>F21</t>
  </si>
  <si>
    <t>HIGH Dose Spillage Volume</t>
  </si>
  <si>
    <t>Dose 100[%]</t>
  </si>
  <si>
    <t>Location D³2cm (%) =</t>
  </si>
  <si>
    <t>LowDoseSpillage</t>
  </si>
  <si>
    <t>F23</t>
  </si>
  <si>
    <t>LOW Dose Spillage Location</t>
  </si>
  <si>
    <t>Body-PTV+20</t>
  </si>
  <si>
    <t>Volume V50% (cc) =</t>
  </si>
  <si>
    <t>LowDoseSpillageVolume</t>
  </si>
  <si>
    <t>F24</t>
  </si>
  <si>
    <t>LOW Dose Spillage Volume</t>
  </si>
  <si>
    <t>Dose 50[%]</t>
  </si>
  <si>
    <t>V20 (Total Lung) in %</t>
  </si>
  <si>
    <t>LungV20</t>
  </si>
  <si>
    <t>F27</t>
  </si>
  <si>
    <t>Total Lung V20</t>
  </si>
  <si>
    <t>V 2000 cGy</t>
  </si>
  <si>
    <t xml:space="preserve">Lung-Basic Function </t>
  </si>
  <si>
    <t>LungV1160</t>
  </si>
  <si>
    <t>F28</t>
  </si>
  <si>
    <t>V 1160 cGy</t>
  </si>
  <si>
    <t xml:space="preserve">Lung-Pneumonitis </t>
  </si>
  <si>
    <t>LungV1240</t>
  </si>
  <si>
    <t>F29</t>
  </si>
  <si>
    <t>V 1240 cGy</t>
  </si>
  <si>
    <t>Aorta  (max point dose)</t>
  </si>
  <si>
    <t>AortaMaxDose</t>
  </si>
  <si>
    <t>F30</t>
  </si>
  <si>
    <t>Aorta  Maximum Dose</t>
  </si>
  <si>
    <t>Aorta</t>
  </si>
  <si>
    <t>Aorta  V40Gy=</t>
  </si>
  <si>
    <t>AortaV40</t>
  </si>
  <si>
    <t>F31</t>
  </si>
  <si>
    <t>Aorta  V40Gy</t>
  </si>
  <si>
    <t>V 4000 cGy</t>
  </si>
  <si>
    <t>Artery-Pulmonary (max point dose)</t>
  </si>
  <si>
    <t>PulmonaryArteryMaxDose</t>
  </si>
  <si>
    <t>F32</t>
  </si>
  <si>
    <t>Artery-Pulmonary Maximum Dose</t>
  </si>
  <si>
    <t>PulmonaryArtery</t>
  </si>
  <si>
    <t>Artery-Pulmonary V40Gy=</t>
  </si>
  <si>
    <t>PulmonaryArteryV40</t>
  </si>
  <si>
    <t>F33</t>
  </si>
  <si>
    <t>Artery-Pulmonary V40Gy</t>
  </si>
  <si>
    <t>Spinal Canal (max point dose)</t>
  </si>
  <si>
    <t>SpineMaxDose</t>
  </si>
  <si>
    <t>F34</t>
  </si>
  <si>
    <t>Spinal Canal Maximum Dose</t>
  </si>
  <si>
    <t>Spinal Canal V20.8Gy=</t>
  </si>
  <si>
    <t>SpineV2080</t>
  </si>
  <si>
    <t>F35</t>
  </si>
  <si>
    <t>Spinal Canal V20.8Gy</t>
  </si>
  <si>
    <t>V 2080 cGy</t>
  </si>
  <si>
    <t>Spinal Canal V13.6Gy=</t>
  </si>
  <si>
    <t>SpineV1360</t>
  </si>
  <si>
    <t>F36</t>
  </si>
  <si>
    <t>Spinal Canal V13.6Gy</t>
  </si>
  <si>
    <t>V 1360 cGy</t>
  </si>
  <si>
    <t>Spinal Canal-PRV 5mm (max point dose)</t>
  </si>
  <si>
    <t>SpinePRV5MaxDose</t>
  </si>
  <si>
    <t>F37</t>
  </si>
  <si>
    <t>Spinal Canal-PRV 5mm Maximum Dose</t>
  </si>
  <si>
    <t>PRV5 SpinalCanal</t>
  </si>
  <si>
    <t>Ipsilat. Brach. Plex. (max point dose)</t>
  </si>
  <si>
    <t>IpsBrachPlexMaxDose</t>
  </si>
  <si>
    <t>F38</t>
  </si>
  <si>
    <t>Ipsilat. Brach. Plex. Maximum Dose</t>
  </si>
  <si>
    <t>Ipsilateral</t>
  </si>
  <si>
    <t>Ipsilat. Brach. Plex. V23.6Gy=</t>
  </si>
  <si>
    <t>IpsBrachPlexV2360</t>
  </si>
  <si>
    <t>F39</t>
  </si>
  <si>
    <t>Ipsilat. Brach. Plex. V23.6Gy</t>
  </si>
  <si>
    <t>V 2360 cGy</t>
  </si>
  <si>
    <t>Skin V30Gy=</t>
  </si>
  <si>
    <t>SkinV30</t>
  </si>
  <si>
    <t>F40</t>
  </si>
  <si>
    <t>Skin V30Gy</t>
  </si>
  <si>
    <t>V 3000 cGy</t>
  </si>
  <si>
    <t>Heart (max point dose)</t>
  </si>
  <si>
    <t>HeartMaxDose</t>
  </si>
  <si>
    <t>F41</t>
  </si>
  <si>
    <t>Heart Maximum Dose</t>
  </si>
  <si>
    <t>Heart V28Gy=</t>
  </si>
  <si>
    <t>HeartV28</t>
  </si>
  <si>
    <t>F42</t>
  </si>
  <si>
    <t>Heart V28Gy</t>
  </si>
  <si>
    <t>V 2800 cGy</t>
  </si>
  <si>
    <t>Esophagus (max point dose)</t>
  </si>
  <si>
    <t>EsoMaxDose</t>
  </si>
  <si>
    <t>F43</t>
  </si>
  <si>
    <t>Esophagus Maximum Dose</t>
  </si>
  <si>
    <t>Esophagus V18.8Gy=</t>
  </si>
  <si>
    <t>EsoV1880</t>
  </si>
  <si>
    <t>F44</t>
  </si>
  <si>
    <t>Esophagus V18.8Gy</t>
  </si>
  <si>
    <t>V 1880 cGy</t>
  </si>
  <si>
    <t>*Chestwall (rib) (max point dose)</t>
  </si>
  <si>
    <t>ChestWallMaxDose</t>
  </si>
  <si>
    <t>F45</t>
  </si>
  <si>
    <t>Chestwall (rib) Maximum Dose</t>
  </si>
  <si>
    <t>Chest Wall</t>
  </si>
  <si>
    <t>*Chestwall (rib) V40Gy=</t>
  </si>
  <si>
    <t>ChestWallV40</t>
  </si>
  <si>
    <t>F46</t>
  </si>
  <si>
    <t>Chestwall (rib) V40Gy</t>
  </si>
  <si>
    <t>*Chestwall (rib) V30Gy=</t>
  </si>
  <si>
    <t>ChestWallV30</t>
  </si>
  <si>
    <t>F47</t>
  </si>
  <si>
    <t>Chestwall (rib) V30Gy</t>
  </si>
  <si>
    <t>Trachea (max point dose)</t>
  </si>
  <si>
    <t>ProxTrachMaxDose</t>
  </si>
  <si>
    <t>F48</t>
  </si>
  <si>
    <t>Proximal Trachea Maximum Dose</t>
  </si>
  <si>
    <t>Bronchus (max point dose)</t>
  </si>
  <si>
    <t>ProxBronchMaxDose</t>
  </si>
  <si>
    <t>F49</t>
  </si>
  <si>
    <t>Proximal Bronchial Tree Maximum Dose</t>
  </si>
  <si>
    <t>BronchialTree</t>
  </si>
  <si>
    <t>Trachea V15.6Gy=</t>
  </si>
  <si>
    <t>ProxTrachV1560</t>
  </si>
  <si>
    <t>B50</t>
  </si>
  <si>
    <t>Proximal Trachea V15.6Gy</t>
  </si>
  <si>
    <t>V 1560 cGy</t>
  </si>
  <si>
    <t>Bronchus V15.6Gy=</t>
  </si>
  <si>
    <t>ProxBronchV1560</t>
  </si>
  <si>
    <t>C50</t>
  </si>
  <si>
    <t>Proximal Bronchial Tree V15.6Gy</t>
  </si>
  <si>
    <t>Prox Bronch Zone</t>
  </si>
  <si>
    <t>Stomach and Intestines (max point dose)</t>
  </si>
  <si>
    <t>StomachMaxDose</t>
  </si>
  <si>
    <t>F51</t>
  </si>
  <si>
    <t>Stomach and Intestines Maximum Dose</t>
  </si>
  <si>
    <t>Stomach</t>
  </si>
  <si>
    <t>Stomach and Intestines V21Gy=</t>
  </si>
  <si>
    <t>StomachV21</t>
  </si>
  <si>
    <t>F52</t>
  </si>
  <si>
    <t>Stomach and Intestines V21Gy</t>
  </si>
  <si>
    <t>V 2100 cGy</t>
  </si>
  <si>
    <t>PTV Maximum Dose (%)</t>
  </si>
  <si>
    <t>V 100 %</t>
  </si>
  <si>
    <t>PTV- Maximum Dose</t>
  </si>
  <si>
    <t>V 90 %</t>
  </si>
  <si>
    <t>V20 (Total Lung)</t>
  </si>
  <si>
    <t>Aorta Maximum Dose</t>
  </si>
  <si>
    <t>Aorta  V60Gy=</t>
  </si>
  <si>
    <t>AortaV60</t>
  </si>
  <si>
    <t>Aorta V60Gy</t>
  </si>
  <si>
    <t>V 6000 cGy</t>
  </si>
  <si>
    <t>Artery-Pulmonary V60Gy=</t>
  </si>
  <si>
    <t>PulmonaryArteryV60</t>
  </si>
  <si>
    <t>Artery-Pulmonary V60Gy</t>
  </si>
  <si>
    <t>Ipsilat. Brach. Plex. V30Gy=</t>
  </si>
  <si>
    <t>IpsBrachPlexV30</t>
  </si>
  <si>
    <t>Ipsilat. Brach. Plex. V30Gy</t>
  </si>
  <si>
    <t>Heart V60Gy=</t>
  </si>
  <si>
    <t>HeartV60</t>
  </si>
  <si>
    <t>Heart V60Gy</t>
  </si>
  <si>
    <t>Chestwall (rib) (max point dose)</t>
  </si>
  <si>
    <t>Chestwall (rib) V50Gy=</t>
  </si>
  <si>
    <t>ChestWallV50</t>
  </si>
  <si>
    <t>Chestwall (rib) V50Gy</t>
  </si>
  <si>
    <t>V 5000 cGy</t>
  </si>
  <si>
    <t>Trachea V60Gy =</t>
  </si>
  <si>
    <t>ProxTrachV60</t>
  </si>
  <si>
    <t>B42</t>
  </si>
  <si>
    <t>Proximal Trachea V60Gy</t>
  </si>
  <si>
    <t>Bronchus V60Gy=</t>
  </si>
  <si>
    <t>ProxBronchV60</t>
  </si>
  <si>
    <t>C42</t>
  </si>
  <si>
    <t>Proximal Bronchial Tree V60Gy</t>
  </si>
  <si>
    <t>Stomach and  Intestines (max point dose)</t>
  </si>
  <si>
    <t>Stomach and  Intestines V36Gy=</t>
  </si>
  <si>
    <t>StomachV36</t>
  </si>
  <si>
    <t>Stomach and Intestines V36Gy</t>
  </si>
  <si>
    <t>V 3600 cGy</t>
  </si>
  <si>
    <t>LungVolume</t>
  </si>
  <si>
    <t>Aorta  (max point dose cGy)</t>
  </si>
  <si>
    <t>Artery-Pulmonary (max point dose cGy)</t>
  </si>
  <si>
    <t>Spinal Canal (max point dose cGy)</t>
  </si>
  <si>
    <t>Spinal Canal-PRV 5mm (max point dose cGy)</t>
  </si>
  <si>
    <t>Ipsilat. Brach. Plex. (max point dose cGy)</t>
  </si>
  <si>
    <t>Skin V30Gy (cc) =</t>
  </si>
  <si>
    <t>Heart (max point dose cGy)</t>
  </si>
  <si>
    <t>Esophagus (max point dose cGy)</t>
  </si>
  <si>
    <t>*Chestwall (rib) (max point dose cGy)</t>
  </si>
  <si>
    <t>*Chestwall (rib) V30Gy (cc) =</t>
  </si>
  <si>
    <t>ChestWallV2820</t>
  </si>
  <si>
    <t>Chestwall (rib) V28.2Gy</t>
  </si>
  <si>
    <t>V 2820 cGy</t>
  </si>
  <si>
    <t>*Chestwall (rib) V28.2Gy (cc) =</t>
  </si>
  <si>
    <t>Trachea (max point dose cGy)</t>
  </si>
  <si>
    <t>Bronchus (max point dose cGy)</t>
  </si>
  <si>
    <t>LungV700</t>
  </si>
  <si>
    <t>V 700 cGy</t>
  </si>
  <si>
    <t>LungV740</t>
  </si>
  <si>
    <t>V 740 cGy</t>
  </si>
  <si>
    <t>Aorta  V31Gy (cc) =</t>
  </si>
  <si>
    <t>AortaV31</t>
  </si>
  <si>
    <t>Aorta V31Gy</t>
  </si>
  <si>
    <t>V 3100 cGy</t>
  </si>
  <si>
    <t>Artery-Pulmonary V31Gy (cc) =</t>
  </si>
  <si>
    <t>PulmonaryArteryV31</t>
  </si>
  <si>
    <t>Artery-Pulmonary V31Gy</t>
  </si>
  <si>
    <t>Spinal Canal V10Gy (cc) =</t>
  </si>
  <si>
    <t>SpineV10</t>
  </si>
  <si>
    <t>Spinal Canal V10Gy</t>
  </si>
  <si>
    <t>V 1000 cGy</t>
  </si>
  <si>
    <t>Spinal Canal V7Gy (cc) =</t>
  </si>
  <si>
    <t>SpineV7</t>
  </si>
  <si>
    <t>Spinal Canal V7Gy</t>
  </si>
  <si>
    <t>Ipsilat. Brach. Plex. V14Gy (cc) =</t>
  </si>
  <si>
    <t>IpsBrachPlexV14</t>
  </si>
  <si>
    <t>Ipsilat. Brach. Plex. V14Gy</t>
  </si>
  <si>
    <t>V 1400 cGy</t>
  </si>
  <si>
    <t>Skin V26Gy (cc) =</t>
  </si>
  <si>
    <t>SkinV26</t>
  </si>
  <si>
    <t>Skin V26Gy</t>
  </si>
  <si>
    <t>V 2600 cGy</t>
  </si>
  <si>
    <t>Skin V23Gy (cc) =</t>
  </si>
  <si>
    <t>SkinV23</t>
  </si>
  <si>
    <t>Skin V23Gy</t>
  </si>
  <si>
    <t>V 2300 cGy</t>
  </si>
  <si>
    <t>Esophagus V11.9Gy (cc) =</t>
  </si>
  <si>
    <t>EsoV1190</t>
  </si>
  <si>
    <t>Esophagus V11.9Gy</t>
  </si>
  <si>
    <t>V 1190 cGy</t>
  </si>
  <si>
    <t>*Chestwall (rib) V22Gy (cc) =</t>
  </si>
  <si>
    <t>ChestWallV22</t>
  </si>
  <si>
    <t>Chestwall (rib) V22Gy</t>
  </si>
  <si>
    <t>V 2200 cGy</t>
  </si>
  <si>
    <t>Trachea V10.5Gy (cc) =</t>
  </si>
  <si>
    <t>ProxTrachV1050</t>
  </si>
  <si>
    <t>B49</t>
  </si>
  <si>
    <t>Proximal Trachea V10.5Gy</t>
  </si>
  <si>
    <t>V 1050 cGy</t>
  </si>
  <si>
    <t>Bronchus V10.5Gy (cc) =</t>
  </si>
  <si>
    <t>ProxBronchV1050</t>
  </si>
  <si>
    <t>C49</t>
  </si>
  <si>
    <t>Proximal Bronchial Tree V10.5Gy</t>
  </si>
  <si>
    <t>Stomach and Intestines (max point dose cGy)</t>
  </si>
  <si>
    <t>F50</t>
  </si>
  <si>
    <t>Stomach and Intestines V11.2Gy (cc) =</t>
  </si>
  <si>
    <t>StomachV1120</t>
  </si>
  <si>
    <t>Stomach and Intestines V11.2Gy</t>
  </si>
  <si>
    <t>V 1120 cGy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</si>
</sst>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%"/>
  </numFmts>
  <fonts count="3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b/>
      <sz val="10"/>
      <color indexed="45"/>
      <name val="Arial"/>
      <family val="2"/>
    </font>
    <font>
      <vertAlign val="subscript"/>
      <sz val="10"/>
      <name val="Arial"/>
      <family val="2"/>
    </font>
    <font>
      <b/>
      <vertAlign val="subscript"/>
      <sz val="10"/>
      <name val="Arial"/>
      <family val="2"/>
    </font>
    <font>
      <b/>
      <vertAlign val="subscript"/>
      <sz val="10"/>
      <name val="Symbol"/>
      <family val="1"/>
      <charset val="2"/>
    </font>
    <font>
      <sz val="10"/>
      <name val="Symbol"/>
      <family val="1"/>
      <charset val="2"/>
    </font>
    <font>
      <b/>
      <sz val="10"/>
      <color indexed="10"/>
      <name val="Arial"/>
      <family val="2"/>
    </font>
    <font>
      <i/>
      <sz val="8"/>
      <name val="Arial"/>
      <family val="2"/>
    </font>
    <font>
      <b/>
      <sz val="20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ourier New"/>
      <family val="3"/>
    </font>
    <font>
      <sz val="11"/>
      <name val="Calibri"/>
      <family val="2"/>
    </font>
    <font>
      <b/>
      <sz val="14"/>
      <color indexed="8"/>
      <name val="Calibri"/>
      <family val="2"/>
    </font>
    <font>
      <b/>
      <sz val="9"/>
      <color indexed="8"/>
      <name val="Calibri"/>
      <family val="2"/>
    </font>
    <font>
      <b/>
      <sz val="11"/>
      <color indexed="10"/>
      <name val="Calibri"/>
      <family val="2"/>
    </font>
    <font>
      <i/>
      <sz val="11"/>
      <color indexed="8"/>
      <name val="Courier New"/>
      <family val="3"/>
    </font>
    <font>
      <b/>
      <vertAlign val="subscript"/>
      <sz val="14"/>
      <color indexed="8"/>
      <name val="Calibri"/>
      <family val="2"/>
    </font>
    <font>
      <sz val="9"/>
      <name val="Arial"/>
      <family val="2"/>
    </font>
    <font>
      <b/>
      <vertAlign val="subscript"/>
      <sz val="11"/>
      <color indexed="8"/>
      <name val="Calibri"/>
      <family val="2"/>
    </font>
    <font>
      <sz val="10"/>
      <color indexed="55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vertAlign val="subscript"/>
      <sz val="10"/>
      <name val="Symbol"/>
      <family val="1"/>
      <charset val="2"/>
    </font>
    <font>
      <sz val="10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363636"/>
      <name val="Calibri"/>
      <family val="2"/>
      <scheme val="minor"/>
    </font>
    <font>
      <b/>
      <sz val="10"/>
      <color theme="8" tint="-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8"/>
      </bottom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5" fillId="0" borderId="0" xfId="0" applyFont="1"/>
    <xf numFmtId="0" fontId="3" fillId="0" borderId="5" xfId="0" applyFont="1" applyBorder="1" applyAlignment="1" applyProtection="1">
      <alignment horizontal="center"/>
    </xf>
    <xf numFmtId="0" fontId="3" fillId="0" borderId="6" xfId="0" applyFont="1" applyBorder="1" applyAlignment="1" applyProtection="1">
      <alignment horizontal="center"/>
    </xf>
    <xf numFmtId="0" fontId="3" fillId="0" borderId="7" xfId="0" applyFont="1" applyBorder="1" applyAlignment="1" applyProtection="1">
      <alignment horizontal="center"/>
    </xf>
    <xf numFmtId="0" fontId="3" fillId="0" borderId="8" xfId="0" applyFont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2" borderId="9" xfId="0" applyFill="1" applyBorder="1" applyAlignment="1" applyProtection="1">
      <alignment horizontal="center"/>
      <protection locked="0"/>
    </xf>
    <xf numFmtId="0" fontId="3" fillId="2" borderId="9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Protection="1">
      <protection locked="0"/>
    </xf>
    <xf numFmtId="49" fontId="3" fillId="2" borderId="0" xfId="0" applyNumberFormat="1" applyFont="1" applyFill="1" applyBorder="1" applyProtection="1">
      <protection locked="0"/>
    </xf>
    <xf numFmtId="0" fontId="0" fillId="3" borderId="11" xfId="0" applyFill="1" applyBorder="1"/>
    <xf numFmtId="0" fontId="0" fillId="3" borderId="12" xfId="0" applyFill="1" applyBorder="1"/>
    <xf numFmtId="0" fontId="14" fillId="3" borderId="12" xfId="0" applyFont="1" applyFill="1" applyBorder="1"/>
    <xf numFmtId="0" fontId="0" fillId="3" borderId="6" xfId="0" applyFill="1" applyBorder="1"/>
    <xf numFmtId="0" fontId="0" fillId="3" borderId="13" xfId="0" applyFill="1" applyBorder="1"/>
    <xf numFmtId="0" fontId="0" fillId="3" borderId="0" xfId="0" applyFill="1" applyBorder="1"/>
    <xf numFmtId="0" fontId="15" fillId="3" borderId="0" xfId="0" applyFont="1" applyFill="1" applyBorder="1"/>
    <xf numFmtId="0" fontId="0" fillId="3" borderId="9" xfId="0" applyFill="1" applyBorder="1"/>
    <xf numFmtId="0" fontId="16" fillId="3" borderId="12" xfId="0" applyFont="1" applyFill="1" applyBorder="1"/>
    <xf numFmtId="0" fontId="16" fillId="3" borderId="0" xfId="0" applyFont="1" applyFill="1" applyBorder="1"/>
    <xf numFmtId="0" fontId="0" fillId="3" borderId="13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0" fillId="3" borderId="11" xfId="0" applyFill="1" applyBorder="1" applyAlignment="1">
      <alignment horizontal="left" indent="3"/>
    </xf>
    <xf numFmtId="0" fontId="0" fillId="3" borderId="11" xfId="0" applyFill="1" applyBorder="1" applyAlignment="1">
      <alignment horizontal="left" indent="5"/>
    </xf>
    <xf numFmtId="0" fontId="0" fillId="3" borderId="12" xfId="0" applyFill="1" applyBorder="1" applyAlignment="1">
      <alignment horizontal="left" indent="5"/>
    </xf>
    <xf numFmtId="0" fontId="0" fillId="3" borderId="14" xfId="0" applyFill="1" applyBorder="1"/>
    <xf numFmtId="0" fontId="0" fillId="3" borderId="10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left"/>
    </xf>
    <xf numFmtId="165" fontId="17" fillId="3" borderId="0" xfId="0" applyNumberFormat="1" applyFont="1" applyFill="1" applyBorder="1" applyAlignment="1" applyProtection="1">
      <alignment horizontal="center"/>
    </xf>
    <xf numFmtId="0" fontId="17" fillId="3" borderId="13" xfId="0" applyNumberFormat="1" applyFont="1" applyFill="1" applyBorder="1" applyAlignment="1" applyProtection="1">
      <alignment horizontal="center"/>
    </xf>
    <xf numFmtId="0" fontId="17" fillId="3" borderId="0" xfId="0" applyNumberFormat="1" applyFont="1" applyFill="1" applyBorder="1" applyAlignment="1" applyProtection="1">
      <alignment horizontal="center"/>
    </xf>
    <xf numFmtId="0" fontId="0" fillId="3" borderId="9" xfId="0" applyFill="1" applyBorder="1" applyAlignment="1">
      <alignment horizontal="center"/>
    </xf>
    <xf numFmtId="2" fontId="17" fillId="3" borderId="0" xfId="0" applyNumberFormat="1" applyFont="1" applyFill="1" applyBorder="1" applyAlignment="1" applyProtection="1">
      <alignment horizontal="center"/>
    </xf>
    <xf numFmtId="165" fontId="17" fillId="3" borderId="10" xfId="0" applyNumberFormat="1" applyFont="1" applyFill="1" applyBorder="1" applyAlignment="1" applyProtection="1">
      <alignment horizontal="center"/>
    </xf>
    <xf numFmtId="0" fontId="17" fillId="3" borderId="14" xfId="0" applyNumberFormat="1" applyFont="1" applyFill="1" applyBorder="1" applyAlignment="1" applyProtection="1">
      <alignment horizontal="center"/>
    </xf>
    <xf numFmtId="0" fontId="17" fillId="3" borderId="10" xfId="0" applyNumberFormat="1" applyFont="1" applyFill="1" applyBorder="1" applyAlignment="1" applyProtection="1">
      <alignment horizontal="center"/>
    </xf>
    <xf numFmtId="2" fontId="17" fillId="3" borderId="10" xfId="0" applyNumberFormat="1" applyFont="1" applyFill="1" applyBorder="1" applyAlignment="1" applyProtection="1">
      <alignment horizontal="center"/>
    </xf>
    <xf numFmtId="0" fontId="0" fillId="3" borderId="10" xfId="0" applyFill="1" applyBorder="1"/>
    <xf numFmtId="0" fontId="0" fillId="3" borderId="8" xfId="0" applyFill="1" applyBorder="1"/>
    <xf numFmtId="0" fontId="18" fillId="2" borderId="11" xfId="0" applyFont="1" applyFill="1" applyBorder="1"/>
    <xf numFmtId="0" fontId="0" fillId="2" borderId="12" xfId="0" applyFill="1" applyBorder="1"/>
    <xf numFmtId="0" fontId="18" fillId="2" borderId="12" xfId="0" applyFont="1" applyFill="1" applyBorder="1"/>
    <xf numFmtId="0" fontId="0" fillId="2" borderId="6" xfId="0" applyFill="1" applyBorder="1"/>
    <xf numFmtId="0" fontId="0" fillId="2" borderId="13" xfId="0" applyFill="1" applyBorder="1"/>
    <xf numFmtId="0" fontId="0" fillId="2" borderId="0" xfId="0" applyFill="1" applyBorder="1"/>
    <xf numFmtId="0" fontId="15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center"/>
    </xf>
    <xf numFmtId="0" fontId="15" fillId="2" borderId="0" xfId="0" applyFont="1" applyFill="1" applyBorder="1"/>
    <xf numFmtId="0" fontId="0" fillId="2" borderId="9" xfId="0" applyFill="1" applyBorder="1"/>
    <xf numFmtId="0" fontId="19" fillId="2" borderId="0" xfId="0" applyFont="1" applyFill="1" applyBorder="1" applyAlignment="1">
      <alignment horizontal="center"/>
    </xf>
    <xf numFmtId="0" fontId="20" fillId="2" borderId="0" xfId="0" applyFont="1" applyFill="1" applyBorder="1"/>
    <xf numFmtId="0" fontId="20" fillId="2" borderId="9" xfId="0" applyFont="1" applyFill="1" applyBorder="1"/>
    <xf numFmtId="0" fontId="0" fillId="2" borderId="14" xfId="0" applyFill="1" applyBorder="1"/>
    <xf numFmtId="0" fontId="0" fillId="2" borderId="10" xfId="0" applyFill="1" applyBorder="1" applyAlignment="1">
      <alignment horizontal="center"/>
    </xf>
    <xf numFmtId="0" fontId="0" fillId="2" borderId="10" xfId="0" applyFill="1" applyBorder="1"/>
    <xf numFmtId="0" fontId="0" fillId="2" borderId="8" xfId="0" applyFill="1" applyBorder="1"/>
    <xf numFmtId="0" fontId="18" fillId="2" borderId="13" xfId="0" applyFont="1" applyFill="1" applyBorder="1"/>
    <xf numFmtId="0" fontId="0" fillId="2" borderId="0" xfId="0" applyFill="1" applyBorder="1" applyAlignment="1">
      <alignment horizontal="center"/>
    </xf>
    <xf numFmtId="0" fontId="18" fillId="2" borderId="0" xfId="0" applyFont="1" applyFill="1" applyBorder="1"/>
    <xf numFmtId="2" fontId="0" fillId="2" borderId="0" xfId="0" applyNumberFormat="1" applyFill="1" applyBorder="1" applyAlignment="1">
      <alignment horizontal="center"/>
    </xf>
    <xf numFmtId="0" fontId="18" fillId="2" borderId="0" xfId="0" applyFont="1" applyFill="1" applyBorder="1" applyAlignment="1">
      <alignment horizontal="right"/>
    </xf>
    <xf numFmtId="0" fontId="14" fillId="0" borderId="0" xfId="0" applyFont="1"/>
    <xf numFmtId="0" fontId="16" fillId="0" borderId="0" xfId="0" applyFont="1"/>
    <xf numFmtId="0" fontId="3" fillId="0" borderId="7" xfId="0" applyFont="1" applyBorder="1" applyAlignment="1" applyProtection="1">
      <alignment horizontal="center" shrinkToFit="1"/>
    </xf>
    <xf numFmtId="0" fontId="3" fillId="0" borderId="8" xfId="0" applyFont="1" applyBorder="1" applyAlignment="1" applyProtection="1">
      <alignment horizontal="center" shrinkToFit="1"/>
    </xf>
    <xf numFmtId="0" fontId="0" fillId="0" borderId="12" xfId="0" applyBorder="1" applyProtection="1"/>
    <xf numFmtId="0" fontId="0" fillId="0" borderId="12" xfId="0" applyBorder="1" applyAlignment="1" applyProtection="1">
      <alignment horizontal="center"/>
    </xf>
    <xf numFmtId="0" fontId="3" fillId="0" borderId="12" xfId="0" applyFont="1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0" xfId="0" applyProtection="1"/>
    <xf numFmtId="0" fontId="0" fillId="0" borderId="14" xfId="0" applyBorder="1" applyProtection="1"/>
    <xf numFmtId="0" fontId="0" fillId="0" borderId="10" xfId="0" applyBorder="1" applyProtection="1"/>
    <xf numFmtId="0" fontId="0" fillId="0" borderId="10" xfId="0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0" fillId="0" borderId="13" xfId="0" applyBorder="1" applyProtection="1"/>
    <xf numFmtId="0" fontId="3" fillId="0" borderId="0" xfId="0" applyFont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3" fillId="0" borderId="11" xfId="0" applyFont="1" applyBorder="1" applyProtection="1"/>
    <xf numFmtId="0" fontId="0" fillId="0" borderId="9" xfId="0" applyBorder="1" applyAlignment="1" applyProtection="1">
      <alignment horizontal="center"/>
    </xf>
    <xf numFmtId="0" fontId="3" fillId="0" borderId="13" xfId="0" applyFont="1" applyBorder="1" applyProtection="1"/>
    <xf numFmtId="0" fontId="4" fillId="0" borderId="0" xfId="0" applyFont="1" applyBorder="1" applyAlignment="1" applyProtection="1">
      <alignment horizontal="center"/>
    </xf>
    <xf numFmtId="0" fontId="0" fillId="0" borderId="15" xfId="0" applyBorder="1" applyProtection="1"/>
    <xf numFmtId="0" fontId="4" fillId="0" borderId="1" xfId="0" applyFont="1" applyBorder="1" applyAlignment="1" applyProtection="1">
      <alignment horizontal="center"/>
    </xf>
    <xf numFmtId="0" fontId="4" fillId="0" borderId="15" xfId="0" applyFont="1" applyBorder="1" applyAlignment="1" applyProtection="1">
      <alignment horizontal="center"/>
    </xf>
    <xf numFmtId="0" fontId="4" fillId="0" borderId="15" xfId="0" applyFont="1" applyBorder="1" applyProtection="1"/>
    <xf numFmtId="0" fontId="4" fillId="0" borderId="5" xfId="0" applyFont="1" applyFill="1" applyBorder="1" applyAlignment="1" applyProtection="1">
      <alignment horizontal="center"/>
    </xf>
    <xf numFmtId="0" fontId="4" fillId="0" borderId="0" xfId="0" applyFont="1" applyFill="1" applyAlignment="1" applyProtection="1">
      <alignment horizontal="left"/>
    </xf>
    <xf numFmtId="0" fontId="4" fillId="0" borderId="16" xfId="0" applyFont="1" applyBorder="1" applyAlignment="1" applyProtection="1">
      <alignment horizontal="center"/>
    </xf>
    <xf numFmtId="0" fontId="0" fillId="0" borderId="15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3" fillId="0" borderId="12" xfId="0" applyFont="1" applyBorder="1" applyProtection="1"/>
    <xf numFmtId="0" fontId="0" fillId="0" borderId="17" xfId="0" applyBorder="1" applyAlignment="1" applyProtection="1">
      <alignment horizontal="center"/>
    </xf>
    <xf numFmtId="0" fontId="0" fillId="0" borderId="18" xfId="0" applyBorder="1" applyProtection="1"/>
    <xf numFmtId="0" fontId="0" fillId="0" borderId="16" xfId="0" applyBorder="1" applyAlignment="1" applyProtection="1">
      <alignment horizontal="center"/>
    </xf>
    <xf numFmtId="0" fontId="0" fillId="0" borderId="18" xfId="0" applyBorder="1" applyAlignment="1" applyProtection="1">
      <alignment horizontal="center"/>
    </xf>
    <xf numFmtId="0" fontId="3" fillId="0" borderId="14" xfId="0" applyFont="1" applyBorder="1" applyProtection="1"/>
    <xf numFmtId="2" fontId="1" fillId="0" borderId="10" xfId="1" applyNumberFormat="1" applyFont="1" applyBorder="1" applyProtection="1"/>
    <xf numFmtId="0" fontId="0" fillId="0" borderId="4" xfId="0" applyBorder="1" applyAlignment="1" applyProtection="1">
      <alignment horizontal="center"/>
    </xf>
    <xf numFmtId="0" fontId="3" fillId="0" borderId="18" xfId="0" applyFont="1" applyBorder="1" applyProtection="1"/>
    <xf numFmtId="0" fontId="0" fillId="0" borderId="19" xfId="0" applyBorder="1" applyAlignment="1" applyProtection="1">
      <alignment horizontal="center"/>
    </xf>
    <xf numFmtId="166" fontId="1" fillId="0" borderId="18" xfId="1" applyNumberFormat="1" applyBorder="1" applyAlignment="1" applyProtection="1">
      <alignment horizontal="center"/>
    </xf>
    <xf numFmtId="0" fontId="0" fillId="0" borderId="18" xfId="0" applyBorder="1" applyAlignment="1" applyProtection="1"/>
    <xf numFmtId="0" fontId="5" fillId="0" borderId="0" xfId="0" applyFont="1" applyAlignment="1" applyProtection="1">
      <alignment horizontal="left"/>
    </xf>
    <xf numFmtId="0" fontId="1" fillId="0" borderId="0" xfId="0" applyFont="1" applyProtection="1"/>
    <xf numFmtId="2" fontId="1" fillId="0" borderId="10" xfId="0" applyNumberFormat="1" applyFont="1" applyBorder="1" applyAlignment="1" applyProtection="1">
      <alignment horizontal="center"/>
    </xf>
    <xf numFmtId="2" fontId="0" fillId="0" borderId="10" xfId="0" applyNumberFormat="1" applyBorder="1" applyProtection="1"/>
    <xf numFmtId="0" fontId="5" fillId="0" borderId="0" xfId="0" applyFont="1" applyBorder="1" applyProtection="1"/>
    <xf numFmtId="0" fontId="5" fillId="0" borderId="16" xfId="0" applyFont="1" applyBorder="1" applyAlignment="1" applyProtection="1">
      <alignment horizontal="center"/>
    </xf>
    <xf numFmtId="0" fontId="5" fillId="0" borderId="9" xfId="0" applyFont="1" applyBorder="1" applyAlignment="1" applyProtection="1">
      <alignment horizontal="center"/>
    </xf>
    <xf numFmtId="0" fontId="0" fillId="0" borderId="20" xfId="0" applyBorder="1" applyAlignment="1" applyProtection="1">
      <alignment horizontal="center"/>
    </xf>
    <xf numFmtId="0" fontId="0" fillId="0" borderId="20" xfId="0" applyBorder="1" applyProtection="1"/>
    <xf numFmtId="0" fontId="0" fillId="0" borderId="3" xfId="0" applyBorder="1" applyAlignment="1" applyProtection="1">
      <alignment horizontal="center"/>
    </xf>
    <xf numFmtId="0" fontId="2" fillId="0" borderId="15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right"/>
    </xf>
    <xf numFmtId="0" fontId="0" fillId="0" borderId="21" xfId="0" applyBorder="1" applyProtection="1"/>
    <xf numFmtId="0" fontId="11" fillId="0" borderId="0" xfId="0" applyFont="1" applyBorder="1" applyProtection="1"/>
    <xf numFmtId="0" fontId="13" fillId="0" borderId="0" xfId="0" applyFont="1" applyProtection="1"/>
    <xf numFmtId="0" fontId="0" fillId="0" borderId="0" xfId="0" applyAlignment="1" applyProtection="1">
      <alignment horizontal="center"/>
    </xf>
    <xf numFmtId="0" fontId="7" fillId="0" borderId="15" xfId="0" applyFont="1" applyBorder="1" applyAlignment="1" applyProtection="1">
      <alignment horizontal="center" shrinkToFit="1"/>
    </xf>
    <xf numFmtId="166" fontId="1" fillId="0" borderId="2" xfId="1" applyNumberFormat="1" applyFont="1" applyFill="1" applyBorder="1" applyAlignment="1" applyProtection="1">
      <alignment horizontal="center"/>
    </xf>
    <xf numFmtId="2" fontId="1" fillId="0" borderId="4" xfId="0" applyNumberFormat="1" applyFont="1" applyFill="1" applyBorder="1" applyAlignment="1" applyProtection="1">
      <alignment horizontal="center"/>
    </xf>
    <xf numFmtId="0" fontId="18" fillId="2" borderId="13" xfId="0" applyFont="1" applyFill="1" applyBorder="1" applyAlignment="1">
      <alignment horizontal="right"/>
    </xf>
    <xf numFmtId="0" fontId="20" fillId="2" borderId="0" xfId="0" applyFont="1" applyFill="1" applyBorder="1" applyAlignment="1">
      <alignment shrinkToFit="1"/>
    </xf>
    <xf numFmtId="10" fontId="1" fillId="0" borderId="2" xfId="1" applyNumberFormat="1" applyFill="1" applyBorder="1" applyAlignment="1" applyProtection="1">
      <alignment horizontal="center"/>
    </xf>
    <xf numFmtId="2" fontId="0" fillId="0" borderId="4" xfId="0" applyNumberFormat="1" applyFill="1" applyBorder="1" applyAlignment="1" applyProtection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12" fillId="0" borderId="0" xfId="0" applyFont="1" applyAlignment="1">
      <alignment horizontal="center"/>
    </xf>
    <xf numFmtId="0" fontId="25" fillId="0" borderId="0" xfId="0" applyFont="1"/>
    <xf numFmtId="10" fontId="5" fillId="0" borderId="18" xfId="1" applyNumberFormat="1" applyFont="1" applyBorder="1" applyAlignment="1" applyProtection="1">
      <alignment horizontal="center"/>
    </xf>
    <xf numFmtId="164" fontId="5" fillId="0" borderId="10" xfId="0" applyNumberFormat="1" applyFont="1" applyBorder="1" applyAlignment="1" applyProtection="1">
      <alignment horizontal="center"/>
    </xf>
    <xf numFmtId="0" fontId="27" fillId="0" borderId="10" xfId="0" applyFont="1" applyBorder="1" applyAlignment="1" applyProtection="1">
      <alignment horizontal="center"/>
    </xf>
    <xf numFmtId="0" fontId="27" fillId="0" borderId="0" xfId="0" applyFont="1" applyBorder="1" applyProtection="1"/>
    <xf numFmtId="0" fontId="0" fillId="0" borderId="22" xfId="0" applyBorder="1" applyProtection="1"/>
    <xf numFmtId="0" fontId="5" fillId="0" borderId="18" xfId="0" applyFont="1" applyBorder="1" applyAlignment="1" applyProtection="1">
      <alignment horizontal="center"/>
    </xf>
    <xf numFmtId="0" fontId="27" fillId="0" borderId="10" xfId="0" applyFont="1" applyBorder="1" applyAlignment="1" applyProtection="1">
      <alignment horizontal="right"/>
    </xf>
    <xf numFmtId="0" fontId="3" fillId="0" borderId="0" xfId="0" applyFont="1" applyFill="1" applyAlignment="1">
      <alignment horizontal="center"/>
    </xf>
    <xf numFmtId="0" fontId="5" fillId="0" borderId="10" xfId="0" applyFont="1" applyBorder="1" applyAlignment="1" applyProtection="1">
      <alignment horizontal="right"/>
    </xf>
    <xf numFmtId="0" fontId="5" fillId="0" borderId="13" xfId="0" applyFont="1" applyBorder="1" applyProtection="1"/>
    <xf numFmtId="0" fontId="3" fillId="0" borderId="23" xfId="0" applyFont="1" applyBorder="1" applyAlignment="1" applyProtection="1">
      <alignment horizontal="center"/>
    </xf>
    <xf numFmtId="0" fontId="3" fillId="0" borderId="24" xfId="0" applyFont="1" applyBorder="1" applyAlignment="1" applyProtection="1">
      <alignment horizontal="center"/>
    </xf>
    <xf numFmtId="166" fontId="1" fillId="0" borderId="2" xfId="1" applyNumberFormat="1" applyFill="1" applyBorder="1" applyAlignment="1" applyProtection="1">
      <alignment horizontal="center"/>
    </xf>
    <xf numFmtId="166" fontId="5" fillId="2" borderId="2" xfId="1" applyNumberFormat="1" applyFont="1" applyFill="1" applyBorder="1" applyAlignment="1" applyProtection="1">
      <alignment horizontal="center"/>
      <protection locked="0"/>
    </xf>
    <xf numFmtId="0" fontId="13" fillId="0" borderId="16" xfId="0" applyFont="1" applyBorder="1" applyAlignment="1" applyProtection="1">
      <alignment horizontal="center"/>
    </xf>
    <xf numFmtId="0" fontId="5" fillId="0" borderId="21" xfId="0" applyFont="1" applyBorder="1" applyProtection="1"/>
    <xf numFmtId="0" fontId="3" fillId="4" borderId="12" xfId="0" applyFont="1" applyFill="1" applyBorder="1" applyProtection="1"/>
    <xf numFmtId="0" fontId="0" fillId="4" borderId="12" xfId="0" applyFill="1" applyBorder="1" applyAlignment="1" applyProtection="1">
      <alignment horizontal="center"/>
    </xf>
    <xf numFmtId="0" fontId="4" fillId="0" borderId="12" xfId="0" applyFont="1" applyBorder="1" applyAlignment="1" applyProtection="1">
      <alignment horizontal="center"/>
    </xf>
    <xf numFmtId="0" fontId="4" fillId="0" borderId="6" xfId="0" applyFont="1" applyFill="1" applyBorder="1" applyAlignment="1" applyProtection="1">
      <alignment horizontal="center"/>
    </xf>
    <xf numFmtId="0" fontId="4" fillId="0" borderId="26" xfId="0" applyFont="1" applyBorder="1" applyAlignment="1" applyProtection="1">
      <alignment horizontal="center"/>
    </xf>
    <xf numFmtId="0" fontId="3" fillId="0" borderId="20" xfId="0" applyFont="1" applyBorder="1" applyProtection="1"/>
    <xf numFmtId="0" fontId="5" fillId="0" borderId="1" xfId="0" applyFont="1" applyBorder="1" applyAlignment="1" applyProtection="1">
      <alignment horizontal="center"/>
    </xf>
    <xf numFmtId="166" fontId="0" fillId="0" borderId="15" xfId="0" applyNumberFormat="1" applyBorder="1" applyAlignment="1" applyProtection="1">
      <alignment horizontal="center"/>
    </xf>
    <xf numFmtId="0" fontId="7" fillId="0" borderId="15" xfId="0" applyFont="1" applyBorder="1" applyAlignment="1" applyProtection="1">
      <alignment horizontal="center"/>
    </xf>
    <xf numFmtId="166" fontId="5" fillId="0" borderId="18" xfId="1" applyNumberFormat="1" applyFont="1" applyBorder="1" applyAlignment="1" applyProtection="1">
      <alignment horizontal="center"/>
    </xf>
    <xf numFmtId="0" fontId="5" fillId="0" borderId="18" xfId="0" applyFont="1" applyBorder="1" applyProtection="1"/>
    <xf numFmtId="10" fontId="1" fillId="0" borderId="18" xfId="1" applyNumberFormat="1" applyBorder="1" applyAlignment="1" applyProtection="1">
      <alignment horizontal="center"/>
    </xf>
    <xf numFmtId="0" fontId="5" fillId="0" borderId="10" xfId="0" applyFont="1" applyBorder="1" applyAlignment="1" applyProtection="1">
      <alignment horizontal="left"/>
    </xf>
    <xf numFmtId="0" fontId="0" fillId="0" borderId="27" xfId="0" applyBorder="1" applyAlignment="1" applyProtection="1">
      <alignment horizontal="center"/>
    </xf>
    <xf numFmtId="0" fontId="0" fillId="0" borderId="13" xfId="0" applyBorder="1" applyAlignment="1" applyProtection="1">
      <alignment horizontal="left"/>
    </xf>
    <xf numFmtId="10" fontId="27" fillId="0" borderId="18" xfId="0" applyNumberFormat="1" applyFont="1" applyFill="1" applyBorder="1" applyAlignment="1" applyProtection="1">
      <alignment horizontal="left"/>
    </xf>
    <xf numFmtId="0" fontId="5" fillId="0" borderId="3" xfId="0" applyFont="1" applyBorder="1" applyAlignment="1" applyProtection="1">
      <alignment horizontal="center"/>
    </xf>
    <xf numFmtId="10" fontId="5" fillId="0" borderId="13" xfId="0" applyNumberFormat="1" applyFont="1" applyFill="1" applyBorder="1" applyAlignment="1" applyProtection="1">
      <alignment horizontal="left"/>
    </xf>
    <xf numFmtId="0" fontId="5" fillId="0" borderId="0" xfId="0" applyFont="1" applyProtection="1"/>
    <xf numFmtId="0" fontId="5" fillId="0" borderId="22" xfId="0" applyFont="1" applyBorder="1" applyProtection="1"/>
    <xf numFmtId="0" fontId="5" fillId="0" borderId="20" xfId="0" applyFont="1" applyBorder="1" applyProtection="1"/>
    <xf numFmtId="0" fontId="3" fillId="0" borderId="28" xfId="0" applyFont="1" applyBorder="1" applyAlignment="1" applyProtection="1">
      <alignment horizontal="right" vertical="center"/>
    </xf>
    <xf numFmtId="0" fontId="4" fillId="0" borderId="2" xfId="0" applyFont="1" applyBorder="1" applyAlignment="1" applyProtection="1">
      <alignment horizontal="center"/>
    </xf>
    <xf numFmtId="0" fontId="3" fillId="0" borderId="19" xfId="0" applyFont="1" applyBorder="1" applyAlignment="1" applyProtection="1">
      <alignment horizontal="right" vertical="center"/>
    </xf>
    <xf numFmtId="0" fontId="3" fillId="0" borderId="0" xfId="0" applyFont="1" applyBorder="1" applyAlignment="1" applyProtection="1">
      <alignment horizontal="right" vertical="center"/>
    </xf>
    <xf numFmtId="0" fontId="0" fillId="0" borderId="29" xfId="0" applyBorder="1" applyProtection="1"/>
    <xf numFmtId="0" fontId="27" fillId="0" borderId="18" xfId="0" applyFont="1" applyBorder="1" applyAlignment="1" applyProtection="1">
      <alignment horizontal="right" vertical="center"/>
    </xf>
    <xf numFmtId="0" fontId="3" fillId="0" borderId="20" xfId="0" applyFont="1" applyBorder="1" applyAlignment="1" applyProtection="1">
      <alignment horizontal="right" vertical="center"/>
    </xf>
    <xf numFmtId="0" fontId="5" fillId="0" borderId="20" xfId="0" applyFont="1" applyBorder="1" applyAlignment="1" applyProtection="1">
      <alignment horizontal="left"/>
    </xf>
    <xf numFmtId="0" fontId="5" fillId="0" borderId="0" xfId="0" applyFont="1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0" fontId="3" fillId="0" borderId="30" xfId="0" applyFont="1" applyBorder="1" applyAlignment="1" applyProtection="1">
      <alignment horizontal="center"/>
    </xf>
    <xf numFmtId="0" fontId="4" fillId="0" borderId="3" xfId="0" applyFont="1" applyBorder="1" applyAlignment="1" applyProtection="1">
      <alignment horizontal="center"/>
    </xf>
    <xf numFmtId="0" fontId="0" fillId="0" borderId="31" xfId="0" applyBorder="1" applyAlignment="1" applyProtection="1">
      <alignment horizontal="center"/>
    </xf>
    <xf numFmtId="0" fontId="3" fillId="0" borderId="28" xfId="0" applyFont="1" applyBorder="1" applyAlignment="1" applyProtection="1">
      <alignment horizontal="center"/>
    </xf>
    <xf numFmtId="0" fontId="3" fillId="0" borderId="20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center"/>
    </xf>
    <xf numFmtId="2" fontId="5" fillId="0" borderId="10" xfId="0" applyNumberFormat="1" applyFont="1" applyBorder="1" applyAlignment="1" applyProtection="1">
      <alignment horizontal="center"/>
    </xf>
    <xf numFmtId="0" fontId="5" fillId="0" borderId="2" xfId="0" applyFont="1" applyBorder="1" applyAlignment="1" applyProtection="1">
      <alignment horizontal="center"/>
    </xf>
    <xf numFmtId="0" fontId="5" fillId="0" borderId="15" xfId="0" applyFont="1" applyBorder="1" applyAlignment="1" applyProtection="1">
      <alignment horizontal="center"/>
    </xf>
    <xf numFmtId="0" fontId="27" fillId="0" borderId="15" xfId="0" applyFont="1" applyBorder="1" applyAlignment="1" applyProtection="1">
      <alignment horizontal="right"/>
    </xf>
    <xf numFmtId="0" fontId="5" fillId="0" borderId="21" xfId="0" applyFont="1" applyFill="1" applyBorder="1" applyProtection="1"/>
    <xf numFmtId="0" fontId="5" fillId="0" borderId="18" xfId="0" applyFont="1" applyFill="1" applyBorder="1" applyProtection="1"/>
    <xf numFmtId="0" fontId="5" fillId="0" borderId="15" xfId="0" applyFont="1" applyFill="1" applyBorder="1" applyProtection="1"/>
    <xf numFmtId="0" fontId="26" fillId="0" borderId="18" xfId="0" applyFont="1" applyFill="1" applyBorder="1" applyAlignment="1" applyProtection="1">
      <alignment horizontal="center"/>
    </xf>
    <xf numFmtId="0" fontId="26" fillId="0" borderId="18" xfId="0" applyFont="1" applyFill="1" applyBorder="1" applyProtection="1"/>
    <xf numFmtId="0" fontId="3" fillId="0" borderId="7" xfId="0" applyFont="1" applyFill="1" applyBorder="1" applyAlignment="1" applyProtection="1">
      <alignment horizontal="center"/>
    </xf>
    <xf numFmtId="0" fontId="0" fillId="0" borderId="15" xfId="0" applyBorder="1" applyProtection="1">
      <protection locked="0"/>
    </xf>
    <xf numFmtId="0" fontId="0" fillId="0" borderId="0" xfId="0" applyBorder="1" applyProtection="1">
      <protection locked="0"/>
    </xf>
    <xf numFmtId="0" fontId="5" fillId="0" borderId="18" xfId="0" applyFon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3" fillId="0" borderId="32" xfId="0" applyFont="1" applyBorder="1" applyAlignment="1" applyProtection="1">
      <alignment horizontal="center"/>
    </xf>
    <xf numFmtId="0" fontId="23" fillId="0" borderId="0" xfId="0" applyFont="1" applyBorder="1" applyAlignment="1" applyProtection="1">
      <alignment horizontal="left"/>
    </xf>
    <xf numFmtId="0" fontId="5" fillId="0" borderId="2" xfId="0" applyFont="1" applyFill="1" applyBorder="1" applyAlignment="1" applyProtection="1">
      <alignment horizontal="center"/>
    </xf>
    <xf numFmtId="166" fontId="31" fillId="5" borderId="15" xfId="1" applyNumberFormat="1" applyFont="1" applyFill="1" applyBorder="1" applyAlignment="1" applyProtection="1">
      <alignment horizontal="center"/>
      <protection locked="0"/>
    </xf>
    <xf numFmtId="0" fontId="3" fillId="5" borderId="8" xfId="0" applyFont="1" applyFill="1" applyBorder="1" applyAlignment="1" applyProtection="1">
      <alignment horizontal="center" shrinkToFit="1"/>
    </xf>
    <xf numFmtId="165" fontId="0" fillId="5" borderId="1" xfId="0" applyNumberFormat="1" applyFill="1" applyBorder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/>
    </xf>
    <xf numFmtId="166" fontId="5" fillId="0" borderId="1" xfId="0" applyNumberFormat="1" applyFont="1" applyFill="1" applyBorder="1" applyAlignment="1" applyProtection="1">
      <alignment horizontal="center"/>
      <protection locked="0"/>
    </xf>
    <xf numFmtId="0" fontId="5" fillId="0" borderId="11" xfId="0" applyFont="1" applyBorder="1" applyProtection="1"/>
    <xf numFmtId="0" fontId="3" fillId="0" borderId="33" xfId="0" applyFont="1" applyBorder="1" applyAlignment="1" applyProtection="1">
      <alignment horizontal="center"/>
    </xf>
    <xf numFmtId="0" fontId="5" fillId="0" borderId="34" xfId="0" applyFont="1" applyBorder="1" applyProtection="1"/>
    <xf numFmtId="0" fontId="0" fillId="0" borderId="35" xfId="0" applyBorder="1" applyProtection="1"/>
    <xf numFmtId="166" fontId="5" fillId="2" borderId="36" xfId="0" applyNumberFormat="1" applyFont="1" applyFill="1" applyBorder="1" applyAlignment="1" applyProtection="1">
      <alignment horizontal="center"/>
      <protection locked="0"/>
    </xf>
    <xf numFmtId="10" fontId="28" fillId="0" borderId="35" xfId="0" applyNumberFormat="1" applyFont="1" applyFill="1" applyBorder="1" applyAlignment="1" applyProtection="1">
      <alignment horizontal="center"/>
    </xf>
    <xf numFmtId="0" fontId="11" fillId="0" borderId="36" xfId="0" applyFont="1" applyBorder="1" applyAlignment="1" applyProtection="1">
      <alignment horizontal="center"/>
    </xf>
    <xf numFmtId="0" fontId="3" fillId="0" borderId="37" xfId="0" applyFont="1" applyBorder="1" applyAlignment="1" applyProtection="1">
      <alignment horizontal="center"/>
    </xf>
    <xf numFmtId="0" fontId="3" fillId="0" borderId="38" xfId="0" applyFont="1" applyBorder="1" applyAlignment="1" applyProtection="1">
      <alignment horizontal="center" shrinkToFit="1"/>
    </xf>
    <xf numFmtId="10" fontId="5" fillId="0" borderId="35" xfId="0" applyNumberFormat="1" applyFont="1" applyFill="1" applyBorder="1" applyAlignment="1" applyProtection="1">
      <alignment horizontal="center"/>
    </xf>
    <xf numFmtId="0" fontId="0" fillId="0" borderId="0" xfId="0" applyFill="1" applyProtection="1"/>
    <xf numFmtId="0" fontId="0" fillId="0" borderId="0" xfId="0" applyFill="1"/>
    <xf numFmtId="0" fontId="5" fillId="0" borderId="0" xfId="0" applyFont="1" applyFill="1" applyProtection="1"/>
    <xf numFmtId="0" fontId="5" fillId="0" borderId="14" xfId="0" applyFont="1" applyBorder="1" applyAlignment="1" applyProtection="1">
      <alignment horizontal="left"/>
    </xf>
    <xf numFmtId="0" fontId="5" fillId="0" borderId="10" xfId="0" applyFont="1" applyBorder="1" applyAlignment="1" applyProtection="1"/>
    <xf numFmtId="0" fontId="3" fillId="0" borderId="10" xfId="0" applyFont="1" applyBorder="1" applyAlignment="1" applyProtection="1">
      <alignment horizontal="right" vertical="center"/>
    </xf>
    <xf numFmtId="0" fontId="3" fillId="0" borderId="39" xfId="0" applyFont="1" applyBorder="1" applyAlignment="1" applyProtection="1">
      <alignment horizontal="center"/>
    </xf>
    <xf numFmtId="0" fontId="5" fillId="0" borderId="14" xfId="0" applyFont="1" applyBorder="1" applyProtection="1"/>
    <xf numFmtId="0" fontId="2" fillId="0" borderId="40" xfId="0" applyFont="1" applyBorder="1" applyAlignment="1" applyProtection="1">
      <alignment horizontal="right"/>
    </xf>
    <xf numFmtId="0" fontId="3" fillId="2" borderId="12" xfId="0" applyFont="1" applyFill="1" applyBorder="1" applyProtection="1">
      <protection locked="0"/>
    </xf>
    <xf numFmtId="0" fontId="0" fillId="2" borderId="6" xfId="0" applyFill="1" applyBorder="1" applyAlignment="1" applyProtection="1">
      <alignment horizontal="center"/>
      <protection locked="0"/>
    </xf>
    <xf numFmtId="0" fontId="0" fillId="0" borderId="41" xfId="0" applyBorder="1"/>
    <xf numFmtId="0" fontId="0" fillId="0" borderId="42" xfId="0" applyBorder="1"/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1" xfId="0" applyBorder="1" applyProtection="1"/>
    <xf numFmtId="0" fontId="0" fillId="0" borderId="42" xfId="0" applyBorder="1" applyProtection="1"/>
    <xf numFmtId="0" fontId="0" fillId="0" borderId="42" xfId="0" applyBorder="1" applyAlignment="1" applyProtection="1">
      <alignment horizontal="center"/>
    </xf>
    <xf numFmtId="0" fontId="0" fillId="0" borderId="43" xfId="0" applyBorder="1" applyAlignment="1" applyProtection="1">
      <alignment horizontal="center"/>
    </xf>
    <xf numFmtId="0" fontId="3" fillId="0" borderId="10" xfId="0" applyFont="1" applyBorder="1" applyProtection="1"/>
    <xf numFmtId="0" fontId="5" fillId="0" borderId="12" xfId="0" applyFont="1" applyBorder="1" applyProtection="1"/>
    <xf numFmtId="0" fontId="5" fillId="0" borderId="15" xfId="0" applyFont="1" applyBorder="1" applyProtection="1"/>
    <xf numFmtId="0" fontId="0" fillId="0" borderId="9" xfId="0" applyBorder="1"/>
    <xf numFmtId="0" fontId="0" fillId="0" borderId="9" xfId="0" applyBorder="1" applyProtection="1"/>
    <xf numFmtId="0" fontId="3" fillId="0" borderId="9" xfId="0" applyFont="1" applyBorder="1" applyProtection="1"/>
    <xf numFmtId="0" fontId="13" fillId="0" borderId="9" xfId="0" applyFont="1" applyBorder="1" applyProtection="1"/>
    <xf numFmtId="0" fontId="3" fillId="0" borderId="29" xfId="0" applyFont="1" applyBorder="1" applyProtection="1"/>
    <xf numFmtId="0" fontId="0" fillId="0" borderId="12" xfId="0" applyFill="1" applyBorder="1" applyAlignment="1" applyProtection="1">
      <alignment horizontal="center"/>
    </xf>
    <xf numFmtId="0" fontId="26" fillId="0" borderId="15" xfId="0" applyFont="1" applyFill="1" applyBorder="1" applyAlignment="1" applyProtection="1">
      <alignment horizontal="center"/>
    </xf>
    <xf numFmtId="0" fontId="26" fillId="0" borderId="15" xfId="0" applyFont="1" applyFill="1" applyBorder="1" applyProtection="1"/>
    <xf numFmtId="0" fontId="5" fillId="0" borderId="1" xfId="0" applyFont="1" applyFill="1" applyBorder="1" applyAlignment="1" applyProtection="1">
      <alignment horizontal="center"/>
    </xf>
    <xf numFmtId="0" fontId="5" fillId="0" borderId="13" xfId="0" applyFont="1" applyFill="1" applyBorder="1" applyProtection="1"/>
    <xf numFmtId="0" fontId="5" fillId="0" borderId="0" xfId="0" applyFont="1" applyFill="1" applyBorder="1" applyProtection="1"/>
    <xf numFmtId="0" fontId="3" fillId="0" borderId="0" xfId="0" applyFont="1" applyFill="1" applyBorder="1" applyAlignment="1" applyProtection="1">
      <alignment horizontal="center"/>
    </xf>
    <xf numFmtId="0" fontId="3" fillId="0" borderId="44" xfId="0" applyFont="1" applyFill="1" applyBorder="1" applyAlignment="1" applyProtection="1">
      <alignment horizontal="center"/>
    </xf>
    <xf numFmtId="0" fontId="2" fillId="0" borderId="44" xfId="0" applyFont="1" applyBorder="1" applyAlignment="1" applyProtection="1">
      <alignment horizontal="right"/>
    </xf>
    <xf numFmtId="0" fontId="3" fillId="0" borderId="32" xfId="0" applyFont="1" applyFill="1" applyBorder="1" applyAlignment="1" applyProtection="1">
      <alignment horizontal="center"/>
    </xf>
    <xf numFmtId="0" fontId="27" fillId="0" borderId="44" xfId="0" applyFont="1" applyBorder="1" applyAlignment="1" applyProtection="1">
      <alignment horizontal="right"/>
    </xf>
    <xf numFmtId="0" fontId="27" fillId="0" borderId="44" xfId="0" applyFont="1" applyBorder="1" applyAlignment="1" applyProtection="1">
      <alignment horizontal="right" vertical="center"/>
    </xf>
    <xf numFmtId="0" fontId="27" fillId="0" borderId="15" xfId="0" applyFont="1" applyBorder="1" applyProtection="1"/>
    <xf numFmtId="0" fontId="2" fillId="0" borderId="44" xfId="0" applyFont="1" applyBorder="1" applyAlignment="1" applyProtection="1">
      <alignment horizontal="right" vertical="center"/>
    </xf>
    <xf numFmtId="0" fontId="3" fillId="0" borderId="44" xfId="0" applyFont="1" applyBorder="1" applyAlignment="1" applyProtection="1">
      <alignment horizontal="right" vertical="center"/>
    </xf>
    <xf numFmtId="0" fontId="2" fillId="0" borderId="32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0" fillId="0" borderId="2" xfId="0" applyBorder="1" applyProtection="1"/>
    <xf numFmtId="0" fontId="3" fillId="0" borderId="23" xfId="0" applyFont="1" applyFill="1" applyBorder="1" applyAlignment="1" applyProtection="1">
      <alignment horizontal="center"/>
    </xf>
    <xf numFmtId="0" fontId="5" fillId="0" borderId="2" xfId="0" applyFont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25" xfId="0" applyBorder="1" applyAlignment="1" applyProtection="1">
      <alignment horizontal="center"/>
    </xf>
    <xf numFmtId="0" fontId="0" fillId="0" borderId="25" xfId="0" applyBorder="1" applyProtection="1"/>
    <xf numFmtId="0" fontId="3" fillId="0" borderId="0" xfId="0" applyFont="1" applyBorder="1" applyAlignment="1" applyProtection="1">
      <alignment horizontal="right"/>
    </xf>
    <xf numFmtId="0" fontId="3" fillId="0" borderId="35" xfId="0" applyFont="1" applyBorder="1" applyAlignment="1" applyProtection="1">
      <alignment horizontal="center"/>
    </xf>
    <xf numFmtId="10" fontId="5" fillId="5" borderId="0" xfId="0" applyNumberFormat="1" applyFont="1" applyFill="1" applyBorder="1" applyAlignment="1" applyProtection="1">
      <alignment horizontal="center"/>
      <protection locked="0"/>
    </xf>
    <xf numFmtId="9" fontId="0" fillId="0" borderId="16" xfId="0" applyNumberFormat="1" applyBorder="1" applyAlignment="1" applyProtection="1">
      <alignment horizontal="center"/>
    </xf>
    <xf numFmtId="9" fontId="0" fillId="0" borderId="0" xfId="0" applyNumberFormat="1" applyBorder="1" applyProtection="1"/>
    <xf numFmtId="166" fontId="5" fillId="5" borderId="10" xfId="0" applyNumberFormat="1" applyFont="1" applyFill="1" applyBorder="1" applyAlignment="1" applyProtection="1">
      <alignment horizontal="center"/>
    </xf>
    <xf numFmtId="0" fontId="7" fillId="0" borderId="10" xfId="0" applyFont="1" applyBorder="1" applyAlignment="1" applyProtection="1">
      <alignment horizontal="center"/>
    </xf>
    <xf numFmtId="0" fontId="5" fillId="0" borderId="4" xfId="0" applyFont="1" applyBorder="1" applyAlignment="1" applyProtection="1">
      <alignment horizontal="center"/>
    </xf>
    <xf numFmtId="0" fontId="3" fillId="0" borderId="45" xfId="0" applyFont="1" applyBorder="1" applyAlignment="1" applyProtection="1">
      <alignment horizontal="center"/>
    </xf>
    <xf numFmtId="166" fontId="5" fillId="2" borderId="3" xfId="0" applyNumberFormat="1" applyFont="1" applyFill="1" applyBorder="1" applyAlignment="1" applyProtection="1">
      <alignment horizontal="center"/>
      <protection locked="0"/>
    </xf>
    <xf numFmtId="10" fontId="5" fillId="5" borderId="20" xfId="0" applyNumberFormat="1" applyFont="1" applyFill="1" applyBorder="1" applyAlignment="1" applyProtection="1">
      <alignment horizontal="center"/>
      <protection locked="0"/>
    </xf>
    <xf numFmtId="9" fontId="0" fillId="0" borderId="3" xfId="0" applyNumberFormat="1" applyBorder="1" applyAlignment="1" applyProtection="1">
      <alignment horizontal="center"/>
    </xf>
    <xf numFmtId="0" fontId="3" fillId="0" borderId="34" xfId="0" applyFont="1" applyBorder="1" applyProtection="1"/>
    <xf numFmtId="9" fontId="0" fillId="0" borderId="35" xfId="0" applyNumberFormat="1" applyBorder="1" applyAlignment="1" applyProtection="1">
      <alignment horizontal="center"/>
    </xf>
    <xf numFmtId="165" fontId="0" fillId="0" borderId="35" xfId="0" applyNumberFormat="1" applyBorder="1" applyAlignment="1" applyProtection="1">
      <alignment horizontal="center"/>
    </xf>
    <xf numFmtId="0" fontId="0" fillId="0" borderId="35" xfId="0" applyBorder="1" applyAlignment="1" applyProtection="1">
      <alignment horizontal="center"/>
    </xf>
    <xf numFmtId="9" fontId="0" fillId="0" borderId="35" xfId="0" applyNumberFormat="1" applyBorder="1" applyProtection="1"/>
    <xf numFmtId="0" fontId="3" fillId="0" borderId="38" xfId="0" applyFont="1" applyBorder="1" applyAlignment="1" applyProtection="1">
      <alignment horizontal="center"/>
    </xf>
    <xf numFmtId="0" fontId="5" fillId="0" borderId="35" xfId="0" applyFont="1" applyBorder="1" applyAlignment="1" applyProtection="1">
      <alignment horizontal="center"/>
    </xf>
    <xf numFmtId="0" fontId="3" fillId="0" borderId="15" xfId="0" applyFont="1" applyFill="1" applyBorder="1" applyAlignment="1" applyProtection="1">
      <alignment horizontal="center"/>
    </xf>
    <xf numFmtId="0" fontId="3" fillId="0" borderId="42" xfId="0" applyFont="1" applyBorder="1" applyAlignment="1">
      <alignment horizontal="left"/>
    </xf>
    <xf numFmtId="0" fontId="3" fillId="0" borderId="42" xfId="0" applyFont="1" applyBorder="1" applyAlignment="1" applyProtection="1">
      <alignment horizontal="left"/>
    </xf>
    <xf numFmtId="166" fontId="5" fillId="2" borderId="2" xfId="0" applyNumberFormat="1" applyFont="1" applyFill="1" applyBorder="1" applyAlignment="1" applyProtection="1">
      <alignment horizontal="center"/>
      <protection locked="0"/>
    </xf>
    <xf numFmtId="10" fontId="5" fillId="5" borderId="31" xfId="0" applyNumberFormat="1" applyFont="1" applyFill="1" applyBorder="1" applyAlignment="1" applyProtection="1">
      <alignment horizontal="center"/>
      <protection locked="0"/>
    </xf>
    <xf numFmtId="9" fontId="0" fillId="0" borderId="18" xfId="0" applyNumberFormat="1" applyBorder="1" applyProtection="1"/>
    <xf numFmtId="9" fontId="0" fillId="0" borderId="2" xfId="0" applyNumberFormat="1" applyBorder="1" applyAlignment="1" applyProtection="1">
      <alignment horizontal="center"/>
    </xf>
    <xf numFmtId="0" fontId="0" fillId="0" borderId="40" xfId="0" applyBorder="1" applyProtection="1"/>
    <xf numFmtId="166" fontId="5" fillId="5" borderId="40" xfId="0" applyNumberFormat="1" applyFont="1" applyFill="1" applyBorder="1" applyAlignment="1" applyProtection="1">
      <alignment horizontal="center"/>
    </xf>
    <xf numFmtId="0" fontId="7" fillId="0" borderId="40" xfId="0" applyFont="1" applyBorder="1" applyAlignment="1" applyProtection="1">
      <alignment horizontal="center"/>
    </xf>
    <xf numFmtId="0" fontId="5" fillId="0" borderId="25" xfId="0" applyFont="1" applyBorder="1" applyAlignment="1" applyProtection="1">
      <alignment horizontal="center"/>
    </xf>
    <xf numFmtId="0" fontId="0" fillId="0" borderId="46" xfId="0" applyBorder="1" applyAlignment="1" applyProtection="1">
      <alignment horizontal="center"/>
    </xf>
    <xf numFmtId="10" fontId="5" fillId="5" borderId="18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/>
    <xf numFmtId="0" fontId="0" fillId="0" borderId="0" xfId="0" applyFont="1" applyAlignment="1">
      <alignment horizontal="left"/>
    </xf>
    <xf numFmtId="49" fontId="0" fillId="0" borderId="0" xfId="0" applyNumberFormat="1" applyAlignment="1"/>
    <xf numFmtId="49" fontId="33" fillId="0" borderId="0" xfId="0" applyNumberFormat="1" applyFont="1" applyAlignment="1">
      <alignment horizontal="left" vertical="center"/>
    </xf>
    <xf numFmtId="49" fontId="1" fillId="0" borderId="0" xfId="0" applyNumberFormat="1" applyFont="1" applyAlignment="1"/>
    <xf numFmtId="0" fontId="0" fillId="0" borderId="0" xfId="0" applyFill="1" applyBorder="1" applyProtection="1"/>
    <xf numFmtId="0" fontId="0" fillId="0" borderId="0" xfId="0" applyFill="1" applyBorder="1" applyAlignment="1">
      <alignment horizontal="right"/>
    </xf>
    <xf numFmtId="0" fontId="34" fillId="0" borderId="49" xfId="0" applyFont="1" applyBorder="1"/>
    <xf numFmtId="0" fontId="3" fillId="6" borderId="0" xfId="0" applyFont="1" applyFill="1" applyBorder="1" applyProtection="1"/>
    <xf numFmtId="0" fontId="3" fillId="7" borderId="0" xfId="0" applyNumberFormat="1" applyFont="1" applyFill="1" applyBorder="1" applyAlignment="1" applyProtection="1">
      <alignment horizontal="right"/>
      <protection locked="0"/>
    </xf>
    <xf numFmtId="49" fontId="0" fillId="0" borderId="0" xfId="0" applyNumberFormat="1"/>
    <xf numFmtId="0" fontId="0" fillId="0" borderId="0" xfId="0" applyNumberFormat="1"/>
    <xf numFmtId="0" fontId="0" fillId="0" borderId="0" xfId="0" applyFill="1" applyBorder="1"/>
    <xf numFmtId="0" fontId="32" fillId="0" borderId="50" xfId="0" applyFont="1" applyBorder="1"/>
    <xf numFmtId="165" fontId="3" fillId="2" borderId="12" xfId="0" applyNumberFormat="1" applyFont="1" applyFill="1" applyBorder="1" applyAlignment="1" applyProtection="1">
      <alignment horizontal="center"/>
      <protection locked="0"/>
    </xf>
    <xf numFmtId="1" fontId="3" fillId="2" borderId="0" xfId="0" applyNumberFormat="1" applyFont="1" applyFill="1" applyBorder="1" applyAlignment="1" applyProtection="1">
      <alignment horizontal="center"/>
      <protection locked="0"/>
    </xf>
    <xf numFmtId="2" fontId="5" fillId="2" borderId="0" xfId="0" applyNumberFormat="1" applyFont="1" applyFill="1" applyBorder="1" applyAlignment="1" applyProtection="1">
      <alignment horizontal="center"/>
      <protection locked="0"/>
    </xf>
    <xf numFmtId="2" fontId="0" fillId="2" borderId="10" xfId="0" applyNumberFormat="1" applyFill="1" applyBorder="1" applyAlignment="1" applyProtection="1">
      <alignment horizontal="center"/>
      <protection locked="0"/>
    </xf>
    <xf numFmtId="10" fontId="5" fillId="2" borderId="4" xfId="0" applyNumberFormat="1" applyFont="1" applyFill="1" applyBorder="1" applyAlignment="1" applyProtection="1">
      <alignment horizontal="center"/>
      <protection locked="0"/>
    </xf>
    <xf numFmtId="2" fontId="5" fillId="2" borderId="2" xfId="0" applyNumberFormat="1" applyFont="1" applyFill="1" applyBorder="1" applyAlignment="1" applyProtection="1">
      <alignment horizontal="center"/>
      <protection locked="0"/>
    </xf>
    <xf numFmtId="2" fontId="0" fillId="2" borderId="4" xfId="0" applyNumberFormat="1" applyFill="1" applyBorder="1" applyAlignment="1" applyProtection="1">
      <alignment horizontal="center"/>
      <protection locked="0"/>
    </xf>
    <xf numFmtId="2" fontId="5" fillId="2" borderId="4" xfId="0" applyNumberFormat="1" applyFont="1" applyFill="1" applyBorder="1" applyAlignment="1" applyProtection="1">
      <alignment horizontal="center"/>
      <protection locked="0"/>
    </xf>
    <xf numFmtId="2" fontId="5" fillId="2" borderId="16" xfId="0" applyNumberFormat="1" applyFont="1" applyFill="1" applyBorder="1" applyAlignment="1" applyProtection="1">
      <alignment horizontal="center"/>
      <protection locked="0"/>
    </xf>
    <xf numFmtId="2" fontId="4" fillId="2" borderId="2" xfId="0" applyNumberFormat="1" applyFont="1" applyFill="1" applyBorder="1" applyAlignment="1" applyProtection="1">
      <alignment horizontal="center"/>
      <protection locked="0"/>
    </xf>
    <xf numFmtId="2" fontId="0" fillId="2" borderId="3" xfId="0" applyNumberFormat="1" applyFill="1" applyBorder="1" applyAlignment="1" applyProtection="1">
      <alignment horizontal="center"/>
      <protection locked="0"/>
    </xf>
    <xf numFmtId="2" fontId="4" fillId="2" borderId="4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2" xfId="0" applyNumberFormat="1" applyFont="1" applyFill="1" applyBorder="1" applyAlignment="1" applyProtection="1">
      <alignment horizontal="center"/>
      <protection locked="0"/>
    </xf>
    <xf numFmtId="165" fontId="5" fillId="2" borderId="2" xfId="0" applyNumberFormat="1" applyFont="1" applyFill="1" applyBorder="1" applyAlignment="1" applyProtection="1">
      <alignment horizontal="center"/>
      <protection locked="0"/>
    </xf>
    <xf numFmtId="165" fontId="5" fillId="2" borderId="1" xfId="0" applyNumberFormat="1" applyFont="1" applyFill="1" applyBorder="1" applyAlignment="1" applyProtection="1">
      <alignment horizontal="center"/>
      <protection locked="0"/>
    </xf>
    <xf numFmtId="165" fontId="5" fillId="2" borderId="28" xfId="0" applyNumberFormat="1" applyFont="1" applyFill="1" applyBorder="1" applyAlignment="1" applyProtection="1">
      <alignment horizontal="center"/>
      <protection locked="0"/>
    </xf>
    <xf numFmtId="2" fontId="0" fillId="0" borderId="20" xfId="0" applyNumberFormat="1" applyBorder="1" applyProtection="1"/>
    <xf numFmtId="2" fontId="5" fillId="0" borderId="20" xfId="0" applyNumberFormat="1" applyFont="1" applyBorder="1" applyProtection="1"/>
    <xf numFmtId="165" fontId="5" fillId="2" borderId="16" xfId="0" applyNumberFormat="1" applyFont="1" applyFill="1" applyBorder="1" applyAlignment="1" applyProtection="1">
      <alignment horizontal="center"/>
      <protection locked="0"/>
    </xf>
    <xf numFmtId="2" fontId="1" fillId="2" borderId="0" xfId="0" applyNumberFormat="1" applyFont="1" applyFill="1" applyBorder="1" applyAlignment="1" applyProtection="1">
      <alignment horizontal="center"/>
      <protection locked="0"/>
    </xf>
    <xf numFmtId="2" fontId="0" fillId="2" borderId="0" xfId="0" applyNumberFormat="1" applyFill="1" applyBorder="1" applyAlignment="1" applyProtection="1">
      <alignment horizontal="center"/>
      <protection locked="0"/>
    </xf>
    <xf numFmtId="166" fontId="1" fillId="2" borderId="2" xfId="1" applyNumberFormat="1" applyFont="1" applyFill="1" applyBorder="1" applyAlignment="1" applyProtection="1">
      <alignment horizontal="center"/>
      <protection locked="0"/>
    </xf>
    <xf numFmtId="166" fontId="1" fillId="5" borderId="1" xfId="0" applyNumberFormat="1" applyFont="1" applyFill="1" applyBorder="1" applyAlignment="1" applyProtection="1">
      <alignment horizontal="center"/>
      <protection locked="0"/>
    </xf>
    <xf numFmtId="166" fontId="1" fillId="2" borderId="3" xfId="0" applyNumberFormat="1" applyFont="1" applyFill="1" applyBorder="1" applyAlignment="1" applyProtection="1">
      <alignment horizontal="center"/>
      <protection locked="0"/>
    </xf>
    <xf numFmtId="166" fontId="1" fillId="2" borderId="2" xfId="0" applyNumberFormat="1" applyFont="1" applyFill="1" applyBorder="1" applyAlignment="1" applyProtection="1">
      <alignment horizontal="center"/>
      <protection locked="0"/>
    </xf>
    <xf numFmtId="166" fontId="1" fillId="2" borderId="4" xfId="0" applyNumberFormat="1" applyFont="1" applyFill="1" applyBorder="1" applyAlignment="1" applyProtection="1">
      <alignment horizontal="center"/>
      <protection locked="0"/>
    </xf>
    <xf numFmtId="2" fontId="1" fillId="2" borderId="2" xfId="0" applyNumberFormat="1" applyFont="1" applyFill="1" applyBorder="1" applyAlignment="1" applyProtection="1">
      <alignment horizontal="center"/>
      <protection locked="0"/>
    </xf>
    <xf numFmtId="2" fontId="1" fillId="2" borderId="4" xfId="0" applyNumberFormat="1" applyFont="1" applyFill="1" applyBorder="1" applyAlignment="1" applyProtection="1">
      <alignment horizontal="center"/>
      <protection locked="0"/>
    </xf>
    <xf numFmtId="166" fontId="1" fillId="2" borderId="19" xfId="0" applyNumberFormat="1" applyFont="1" applyFill="1" applyBorder="1" applyAlignment="1" applyProtection="1">
      <alignment horizontal="center"/>
      <protection locked="0"/>
    </xf>
    <xf numFmtId="166" fontId="1" fillId="2" borderId="36" xfId="0" applyNumberFormat="1" applyFont="1" applyFill="1" applyBorder="1" applyAlignment="1" applyProtection="1">
      <alignment horizontal="center"/>
      <protection locked="0"/>
    </xf>
    <xf numFmtId="165" fontId="4" fillId="2" borderId="16" xfId="0" applyNumberFormat="1" applyFont="1" applyFill="1" applyBorder="1" applyAlignment="1" applyProtection="1">
      <alignment horizontal="center"/>
      <protection locked="0"/>
    </xf>
    <xf numFmtId="165" fontId="1" fillId="2" borderId="1" xfId="0" applyNumberFormat="1" applyFont="1" applyFill="1" applyBorder="1" applyAlignment="1" applyProtection="1">
      <alignment horizontal="center"/>
      <protection locked="0"/>
    </xf>
    <xf numFmtId="165" fontId="1" fillId="2" borderId="2" xfId="0" applyNumberFormat="1" applyFont="1" applyFill="1" applyBorder="1" applyAlignment="1" applyProtection="1">
      <alignment horizontal="center"/>
      <protection locked="0"/>
    </xf>
    <xf numFmtId="165" fontId="0" fillId="2" borderId="25" xfId="0" applyNumberFormat="1" applyFill="1" applyBorder="1" applyAlignment="1" applyProtection="1">
      <alignment horizontal="center"/>
      <protection locked="0"/>
    </xf>
    <xf numFmtId="2" fontId="1" fillId="0" borderId="13" xfId="0" applyNumberFormat="1" applyFont="1" applyBorder="1" applyAlignment="1" applyProtection="1">
      <alignment horizontal="left"/>
    </xf>
    <xf numFmtId="2" fontId="1" fillId="0" borderId="0" xfId="0" applyNumberFormat="1" applyFont="1" applyBorder="1" applyProtection="1">
      <protection locked="0"/>
    </xf>
    <xf numFmtId="166" fontId="0" fillId="0" borderId="35" xfId="0" applyNumberFormat="1" applyBorder="1" applyAlignment="1" applyProtection="1">
      <alignment horizontal="center"/>
    </xf>
    <xf numFmtId="166" fontId="1" fillId="2" borderId="1" xfId="0" applyNumberFormat="1" applyFont="1" applyFill="1" applyBorder="1" applyAlignment="1" applyProtection="1">
      <alignment horizontal="center"/>
      <protection locked="0"/>
    </xf>
    <xf numFmtId="166" fontId="1" fillId="2" borderId="25" xfId="0" applyNumberFormat="1" applyFont="1" applyFill="1" applyBorder="1" applyAlignment="1" applyProtection="1">
      <alignment horizontal="center"/>
      <protection locked="0"/>
    </xf>
    <xf numFmtId="10" fontId="1" fillId="2" borderId="36" xfId="0" applyNumberFormat="1" applyFont="1" applyFill="1" applyBorder="1" applyAlignment="1" applyProtection="1">
      <alignment horizontal="center"/>
      <protection locked="0"/>
    </xf>
    <xf numFmtId="2" fontId="0" fillId="2" borderId="2" xfId="0" applyNumberFormat="1" applyFill="1" applyBorder="1" applyAlignment="1" applyProtection="1">
      <alignment horizontal="center"/>
      <protection locked="0"/>
    </xf>
    <xf numFmtId="2" fontId="1" fillId="2" borderId="16" xfId="0" applyNumberFormat="1" applyFont="1" applyFill="1" applyBorder="1" applyAlignment="1" applyProtection="1">
      <alignment horizontal="center"/>
      <protection locked="0"/>
    </xf>
    <xf numFmtId="2" fontId="3" fillId="2" borderId="2" xfId="0" applyNumberFormat="1" applyFont="1" applyFill="1" applyBorder="1" applyAlignment="1" applyProtection="1">
      <alignment horizontal="center"/>
      <protection locked="0"/>
    </xf>
    <xf numFmtId="165" fontId="0" fillId="2" borderId="1" xfId="0" applyNumberFormat="1" applyFill="1" applyBorder="1" applyAlignment="1" applyProtection="1">
      <alignment horizontal="center"/>
      <protection locked="0"/>
    </xf>
    <xf numFmtId="165" fontId="1" fillId="2" borderId="25" xfId="0" applyNumberFormat="1" applyFont="1" applyFill="1" applyBorder="1" applyAlignment="1" applyProtection="1">
      <alignment horizontal="center"/>
      <protection locked="0"/>
    </xf>
    <xf numFmtId="165" fontId="3" fillId="2" borderId="0" xfId="0" applyNumberFormat="1" applyFont="1" applyFill="1" applyBorder="1" applyAlignment="1" applyProtection="1">
      <alignment horizontal="center"/>
      <protection locked="0"/>
    </xf>
    <xf numFmtId="49" fontId="1" fillId="0" borderId="0" xfId="0" applyNumberFormat="1" applyFont="1"/>
    <xf numFmtId="165" fontId="1" fillId="2" borderId="3" xfId="0" applyNumberFormat="1" applyFont="1" applyFill="1" applyBorder="1" applyAlignment="1" applyProtection="1">
      <alignment horizontal="center"/>
      <protection locked="0"/>
    </xf>
    <xf numFmtId="1" fontId="3" fillId="2" borderId="12" xfId="0" applyNumberFormat="1" applyFont="1" applyFill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</xf>
    <xf numFmtId="0" fontId="3" fillId="0" borderId="32" xfId="0" applyFont="1" applyBorder="1" applyAlignment="1" applyProtection="1">
      <alignment horizontal="center"/>
    </xf>
    <xf numFmtId="0" fontId="3" fillId="0" borderId="12" xfId="0" applyFont="1" applyBorder="1" applyAlignment="1" applyProtection="1">
      <alignment horizontal="center"/>
    </xf>
    <xf numFmtId="0" fontId="3" fillId="0" borderId="47" xfId="0" applyFont="1" applyBorder="1" applyAlignment="1" applyProtection="1">
      <alignment horizontal="center"/>
    </xf>
    <xf numFmtId="0" fontId="3" fillId="0" borderId="20" xfId="0" applyFont="1" applyBorder="1" applyAlignment="1" applyProtection="1">
      <alignment horizontal="center"/>
    </xf>
    <xf numFmtId="0" fontId="3" fillId="0" borderId="28" xfId="0" applyFont="1" applyBorder="1" applyAlignment="1" applyProtection="1">
      <alignment horizontal="center"/>
    </xf>
    <xf numFmtId="0" fontId="5" fillId="0" borderId="0" xfId="0" applyFont="1" applyBorder="1" applyAlignment="1" applyProtection="1"/>
    <xf numFmtId="0" fontId="5" fillId="0" borderId="0" xfId="0" applyFont="1" applyAlignment="1" applyProtection="1"/>
    <xf numFmtId="0" fontId="3" fillId="0" borderId="35" xfId="0" applyFont="1" applyBorder="1" applyAlignment="1" applyProtection="1">
      <alignment horizontal="center"/>
    </xf>
    <xf numFmtId="0" fontId="3" fillId="0" borderId="48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63636"/>
        <name val="Calibri"/>
        <scheme val="minor"/>
      </font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3" tint="0.79998168889431442"/>
        </patternFill>
      </fill>
      <protection locked="1" hidden="0"/>
    </dxf>
    <dxf>
      <border outline="0">
        <top style="thin">
          <color theme="8"/>
        </top>
      </border>
    </dxf>
    <dxf>
      <border outline="0"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8" tint="-0.249977111117893"/>
        <name val="Arial"/>
        <scheme val="none"/>
      </font>
    </dxf>
    <dxf>
      <font>
        <b/>
        <i val="0"/>
        <u/>
      </font>
      <fill>
        <patternFill>
          <bgColor rgb="FFFF9797"/>
        </patternFill>
      </fill>
    </dxf>
    <dxf>
      <font>
        <b/>
        <i/>
      </font>
      <fill>
        <patternFill>
          <bgColor rgb="FFFFFFCC"/>
        </patternFill>
      </fill>
    </dxf>
    <dxf>
      <fill>
        <patternFill>
          <bgColor rgb="FFCCFFCC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3" tint="0.79998168889431442"/>
        </patternFill>
      </fill>
      <protection locked="1" hidden="0"/>
    </dxf>
    <dxf>
      <border outline="0">
        <top style="thin">
          <color theme="8"/>
        </top>
      </border>
    </dxf>
    <dxf>
      <border outline="0"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8" tint="-0.249977111117893"/>
        <name val="Arial"/>
        <scheme val="none"/>
      </font>
    </dxf>
    <dxf>
      <font>
        <b/>
        <i val="0"/>
        <u/>
      </font>
      <fill>
        <patternFill>
          <bgColor rgb="FFFF9797"/>
        </patternFill>
      </fill>
    </dxf>
    <dxf>
      <font>
        <b/>
        <i/>
      </font>
      <fill>
        <patternFill>
          <bgColor rgb="FFFFFFCC"/>
        </patternFill>
      </fill>
    </dxf>
    <dxf>
      <fill>
        <patternFill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3" tint="0.79998168889431442"/>
        </patternFill>
      </fill>
      <protection locked="1" hidden="0"/>
    </dxf>
    <dxf>
      <border outline="0">
        <top style="thin">
          <color theme="8"/>
        </top>
      </border>
    </dxf>
    <dxf>
      <border outline="0"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8" tint="-0.249977111117893"/>
        <name val="Arial"/>
        <scheme val="none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u/>
      </font>
      <fill>
        <patternFill>
          <bgColor rgb="FFFF9797"/>
        </patternFill>
      </fill>
    </dxf>
    <dxf>
      <font>
        <b/>
        <i/>
      </font>
      <fill>
        <patternFill>
          <bgColor rgb="FFFFFFCC"/>
        </patternFill>
      </fill>
    </dxf>
    <dxf>
      <fill>
        <patternFill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3" tint="0.79998168889431442"/>
        </patternFill>
      </fill>
      <protection locked="1" hidden="0"/>
    </dxf>
    <dxf>
      <border outline="0">
        <top style="thin">
          <color theme="8"/>
        </top>
      </border>
    </dxf>
    <dxf>
      <border outline="0"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8" tint="-0.249977111117893"/>
        <name val="Arial"/>
        <scheme val="none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u/>
      </font>
      <fill>
        <patternFill>
          <bgColor rgb="FFFF9797"/>
        </patternFill>
      </fill>
    </dxf>
    <dxf>
      <font>
        <b/>
        <i/>
      </font>
      <fill>
        <patternFill>
          <bgColor rgb="FFFFFFCC"/>
        </patternFill>
      </fill>
    </dxf>
    <dxf>
      <fill>
        <patternFill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Ratio of 50% Isodose Volume to the PTV Volume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'Calculations 48Gy4F_ or_ 60Gy5F'!$I$8</c:f>
              <c:strCache>
                <c:ptCount val="1"/>
                <c:pt idx="0">
                  <c:v>None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58113713910761156"/>
                  <c:y val="1.7269976669582968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'Calculations 48Gy4F_ or_ 60Gy5F'!$D$9:$D$19</c:f>
              <c:numCache>
                <c:formatCode>0.0</c:formatCode>
                <c:ptCount val="11"/>
                <c:pt idx="0">
                  <c:v>1.8</c:v>
                </c:pt>
                <c:pt idx="1">
                  <c:v>3.8</c:v>
                </c:pt>
                <c:pt idx="2">
                  <c:v>7.4</c:v>
                </c:pt>
                <c:pt idx="3">
                  <c:v>13.2</c:v>
                </c:pt>
                <c:pt idx="4">
                  <c:v>22</c:v>
                </c:pt>
                <c:pt idx="5">
                  <c:v>34</c:v>
                </c:pt>
                <c:pt idx="6">
                  <c:v>50</c:v>
                </c:pt>
                <c:pt idx="7">
                  <c:v>70</c:v>
                </c:pt>
                <c:pt idx="8">
                  <c:v>95</c:v>
                </c:pt>
                <c:pt idx="9">
                  <c:v>126</c:v>
                </c:pt>
                <c:pt idx="10">
                  <c:v>163</c:v>
                </c:pt>
              </c:numCache>
            </c:numRef>
          </c:xVal>
          <c:yVal>
            <c:numRef>
              <c:f>'Calculations 48Gy4F_ or_ 60Gy5F'!$I$9:$I$19</c:f>
              <c:numCache>
                <c:formatCode>0.00</c:formatCode>
                <c:ptCount val="11"/>
                <c:pt idx="0">
                  <c:v>5.9</c:v>
                </c:pt>
                <c:pt idx="1">
                  <c:v>5.5</c:v>
                </c:pt>
                <c:pt idx="2">
                  <c:v>5.0999999999999996</c:v>
                </c:pt>
                <c:pt idx="3">
                  <c:v>4.7</c:v>
                </c:pt>
                <c:pt idx="4">
                  <c:v>4.5</c:v>
                </c:pt>
                <c:pt idx="5">
                  <c:v>4.3</c:v>
                </c:pt>
                <c:pt idx="6">
                  <c:v>4</c:v>
                </c:pt>
                <c:pt idx="7">
                  <c:v>3.5</c:v>
                </c:pt>
                <c:pt idx="8">
                  <c:v>3.3</c:v>
                </c:pt>
                <c:pt idx="9">
                  <c:v>3.1</c:v>
                </c:pt>
                <c:pt idx="10">
                  <c:v>2.9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'Calculations 48Gy4F_ or_ 60Gy5F'!$J$8</c:f>
              <c:strCache>
                <c:ptCount val="1"/>
                <c:pt idx="0">
                  <c:v>Minor Deviation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30613713910761153"/>
                  <c:y val="-0.168475867599883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'Calculations 48Gy4F_ or_ 60Gy5F'!$D$9:$D$19</c:f>
              <c:numCache>
                <c:formatCode>0.0</c:formatCode>
                <c:ptCount val="11"/>
                <c:pt idx="0">
                  <c:v>1.8</c:v>
                </c:pt>
                <c:pt idx="1">
                  <c:v>3.8</c:v>
                </c:pt>
                <c:pt idx="2">
                  <c:v>7.4</c:v>
                </c:pt>
                <c:pt idx="3">
                  <c:v>13.2</c:v>
                </c:pt>
                <c:pt idx="4">
                  <c:v>22</c:v>
                </c:pt>
                <c:pt idx="5">
                  <c:v>34</c:v>
                </c:pt>
                <c:pt idx="6">
                  <c:v>50</c:v>
                </c:pt>
                <c:pt idx="7">
                  <c:v>70</c:v>
                </c:pt>
                <c:pt idx="8">
                  <c:v>95</c:v>
                </c:pt>
                <c:pt idx="9">
                  <c:v>126</c:v>
                </c:pt>
                <c:pt idx="10">
                  <c:v>163</c:v>
                </c:pt>
              </c:numCache>
            </c:numRef>
          </c:xVal>
          <c:yVal>
            <c:numRef>
              <c:f>'Calculations 48Gy4F_ or_ 60Gy5F'!$J$9:$J$19</c:f>
              <c:numCache>
                <c:formatCode>0.00</c:formatCode>
                <c:ptCount val="11"/>
                <c:pt idx="0">
                  <c:v>7.5</c:v>
                </c:pt>
                <c:pt idx="1">
                  <c:v>6.5</c:v>
                </c:pt>
                <c:pt idx="2">
                  <c:v>6</c:v>
                </c:pt>
                <c:pt idx="3">
                  <c:v>5.8</c:v>
                </c:pt>
                <c:pt idx="4">
                  <c:v>5.5</c:v>
                </c:pt>
                <c:pt idx="5">
                  <c:v>5.3</c:v>
                </c:pt>
                <c:pt idx="6">
                  <c:v>5</c:v>
                </c:pt>
                <c:pt idx="7">
                  <c:v>4.8</c:v>
                </c:pt>
                <c:pt idx="8">
                  <c:v>4.4000000000000004</c:v>
                </c:pt>
                <c:pt idx="9">
                  <c:v>4</c:v>
                </c:pt>
                <c:pt idx="10">
                  <c:v>3.7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87800"/>
        <c:axId val="191487016"/>
      </c:scatterChart>
      <c:valAx>
        <c:axId val="191487800"/>
        <c:scaling>
          <c:orientation val="minMax"/>
          <c:max val="1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PTV Volume (cc)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1487016"/>
        <c:crosses val="autoZero"/>
        <c:crossBetween val="midCat"/>
      </c:valAx>
      <c:valAx>
        <c:axId val="191487016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50% Isodose Volume/PTV Volume</a:t>
                </a:r>
              </a:p>
            </c:rich>
          </c:tx>
          <c:layout>
            <c:manualLayout>
              <c:xMode val="edge"/>
              <c:yMode val="edge"/>
              <c:x val="0"/>
              <c:y val="0.2262626200851107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148780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854596166932127"/>
          <c:y val="0.14313503045129067"/>
          <c:w val="0.27880416657319551"/>
          <c:h val="0.21254073337920137"/>
        </c:manualLayout>
      </c:layout>
      <c:overlay val="1"/>
      <c:spPr>
        <a:noFill/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39</xdr:row>
      <xdr:rowOff>47625</xdr:rowOff>
    </xdr:from>
    <xdr:to>
      <xdr:col>11</xdr:col>
      <xdr:colOff>495300</xdr:colOff>
      <xdr:row>69</xdr:row>
      <xdr:rowOff>95250</xdr:rowOff>
    </xdr:to>
    <xdr:graphicFrame macro="">
      <xdr:nvGraphicFramePr>
        <xdr:cNvPr id="1235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200025</xdr:colOff>
      <xdr:row>2</xdr:row>
      <xdr:rowOff>114300</xdr:rowOff>
    </xdr:from>
    <xdr:to>
      <xdr:col>13</xdr:col>
      <xdr:colOff>95250</xdr:colOff>
      <xdr:row>29</xdr:row>
      <xdr:rowOff>38100</xdr:rowOff>
    </xdr:to>
    <xdr:pic>
      <xdr:nvPicPr>
        <xdr:cNvPr id="738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609600"/>
          <a:ext cx="6619875" cy="437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Definitions48Gy4F" displayName="Definitions48Gy4F" ref="AA3:AJ48" totalsRowShown="0">
  <autoFilter ref="AA3:AJ48"/>
  <tableColumns count="10">
    <tableColumn id="1" name="Name"/>
    <tableColumn id="2" name="Address"/>
    <tableColumn id="3" name="Format" dataDxfId="158"/>
    <tableColumn id="4" name="Extracted Format" dataDxfId="157"/>
    <tableColumn id="5" name="Units" dataDxfId="156"/>
    <tableColumn id="8" name="Label" dataDxfId="155"/>
    <tableColumn id="11" name="Reference"/>
    <tableColumn id="10" name="Type"/>
    <tableColumn id="9" name="Laterality"/>
    <tableColumn id="6" name="Constructor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3" name="config48Gy4F" displayName="config48Gy4F" ref="O3:Y48" totalsRowShown="0" headerRowDxfId="154" headerRowBorderDxfId="153" tableBorderDxfId="152">
  <tableColumns count="11">
    <tableColumn id="1" name="Label" dataDxfId="151"/>
    <tableColumn id="2" name="Value" dataDxfId="150">
      <calculatedColumnFormula>INDIRECT(Q4)</calculatedColumnFormula>
    </tableColumn>
    <tableColumn id="3" name="Cell"/>
    <tableColumn id="4" name="Name"/>
    <tableColumn id="5" name="Address">
      <calculatedColumnFormula>SUBSTITUTE(Q4,"$","")</calculatedColumnFormula>
    </tableColumn>
    <tableColumn id="6" name="Extracted Format" dataDxfId="149">
      <calculatedColumnFormula>VLOOKUP(CELL("format",INDIRECT(Q4)),FormatLookup[],2,FALSE)</calculatedColumnFormula>
    </tableColumn>
    <tableColumn id="7" name="Expected Format" dataDxfId="148"/>
    <tableColumn id="8" name="Units" dataDxfId="147">
      <calculatedColumnFormula>IF(ISBLANK(VLOOKUP(R4,Definitions48Gy4F[],5,FALSE)),"",VLOOKUP(R4,Definitions48Gy4F[],5,FALSE))</calculatedColumnFormula>
    </tableColumn>
    <tableColumn id="9" name="Address Check" dataDxfId="146">
      <calculatedColumnFormula>EXACT(config48Gy4F[[#This Row],[Address]],VLOOKUP(config48Gy4F[[#This Row],[Name]],Definitions48Gy4F[],2,FALSE))</calculatedColumnFormula>
    </tableColumn>
    <tableColumn id="10" name="Format Check" dataDxfId="145">
      <calculatedColumnFormula>IF(EXACT(config48Gy4F[[#This Row],[Extracted Format]],config48Gy4F[[#This Row],[Expected Format]]),TRUE,IF(EXACT(config48Gy4F[[#This Row],[Expected Format]],"@"),"Check",FALSE))</calculatedColumnFormula>
    </tableColumn>
    <tableColumn id="11" name="Unit Check" dataDxfId="144">
      <calculatedColumnFormula>IF(ISERROR(FIND(config48Gy4F[[#This Row],[Units]],config48Gy4F[[#This Row],[Label]])),"Check",TRUE)</calculatedColumnFormula>
    </tableColumn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id="4" name="Definitions60Gy8F" displayName="Definitions60Gy8F" ref="AA3:AJ40" totalsRowShown="0">
  <autoFilter ref="AA3:AJ40"/>
  <tableColumns count="10">
    <tableColumn id="1" name="Name"/>
    <tableColumn id="2" name="Address"/>
    <tableColumn id="3" name="Format" dataDxfId="120"/>
    <tableColumn id="4" name="Extracted Format" dataDxfId="119"/>
    <tableColumn id="5" name="Units" dataDxfId="118"/>
    <tableColumn id="8" name="Label" dataDxfId="117"/>
    <tableColumn id="11" name="Reference"/>
    <tableColumn id="10" name="Type"/>
    <tableColumn id="9" name="Laterality"/>
    <tableColumn id="6" name="Constructor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config60Gy8F" displayName="config60Gy8F" ref="O3:Y40" totalsRowShown="0" headerRowDxfId="116" headerRowBorderDxfId="115" tableBorderDxfId="114">
  <tableColumns count="11">
    <tableColumn id="1" name="Label" dataDxfId="113"/>
    <tableColumn id="2" name="Value" dataDxfId="112">
      <calculatedColumnFormula>INDIRECT(Q4)</calculatedColumnFormula>
    </tableColumn>
    <tableColumn id="3" name="Cell"/>
    <tableColumn id="4" name="Name"/>
    <tableColumn id="5" name="Address">
      <calculatedColumnFormula>SUBSTITUTE(Q4,"$","")</calculatedColumnFormula>
    </tableColumn>
    <tableColumn id="6" name="Extracted Format" dataDxfId="111">
      <calculatedColumnFormula>VLOOKUP(CELL("format",INDIRECT(Q4)),FormatLookup[],2,FALSE)</calculatedColumnFormula>
    </tableColumn>
    <tableColumn id="7" name="Expected Format" dataDxfId="110">
      <calculatedColumnFormula>VLOOKUP(R4,Definitions60Gy8F[],5,FALSE)</calculatedColumnFormula>
    </tableColumn>
    <tableColumn id="8" name="Units" dataDxfId="109">
      <calculatedColumnFormula>IF(ISBLANK(VLOOKUP(R4,Definitions60Gy8F[],5,FALSE)),"",VLOOKUP(R4,Definitions60Gy8F[],5,FALSE))</calculatedColumnFormula>
    </tableColumn>
    <tableColumn id="9" name="Address Check" dataDxfId="108">
      <calculatedColumnFormula>EXACT(config60Gy8F[[#This Row],[Address]],VLOOKUP(config60Gy8F[[#This Row],[Name]],Definitions60Gy8F[],2,FALSE))</calculatedColumnFormula>
    </tableColumn>
    <tableColumn id="10" name="Format Check" dataDxfId="107">
      <calculatedColumnFormula>IF(EXACT(config60Gy8F[[#This Row],[Extracted Format]],config60Gy8F[[#This Row],[Expected Format]]),TRUE,IF(EXACT(config60Gy8F[[#This Row],[Expected Format]],"@"),"Check",FALSE))</calculatedColumnFormula>
    </tableColumn>
    <tableColumn id="11" name="Unit Check" dataDxfId="106">
      <calculatedColumnFormula>IF(ISERROR(FIND(config60Gy8F[[#This Row],[Units]],config60Gy8F[[#This Row],[Label]])),"Check",TRUE)</calculatedColumnFormula>
    </tableColumn>
  </tableColumns>
  <tableStyleInfo name="TableStyleMedium18" showFirstColumn="0" showLastColumn="0" showRowStripes="1" showColumnStripes="0"/>
</table>
</file>

<file path=xl/tables/table5.xml><?xml version="1.0" encoding="utf-8"?>
<table xmlns="http://schemas.openxmlformats.org/spreadsheetml/2006/main" id="6" name="config54Gy3F" displayName="config54Gy3F" ref="O3:Y37" totalsRowShown="0" headerRowDxfId="70" headerRowBorderDxfId="69" tableBorderDxfId="68">
  <tableColumns count="11">
    <tableColumn id="1" name="Label" dataDxfId="67"/>
    <tableColumn id="2" name="Value" dataDxfId="66">
      <calculatedColumnFormula>INDIRECT(Q4)</calculatedColumnFormula>
    </tableColumn>
    <tableColumn id="3" name="Cell"/>
    <tableColumn id="4" name="Name"/>
    <tableColumn id="5" name="Address" dataDxfId="65">
      <calculatedColumnFormula>SUBSTITUTE(config54Gy3F[[#This Row],[Cell]],"$","")</calculatedColumnFormula>
    </tableColumn>
    <tableColumn id="6" name="Extracted Format" dataDxfId="64">
      <calculatedColumnFormula>VLOOKUP(CELL("format",INDIRECT(config54Gy3F[[#This Row],[Cell]])),FormatLookup[],2,FALSE)</calculatedColumnFormula>
    </tableColumn>
    <tableColumn id="7" name="Expected Format" dataDxfId="63">
      <calculatedColumnFormula>VLOOKUP(R4,Definitions54Gy3F[],3,FALSE)</calculatedColumnFormula>
    </tableColumn>
    <tableColumn id="8" name="Units" dataDxfId="62">
      <calculatedColumnFormula>IF(ISBLANK(VLOOKUP(R4,Definitions54Gy3F[],5,FALSE)),"",VLOOKUP(R4,Definitions54Gy3F[],5,FALSE))</calculatedColumnFormula>
    </tableColumn>
    <tableColumn id="9" name="Address Check" dataDxfId="61">
      <calculatedColumnFormula>EXACT(config54Gy3F[[#This Row],[Address]],VLOOKUP(config54Gy3F[[#This Row],[Name]],Definitions54Gy3F[],2,FALSE))</calculatedColumnFormula>
    </tableColumn>
    <tableColumn id="10" name="Format Check" dataDxfId="60">
      <calculatedColumnFormula>IF(EXACT(config54Gy3F[[#This Row],[Extracted Format]],config54Gy3F[[#This Row],[Expected Format]]),TRUE,IF(EXACT(config54Gy3F[[#This Row],[Expected Format]],"@"),"Check",FALSE))</calculatedColumnFormula>
    </tableColumn>
    <tableColumn id="11" name="Unit Check" dataDxfId="59">
      <calculatedColumnFormula>IF(ISERROR(FIND(config54Gy3F[[#This Row],[Units]],config54Gy3F[[#This Row],[Label]])),"Check",TRUE)</calculatedColumnFormula>
    </tableColumn>
  </tableColumns>
  <tableStyleInfo name="TableStyleMedium18" showFirstColumn="0" showLastColumn="0" showRowStripes="1" showColumnStripes="0"/>
</table>
</file>

<file path=xl/tables/table6.xml><?xml version="1.0" encoding="utf-8"?>
<table xmlns="http://schemas.openxmlformats.org/spreadsheetml/2006/main" id="7" name="Definitions54Gy3F" displayName="Definitions54Gy3F" ref="AA3:AJ39" totalsRowShown="0">
  <autoFilter ref="AA3:AJ39"/>
  <tableColumns count="10">
    <tableColumn id="1" name="Name"/>
    <tableColumn id="2" name="Address"/>
    <tableColumn id="3" name="Format" dataDxfId="58"/>
    <tableColumn id="4" name="Extracted Format" dataDxfId="57"/>
    <tableColumn id="5" name="Units"/>
    <tableColumn id="6" name="Label"/>
    <tableColumn id="7" name="Reference"/>
    <tableColumn id="8" name="Type"/>
    <tableColumn id="9" name="Laterality"/>
    <tableColumn id="10" name="Constructor"/>
  </tableColumns>
  <tableStyleInfo name="TableStyleMedium19" showFirstColumn="0" showLastColumn="0" showRowStripes="1" showColumnStripes="0"/>
</table>
</file>

<file path=xl/tables/table7.xml><?xml version="1.0" encoding="utf-8"?>
<table xmlns="http://schemas.openxmlformats.org/spreadsheetml/2006/main" id="12" name="config34Gy1F13" displayName="config34Gy1F13" ref="O3:Y47" totalsRowShown="0" headerRowDxfId="14" headerRowBorderDxfId="13" tableBorderDxfId="12">
  <tableColumns count="11">
    <tableColumn id="1" name="Label" dataDxfId="11"/>
    <tableColumn id="2" name="Value" dataDxfId="10">
      <calculatedColumnFormula>INDIRECT(Q4)</calculatedColumnFormula>
    </tableColumn>
    <tableColumn id="3" name="Cell"/>
    <tableColumn id="4" name="Name"/>
    <tableColumn id="5" name="Address">
      <calculatedColumnFormula>SUBSTITUTE(Q4,"$","")</calculatedColumnFormula>
    </tableColumn>
    <tableColumn id="6" name="Extracted Format" dataDxfId="9">
      <calculatedColumnFormula>VLOOKUP(CELL("format",INDIRECT(Q4)),FormatLookup[],2,FALSE)</calculatedColumnFormula>
    </tableColumn>
    <tableColumn id="7" name="Expected Format" dataDxfId="8">
      <calculatedColumnFormula>VLOOKUP(R4,Definitions34Gy1F,3,FALSE)</calculatedColumnFormula>
    </tableColumn>
    <tableColumn id="8" name="Units" dataDxfId="7">
      <calculatedColumnFormula>IF(ISBLANK(VLOOKUP(R4,Definitions34Gy1F,5,FALSE)),"",VLOOKUP(R4,Definitions34Gy1F,5,FALSE))</calculatedColumnFormula>
    </tableColumn>
    <tableColumn id="9" name="Address Check" dataDxfId="6">
      <calculatedColumnFormula>EXACT(config34Gy1F13[[#This Row],[Address]],VLOOKUP(config34Gy1F13[[#This Row],[Name]],Definitions34Gy1F14[],2,FALSE))</calculatedColumnFormula>
    </tableColumn>
    <tableColumn id="10" name="Format Check" dataDxfId="5">
      <calculatedColumnFormula>IF(EXACT(config34Gy1F13[[#This Row],[Extracted Format]],config34Gy1F13[[#This Row],[Expected Format]]),TRUE,IF(EXACT(config34Gy1F13[[#This Row],[Expected Format]],"@"),"Check",FALSE))</calculatedColumnFormula>
    </tableColumn>
    <tableColumn id="11" name="Unit Check" dataDxfId="4">
      <calculatedColumnFormula>IF(ISERROR(FIND(config34Gy1F13[[#This Row],[Units]],config34Gy1F13[[#This Row],[Label]])),"Check",TRUE)</calculatedColumnFormula>
    </tableColumn>
  </tableColumns>
  <tableStyleInfo name="TableStyleMedium18" showFirstColumn="0" showLastColumn="0" showRowStripes="1" showColumnStripes="0"/>
</table>
</file>

<file path=xl/tables/table8.xml><?xml version="1.0" encoding="utf-8"?>
<table xmlns="http://schemas.openxmlformats.org/spreadsheetml/2006/main" id="13" name="Definitions34Gy1F14" displayName="Definitions34Gy1F14" ref="AA3:AJ47" totalsRowShown="0">
  <autoFilter ref="AA3:AJ47"/>
  <tableColumns count="10">
    <tableColumn id="1" name="Name"/>
    <tableColumn id="2" name="Address"/>
    <tableColumn id="3" name="Format" dataDxfId="3"/>
    <tableColumn id="4" name="Extracted Format" dataDxfId="2"/>
    <tableColumn id="5" name="Units"/>
    <tableColumn id="6" name="Label"/>
    <tableColumn id="7" name="Reference"/>
    <tableColumn id="8" name="Type"/>
    <tableColumn id="9" name="Laterality"/>
    <tableColumn id="10" name="Constructor"/>
  </tableColumns>
  <tableStyleInfo name="TableStyleMedium19" showFirstColumn="0" showLastColumn="0" showRowStripes="1" showColumnStripes="0"/>
</table>
</file>

<file path=xl/tables/table9.xml><?xml version="1.0" encoding="utf-8"?>
<table xmlns="http://schemas.openxmlformats.org/spreadsheetml/2006/main" id="1" name="FormatLookup" displayName="FormatLookup" ref="A1:B25" totalsRowShown="0">
  <autoFilter ref="A1:B25"/>
  <tableColumns count="2">
    <tableColumn id="1" name="The CELL function returns" dataDxfId="1"/>
    <tableColumn id="2" name="If the Excel format is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J54"/>
  <sheetViews>
    <sheetView tabSelected="1" zoomScaleNormal="100" workbookViewId="0"/>
  </sheetViews>
  <sheetFormatPr defaultRowHeight="12.75" x14ac:dyDescent="0.2"/>
  <cols>
    <col min="1" max="1" width="7.5703125" customWidth="1"/>
    <col min="2" max="2" width="10" customWidth="1"/>
    <col min="3" max="3" width="13" customWidth="1"/>
    <col min="4" max="4" width="3.85546875" customWidth="1"/>
    <col min="5" max="5" width="8" style="1" customWidth="1"/>
    <col min="6" max="6" width="18.85546875" style="1" customWidth="1"/>
    <col min="7" max="7" width="19.7109375" style="1" customWidth="1"/>
    <col min="8" max="8" width="6.140625" customWidth="1"/>
    <col min="9" max="9" width="1" customWidth="1"/>
    <col min="10" max="10" width="14.42578125" style="1" customWidth="1"/>
    <col min="11" max="11" width="18.140625" style="1" customWidth="1"/>
    <col min="12" max="12" width="14" style="2" customWidth="1"/>
    <col min="13" max="14" width="9.140625" customWidth="1"/>
    <col min="15" max="15" width="38.85546875" style="320" hidden="1" customWidth="1"/>
    <col min="16" max="16" width="6.28515625" style="314" hidden="1" customWidth="1"/>
    <col min="17" max="17" width="6.28515625" hidden="1" customWidth="1"/>
    <col min="18" max="18" width="23.140625" hidden="1" customWidth="1"/>
    <col min="19" max="19" width="8.140625" hidden="1" customWidth="1"/>
    <col min="20" max="20" width="16.7109375" hidden="1" customWidth="1"/>
    <col min="21" max="21" width="16.5703125" hidden="1" customWidth="1"/>
    <col min="22" max="22" width="5.42578125" hidden="1" customWidth="1"/>
    <col min="23" max="23" width="14.42578125" hidden="1" customWidth="1"/>
    <col min="24" max="24" width="13.7109375" hidden="1" customWidth="1"/>
    <col min="25" max="25" width="10.7109375" hidden="1" customWidth="1"/>
    <col min="26" max="26" width="9.140625" hidden="1" customWidth="1"/>
    <col min="27" max="27" width="23.140625" hidden="1" customWidth="1"/>
    <col min="28" max="28" width="10.42578125" hidden="1" customWidth="1"/>
    <col min="29" max="29" width="9.7109375" hidden="1" customWidth="1"/>
    <col min="30" max="30" width="19" hidden="1" customWidth="1"/>
    <col min="31" max="31" width="7.7109375" hidden="1" customWidth="1"/>
    <col min="32" max="32" width="35.140625" hidden="1" customWidth="1"/>
    <col min="33" max="33" width="25.85546875" hidden="1" customWidth="1"/>
    <col min="34" max="34" width="12.28515625" hidden="1" customWidth="1"/>
    <col min="35" max="35" width="11.85546875" hidden="1" customWidth="1"/>
    <col min="36" max="36" width="13.5703125" hidden="1" customWidth="1"/>
  </cols>
  <sheetData>
    <row r="1" spans="1:36" ht="13.5" thickBot="1" x14ac:dyDescent="0.25">
      <c r="O1" s="313"/>
    </row>
    <row r="2" spans="1:36" ht="13.5" thickBot="1" x14ac:dyDescent="0.25">
      <c r="A2" s="248"/>
      <c r="B2" s="238"/>
      <c r="C2" s="238"/>
      <c r="D2" s="238"/>
      <c r="E2" s="296" t="s">
        <v>175</v>
      </c>
      <c r="F2" s="239"/>
      <c r="G2" s="239"/>
      <c r="H2" s="238"/>
      <c r="I2" s="238"/>
      <c r="J2" s="239"/>
      <c r="K2" s="240"/>
      <c r="O2" s="313"/>
    </row>
    <row r="3" spans="1:36" x14ac:dyDescent="0.2">
      <c r="A3" s="249"/>
      <c r="B3" s="100" t="s">
        <v>0</v>
      </c>
      <c r="C3" s="235"/>
      <c r="D3" s="72"/>
      <c r="E3" s="100" t="s">
        <v>117</v>
      </c>
      <c r="F3" s="73"/>
      <c r="G3" s="322"/>
      <c r="H3" s="72"/>
      <c r="I3" s="72"/>
      <c r="J3" s="100" t="s">
        <v>2</v>
      </c>
      <c r="K3" s="236"/>
      <c r="L3" s="76"/>
      <c r="M3" s="77"/>
      <c r="O3" s="315" t="s">
        <v>228</v>
      </c>
      <c r="P3" s="315" t="s">
        <v>229</v>
      </c>
      <c r="Q3" s="315" t="s">
        <v>230</v>
      </c>
      <c r="R3" s="315" t="s">
        <v>231</v>
      </c>
      <c r="S3" s="315" t="s">
        <v>232</v>
      </c>
      <c r="T3" s="315" t="s">
        <v>233</v>
      </c>
      <c r="U3" s="315" t="s">
        <v>234</v>
      </c>
      <c r="V3" s="315" t="s">
        <v>235</v>
      </c>
      <c r="W3" s="315" t="s">
        <v>236</v>
      </c>
      <c r="X3" s="315" t="s">
        <v>237</v>
      </c>
      <c r="Y3" s="315" t="s">
        <v>238</v>
      </c>
      <c r="AA3" t="s">
        <v>231</v>
      </c>
      <c r="AB3" t="s">
        <v>232</v>
      </c>
      <c r="AC3" t="s">
        <v>239</v>
      </c>
      <c r="AD3" t="s">
        <v>233</v>
      </c>
      <c r="AE3" t="s">
        <v>235</v>
      </c>
      <c r="AF3" t="s">
        <v>228</v>
      </c>
      <c r="AG3" t="s">
        <v>240</v>
      </c>
      <c r="AH3" t="s">
        <v>241</v>
      </c>
      <c r="AI3" t="s">
        <v>242</v>
      </c>
      <c r="AJ3" t="s">
        <v>243</v>
      </c>
    </row>
    <row r="4" spans="1:36" ht="13.5" thickBot="1" x14ac:dyDescent="0.25">
      <c r="A4" s="249"/>
      <c r="B4" s="83" t="s">
        <v>1</v>
      </c>
      <c r="C4" s="13"/>
      <c r="D4" s="84"/>
      <c r="E4" s="83" t="s">
        <v>116</v>
      </c>
      <c r="F4" s="85"/>
      <c r="G4" s="323"/>
      <c r="H4" s="84"/>
      <c r="I4" s="84"/>
      <c r="J4" s="83" t="s">
        <v>3</v>
      </c>
      <c r="K4" s="11"/>
      <c r="L4" s="76"/>
      <c r="M4" s="77"/>
      <c r="O4" s="316" t="s">
        <v>0</v>
      </c>
      <c r="P4" s="317">
        <f t="shared" ref="P4:P48" ca="1" si="0">INDIRECT(Q4)</f>
        <v>0</v>
      </c>
      <c r="Q4" t="str">
        <f ca="1">CELL("address",C3)</f>
        <v>$C$3</v>
      </c>
      <c r="R4" t="s">
        <v>244</v>
      </c>
      <c r="S4" t="str">
        <f t="shared" ref="S4:S48" ca="1" si="1">SUBSTITUTE(Q4,"$","")</f>
        <v>C3</v>
      </c>
      <c r="T4" s="318" t="str">
        <f ca="1">VLOOKUP(CELL("format",INDIRECT(Q4)),FormatLookup[],2,FALSE)</f>
        <v>General</v>
      </c>
      <c r="U4" s="318" t="s">
        <v>245</v>
      </c>
      <c r="V4" t="str">
        <f>IF(ISBLANK(VLOOKUP(R4,Definitions48Gy4F[],5,FALSE)),"",VLOOKUP(R4,Definitions48Gy4F[],5,FALSE))</f>
        <v/>
      </c>
      <c r="W4" s="319" t="b">
        <f ca="1">EXACT(config48Gy4F[[#This Row],[Address]],VLOOKUP(config48Gy4F[[#This Row],[Name]],Definitions48Gy4F[],2,FALSE))</f>
        <v>1</v>
      </c>
      <c r="X4" s="319" t="str">
        <f ca="1">IF(EXACT(config48Gy4F[[#This Row],[Extracted Format]],config48Gy4F[[#This Row],[Expected Format]]),TRUE,IF(EXACT(config48Gy4F[[#This Row],[Expected Format]],"@"),"Check",FALSE))</f>
        <v>Check</v>
      </c>
      <c r="Y4" t="b">
        <f>IF(ISERROR(FIND(config48Gy4F[[#This Row],[Units]],config48Gy4F[[#This Row],[Label]])),"Check",TRUE)</f>
        <v>1</v>
      </c>
      <c r="AA4" t="s">
        <v>244</v>
      </c>
      <c r="AB4" t="s">
        <v>246</v>
      </c>
      <c r="AC4" s="318" t="s">
        <v>245</v>
      </c>
      <c r="AD4" s="318" t="s">
        <v>183</v>
      </c>
      <c r="AF4" t="s">
        <v>0</v>
      </c>
      <c r="AG4" t="s">
        <v>247</v>
      </c>
      <c r="AH4" t="s">
        <v>248</v>
      </c>
    </row>
    <row r="5" spans="1:36" x14ac:dyDescent="0.2">
      <c r="A5" s="250"/>
      <c r="B5" s="100" t="s">
        <v>9</v>
      </c>
      <c r="C5" s="72"/>
      <c r="D5" s="72"/>
      <c r="E5" s="73"/>
      <c r="F5" s="73"/>
      <c r="G5" s="73"/>
      <c r="H5" s="72"/>
      <c r="I5" s="72"/>
      <c r="J5" s="73"/>
      <c r="K5" s="75"/>
      <c r="L5" s="76"/>
      <c r="M5" s="77"/>
      <c r="O5" s="316" t="s">
        <v>1</v>
      </c>
      <c r="P5" s="317">
        <f t="shared" ca="1" si="0"/>
        <v>0</v>
      </c>
      <c r="Q5" t="str">
        <f ca="1">CELL("address",C4)</f>
        <v>$C$4</v>
      </c>
      <c r="R5" t="s">
        <v>249</v>
      </c>
      <c r="S5" t="str">
        <f t="shared" ca="1" si="1"/>
        <v>C4</v>
      </c>
      <c r="T5" s="318" t="str">
        <f ca="1">VLOOKUP(CELL("format",INDIRECT(Q5)),FormatLookup[],2,FALSE)</f>
        <v>General</v>
      </c>
      <c r="U5" s="318" t="s">
        <v>245</v>
      </c>
      <c r="V5" t="str">
        <f>IF(ISBLANK(VLOOKUP(R5,Definitions48Gy4F[],5,FALSE)),"",VLOOKUP(R5,Definitions48Gy4F[],5,FALSE))</f>
        <v/>
      </c>
      <c r="W5" s="319" t="b">
        <f ca="1">EXACT(config48Gy4F[[#This Row],[Address]],VLOOKUP(config48Gy4F[[#This Row],[Name]],Definitions48Gy4F[],2,FALSE))</f>
        <v>1</v>
      </c>
      <c r="X5" s="319" t="str">
        <f ca="1">IF(EXACT(config48Gy4F[[#This Row],[Extracted Format]],config48Gy4F[[#This Row],[Expected Format]]),TRUE,IF(EXACT(config48Gy4F[[#This Row],[Expected Format]],"@"),"Check",FALSE))</f>
        <v>Check</v>
      </c>
      <c r="Y5" t="b">
        <f>IF(ISERROR(FIND(config48Gy4F[[#This Row],[Units]],config48Gy4F[[#This Row],[Label]])),"Check",TRUE)</f>
        <v>1</v>
      </c>
      <c r="AA5" t="s">
        <v>249</v>
      </c>
      <c r="AB5" t="s">
        <v>250</v>
      </c>
      <c r="AC5" s="318" t="s">
        <v>245</v>
      </c>
      <c r="AD5" s="318" t="s">
        <v>245</v>
      </c>
      <c r="AF5" t="s">
        <v>1</v>
      </c>
      <c r="AG5" t="s">
        <v>251</v>
      </c>
      <c r="AH5" t="s">
        <v>248</v>
      </c>
    </row>
    <row r="6" spans="1:36" x14ac:dyDescent="0.2">
      <c r="A6" s="249"/>
      <c r="B6" s="84" t="s">
        <v>4</v>
      </c>
      <c r="C6" s="84"/>
      <c r="D6" s="84"/>
      <c r="E6" s="85"/>
      <c r="F6" s="324"/>
      <c r="G6" s="85"/>
      <c r="H6" s="84"/>
      <c r="I6" s="84"/>
      <c r="J6" s="85"/>
      <c r="K6" s="88"/>
      <c r="L6" s="76"/>
      <c r="M6" s="226"/>
      <c r="N6" s="227"/>
      <c r="O6" s="316" t="s">
        <v>2</v>
      </c>
      <c r="P6" s="317">
        <f t="shared" ca="1" si="0"/>
        <v>0</v>
      </c>
      <c r="Q6" t="str">
        <f ca="1">CELL("address",K3)</f>
        <v>$K$3</v>
      </c>
      <c r="R6" t="s">
        <v>252</v>
      </c>
      <c r="S6" t="str">
        <f t="shared" ca="1" si="1"/>
        <v>K3</v>
      </c>
      <c r="T6" s="318" t="str">
        <f ca="1">VLOOKUP(CELL("format",INDIRECT(Q6)),FormatLookup[],2,FALSE)</f>
        <v>General</v>
      </c>
      <c r="U6" s="318" t="s">
        <v>245</v>
      </c>
      <c r="V6" t="str">
        <f>IF(ISBLANK(VLOOKUP(R6,Definitions48Gy4F[],5,FALSE)),"",VLOOKUP(R6,Definitions48Gy4F[],5,FALSE))</f>
        <v/>
      </c>
      <c r="W6" s="319" t="b">
        <f ca="1">EXACT(config48Gy4F[[#This Row],[Address]],VLOOKUP(config48Gy4F[[#This Row],[Name]],Definitions48Gy4F[],2,FALSE))</f>
        <v>1</v>
      </c>
      <c r="X6" s="319" t="str">
        <f ca="1">IF(EXACT(config48Gy4F[[#This Row],[Extracted Format]],config48Gy4F[[#This Row],[Expected Format]]),TRUE,IF(EXACT(config48Gy4F[[#This Row],[Expected Format]],"@"),"Check",FALSE))</f>
        <v>Check</v>
      </c>
      <c r="Y6" t="b">
        <f>IF(ISERROR(FIND(config48Gy4F[[#This Row],[Units]],config48Gy4F[[#This Row],[Label]])),"Check",TRUE)</f>
        <v>1</v>
      </c>
      <c r="AA6" t="s">
        <v>252</v>
      </c>
      <c r="AB6" t="s">
        <v>253</v>
      </c>
      <c r="AC6" s="318" t="s">
        <v>245</v>
      </c>
      <c r="AD6" s="318" t="s">
        <v>183</v>
      </c>
      <c r="AF6" t="s">
        <v>2</v>
      </c>
      <c r="AG6" t="s">
        <v>254</v>
      </c>
      <c r="AH6" t="s">
        <v>248</v>
      </c>
    </row>
    <row r="7" spans="1:36" x14ac:dyDescent="0.2">
      <c r="A7" s="249"/>
      <c r="B7" s="84" t="s">
        <v>174</v>
      </c>
      <c r="C7" s="84"/>
      <c r="D7" s="84"/>
      <c r="E7" s="85"/>
      <c r="F7" s="324"/>
      <c r="G7" s="85"/>
      <c r="H7" s="84"/>
      <c r="I7" s="84"/>
      <c r="J7" s="85"/>
      <c r="K7" s="88"/>
      <c r="L7" s="76"/>
      <c r="M7" s="226"/>
      <c r="N7" s="227"/>
      <c r="O7" s="316" t="s">
        <v>3</v>
      </c>
      <c r="P7" s="317">
        <f t="shared" ca="1" si="0"/>
        <v>0</v>
      </c>
      <c r="Q7" t="str">
        <f ca="1">CELL("address",K4)</f>
        <v>$K$4</v>
      </c>
      <c r="R7" t="s">
        <v>255</v>
      </c>
      <c r="S7" t="str">
        <f t="shared" ca="1" si="1"/>
        <v>K4</v>
      </c>
      <c r="T7" s="318" t="str">
        <f ca="1">VLOOKUP(CELL("format",INDIRECT(Q7)),FormatLookup[],2,FALSE)</f>
        <v>General</v>
      </c>
      <c r="U7" s="318" t="s">
        <v>245</v>
      </c>
      <c r="V7" t="str">
        <f>IF(ISBLANK(VLOOKUP(R7,Definitions48Gy4F[],5,FALSE)),"",VLOOKUP(R7,Definitions48Gy4F[],5,FALSE))</f>
        <v/>
      </c>
      <c r="W7" s="319" t="b">
        <f ca="1">EXACT(config48Gy4F[[#This Row],[Address]],VLOOKUP(config48Gy4F[[#This Row],[Name]],Definitions48Gy4F[],2,FALSE))</f>
        <v>1</v>
      </c>
      <c r="X7" s="319" t="str">
        <f ca="1">IF(EXACT(config48Gy4F[[#This Row],[Extracted Format]],config48Gy4F[[#This Row],[Expected Format]]),TRUE,IF(EXACT(config48Gy4F[[#This Row],[Expected Format]],"@"),"Check",FALSE))</f>
        <v>Check</v>
      </c>
      <c r="Y7" t="b">
        <f>IF(ISERROR(FIND(config48Gy4F[[#This Row],[Units]],config48Gy4F[[#This Row],[Label]])),"Check",TRUE)</f>
        <v>1</v>
      </c>
      <c r="AA7" t="s">
        <v>255</v>
      </c>
      <c r="AB7" t="s">
        <v>256</v>
      </c>
      <c r="AC7" s="318" t="s">
        <v>245</v>
      </c>
      <c r="AD7" s="318" t="s">
        <v>183</v>
      </c>
      <c r="AF7" t="s">
        <v>3</v>
      </c>
      <c r="AG7" t="s">
        <v>257</v>
      </c>
      <c r="AH7" t="s">
        <v>248</v>
      </c>
    </row>
    <row r="8" spans="1:36" x14ac:dyDescent="0.2">
      <c r="A8" s="249"/>
      <c r="B8" s="84" t="s">
        <v>6</v>
      </c>
      <c r="C8" s="84"/>
      <c r="D8" s="84"/>
      <c r="E8" s="85"/>
      <c r="F8" s="324"/>
      <c r="G8" s="85"/>
      <c r="H8" s="84"/>
      <c r="I8" s="84"/>
      <c r="J8" s="85"/>
      <c r="K8" s="88"/>
      <c r="L8" s="76"/>
      <c r="M8" s="226"/>
      <c r="N8" s="227"/>
      <c r="O8" s="316" t="s">
        <v>117</v>
      </c>
      <c r="P8" s="317">
        <f t="shared" ca="1" si="0"/>
        <v>0</v>
      </c>
      <c r="Q8" t="str">
        <f ca="1">CELL("address",G3)</f>
        <v>$G$3</v>
      </c>
      <c r="R8" t="s">
        <v>258</v>
      </c>
      <c r="S8" t="str">
        <f t="shared" ca="1" si="1"/>
        <v>G3</v>
      </c>
      <c r="T8" s="318" t="str">
        <f ca="1">VLOOKUP(CELL("format",INDIRECT(Q8)),FormatLookup[],2,FALSE)</f>
        <v>0.0</v>
      </c>
      <c r="U8" s="318" t="s">
        <v>188</v>
      </c>
      <c r="V8" t="str">
        <f>IF(ISBLANK(VLOOKUP(R8,Definitions48Gy4F[],5,FALSE)),"",VLOOKUP(R8,Definitions48Gy4F[],5,FALSE))</f>
        <v>cGy</v>
      </c>
      <c r="W8" s="319" t="b">
        <f ca="1">EXACT(config48Gy4F[[#This Row],[Address]],VLOOKUP(config48Gy4F[[#This Row],[Name]],Definitions48Gy4F[],2,FALSE))</f>
        <v>1</v>
      </c>
      <c r="X8" s="319" t="b">
        <f ca="1">IF(EXACT(config48Gy4F[[#This Row],[Extracted Format]],config48Gy4F[[#This Row],[Expected Format]]),TRUE,IF(EXACT(config48Gy4F[[#This Row],[Expected Format]],"@"),"Check",FALSE))</f>
        <v>1</v>
      </c>
      <c r="Y8" t="b">
        <f>IF(ISERROR(FIND(config48Gy4F[[#This Row],[Units]],config48Gy4F[[#This Row],[Label]])),"Check",TRUE)</f>
        <v>1</v>
      </c>
      <c r="AA8" t="s">
        <v>258</v>
      </c>
      <c r="AB8" t="s">
        <v>259</v>
      </c>
      <c r="AC8" s="318" t="s">
        <v>188</v>
      </c>
      <c r="AD8" s="318" t="s">
        <v>188</v>
      </c>
      <c r="AE8" t="s">
        <v>260</v>
      </c>
      <c r="AF8" t="s">
        <v>117</v>
      </c>
      <c r="AG8" t="s">
        <v>261</v>
      </c>
      <c r="AH8" t="s">
        <v>248</v>
      </c>
    </row>
    <row r="9" spans="1:36" ht="13.5" thickBot="1" x14ac:dyDescent="0.25">
      <c r="A9" s="249"/>
      <c r="B9" s="79" t="s">
        <v>7</v>
      </c>
      <c r="C9" s="79"/>
      <c r="D9" s="79"/>
      <c r="E9" s="80"/>
      <c r="F9" s="325"/>
      <c r="G9" s="80"/>
      <c r="H9" s="79"/>
      <c r="I9" s="79"/>
      <c r="J9" s="80"/>
      <c r="K9" s="81"/>
      <c r="L9" s="76"/>
      <c r="M9" s="77"/>
      <c r="O9" s="316" t="s">
        <v>116</v>
      </c>
      <c r="P9" s="317">
        <f t="shared" ca="1" si="0"/>
        <v>0</v>
      </c>
      <c r="Q9" t="str">
        <f ca="1">CELL("address",G4)</f>
        <v>$G$4</v>
      </c>
      <c r="R9" t="s">
        <v>262</v>
      </c>
      <c r="S9" t="str">
        <f t="shared" ca="1" si="1"/>
        <v>G4</v>
      </c>
      <c r="T9" s="318">
        <f ca="1">VLOOKUP(CELL("format",INDIRECT(Q9)),FormatLookup[],2,FALSE)</f>
        <v>0</v>
      </c>
      <c r="U9" s="318">
        <v>0</v>
      </c>
      <c r="V9" t="str">
        <f>IF(ISBLANK(VLOOKUP(R9,Definitions48Gy4F[],5,FALSE)),"",VLOOKUP(R9,Definitions48Gy4F[],5,FALSE))</f>
        <v/>
      </c>
      <c r="W9" s="319" t="b">
        <f ca="1">EXACT(config48Gy4F[[#This Row],[Address]],VLOOKUP(config48Gy4F[[#This Row],[Name]],Definitions48Gy4F[],2,FALSE))</f>
        <v>1</v>
      </c>
      <c r="X9" s="319" t="b">
        <f ca="1">IF(EXACT(config48Gy4F[[#This Row],[Extracted Format]],config48Gy4F[[#This Row],[Expected Format]]),TRUE,IF(EXACT(config48Gy4F[[#This Row],[Expected Format]],"@"),"Check",FALSE))</f>
        <v>1</v>
      </c>
      <c r="Y9" t="b">
        <f>IF(ISERROR(FIND(config48Gy4F[[#This Row],[Units]],config48Gy4F[[#This Row],[Label]])),"Check",TRUE)</f>
        <v>1</v>
      </c>
      <c r="AA9" t="s">
        <v>262</v>
      </c>
      <c r="AB9" t="s">
        <v>263</v>
      </c>
      <c r="AC9" s="318" t="s">
        <v>188</v>
      </c>
      <c r="AD9" s="318" t="s">
        <v>264</v>
      </c>
      <c r="AF9" t="s">
        <v>116</v>
      </c>
      <c r="AG9" t="s">
        <v>116</v>
      </c>
      <c r="AH9" t="s">
        <v>248</v>
      </c>
    </row>
    <row r="10" spans="1:36" x14ac:dyDescent="0.2">
      <c r="A10" s="248"/>
      <c r="B10" s="87" t="s">
        <v>8</v>
      </c>
      <c r="C10" s="72"/>
      <c r="E10" s="253"/>
      <c r="F10" s="155" t="s">
        <v>28</v>
      </c>
      <c r="G10" s="156"/>
      <c r="H10" s="100" t="s">
        <v>26</v>
      </c>
      <c r="I10" s="72"/>
      <c r="J10" s="157" t="s">
        <v>26</v>
      </c>
      <c r="K10" s="158" t="s">
        <v>26</v>
      </c>
      <c r="L10" s="76"/>
      <c r="M10" s="77"/>
      <c r="O10" s="316" t="s">
        <v>4</v>
      </c>
      <c r="P10" s="317">
        <f t="shared" ca="1" si="0"/>
        <v>0</v>
      </c>
      <c r="Q10" t="str">
        <f ca="1">CELL("address",F6)</f>
        <v>$F$6</v>
      </c>
      <c r="R10" t="s">
        <v>265</v>
      </c>
      <c r="S10" t="str">
        <f t="shared" ca="1" si="1"/>
        <v>F6</v>
      </c>
      <c r="T10" s="318" t="str">
        <f ca="1">VLOOKUP(CELL("format",INDIRECT(Q10)),FormatLookup[],2,FALSE)</f>
        <v>0.00</v>
      </c>
      <c r="U10" s="319" t="s">
        <v>190</v>
      </c>
      <c r="V10" t="str">
        <f>IF(ISBLANK(VLOOKUP(R10,Definitions48Gy4F[],5,FALSE)),"",VLOOKUP(R10,Definitions48Gy4F[],5,FALSE))</f>
        <v>cc</v>
      </c>
      <c r="W10" s="319" t="b">
        <f ca="1">EXACT(config48Gy4F[[#This Row],[Address]],VLOOKUP(config48Gy4F[[#This Row],[Name]],Definitions48Gy4F[],2,FALSE))</f>
        <v>1</v>
      </c>
      <c r="X10" s="319" t="b">
        <f ca="1">IF(EXACT(config48Gy4F[[#This Row],[Extracted Format]],config48Gy4F[[#This Row],[Expected Format]]),TRUE,IF(EXACT(config48Gy4F[[#This Row],[Expected Format]],"@"),"Check",FALSE))</f>
        <v>1</v>
      </c>
      <c r="Y10" t="b">
        <f>IF(ISERROR(FIND(config48Gy4F[[#This Row],[Units]],config48Gy4F[[#This Row],[Label]])),"Check",TRUE)</f>
        <v>1</v>
      </c>
      <c r="AA10" t="s">
        <v>265</v>
      </c>
      <c r="AB10" t="s">
        <v>266</v>
      </c>
      <c r="AC10" s="318" t="s">
        <v>190</v>
      </c>
      <c r="AD10" s="318" t="s">
        <v>190</v>
      </c>
      <c r="AE10" t="s">
        <v>267</v>
      </c>
      <c r="AF10" t="s">
        <v>4</v>
      </c>
      <c r="AG10" t="s">
        <v>268</v>
      </c>
      <c r="AH10" t="s">
        <v>269</v>
      </c>
      <c r="AJ10" t="s">
        <v>29</v>
      </c>
    </row>
    <row r="11" spans="1:36" x14ac:dyDescent="0.2">
      <c r="A11" s="250"/>
      <c r="B11" s="91"/>
      <c r="C11" s="91"/>
      <c r="D11" s="91"/>
      <c r="E11" s="91"/>
      <c r="F11" s="97" t="s">
        <v>124</v>
      </c>
      <c r="G11" s="93" t="s">
        <v>128</v>
      </c>
      <c r="H11" s="94"/>
      <c r="I11" s="91"/>
      <c r="J11" s="92" t="s">
        <v>18</v>
      </c>
      <c r="K11" s="95" t="s">
        <v>11</v>
      </c>
      <c r="L11" s="96" t="s">
        <v>30</v>
      </c>
      <c r="M11" s="77"/>
      <c r="O11" s="316" t="s">
        <v>5</v>
      </c>
      <c r="P11" s="317">
        <f t="shared" ca="1" si="0"/>
        <v>0</v>
      </c>
      <c r="Q11" t="str">
        <f ca="1">CELL("address",F7)</f>
        <v>$F$7</v>
      </c>
      <c r="R11" t="s">
        <v>270</v>
      </c>
      <c r="S11" t="str">
        <f t="shared" ca="1" si="1"/>
        <v>F7</v>
      </c>
      <c r="T11" s="318" t="str">
        <f ca="1">VLOOKUP(CELL("format",INDIRECT(Q11)),FormatLookup[],2,FALSE)</f>
        <v>0.00</v>
      </c>
      <c r="U11" s="319" t="s">
        <v>190</v>
      </c>
      <c r="V11" t="str">
        <f>IF(ISBLANK(VLOOKUP(R11,Definitions48Gy4F[],5,FALSE)),"",VLOOKUP(R11,Definitions48Gy4F[],5,FALSE))</f>
        <v>cc</v>
      </c>
      <c r="W11" s="319" t="b">
        <f ca="1">EXACT(config48Gy4F[[#This Row],[Address]],VLOOKUP(config48Gy4F[[#This Row],[Name]],Definitions48Gy4F[],2,FALSE))</f>
        <v>1</v>
      </c>
      <c r="X11" s="319" t="b">
        <f ca="1">IF(EXACT(config48Gy4F[[#This Row],[Extracted Format]],config48Gy4F[[#This Row],[Expected Format]]),TRUE,IF(EXACT(config48Gy4F[[#This Row],[Expected Format]],"@"),"Check",FALSE))</f>
        <v>1</v>
      </c>
      <c r="Y11" t="b">
        <f>IF(ISERROR(FIND(config48Gy4F[[#This Row],[Units]],config48Gy4F[[#This Row],[Label]])),"Check",TRUE)</f>
        <v>1</v>
      </c>
      <c r="AA11" t="s">
        <v>270</v>
      </c>
      <c r="AB11" t="s">
        <v>271</v>
      </c>
      <c r="AC11" s="318" t="s">
        <v>190</v>
      </c>
      <c r="AD11" s="318" t="s">
        <v>190</v>
      </c>
      <c r="AE11" t="s">
        <v>267</v>
      </c>
      <c r="AF11" t="s">
        <v>5</v>
      </c>
      <c r="AG11" t="s">
        <v>272</v>
      </c>
      <c r="AH11" t="s">
        <v>269</v>
      </c>
      <c r="AJ11" t="s">
        <v>29</v>
      </c>
    </row>
    <row r="12" spans="1:36" x14ac:dyDescent="0.2">
      <c r="A12" s="250"/>
      <c r="B12" s="84"/>
      <c r="C12" s="84"/>
      <c r="D12" s="84"/>
      <c r="E12" s="85"/>
      <c r="F12" s="97" t="s">
        <v>125</v>
      </c>
      <c r="G12" s="159"/>
      <c r="H12" s="160"/>
      <c r="I12" s="84"/>
      <c r="J12" s="97" t="s">
        <v>17</v>
      </c>
      <c r="K12" s="88"/>
      <c r="L12" s="76"/>
      <c r="M12" s="77"/>
      <c r="O12" s="316" t="s">
        <v>6</v>
      </c>
      <c r="P12" s="317">
        <f t="shared" ca="1" si="0"/>
        <v>0</v>
      </c>
      <c r="Q12" t="str">
        <f ca="1">CELL("address",F8)</f>
        <v>$F$8</v>
      </c>
      <c r="R12" t="s">
        <v>273</v>
      </c>
      <c r="S12" t="str">
        <f t="shared" ca="1" si="1"/>
        <v>F8</v>
      </c>
      <c r="T12" s="318" t="str">
        <f ca="1">VLOOKUP(CELL("format",INDIRECT(Q12)),FormatLookup[],2,FALSE)</f>
        <v>0.00</v>
      </c>
      <c r="U12" s="319" t="s">
        <v>190</v>
      </c>
      <c r="V12" t="str">
        <f>IF(ISBLANK(VLOOKUP(R12,Definitions48Gy4F[],5,FALSE)),"",VLOOKUP(R12,Definitions48Gy4F[],5,FALSE))</f>
        <v>cc</v>
      </c>
      <c r="W12" s="319" t="b">
        <f ca="1">EXACT(config48Gy4F[[#This Row],[Address]],VLOOKUP(config48Gy4F[[#This Row],[Name]],Definitions48Gy4F[],2,FALSE))</f>
        <v>1</v>
      </c>
      <c r="X12" s="319" t="b">
        <f ca="1">IF(EXACT(config48Gy4F[[#This Row],[Extracted Format]],config48Gy4F[[#This Row],[Expected Format]]),TRUE,IF(EXACT(config48Gy4F[[#This Row],[Expected Format]],"@"),"Check",FALSE))</f>
        <v>1</v>
      </c>
      <c r="Y12" t="b">
        <f>IF(ISERROR(FIND(config48Gy4F[[#This Row],[Units]],config48Gy4F[[#This Row],[Label]])),"Check",TRUE)</f>
        <v>1</v>
      </c>
      <c r="AA12" t="s">
        <v>273</v>
      </c>
      <c r="AB12" t="s">
        <v>274</v>
      </c>
      <c r="AC12" s="318" t="s">
        <v>190</v>
      </c>
      <c r="AD12" s="318" t="s">
        <v>190</v>
      </c>
      <c r="AE12" t="s">
        <v>267</v>
      </c>
      <c r="AF12" t="s">
        <v>6</v>
      </c>
      <c r="AG12" t="s">
        <v>275</v>
      </c>
      <c r="AH12" t="s">
        <v>269</v>
      </c>
      <c r="AJ12" t="s">
        <v>29</v>
      </c>
    </row>
    <row r="13" spans="1:36" x14ac:dyDescent="0.2">
      <c r="A13" s="250"/>
      <c r="B13" s="91" t="s">
        <v>31</v>
      </c>
      <c r="C13" s="91"/>
      <c r="D13" s="91"/>
      <c r="E13" s="98"/>
      <c r="F13" s="152" t="s">
        <v>46</v>
      </c>
      <c r="G13" s="85"/>
      <c r="H13" s="84"/>
      <c r="I13" s="91"/>
      <c r="J13" s="161" t="s">
        <v>112</v>
      </c>
      <c r="K13" s="5" t="str">
        <f>IF(F13="??","??",IF((AND((F13&gt;59.99%),(F13&lt;95.01%))),"Yes", "No"))</f>
        <v>??</v>
      </c>
      <c r="L13" s="112" t="s">
        <v>133</v>
      </c>
      <c r="M13" s="77"/>
      <c r="O13" s="316" t="s">
        <v>7</v>
      </c>
      <c r="P13" s="317">
        <f t="shared" ca="1" si="0"/>
        <v>0</v>
      </c>
      <c r="Q13" t="str">
        <f ca="1">CELL("address",F9)</f>
        <v>$F$9</v>
      </c>
      <c r="R13" t="s">
        <v>276</v>
      </c>
      <c r="S13" t="str">
        <f t="shared" ca="1" si="1"/>
        <v>F9</v>
      </c>
      <c r="T13" s="318" t="str">
        <f ca="1">VLOOKUP(CELL("format",INDIRECT(Q13)),FormatLookup[],2,FALSE)</f>
        <v>0.00</v>
      </c>
      <c r="U13" s="319" t="s">
        <v>190</v>
      </c>
      <c r="V13" t="str">
        <f>IF(ISBLANK(VLOOKUP(R13,Definitions48Gy4F[],5,FALSE)),"",VLOOKUP(R13,Definitions48Gy4F[],5,FALSE))</f>
        <v>cc</v>
      </c>
      <c r="W13" s="319" t="b">
        <f ca="1">EXACT(config48Gy4F[[#This Row],[Address]],VLOOKUP(config48Gy4F[[#This Row],[Name]],Definitions48Gy4F[],2,FALSE))</f>
        <v>1</v>
      </c>
      <c r="X13" s="319" t="b">
        <f ca="1">IF(EXACT(config48Gy4F[[#This Row],[Extracted Format]],config48Gy4F[[#This Row],[Expected Format]]),TRUE,IF(EXACT(config48Gy4F[[#This Row],[Expected Format]],"@"),"Check",FALSE))</f>
        <v>1</v>
      </c>
      <c r="Y13" t="b">
        <f>IF(ISERROR(FIND(config48Gy4F[[#This Row],[Units]],config48Gy4F[[#This Row],[Label]])),"Check",TRUE)</f>
        <v>1</v>
      </c>
      <c r="AA13" t="s">
        <v>276</v>
      </c>
      <c r="AB13" t="s">
        <v>277</v>
      </c>
      <c r="AC13" s="318" t="s">
        <v>190</v>
      </c>
      <c r="AD13" s="318" t="s">
        <v>190</v>
      </c>
      <c r="AE13" t="s">
        <v>267</v>
      </c>
      <c r="AF13" t="s">
        <v>7</v>
      </c>
      <c r="AG13" t="s">
        <v>141</v>
      </c>
      <c r="AH13" t="s">
        <v>269</v>
      </c>
      <c r="AI13" t="s">
        <v>278</v>
      </c>
      <c r="AJ13" t="s">
        <v>29</v>
      </c>
    </row>
    <row r="14" spans="1:36" ht="13.5" thickBot="1" x14ac:dyDescent="0.25">
      <c r="A14" s="249"/>
      <c r="B14" s="91"/>
      <c r="C14" s="91"/>
      <c r="D14" s="91"/>
      <c r="E14" s="98"/>
      <c r="F14" s="215"/>
      <c r="G14" s="162"/>
      <c r="H14" s="163"/>
      <c r="I14" s="91"/>
      <c r="J14" s="99"/>
      <c r="K14" s="5"/>
      <c r="L14" s="76"/>
      <c r="M14" s="77"/>
      <c r="O14" s="316" t="s">
        <v>31</v>
      </c>
      <c r="P14" s="317" t="str">
        <f t="shared" ca="1" si="0"/>
        <v>??</v>
      </c>
      <c r="Q14" t="str">
        <f ca="1">CELL("address",F13)</f>
        <v>$F$13</v>
      </c>
      <c r="R14" t="s">
        <v>279</v>
      </c>
      <c r="S14" t="str">
        <f t="shared" ca="1" si="1"/>
        <v>F13</v>
      </c>
      <c r="T14" s="318" t="str">
        <f ca="1">VLOOKUP(CELL("format",INDIRECT(Q14)),FormatLookup[],2,FALSE)</f>
        <v>0.0%</v>
      </c>
      <c r="U14" s="319" t="s">
        <v>204</v>
      </c>
      <c r="V14" t="str">
        <f>IF(ISBLANK(VLOOKUP(R14,Definitions48Gy4F[],5,FALSE)),"",VLOOKUP(R14,Definitions48Gy4F[],5,FALSE))</f>
        <v>%</v>
      </c>
      <c r="W14" s="319" t="b">
        <f ca="1">EXACT(config48Gy4F[[#This Row],[Address]],VLOOKUP(config48Gy4F[[#This Row],[Name]],Definitions48Gy4F[],2,FALSE))</f>
        <v>1</v>
      </c>
      <c r="X14" s="319" t="b">
        <f ca="1">IF(EXACT(config48Gy4F[[#This Row],[Extracted Format]],config48Gy4F[[#This Row],[Expected Format]]),TRUE,IF(EXACT(config48Gy4F[[#This Row],[Expected Format]],"@"),"Check",FALSE))</f>
        <v>1</v>
      </c>
      <c r="Y14" t="b">
        <f>IF(ISERROR(FIND(config48Gy4F[[#This Row],[Units]],config48Gy4F[[#This Row],[Label]])),"Check",TRUE)</f>
        <v>1</v>
      </c>
      <c r="AA14" t="s">
        <v>279</v>
      </c>
      <c r="AB14" t="s">
        <v>280</v>
      </c>
      <c r="AC14" s="318" t="s">
        <v>204</v>
      </c>
      <c r="AD14" s="318" t="s">
        <v>204</v>
      </c>
      <c r="AE14" t="s">
        <v>281</v>
      </c>
      <c r="AF14" t="s">
        <v>31</v>
      </c>
      <c r="AG14" t="s">
        <v>31</v>
      </c>
      <c r="AH14" t="s">
        <v>248</v>
      </c>
    </row>
    <row r="15" spans="1:36" x14ac:dyDescent="0.2">
      <c r="A15" s="248"/>
      <c r="B15" s="288" t="s">
        <v>21</v>
      </c>
      <c r="C15" s="219"/>
      <c r="D15" s="219"/>
      <c r="E15" s="289"/>
      <c r="F15" s="290"/>
      <c r="G15" s="291"/>
      <c r="H15" s="292"/>
      <c r="I15" s="219"/>
      <c r="J15" s="291"/>
      <c r="K15" s="293"/>
      <c r="L15" s="76"/>
      <c r="M15" s="77"/>
      <c r="O15" s="316" t="s">
        <v>282</v>
      </c>
      <c r="P15" s="317" t="str">
        <f t="shared" ca="1" si="0"/>
        <v>??</v>
      </c>
      <c r="Q15" t="str">
        <f ca="1">CELL("address",F16)</f>
        <v>$F$16</v>
      </c>
      <c r="R15" t="s">
        <v>283</v>
      </c>
      <c r="S15" t="str">
        <f t="shared" ca="1" si="1"/>
        <v>F16</v>
      </c>
      <c r="T15" s="318" t="str">
        <f ca="1">VLOOKUP(CELL("format",INDIRECT(Q15)),FormatLookup[],2,FALSE)</f>
        <v>0.0%</v>
      </c>
      <c r="U15" s="319" t="s">
        <v>204</v>
      </c>
      <c r="V15" t="str">
        <f>IF(ISBLANK(VLOOKUP(R15,Definitions48Gy4F[],5,FALSE)),"",VLOOKUP(R15,Definitions48Gy4F[],5,FALSE))</f>
        <v>%</v>
      </c>
      <c r="W15" s="319" t="b">
        <f ca="1">EXACT(config48Gy4F[[#This Row],[Address]],VLOOKUP(config48Gy4F[[#This Row],[Name]],Definitions48Gy4F[],2,FALSE))</f>
        <v>1</v>
      </c>
      <c r="X15" s="319" t="b">
        <f ca="1">IF(EXACT(config48Gy4F[[#This Row],[Extracted Format]],config48Gy4F[[#This Row],[Expected Format]]),TRUE,IF(EXACT(config48Gy4F[[#This Row],[Expected Format]],"@"),"Check",FALSE))</f>
        <v>1</v>
      </c>
      <c r="Y15" t="b">
        <f>IF(ISERROR(FIND(config48Gy4F[[#This Row],[Units]],config48Gy4F[[#This Row],[Label]])),"Check",TRUE)</f>
        <v>1</v>
      </c>
      <c r="AA15" t="s">
        <v>284</v>
      </c>
      <c r="AB15" t="s">
        <v>285</v>
      </c>
      <c r="AC15" s="318" t="s">
        <v>206</v>
      </c>
      <c r="AD15" s="318" t="s">
        <v>206</v>
      </c>
      <c r="AE15" t="s">
        <v>281</v>
      </c>
      <c r="AF15" t="s">
        <v>286</v>
      </c>
      <c r="AG15" t="s">
        <v>275</v>
      </c>
      <c r="AH15" t="s">
        <v>269</v>
      </c>
      <c r="AJ15" t="s">
        <v>287</v>
      </c>
    </row>
    <row r="16" spans="1:36" x14ac:dyDescent="0.2">
      <c r="A16" s="249"/>
      <c r="B16" s="148" t="s">
        <v>171</v>
      </c>
      <c r="C16" s="84"/>
      <c r="D16" s="84"/>
      <c r="E16" s="85"/>
      <c r="F16" s="285" t="s">
        <v>46</v>
      </c>
      <c r="G16" s="286"/>
      <c r="H16" s="120"/>
      <c r="I16" s="120"/>
      <c r="J16" s="287">
        <v>0.95</v>
      </c>
      <c r="K16" s="217" t="str">
        <f>IF(F16="??","??",(IF(F16&gt;=95%,"Yes","No")))</f>
        <v>??</v>
      </c>
      <c r="L16" s="76"/>
      <c r="M16" s="77"/>
      <c r="O16" s="316" t="s">
        <v>288</v>
      </c>
      <c r="P16" s="317" t="str">
        <f t="shared" ca="1" si="0"/>
        <v>??</v>
      </c>
      <c r="Q16" t="str">
        <f ca="1">CELL("address",F17)</f>
        <v>$F$17</v>
      </c>
      <c r="R16" t="s">
        <v>289</v>
      </c>
      <c r="S16" t="str">
        <f t="shared" ca="1" si="1"/>
        <v>F17</v>
      </c>
      <c r="T16" s="318" t="str">
        <f ca="1">VLOOKUP(CELL("format",INDIRECT(Q16)),FormatLookup[],2,FALSE)</f>
        <v>0.0%</v>
      </c>
      <c r="U16" s="319" t="s">
        <v>204</v>
      </c>
      <c r="V16" t="str">
        <f>IF(ISBLANK(VLOOKUP(R16,Definitions48Gy4F[],5,FALSE)),"",VLOOKUP(R16,Definitions48Gy4F[],5,FALSE))</f>
        <v>%</v>
      </c>
      <c r="W16" s="319" t="b">
        <f ca="1">EXACT(config48Gy4F[[#This Row],[Address]],VLOOKUP(config48Gy4F[[#This Row],[Name]],Definitions48Gy4F[],2,FALSE))</f>
        <v>1</v>
      </c>
      <c r="X16" s="319" t="b">
        <f ca="1">IF(EXACT(config48Gy4F[[#This Row],[Extracted Format]],config48Gy4F[[#This Row],[Expected Format]]),TRUE,IF(EXACT(config48Gy4F[[#This Row],[Expected Format]],"@"),"Check",FALSE))</f>
        <v>1</v>
      </c>
      <c r="Y16" t="b">
        <f>IF(ISERROR(FIND(config48Gy4F[[#This Row],[Units]],config48Gy4F[[#This Row],[Label]])),"Check",TRUE)</f>
        <v>1</v>
      </c>
      <c r="AA16" t="s">
        <v>283</v>
      </c>
      <c r="AB16" t="s">
        <v>290</v>
      </c>
      <c r="AC16" s="318" t="s">
        <v>204</v>
      </c>
      <c r="AD16" s="318" t="s">
        <v>204</v>
      </c>
      <c r="AE16" t="s">
        <v>281</v>
      </c>
      <c r="AF16" t="s">
        <v>282</v>
      </c>
      <c r="AG16" t="s">
        <v>275</v>
      </c>
      <c r="AH16" t="s">
        <v>269</v>
      </c>
      <c r="AJ16" t="s">
        <v>291</v>
      </c>
    </row>
    <row r="17" spans="1:36" x14ac:dyDescent="0.2">
      <c r="A17" s="249"/>
      <c r="B17" s="148" t="s">
        <v>172</v>
      </c>
      <c r="C17" s="84"/>
      <c r="D17" s="84"/>
      <c r="E17" s="85"/>
      <c r="F17" s="298" t="s">
        <v>46</v>
      </c>
      <c r="G17" s="307"/>
      <c r="H17" s="300"/>
      <c r="I17" s="102"/>
      <c r="J17" s="301">
        <v>0.99</v>
      </c>
      <c r="K17" s="149" t="str">
        <f>IF(F17="??","??",(IF(F17&gt;=99%,"Yes","No")))</f>
        <v>??</v>
      </c>
      <c r="L17" s="77" t="s">
        <v>22</v>
      </c>
      <c r="M17" s="77"/>
      <c r="O17" s="316" t="s">
        <v>286</v>
      </c>
      <c r="P17" s="317" t="str">
        <f t="shared" ca="1" si="0"/>
        <v>??</v>
      </c>
      <c r="Q17" t="str">
        <f ca="1">CELL("address",F18)</f>
        <v>$F$18</v>
      </c>
      <c r="R17" t="s">
        <v>284</v>
      </c>
      <c r="S17" t="str">
        <f t="shared" ca="1" si="1"/>
        <v>F18</v>
      </c>
      <c r="T17" s="318" t="str">
        <f ca="1">VLOOKUP(CELL("format",INDIRECT(Q17)),FormatLookup[],2,FALSE)</f>
        <v>0.00%</v>
      </c>
      <c r="U17" s="319" t="s">
        <v>206</v>
      </c>
      <c r="V17" t="str">
        <f>IF(ISBLANK(VLOOKUP(R17,Definitions48Gy4F[],5,FALSE)),"",VLOOKUP(R17,Definitions48Gy4F[],5,FALSE))</f>
        <v>%</v>
      </c>
      <c r="W17" s="319" t="b">
        <f ca="1">EXACT(config48Gy4F[[#This Row],[Address]],VLOOKUP(config48Gy4F[[#This Row],[Name]],Definitions48Gy4F[],2,FALSE))</f>
        <v>1</v>
      </c>
      <c r="X17" s="319" t="b">
        <f ca="1">IF(EXACT(config48Gy4F[[#This Row],[Extracted Format]],config48Gy4F[[#This Row],[Expected Format]]),TRUE,IF(EXACT(config48Gy4F[[#This Row],[Expected Format]],"@"),"Check",FALSE))</f>
        <v>1</v>
      </c>
      <c r="Y17" t="b">
        <f>IF(ISERROR(FIND(config48Gy4F[[#This Row],[Units]],config48Gy4F[[#This Row],[Label]])),"Check",TRUE)</f>
        <v>1</v>
      </c>
      <c r="AA17" t="s">
        <v>289</v>
      </c>
      <c r="AB17" t="s">
        <v>292</v>
      </c>
      <c r="AC17" s="318" t="s">
        <v>204</v>
      </c>
      <c r="AD17" s="318" t="s">
        <v>204</v>
      </c>
      <c r="AE17" t="s">
        <v>281</v>
      </c>
      <c r="AF17" t="s">
        <v>288</v>
      </c>
      <c r="AG17" t="s">
        <v>275</v>
      </c>
      <c r="AH17" t="s">
        <v>269</v>
      </c>
      <c r="AJ17" t="s">
        <v>293</v>
      </c>
    </row>
    <row r="18" spans="1:36" ht="13.5" thickBot="1" x14ac:dyDescent="0.25">
      <c r="A18" s="249"/>
      <c r="B18" s="233" t="s">
        <v>173</v>
      </c>
      <c r="C18" s="79"/>
      <c r="D18" s="79"/>
      <c r="E18" s="80"/>
      <c r="F18" s="326" t="s">
        <v>46</v>
      </c>
      <c r="G18" s="281"/>
      <c r="H18" s="282" t="b">
        <f>AND((G18&gt;59.99%),(G18&lt;95.01%))</f>
        <v>0</v>
      </c>
      <c r="I18" s="79"/>
      <c r="J18" s="283" t="s">
        <v>169</v>
      </c>
      <c r="K18" s="8" t="str">
        <f>IF(F18="??","??",IF((AND((F18&gt;=111%),(F18&lt;=140%))),"Yes", "No"))</f>
        <v>??</v>
      </c>
      <c r="L18" s="77" t="s">
        <v>23</v>
      </c>
      <c r="M18" s="77"/>
      <c r="O18" s="316" t="s">
        <v>294</v>
      </c>
      <c r="P18" s="317" t="str">
        <f t="shared" ca="1" si="0"/>
        <v>??</v>
      </c>
      <c r="Q18" t="str">
        <f ca="1">CELL("address",F20)</f>
        <v>$F$20</v>
      </c>
      <c r="R18" t="s">
        <v>295</v>
      </c>
      <c r="S18" t="str">
        <f t="shared" ca="1" si="1"/>
        <v>F20</v>
      </c>
      <c r="T18" s="318" t="str">
        <f ca="1">VLOOKUP(CELL("format",INDIRECT(Q18)),FormatLookup[],2,FALSE)</f>
        <v>0.00</v>
      </c>
      <c r="U18" s="319" t="s">
        <v>190</v>
      </c>
      <c r="V18" t="str">
        <f>IF(ISBLANK(VLOOKUP(R18,Definitions48Gy4F[],5,FALSE)),"",VLOOKUP(R18,Definitions48Gy4F[],5,FALSE))</f>
        <v>cc</v>
      </c>
      <c r="W18" s="319" t="b">
        <f ca="1">EXACT(config48Gy4F[[#This Row],[Address]],VLOOKUP(config48Gy4F[[#This Row],[Name]],Definitions48Gy4F[],2,FALSE))</f>
        <v>1</v>
      </c>
      <c r="X18" s="319" t="b">
        <f ca="1">IF(EXACT(config48Gy4F[[#This Row],[Extracted Format]],config48Gy4F[[#This Row],[Expected Format]]),TRUE,IF(EXACT(config48Gy4F[[#This Row],[Expected Format]],"@"),"Check",FALSE))</f>
        <v>1</v>
      </c>
      <c r="Y18" t="b">
        <f>IF(ISERROR(FIND(config48Gy4F[[#This Row],[Units]],config48Gy4F[[#This Row],[Label]])),"Check",TRUE)</f>
        <v>1</v>
      </c>
      <c r="AA18" t="s">
        <v>295</v>
      </c>
      <c r="AB18" t="s">
        <v>296</v>
      </c>
      <c r="AC18" s="318" t="s">
        <v>190</v>
      </c>
      <c r="AD18" s="318" t="s">
        <v>190</v>
      </c>
      <c r="AE18" t="s">
        <v>267</v>
      </c>
      <c r="AF18" t="s">
        <v>297</v>
      </c>
      <c r="AG18" t="s">
        <v>298</v>
      </c>
      <c r="AH18" t="s">
        <v>269</v>
      </c>
      <c r="AJ18" t="s">
        <v>29</v>
      </c>
    </row>
    <row r="19" spans="1:36" x14ac:dyDescent="0.2">
      <c r="A19" s="248"/>
      <c r="B19" s="83" t="s">
        <v>177</v>
      </c>
      <c r="C19" s="84"/>
      <c r="D19" s="84"/>
      <c r="E19" s="291"/>
      <c r="F19" s="291"/>
      <c r="G19" s="291"/>
      <c r="H19" s="219"/>
      <c r="I19" s="219"/>
      <c r="J19" s="277"/>
      <c r="K19" s="293"/>
      <c r="L19" s="76"/>
      <c r="M19" s="77"/>
      <c r="O19" s="316" t="s">
        <v>299</v>
      </c>
      <c r="P19" s="317" t="str">
        <f t="shared" ca="1" si="0"/>
        <v>??</v>
      </c>
      <c r="Q19" t="str">
        <f ca="1">CELL("address",F21)</f>
        <v>$F$21</v>
      </c>
      <c r="R19" t="s">
        <v>300</v>
      </c>
      <c r="S19" t="str">
        <f t="shared" ca="1" si="1"/>
        <v>F21</v>
      </c>
      <c r="T19" s="318" t="str">
        <f ca="1">VLOOKUP(CELL("format",INDIRECT(Q19)),FormatLookup[],2,FALSE)</f>
        <v>0.00</v>
      </c>
      <c r="U19" s="319" t="s">
        <v>190</v>
      </c>
      <c r="V19" t="str">
        <f>IF(ISBLANK(VLOOKUP(R19,Definitions48Gy4F[],5,FALSE)),"",VLOOKUP(R19,Definitions48Gy4F[],5,FALSE))</f>
        <v>cc</v>
      </c>
      <c r="W19" s="319" t="b">
        <f ca="1">EXACT(config48Gy4F[[#This Row],[Address]],VLOOKUP(config48Gy4F[[#This Row],[Name]],Definitions48Gy4F[],2,FALSE))</f>
        <v>1</v>
      </c>
      <c r="X19" s="319" t="b">
        <f ca="1">IF(EXACT(config48Gy4F[[#This Row],[Extracted Format]],config48Gy4F[[#This Row],[Expected Format]]),TRUE,IF(EXACT(config48Gy4F[[#This Row],[Expected Format]],"@"),"Check",FALSE))</f>
        <v>1</v>
      </c>
      <c r="Y19" t="b">
        <f>IF(ISERROR(FIND(config48Gy4F[[#This Row],[Units]],config48Gy4F[[#This Row],[Label]])),"Check",TRUE)</f>
        <v>1</v>
      </c>
      <c r="AA19" t="s">
        <v>300</v>
      </c>
      <c r="AB19" t="s">
        <v>301</v>
      </c>
      <c r="AC19" s="318" t="s">
        <v>190</v>
      </c>
      <c r="AD19" s="318" t="s">
        <v>190</v>
      </c>
      <c r="AE19" t="s">
        <v>267</v>
      </c>
      <c r="AF19" t="s">
        <v>302</v>
      </c>
      <c r="AG19" t="s">
        <v>303</v>
      </c>
      <c r="AH19" t="s">
        <v>269</v>
      </c>
      <c r="AJ19" t="s">
        <v>29</v>
      </c>
    </row>
    <row r="20" spans="1:36" ht="15.75" x14ac:dyDescent="0.3">
      <c r="A20" s="250" t="s">
        <v>26</v>
      </c>
      <c r="B20" s="108" t="s">
        <v>27</v>
      </c>
      <c r="C20" s="102" t="s">
        <v>87</v>
      </c>
      <c r="D20" s="102"/>
      <c r="E20" s="104"/>
      <c r="F20" s="327" t="s">
        <v>46</v>
      </c>
      <c r="G20" s="164" t="e">
        <f>F20/F8</f>
        <v>#VALUE!</v>
      </c>
      <c r="H20" s="102"/>
      <c r="I20" s="102"/>
      <c r="J20" s="9" t="s">
        <v>10</v>
      </c>
      <c r="K20" s="7" t="str">
        <f>IF(F20="??","??",IF(G20&lt;15%,"Yes","No"))</f>
        <v>??</v>
      </c>
      <c r="L20" s="112" t="s">
        <v>130</v>
      </c>
      <c r="M20" s="77"/>
      <c r="O20" s="316" t="s">
        <v>304</v>
      </c>
      <c r="P20" s="317" t="str">
        <f t="shared" ca="1" si="0"/>
        <v>??</v>
      </c>
      <c r="Q20" t="str">
        <f ca="1">CELL("address",F23)</f>
        <v>$F$23</v>
      </c>
      <c r="R20" t="s">
        <v>305</v>
      </c>
      <c r="S20" t="str">
        <f t="shared" ca="1" si="1"/>
        <v>F23</v>
      </c>
      <c r="T20" s="318" t="str">
        <f ca="1">VLOOKUP(CELL("format",INDIRECT(Q20)),FormatLookup[],2,FALSE)</f>
        <v>0.0%</v>
      </c>
      <c r="U20" s="318" t="s">
        <v>204</v>
      </c>
      <c r="V20" t="str">
        <f>IF(ISBLANK(VLOOKUP(R20,Definitions48Gy4F[],5,FALSE)),"",VLOOKUP(R20,Definitions48Gy4F[],5,FALSE))</f>
        <v>%</v>
      </c>
      <c r="W20" s="319" t="b">
        <f ca="1">EXACT(config48Gy4F[[#This Row],[Address]],VLOOKUP(config48Gy4F[[#This Row],[Name]],Definitions48Gy4F[],2,FALSE))</f>
        <v>1</v>
      </c>
      <c r="X20" s="319" t="b">
        <f ca="1">IF(EXACT(config48Gy4F[[#This Row],[Extracted Format]],config48Gy4F[[#This Row],[Expected Format]]),TRUE,IF(EXACT(config48Gy4F[[#This Row],[Expected Format]],"@"),"Check",FALSE))</f>
        <v>1</v>
      </c>
      <c r="Y20" t="b">
        <f>IF(ISERROR(FIND(config48Gy4F[[#This Row],[Units]],config48Gy4F[[#This Row],[Label]])),"Check",TRUE)</f>
        <v>1</v>
      </c>
      <c r="AA20" t="s">
        <v>305</v>
      </c>
      <c r="AB20" t="s">
        <v>306</v>
      </c>
      <c r="AC20" s="318" t="s">
        <v>188</v>
      </c>
      <c r="AD20" s="318" t="s">
        <v>204</v>
      </c>
      <c r="AE20" t="s">
        <v>281</v>
      </c>
      <c r="AF20" t="s">
        <v>307</v>
      </c>
      <c r="AG20" t="s">
        <v>308</v>
      </c>
      <c r="AH20" t="s">
        <v>269</v>
      </c>
      <c r="AJ20" t="s">
        <v>287</v>
      </c>
    </row>
    <row r="21" spans="1:36" ht="16.5" thickBot="1" x14ac:dyDescent="0.35">
      <c r="A21" s="250" t="s">
        <v>26</v>
      </c>
      <c r="B21" s="245" t="s">
        <v>29</v>
      </c>
      <c r="C21" s="79" t="s">
        <v>86</v>
      </c>
      <c r="D21" s="79"/>
      <c r="E21" s="80"/>
      <c r="F21" s="328" t="s">
        <v>46</v>
      </c>
      <c r="G21" s="140" t="e">
        <f>'Calculations 48Gy4F_ or_ 60Gy5F'!J31</f>
        <v>#VALUE!</v>
      </c>
      <c r="H21" s="106" t="s">
        <v>26</v>
      </c>
      <c r="I21" s="79"/>
      <c r="J21" s="107" t="s">
        <v>12</v>
      </c>
      <c r="K21" s="8" t="str">
        <f>'Calculations 48Gy4F_ or_ 60Gy5F'!K31</f>
        <v>??</v>
      </c>
      <c r="L21" s="76" t="s">
        <v>37</v>
      </c>
      <c r="M21" s="77"/>
      <c r="O21" s="316" t="s">
        <v>309</v>
      </c>
      <c r="P21" s="317" t="str">
        <f t="shared" ca="1" si="0"/>
        <v>??</v>
      </c>
      <c r="Q21" t="str">
        <f ca="1">CELL("address",F24)</f>
        <v>$F$24</v>
      </c>
      <c r="R21" t="s">
        <v>310</v>
      </c>
      <c r="S21" t="str">
        <f t="shared" ca="1" si="1"/>
        <v>F24</v>
      </c>
      <c r="T21" s="318" t="str">
        <f ca="1">VLOOKUP(CELL("format",INDIRECT(Q21)),FormatLookup[],2,FALSE)</f>
        <v>0.00</v>
      </c>
      <c r="U21" s="319" t="s">
        <v>190</v>
      </c>
      <c r="V21" t="str">
        <f>IF(ISBLANK(VLOOKUP(R21,Definitions48Gy4F[],5,FALSE)),"",VLOOKUP(R21,Definitions48Gy4F[],5,FALSE))</f>
        <v>cc</v>
      </c>
      <c r="W21" s="319" t="b">
        <f ca="1">EXACT(config48Gy4F[[#This Row],[Address]],VLOOKUP(config48Gy4F[[#This Row],[Name]],Definitions48Gy4F[],2,FALSE))</f>
        <v>1</v>
      </c>
      <c r="X21" s="319" t="b">
        <f ca="1">IF(EXACT(config48Gy4F[[#This Row],[Extracted Format]],config48Gy4F[[#This Row],[Expected Format]]),TRUE,IF(EXACT(config48Gy4F[[#This Row],[Expected Format]],"@"),"Check",FALSE))</f>
        <v>1</v>
      </c>
      <c r="Y21" t="b">
        <f>IF(ISERROR(FIND(config48Gy4F[[#This Row],[Units]],config48Gy4F[[#This Row],[Label]])),"Check",TRUE)</f>
        <v>1</v>
      </c>
      <c r="AA21" t="s">
        <v>310</v>
      </c>
      <c r="AB21" t="s">
        <v>311</v>
      </c>
      <c r="AC21" s="318" t="s">
        <v>190</v>
      </c>
      <c r="AD21" s="318" t="s">
        <v>190</v>
      </c>
      <c r="AE21" t="s">
        <v>267</v>
      </c>
      <c r="AF21" t="s">
        <v>312</v>
      </c>
      <c r="AG21" t="s">
        <v>313</v>
      </c>
      <c r="AH21" t="s">
        <v>269</v>
      </c>
      <c r="AJ21" t="s">
        <v>29</v>
      </c>
    </row>
    <row r="22" spans="1:36" x14ac:dyDescent="0.2">
      <c r="A22" s="248"/>
      <c r="B22" s="100" t="s">
        <v>178</v>
      </c>
      <c r="C22" s="72"/>
      <c r="D22" s="219"/>
      <c r="E22" s="291"/>
      <c r="F22" s="291"/>
      <c r="G22" s="291"/>
      <c r="H22" s="219"/>
      <c r="I22" s="219"/>
      <c r="J22" s="291"/>
      <c r="K22" s="293"/>
      <c r="L22" s="76"/>
      <c r="M22" s="77"/>
      <c r="O22" s="316" t="s">
        <v>314</v>
      </c>
      <c r="P22" s="317" t="str">
        <f t="shared" ca="1" si="0"/>
        <v>??</v>
      </c>
      <c r="Q22" t="str">
        <f t="shared" ref="Q22:Q44" ca="1" si="2">CELL("address",F27)</f>
        <v>$F$27</v>
      </c>
      <c r="R22" t="s">
        <v>315</v>
      </c>
      <c r="S22" t="str">
        <f t="shared" ca="1" si="1"/>
        <v>F27</v>
      </c>
      <c r="T22" s="318" t="str">
        <f ca="1">VLOOKUP(CELL("format",INDIRECT(Q22)),FormatLookup[],2,FALSE)</f>
        <v>0.0%</v>
      </c>
      <c r="U22" s="319" t="s">
        <v>204</v>
      </c>
      <c r="V22" t="str">
        <f>IF(ISBLANK(VLOOKUP(R22,Definitions48Gy4F[],5,FALSE)),"",VLOOKUP(R22,Definitions48Gy4F[],5,FALSE))</f>
        <v>%</v>
      </c>
      <c r="W22" s="319" t="b">
        <f ca="1">EXACT(config48Gy4F[[#This Row],[Address]],VLOOKUP(config48Gy4F[[#This Row],[Name]],Definitions48Gy4F[],2,FALSE))</f>
        <v>1</v>
      </c>
      <c r="X22" s="319" t="b">
        <f ca="1">IF(EXACT(config48Gy4F[[#This Row],[Extracted Format]],config48Gy4F[[#This Row],[Expected Format]]),TRUE,IF(EXACT(config48Gy4F[[#This Row],[Expected Format]],"@"),"Check",FALSE))</f>
        <v>1</v>
      </c>
      <c r="Y22" t="b">
        <f>IF(ISERROR(FIND(config48Gy4F[[#This Row],[Units]],config48Gy4F[[#This Row],[Label]])),"Check",TRUE)</f>
        <v>1</v>
      </c>
      <c r="AA22" t="s">
        <v>315</v>
      </c>
      <c r="AB22" t="s">
        <v>316</v>
      </c>
      <c r="AC22" s="318" t="s">
        <v>204</v>
      </c>
      <c r="AD22" s="318" t="s">
        <v>204</v>
      </c>
      <c r="AE22" t="s">
        <v>281</v>
      </c>
      <c r="AF22" t="s">
        <v>317</v>
      </c>
      <c r="AG22" t="s">
        <v>141</v>
      </c>
      <c r="AH22" t="s">
        <v>269</v>
      </c>
      <c r="AI22" t="s">
        <v>278</v>
      </c>
      <c r="AJ22" t="s">
        <v>318</v>
      </c>
    </row>
    <row r="23" spans="1:36" ht="15.75" x14ac:dyDescent="0.3">
      <c r="A23" s="250" t="s">
        <v>26</v>
      </c>
      <c r="B23" s="108" t="s">
        <v>27</v>
      </c>
      <c r="C23" s="165" t="s">
        <v>127</v>
      </c>
      <c r="D23" s="102"/>
      <c r="E23" s="104"/>
      <c r="F23" s="152" t="s">
        <v>46</v>
      </c>
      <c r="G23" s="166"/>
      <c r="H23" s="111"/>
      <c r="I23" s="102"/>
      <c r="J23" s="151" t="e">
        <f ca="1">'Calculations 48Gy4F_ or_ 60Gy5F'!L27/100</f>
        <v>#N/A</v>
      </c>
      <c r="K23" s="7" t="str">
        <f>'Calculations 48Gy4F_ or_ 60Gy5F'!K33</f>
        <v>??</v>
      </c>
      <c r="L23" s="112" t="s">
        <v>131</v>
      </c>
      <c r="M23" s="113"/>
      <c r="N23" s="3"/>
      <c r="O23" s="316" t="s">
        <v>319</v>
      </c>
      <c r="P23" s="317" t="str">
        <f t="shared" ca="1" si="0"/>
        <v>??</v>
      </c>
      <c r="Q23" t="str">
        <f t="shared" ca="1" si="2"/>
        <v>$F$28</v>
      </c>
      <c r="R23" t="s">
        <v>320</v>
      </c>
      <c r="S23" t="str">
        <f t="shared" ca="1" si="1"/>
        <v>F28</v>
      </c>
      <c r="T23" s="318" t="str">
        <f ca="1">VLOOKUP(CELL("format",INDIRECT(Q23)),FormatLookup[],2,FALSE)</f>
        <v>0.00</v>
      </c>
      <c r="U23" s="319" t="s">
        <v>190</v>
      </c>
      <c r="V23" t="str">
        <f>IF(ISBLANK(VLOOKUP(R23,Definitions48Gy4F[],5,FALSE)),"",VLOOKUP(R23,Definitions48Gy4F[],5,FALSE))</f>
        <v>cc</v>
      </c>
      <c r="W23" s="319" t="b">
        <f ca="1">EXACT(config48Gy4F[[#This Row],[Address]],VLOOKUP(config48Gy4F[[#This Row],[Name]],Definitions48Gy4F[],2,FALSE))</f>
        <v>1</v>
      </c>
      <c r="X23" s="319" t="b">
        <f ca="1">IF(EXACT(config48Gy4F[[#This Row],[Extracted Format]],config48Gy4F[[#This Row],[Expected Format]]),TRUE,IF(EXACT(config48Gy4F[[#This Row],[Expected Format]],"@"),"Check",FALSE))</f>
        <v>1</v>
      </c>
      <c r="Y23" t="str">
        <f>IF(ISERROR(FIND(config48Gy4F[[#This Row],[Units]],config48Gy4F[[#This Row],[Label]])),"Check",TRUE)</f>
        <v>Check</v>
      </c>
      <c r="AA23" t="s">
        <v>320</v>
      </c>
      <c r="AB23" t="s">
        <v>321</v>
      </c>
      <c r="AC23" s="318" t="s">
        <v>190</v>
      </c>
      <c r="AD23" s="318" t="s">
        <v>190</v>
      </c>
      <c r="AE23" t="s">
        <v>267</v>
      </c>
      <c r="AF23" t="s">
        <v>44</v>
      </c>
      <c r="AG23" t="s">
        <v>141</v>
      </c>
      <c r="AH23" t="s">
        <v>269</v>
      </c>
      <c r="AI23" t="s">
        <v>278</v>
      </c>
      <c r="AJ23" t="s">
        <v>322</v>
      </c>
    </row>
    <row r="24" spans="1:36" ht="16.5" thickBot="1" x14ac:dyDescent="0.35">
      <c r="A24" s="250" t="s">
        <v>26</v>
      </c>
      <c r="B24" s="245" t="s">
        <v>29</v>
      </c>
      <c r="C24" s="167" t="s">
        <v>126</v>
      </c>
      <c r="D24" s="79"/>
      <c r="E24" s="168"/>
      <c r="F24" s="329" t="s">
        <v>46</v>
      </c>
      <c r="G24" s="114" t="e">
        <f>'Calculations 48Gy4F_ or_ 60Gy5F'!J32</f>
        <v>#VALUE!</v>
      </c>
      <c r="H24" s="115" t="s">
        <v>26</v>
      </c>
      <c r="I24" s="79"/>
      <c r="J24" s="134" t="e">
        <f ca="1">'Calculations 48Gy4F_ or_ 60Gy5F'!I27</f>
        <v>#N/A</v>
      </c>
      <c r="K24" s="71" t="str">
        <f>'Calculations 48Gy4F_ or_ 60Gy5F'!K32</f>
        <v>??</v>
      </c>
      <c r="L24" s="112" t="s">
        <v>132</v>
      </c>
      <c r="M24" s="77"/>
      <c r="O24" s="316" t="s">
        <v>323</v>
      </c>
      <c r="P24" s="317" t="str">
        <f t="shared" ca="1" si="0"/>
        <v>??</v>
      </c>
      <c r="Q24" t="str">
        <f t="shared" ca="1" si="2"/>
        <v>$F$29</v>
      </c>
      <c r="R24" t="s">
        <v>324</v>
      </c>
      <c r="S24" t="str">
        <f t="shared" ca="1" si="1"/>
        <v>F29</v>
      </c>
      <c r="T24" s="318" t="str">
        <f ca="1">VLOOKUP(CELL("format",INDIRECT(Q24)),FormatLookup[],2,FALSE)</f>
        <v>0.00</v>
      </c>
      <c r="U24" s="319" t="s">
        <v>190</v>
      </c>
      <c r="V24" t="str">
        <f>IF(ISBLANK(VLOOKUP(R24,Definitions48Gy4F[],5,FALSE)),"",VLOOKUP(R24,Definitions48Gy4F[],5,FALSE))</f>
        <v>cc</v>
      </c>
      <c r="W24" s="319" t="b">
        <f ca="1">EXACT(config48Gy4F[[#This Row],[Address]],VLOOKUP(config48Gy4F[[#This Row],[Name]],Definitions48Gy4F[],2,FALSE))</f>
        <v>1</v>
      </c>
      <c r="X24" s="319" t="b">
        <f ca="1">IF(EXACT(config48Gy4F[[#This Row],[Extracted Format]],config48Gy4F[[#This Row],[Expected Format]]),TRUE,IF(EXACT(config48Gy4F[[#This Row],[Expected Format]],"@"),"Check",FALSE))</f>
        <v>1</v>
      </c>
      <c r="Y24" t="str">
        <f>IF(ISERROR(FIND(config48Gy4F[[#This Row],[Units]],config48Gy4F[[#This Row],[Label]])),"Check",TRUE)</f>
        <v>Check</v>
      </c>
      <c r="AA24" t="s">
        <v>324</v>
      </c>
      <c r="AB24" t="s">
        <v>325</v>
      </c>
      <c r="AC24" s="318" t="s">
        <v>190</v>
      </c>
      <c r="AD24" s="318" t="s">
        <v>190</v>
      </c>
      <c r="AE24" t="s">
        <v>267</v>
      </c>
      <c r="AF24" t="s">
        <v>45</v>
      </c>
      <c r="AG24" t="s">
        <v>141</v>
      </c>
      <c r="AH24" t="s">
        <v>269</v>
      </c>
      <c r="AI24" t="s">
        <v>278</v>
      </c>
      <c r="AJ24" t="s">
        <v>326</v>
      </c>
    </row>
    <row r="25" spans="1:36" x14ac:dyDescent="0.2">
      <c r="A25" s="248"/>
      <c r="B25" s="89" t="s">
        <v>170</v>
      </c>
      <c r="C25" s="84"/>
      <c r="D25" s="84"/>
      <c r="E25" s="85"/>
      <c r="F25" s="97" t="s">
        <v>122</v>
      </c>
      <c r="G25" s="90" t="s">
        <v>128</v>
      </c>
      <c r="H25" s="116"/>
      <c r="I25" s="116"/>
      <c r="J25" s="117" t="s">
        <v>24</v>
      </c>
      <c r="K25" s="118"/>
      <c r="L25" s="76"/>
      <c r="M25" s="77"/>
      <c r="O25" s="316" t="s">
        <v>327</v>
      </c>
      <c r="P25" s="317" t="str">
        <f t="shared" ca="1" si="0"/>
        <v>??</v>
      </c>
      <c r="Q25" t="str">
        <f t="shared" ca="1" si="2"/>
        <v>$F$30</v>
      </c>
      <c r="R25" t="s">
        <v>328</v>
      </c>
      <c r="S25" t="str">
        <f t="shared" ca="1" si="1"/>
        <v>F30</v>
      </c>
      <c r="T25" s="318" t="str">
        <f ca="1">VLOOKUP(CELL("format",INDIRECT(Q25)),FormatLookup[],2,FALSE)</f>
        <v>0.0</v>
      </c>
      <c r="U25" s="319" t="s">
        <v>188</v>
      </c>
      <c r="V25" t="str">
        <f>IF(ISBLANK(VLOOKUP(R25,Definitions48Gy4F[],5,FALSE)),"",VLOOKUP(R25,Definitions48Gy4F[],5,FALSE))</f>
        <v>cGy</v>
      </c>
      <c r="W25" s="319" t="b">
        <f ca="1">EXACT(config48Gy4F[[#This Row],[Address]],VLOOKUP(config48Gy4F[[#This Row],[Name]],Definitions48Gy4F[],2,FALSE))</f>
        <v>1</v>
      </c>
      <c r="X25" s="319" t="b">
        <f ca="1">IF(EXACT(config48Gy4F[[#This Row],[Extracted Format]],config48Gy4F[[#This Row],[Expected Format]]),TRUE,IF(EXACT(config48Gy4F[[#This Row],[Expected Format]],"@"),"Check",FALSE))</f>
        <v>1</v>
      </c>
      <c r="Y25" t="str">
        <f>IF(ISERROR(FIND(config48Gy4F[[#This Row],[Units]],config48Gy4F[[#This Row],[Label]])),"Check",TRUE)</f>
        <v>Check</v>
      </c>
      <c r="AA25" t="s">
        <v>328</v>
      </c>
      <c r="AB25" t="s">
        <v>329</v>
      </c>
      <c r="AC25" s="318" t="s">
        <v>188</v>
      </c>
      <c r="AD25" s="318" t="s">
        <v>188</v>
      </c>
      <c r="AE25" t="s">
        <v>260</v>
      </c>
      <c r="AF25" t="s">
        <v>330</v>
      </c>
      <c r="AG25" t="s">
        <v>331</v>
      </c>
      <c r="AH25" t="s">
        <v>269</v>
      </c>
      <c r="AJ25" t="s">
        <v>287</v>
      </c>
    </row>
    <row r="26" spans="1:36" ht="13.5" thickBot="1" x14ac:dyDescent="0.25">
      <c r="A26" s="250" t="s">
        <v>26</v>
      </c>
      <c r="B26" s="84"/>
      <c r="C26" s="84"/>
      <c r="D26" s="84"/>
      <c r="E26" s="85"/>
      <c r="F26" s="97" t="s">
        <v>123</v>
      </c>
      <c r="G26" s="90"/>
      <c r="H26" s="116"/>
      <c r="I26" s="116"/>
      <c r="J26" s="153" t="s">
        <v>121</v>
      </c>
      <c r="K26" s="118"/>
      <c r="L26" s="76"/>
      <c r="M26" s="77"/>
      <c r="O26" s="316" t="s">
        <v>332</v>
      </c>
      <c r="P26" s="317" t="str">
        <f t="shared" ca="1" si="0"/>
        <v>??</v>
      </c>
      <c r="Q26" t="str">
        <f t="shared" ca="1" si="2"/>
        <v>$F$31</v>
      </c>
      <c r="R26" t="s">
        <v>333</v>
      </c>
      <c r="S26" t="str">
        <f t="shared" ca="1" si="1"/>
        <v>F31</v>
      </c>
      <c r="T26" s="318" t="str">
        <f ca="1">VLOOKUP(CELL("format",INDIRECT(Q26)),FormatLookup[],2,FALSE)</f>
        <v>0.00</v>
      </c>
      <c r="U26" s="319" t="s">
        <v>190</v>
      </c>
      <c r="V26" t="str">
        <f>IF(ISBLANK(VLOOKUP(R26,Definitions48Gy4F[],5,FALSE)),"",VLOOKUP(R26,Definitions48Gy4F[],5,FALSE))</f>
        <v>cc</v>
      </c>
      <c r="W26" s="319" t="b">
        <f ca="1">EXACT(config48Gy4F[[#This Row],[Address]],VLOOKUP(config48Gy4F[[#This Row],[Name]],Definitions48Gy4F[],2,FALSE))</f>
        <v>1</v>
      </c>
      <c r="X26" s="319" t="b">
        <f ca="1">IF(EXACT(config48Gy4F[[#This Row],[Extracted Format]],config48Gy4F[[#This Row],[Expected Format]]),TRUE,IF(EXACT(config48Gy4F[[#This Row],[Expected Format]],"@"),"Check",FALSE))</f>
        <v>1</v>
      </c>
      <c r="Y26" t="str">
        <f>IF(ISERROR(FIND(config48Gy4F[[#This Row],[Units]],config48Gy4F[[#This Row],[Label]])),"Check",TRUE)</f>
        <v>Check</v>
      </c>
      <c r="AA26" t="s">
        <v>333</v>
      </c>
      <c r="AB26" t="s">
        <v>334</v>
      </c>
      <c r="AC26" s="318" t="s">
        <v>190</v>
      </c>
      <c r="AD26" s="318" t="s">
        <v>190</v>
      </c>
      <c r="AE26" t="s">
        <v>267</v>
      </c>
      <c r="AF26" t="s">
        <v>335</v>
      </c>
      <c r="AG26" t="s">
        <v>331</v>
      </c>
      <c r="AH26" t="s">
        <v>269</v>
      </c>
      <c r="AJ26" t="s">
        <v>336</v>
      </c>
    </row>
    <row r="27" spans="1:36" ht="14.25" x14ac:dyDescent="0.25">
      <c r="A27" s="249"/>
      <c r="B27" s="246" t="s">
        <v>141</v>
      </c>
      <c r="C27" s="72"/>
      <c r="D27" s="374" t="s">
        <v>118</v>
      </c>
      <c r="E27" s="375"/>
      <c r="F27" s="220" t="s">
        <v>46</v>
      </c>
      <c r="G27" s="221" t="s">
        <v>26</v>
      </c>
      <c r="H27" s="219"/>
      <c r="I27" s="219"/>
      <c r="J27" s="222" t="s">
        <v>47</v>
      </c>
      <c r="K27" s="224" t="str">
        <f>'Calculations 48Gy4F_ or_ 60Gy5F'!K34</f>
        <v>??</v>
      </c>
      <c r="L27" s="169" t="s">
        <v>36</v>
      </c>
      <c r="M27" s="77"/>
      <c r="O27" s="316" t="s">
        <v>337</v>
      </c>
      <c r="P27" s="317" t="str">
        <f t="shared" ca="1" si="0"/>
        <v>??</v>
      </c>
      <c r="Q27" t="str">
        <f t="shared" ca="1" si="2"/>
        <v>$F$32</v>
      </c>
      <c r="R27" t="s">
        <v>338</v>
      </c>
      <c r="S27" t="str">
        <f t="shared" ca="1" si="1"/>
        <v>F32</v>
      </c>
      <c r="T27" s="318" t="str">
        <f ca="1">VLOOKUP(CELL("format",INDIRECT(Q27)),FormatLookup[],2,FALSE)</f>
        <v>0.0</v>
      </c>
      <c r="U27" s="319" t="s">
        <v>188</v>
      </c>
      <c r="V27" t="str">
        <f>IF(ISBLANK(VLOOKUP(R27,Definitions48Gy4F[],5,FALSE)),"",VLOOKUP(R27,Definitions48Gy4F[],5,FALSE))</f>
        <v>cGy</v>
      </c>
      <c r="W27" s="319" t="b">
        <f ca="1">EXACT(config48Gy4F[[#This Row],[Address]],VLOOKUP(config48Gy4F[[#This Row],[Name]],Definitions48Gy4F[],2,FALSE))</f>
        <v>1</v>
      </c>
      <c r="X27" s="319" t="b">
        <f ca="1">IF(EXACT(config48Gy4F[[#This Row],[Extracted Format]],config48Gy4F[[#This Row],[Expected Format]]),TRUE,IF(EXACT(config48Gy4F[[#This Row],[Expected Format]],"@"),"Check",FALSE))</f>
        <v>1</v>
      </c>
      <c r="Y27" t="str">
        <f>IF(ISERROR(FIND(config48Gy4F[[#This Row],[Units]],config48Gy4F[[#This Row],[Label]])),"Check",TRUE)</f>
        <v>Check</v>
      </c>
      <c r="AA27" t="s">
        <v>338</v>
      </c>
      <c r="AB27" t="s">
        <v>339</v>
      </c>
      <c r="AC27" s="318" t="s">
        <v>188</v>
      </c>
      <c r="AD27" s="318" t="s">
        <v>188</v>
      </c>
      <c r="AE27" t="s">
        <v>260</v>
      </c>
      <c r="AF27" t="s">
        <v>340</v>
      </c>
      <c r="AG27" t="s">
        <v>341</v>
      </c>
      <c r="AH27" t="s">
        <v>269</v>
      </c>
      <c r="AJ27" t="s">
        <v>287</v>
      </c>
    </row>
    <row r="28" spans="1:36" ht="14.25" x14ac:dyDescent="0.25">
      <c r="A28" s="249"/>
      <c r="B28" s="84" t="s">
        <v>44</v>
      </c>
      <c r="C28" s="84"/>
      <c r="D28" s="372" t="s">
        <v>120</v>
      </c>
      <c r="E28" s="373"/>
      <c r="F28" s="327" t="s">
        <v>46</v>
      </c>
      <c r="G28" s="170"/>
      <c r="H28" s="102"/>
      <c r="I28" s="102"/>
      <c r="J28" s="171">
        <v>1500</v>
      </c>
      <c r="K28" s="149" t="str">
        <f>IF(F28="??","??",IF(F28&lt;=J28,"Yes","No"))</f>
        <v>??</v>
      </c>
      <c r="L28" s="172" t="s">
        <v>134</v>
      </c>
      <c r="M28" s="173"/>
      <c r="N28" s="4"/>
      <c r="O28" s="316" t="s">
        <v>342</v>
      </c>
      <c r="P28" s="317" t="str">
        <f t="shared" ca="1" si="0"/>
        <v>??</v>
      </c>
      <c r="Q28" t="str">
        <f t="shared" ca="1" si="2"/>
        <v>$F$33</v>
      </c>
      <c r="R28" t="s">
        <v>343</v>
      </c>
      <c r="S28" t="str">
        <f t="shared" ca="1" si="1"/>
        <v>F33</v>
      </c>
      <c r="T28" s="318" t="str">
        <f ca="1">VLOOKUP(CELL("format",INDIRECT(Q28)),FormatLookup[],2,FALSE)</f>
        <v>0.00</v>
      </c>
      <c r="U28" s="319" t="s">
        <v>190</v>
      </c>
      <c r="V28" t="str">
        <f>IF(ISBLANK(VLOOKUP(R28,Definitions48Gy4F[],5,FALSE)),"",VLOOKUP(R28,Definitions48Gy4F[],5,FALSE))</f>
        <v>cc</v>
      </c>
      <c r="W28" s="319" t="b">
        <f ca="1">EXACT(config48Gy4F[[#This Row],[Address]],VLOOKUP(config48Gy4F[[#This Row],[Name]],Definitions48Gy4F[],2,FALSE))</f>
        <v>1</v>
      </c>
      <c r="X28" s="319" t="b">
        <f ca="1">IF(EXACT(config48Gy4F[[#This Row],[Extracted Format]],config48Gy4F[[#This Row],[Expected Format]]),TRUE,IF(EXACT(config48Gy4F[[#This Row],[Expected Format]],"@"),"Check",FALSE))</f>
        <v>1</v>
      </c>
      <c r="Y28" t="str">
        <f>IF(ISERROR(FIND(config48Gy4F[[#This Row],[Units]],config48Gy4F[[#This Row],[Label]])),"Check",TRUE)</f>
        <v>Check</v>
      </c>
      <c r="AA28" t="s">
        <v>343</v>
      </c>
      <c r="AB28" t="s">
        <v>344</v>
      </c>
      <c r="AC28" s="318" t="s">
        <v>190</v>
      </c>
      <c r="AD28" s="318" t="s">
        <v>190</v>
      </c>
      <c r="AE28" t="s">
        <v>267</v>
      </c>
      <c r="AF28" t="s">
        <v>345</v>
      </c>
      <c r="AG28" t="s">
        <v>341</v>
      </c>
      <c r="AH28" t="s">
        <v>269</v>
      </c>
      <c r="AJ28" t="s">
        <v>336</v>
      </c>
    </row>
    <row r="29" spans="1:36" ht="14.25" x14ac:dyDescent="0.25">
      <c r="A29" s="249"/>
      <c r="B29" s="116" t="s">
        <v>45</v>
      </c>
      <c r="C29" s="84"/>
      <c r="D29" s="376" t="s">
        <v>119</v>
      </c>
      <c r="E29" s="377"/>
      <c r="F29" s="330" t="s">
        <v>46</v>
      </c>
      <c r="G29" s="170"/>
      <c r="H29" s="84"/>
      <c r="I29" s="84"/>
      <c r="J29" s="117">
        <v>1000</v>
      </c>
      <c r="K29" s="149" t="str">
        <f>IF(F29="??","??",IF(F29&lt;=J29,"Yes","No"))</f>
        <v>??</v>
      </c>
      <c r="L29" s="172" t="s">
        <v>152</v>
      </c>
      <c r="M29" s="173"/>
      <c r="N29" s="4"/>
      <c r="O29" s="316" t="s">
        <v>346</v>
      </c>
      <c r="P29" s="317" t="str">
        <f t="shared" ca="1" si="0"/>
        <v>??</v>
      </c>
      <c r="Q29" t="str">
        <f t="shared" ca="1" si="2"/>
        <v>$F$34</v>
      </c>
      <c r="R29" t="s">
        <v>347</v>
      </c>
      <c r="S29" t="str">
        <f t="shared" ca="1" si="1"/>
        <v>F34</v>
      </c>
      <c r="T29" s="318" t="str">
        <f ca="1">VLOOKUP(CELL("format",INDIRECT(Q29)),FormatLookup[],2,FALSE)</f>
        <v>0.0</v>
      </c>
      <c r="U29" s="319" t="s">
        <v>188</v>
      </c>
      <c r="V29" t="str">
        <f>IF(ISBLANK(VLOOKUP(R29,Definitions48Gy4F[],5,FALSE)),"",VLOOKUP(R29,Definitions48Gy4F[],5,FALSE))</f>
        <v>cGy</v>
      </c>
      <c r="W29" s="319" t="b">
        <f ca="1">EXACT(config48Gy4F[[#This Row],[Address]],VLOOKUP(config48Gy4F[[#This Row],[Name]],Definitions48Gy4F[],2,FALSE))</f>
        <v>1</v>
      </c>
      <c r="X29" s="319" t="b">
        <f ca="1">IF(EXACT(config48Gy4F[[#This Row],[Extracted Format]],config48Gy4F[[#This Row],[Expected Format]]),TRUE,IF(EXACT(config48Gy4F[[#This Row],[Expected Format]],"@"),"Check",FALSE))</f>
        <v>1</v>
      </c>
      <c r="Y29" t="str">
        <f>IF(ISERROR(FIND(config48Gy4F[[#This Row],[Units]],config48Gy4F[[#This Row],[Label]])),"Check",TRUE)</f>
        <v>Check</v>
      </c>
      <c r="AA29" t="s">
        <v>347</v>
      </c>
      <c r="AB29" t="s">
        <v>348</v>
      </c>
      <c r="AC29" s="318" t="s">
        <v>188</v>
      </c>
      <c r="AD29" s="318" t="s">
        <v>188</v>
      </c>
      <c r="AE29" t="s">
        <v>260</v>
      </c>
      <c r="AF29" t="s">
        <v>349</v>
      </c>
      <c r="AG29" t="s">
        <v>15</v>
      </c>
      <c r="AH29" t="s">
        <v>269</v>
      </c>
      <c r="AJ29" t="s">
        <v>287</v>
      </c>
    </row>
    <row r="30" spans="1:36" x14ac:dyDescent="0.2">
      <c r="A30" s="249"/>
      <c r="B30" s="247" t="s">
        <v>98</v>
      </c>
      <c r="C30" s="91" t="s">
        <v>26</v>
      </c>
      <c r="D30" s="91"/>
      <c r="E30" s="264" t="s">
        <v>40</v>
      </c>
      <c r="F30" s="334" t="s">
        <v>46</v>
      </c>
      <c r="G30" s="98"/>
      <c r="H30" s="91"/>
      <c r="I30" s="91"/>
      <c r="J30" s="92">
        <v>4800</v>
      </c>
      <c r="K30" s="7" t="str">
        <f>IF(F30="??","??",IF(F30&lt;=4800,"Yes","No"))</f>
        <v>??</v>
      </c>
      <c r="L30" s="112" t="s">
        <v>114</v>
      </c>
      <c r="M30" s="77"/>
      <c r="O30" s="316" t="s">
        <v>350</v>
      </c>
      <c r="P30" s="317" t="str">
        <f t="shared" ca="1" si="0"/>
        <v>??</v>
      </c>
      <c r="Q30" t="str">
        <f t="shared" ca="1" si="2"/>
        <v>$F$35</v>
      </c>
      <c r="R30" t="s">
        <v>351</v>
      </c>
      <c r="S30" t="str">
        <f t="shared" ca="1" si="1"/>
        <v>F35</v>
      </c>
      <c r="T30" s="318" t="str">
        <f ca="1">VLOOKUP(CELL("format",INDIRECT(Q30)),FormatLookup[],2,FALSE)</f>
        <v>0.00</v>
      </c>
      <c r="U30" s="319" t="s">
        <v>190</v>
      </c>
      <c r="V30" t="str">
        <f>IF(ISBLANK(VLOOKUP(R30,Definitions48Gy4F[],5,FALSE)),"",VLOOKUP(R30,Definitions48Gy4F[],5,FALSE))</f>
        <v>cc</v>
      </c>
      <c r="W30" s="319" t="b">
        <f ca="1">EXACT(config48Gy4F[[#This Row],[Address]],VLOOKUP(config48Gy4F[[#This Row],[Name]],Definitions48Gy4F[],2,FALSE))</f>
        <v>1</v>
      </c>
      <c r="X30" s="319" t="b">
        <f ca="1">IF(EXACT(config48Gy4F[[#This Row],[Extracted Format]],config48Gy4F[[#This Row],[Expected Format]]),TRUE,IF(EXACT(config48Gy4F[[#This Row],[Expected Format]],"@"),"Check",FALSE))</f>
        <v>1</v>
      </c>
      <c r="Y30" t="str">
        <f>IF(ISERROR(FIND(config48Gy4F[[#This Row],[Units]],config48Gy4F[[#This Row],[Label]])),"Check",TRUE)</f>
        <v>Check</v>
      </c>
      <c r="AA30" t="s">
        <v>351</v>
      </c>
      <c r="AB30" t="s">
        <v>352</v>
      </c>
      <c r="AC30" s="318" t="s">
        <v>190</v>
      </c>
      <c r="AD30" s="318" t="s">
        <v>190</v>
      </c>
      <c r="AE30" t="s">
        <v>267</v>
      </c>
      <c r="AF30" t="s">
        <v>353</v>
      </c>
      <c r="AG30" t="s">
        <v>15</v>
      </c>
      <c r="AH30" t="s">
        <v>269</v>
      </c>
      <c r="AJ30" t="s">
        <v>354</v>
      </c>
    </row>
    <row r="31" spans="1:36" ht="14.25" x14ac:dyDescent="0.2">
      <c r="A31" s="249"/>
      <c r="B31" s="175"/>
      <c r="C31" s="175"/>
      <c r="D31" s="120"/>
      <c r="E31" s="176" t="s">
        <v>102</v>
      </c>
      <c r="F31" s="331" t="str">
        <f>IF(F30&lt;=4000,"OK","??")</f>
        <v>??</v>
      </c>
      <c r="G31" s="104" t="s">
        <v>26</v>
      </c>
      <c r="H31" s="102"/>
      <c r="I31" s="102"/>
      <c r="J31" s="177">
        <v>10</v>
      </c>
      <c r="K31" s="7" t="str">
        <f>IF(F31="??","??",IF(F31&lt;=10,"Yes",IF(F31="OK","Yes","No")))</f>
        <v>??</v>
      </c>
      <c r="L31" s="76" t="s">
        <v>114</v>
      </c>
      <c r="M31" s="77"/>
      <c r="N31" s="138" t="s">
        <v>26</v>
      </c>
      <c r="O31" s="316" t="s">
        <v>355</v>
      </c>
      <c r="P31" s="317" t="str">
        <f t="shared" ca="1" si="0"/>
        <v>??</v>
      </c>
      <c r="Q31" t="str">
        <f t="shared" ca="1" si="2"/>
        <v>$F$36</v>
      </c>
      <c r="R31" t="s">
        <v>356</v>
      </c>
      <c r="S31" t="str">
        <f t="shared" ca="1" si="1"/>
        <v>F36</v>
      </c>
      <c r="T31" s="318" t="str">
        <f ca="1">VLOOKUP(CELL("format",INDIRECT(Q31)),FormatLookup[],2,FALSE)</f>
        <v>0.00</v>
      </c>
      <c r="U31" s="319" t="s">
        <v>190</v>
      </c>
      <c r="V31" t="str">
        <f>IF(ISBLANK(VLOOKUP(R31,Definitions48Gy4F[],5,FALSE)),"",VLOOKUP(R31,Definitions48Gy4F[],5,FALSE))</f>
        <v>cc</v>
      </c>
      <c r="W31" s="319" t="b">
        <f ca="1">EXACT(config48Gy4F[[#This Row],[Address]],VLOOKUP(config48Gy4F[[#This Row],[Name]],Definitions48Gy4F[],2,FALSE))</f>
        <v>1</v>
      </c>
      <c r="X31" s="319" t="b">
        <f ca="1">IF(EXACT(config48Gy4F[[#This Row],[Extracted Format]],config48Gy4F[[#This Row],[Expected Format]]),TRUE,IF(EXACT(config48Gy4F[[#This Row],[Expected Format]],"@"),"Check",FALSE))</f>
        <v>1</v>
      </c>
      <c r="Y31" t="str">
        <f>IF(ISERROR(FIND(config48Gy4F[[#This Row],[Units]],config48Gy4F[[#This Row],[Label]])),"Check",TRUE)</f>
        <v>Check</v>
      </c>
      <c r="AA31" t="s">
        <v>356</v>
      </c>
      <c r="AB31" t="s">
        <v>357</v>
      </c>
      <c r="AC31" s="318" t="s">
        <v>190</v>
      </c>
      <c r="AD31" s="318" t="s">
        <v>190</v>
      </c>
      <c r="AE31" t="s">
        <v>267</v>
      </c>
      <c r="AF31" t="s">
        <v>358</v>
      </c>
      <c r="AG31" t="s">
        <v>15</v>
      </c>
      <c r="AH31" t="s">
        <v>269</v>
      </c>
      <c r="AJ31" t="s">
        <v>359</v>
      </c>
    </row>
    <row r="32" spans="1:36" x14ac:dyDescent="0.2">
      <c r="A32" s="249"/>
      <c r="B32" s="116" t="s">
        <v>163</v>
      </c>
      <c r="C32" s="84"/>
      <c r="D32" s="265"/>
      <c r="E32" s="264" t="s">
        <v>40</v>
      </c>
      <c r="F32" s="335" t="s">
        <v>46</v>
      </c>
      <c r="G32" s="144" t="s">
        <v>26</v>
      </c>
      <c r="H32" s="102"/>
      <c r="I32" s="102"/>
      <c r="J32" s="177">
        <v>4800</v>
      </c>
      <c r="K32" s="7" t="str">
        <f>IF(F32="??","??",IF(F32&lt;=4800,"Yes","No"))</f>
        <v>??</v>
      </c>
      <c r="L32" s="76" t="s">
        <v>114</v>
      </c>
      <c r="M32" s="77"/>
      <c r="O32" s="316" t="s">
        <v>360</v>
      </c>
      <c r="P32" s="317" t="str">
        <f t="shared" ca="1" si="0"/>
        <v>??</v>
      </c>
      <c r="Q32" t="str">
        <f t="shared" ca="1" si="2"/>
        <v>$F$37</v>
      </c>
      <c r="R32" t="s">
        <v>361</v>
      </c>
      <c r="S32" t="str">
        <f t="shared" ca="1" si="1"/>
        <v>F37</v>
      </c>
      <c r="T32" s="318" t="str">
        <f ca="1">VLOOKUP(CELL("format",INDIRECT(Q32)),FormatLookup[],2,FALSE)</f>
        <v>0.0</v>
      </c>
      <c r="U32" s="319" t="s">
        <v>188</v>
      </c>
      <c r="V32" t="str">
        <f>IF(ISBLANK(VLOOKUP(R32,Definitions48Gy4F[],5,FALSE)),"",VLOOKUP(R32,Definitions48Gy4F[],5,FALSE))</f>
        <v>cGy</v>
      </c>
      <c r="W32" s="319" t="b">
        <f ca="1">EXACT(config48Gy4F[[#This Row],[Address]],VLOOKUP(config48Gy4F[[#This Row],[Name]],Definitions48Gy4F[],2,FALSE))</f>
        <v>1</v>
      </c>
      <c r="X32" s="319" t="b">
        <f ca="1">IF(EXACT(config48Gy4F[[#This Row],[Extracted Format]],config48Gy4F[[#This Row],[Expected Format]]),TRUE,IF(EXACT(config48Gy4F[[#This Row],[Expected Format]],"@"),"Check",FALSE))</f>
        <v>1</v>
      </c>
      <c r="Y32" t="str">
        <f>IF(ISERROR(FIND(config48Gy4F[[#This Row],[Units]],config48Gy4F[[#This Row],[Label]])),"Check",TRUE)</f>
        <v>Check</v>
      </c>
      <c r="AA32" t="s">
        <v>361</v>
      </c>
      <c r="AB32" t="s">
        <v>362</v>
      </c>
      <c r="AC32" s="318" t="s">
        <v>188</v>
      </c>
      <c r="AD32" s="318" t="s">
        <v>188</v>
      </c>
      <c r="AE32" t="s">
        <v>260</v>
      </c>
      <c r="AF32" t="s">
        <v>363</v>
      </c>
      <c r="AG32" t="s">
        <v>364</v>
      </c>
      <c r="AH32" t="s">
        <v>269</v>
      </c>
      <c r="AJ32" t="s">
        <v>287</v>
      </c>
    </row>
    <row r="33" spans="1:36" ht="14.25" x14ac:dyDescent="0.2">
      <c r="A33" s="249"/>
      <c r="B33" s="175"/>
      <c r="C33" s="175"/>
      <c r="D33" s="120"/>
      <c r="E33" s="176" t="s">
        <v>102</v>
      </c>
      <c r="F33" s="331" t="str">
        <f>IF(F32&lt;=4000,"OK","??")</f>
        <v>??</v>
      </c>
      <c r="G33" s="104"/>
      <c r="H33" s="102"/>
      <c r="I33" s="102"/>
      <c r="J33" s="177">
        <v>10</v>
      </c>
      <c r="K33" s="7" t="str">
        <f>IF(F33="??","??",IF(F33&lt;=10,"Yes",IF(F33="OK","Yes","No")))</f>
        <v>??</v>
      </c>
      <c r="L33" s="112" t="s">
        <v>114</v>
      </c>
      <c r="M33" s="77"/>
      <c r="O33" s="316" t="s">
        <v>365</v>
      </c>
      <c r="P33" s="317" t="str">
        <f t="shared" ca="1" si="0"/>
        <v>??</v>
      </c>
      <c r="Q33" t="str">
        <f t="shared" ca="1" si="2"/>
        <v>$F$38</v>
      </c>
      <c r="R33" t="s">
        <v>366</v>
      </c>
      <c r="S33" t="str">
        <f t="shared" ca="1" si="1"/>
        <v>F38</v>
      </c>
      <c r="T33" s="318" t="str">
        <f ca="1">VLOOKUP(CELL("format",INDIRECT(Q33)),FormatLookup[],2,FALSE)</f>
        <v>0.0</v>
      </c>
      <c r="U33" s="319" t="s">
        <v>188</v>
      </c>
      <c r="V33" t="str">
        <f>IF(ISBLANK(VLOOKUP(R33,Definitions48Gy4F[],5,FALSE)),"",VLOOKUP(R33,Definitions48Gy4F[],5,FALSE))</f>
        <v>cGy</v>
      </c>
      <c r="W33" s="319" t="b">
        <f ca="1">EXACT(config48Gy4F[[#This Row],[Address]],VLOOKUP(config48Gy4F[[#This Row],[Name]],Definitions48Gy4F[],2,FALSE))</f>
        <v>1</v>
      </c>
      <c r="X33" s="319" t="b">
        <f ca="1">IF(EXACT(config48Gy4F[[#This Row],[Extracted Format]],config48Gy4F[[#This Row],[Expected Format]]),TRUE,IF(EXACT(config48Gy4F[[#This Row],[Expected Format]],"@"),"Check",FALSE))</f>
        <v>1</v>
      </c>
      <c r="Y33" t="str">
        <f>IF(ISERROR(FIND(config48Gy4F[[#This Row],[Units]],config48Gy4F[[#This Row],[Label]])),"Check",TRUE)</f>
        <v>Check</v>
      </c>
      <c r="AA33" t="s">
        <v>366</v>
      </c>
      <c r="AB33" t="s">
        <v>367</v>
      </c>
      <c r="AC33" s="318" t="s">
        <v>188</v>
      </c>
      <c r="AD33" s="318" t="s">
        <v>188</v>
      </c>
      <c r="AE33" t="s">
        <v>260</v>
      </c>
      <c r="AF33" t="s">
        <v>368</v>
      </c>
      <c r="AG33" t="s">
        <v>129</v>
      </c>
      <c r="AH33" t="s">
        <v>269</v>
      </c>
      <c r="AI33" t="s">
        <v>369</v>
      </c>
      <c r="AJ33" t="s">
        <v>287</v>
      </c>
    </row>
    <row r="34" spans="1:36" x14ac:dyDescent="0.2">
      <c r="A34" s="249"/>
      <c r="B34" s="84" t="s">
        <v>15</v>
      </c>
      <c r="C34" s="84"/>
      <c r="D34" s="91"/>
      <c r="E34" s="266" t="s">
        <v>40</v>
      </c>
      <c r="F34" s="341" t="s">
        <v>46</v>
      </c>
      <c r="G34" s="85"/>
      <c r="H34" s="116" t="s">
        <v>26</v>
      </c>
      <c r="I34" s="84"/>
      <c r="J34" s="103">
        <v>2600</v>
      </c>
      <c r="K34" s="7" t="str">
        <f>IF(F34="??","??",IF(F34&lt;=2600,"Yes","No"))</f>
        <v>??</v>
      </c>
      <c r="L34" s="76" t="s">
        <v>41</v>
      </c>
      <c r="M34" s="77"/>
      <c r="O34" s="316" t="s">
        <v>370</v>
      </c>
      <c r="P34" s="317" t="str">
        <f t="shared" ca="1" si="0"/>
        <v>??</v>
      </c>
      <c r="Q34" t="str">
        <f t="shared" ca="1" si="2"/>
        <v>$F$39</v>
      </c>
      <c r="R34" t="s">
        <v>371</v>
      </c>
      <c r="S34" t="str">
        <f t="shared" ca="1" si="1"/>
        <v>F39</v>
      </c>
      <c r="T34" s="318" t="str">
        <f ca="1">VLOOKUP(CELL("format",INDIRECT(Q34)),FormatLookup[],2,FALSE)</f>
        <v>0.00</v>
      </c>
      <c r="U34" s="319" t="s">
        <v>190</v>
      </c>
      <c r="V34" t="str">
        <f>IF(ISBLANK(VLOOKUP(R34,Definitions48Gy4F[],5,FALSE)),"",VLOOKUP(R34,Definitions48Gy4F[],5,FALSE))</f>
        <v>cc</v>
      </c>
      <c r="W34" s="319" t="b">
        <f ca="1">EXACT(config48Gy4F[[#This Row],[Address]],VLOOKUP(config48Gy4F[[#This Row],[Name]],Definitions48Gy4F[],2,FALSE))</f>
        <v>1</v>
      </c>
      <c r="X34" s="319" t="b">
        <f ca="1">IF(EXACT(config48Gy4F[[#This Row],[Extracted Format]],config48Gy4F[[#This Row],[Expected Format]]),TRUE,IF(EXACT(config48Gy4F[[#This Row],[Expected Format]],"@"),"Check",FALSE))</f>
        <v>1</v>
      </c>
      <c r="Y34" t="str">
        <f>IF(ISERROR(FIND(config48Gy4F[[#This Row],[Units]],config48Gy4F[[#This Row],[Label]])),"Check",TRUE)</f>
        <v>Check</v>
      </c>
      <c r="AA34" t="s">
        <v>371</v>
      </c>
      <c r="AB34" t="s">
        <v>372</v>
      </c>
      <c r="AC34" s="318" t="s">
        <v>190</v>
      </c>
      <c r="AD34" s="318" t="s">
        <v>190</v>
      </c>
      <c r="AE34" t="s">
        <v>267</v>
      </c>
      <c r="AF34" t="s">
        <v>373</v>
      </c>
      <c r="AG34" t="s">
        <v>129</v>
      </c>
      <c r="AH34" t="s">
        <v>269</v>
      </c>
      <c r="AI34" t="s">
        <v>369</v>
      </c>
      <c r="AJ34" t="s">
        <v>374</v>
      </c>
    </row>
    <row r="35" spans="1:36" ht="14.25" x14ac:dyDescent="0.2">
      <c r="A35" s="249"/>
      <c r="B35" s="84"/>
      <c r="C35" s="378"/>
      <c r="D35" s="379"/>
      <c r="E35" s="269" t="s">
        <v>104</v>
      </c>
      <c r="F35" s="331" t="str">
        <f>IF(F34&lt;=2080,"OK","??")</f>
        <v>??</v>
      </c>
      <c r="G35" s="104"/>
      <c r="H35" s="102"/>
      <c r="I35" s="102"/>
      <c r="J35" s="9">
        <v>0.35</v>
      </c>
      <c r="K35" s="7" t="str">
        <f>IF(F35="??","??",IF(F35&lt;=0.35,"Yes",IF(F35="OK","Yes","No")))</f>
        <v>??</v>
      </c>
      <c r="L35" s="76" t="s">
        <v>41</v>
      </c>
      <c r="M35" s="77"/>
      <c r="O35" s="316" t="s">
        <v>375</v>
      </c>
      <c r="P35" s="317" t="str">
        <f t="shared" ca="1" si="0"/>
        <v>??</v>
      </c>
      <c r="Q35" t="str">
        <f t="shared" ca="1" si="2"/>
        <v>$F$40</v>
      </c>
      <c r="R35" t="s">
        <v>376</v>
      </c>
      <c r="S35" t="str">
        <f t="shared" ca="1" si="1"/>
        <v>F40</v>
      </c>
      <c r="T35" s="318" t="str">
        <f ca="1">VLOOKUP(CELL("format",INDIRECT(Q35)),FormatLookup[],2,FALSE)</f>
        <v>0.00</v>
      </c>
      <c r="U35" s="319" t="s">
        <v>190</v>
      </c>
      <c r="V35" t="str">
        <f>IF(ISBLANK(VLOOKUP(R35,Definitions48Gy4F[],5,FALSE)),"",VLOOKUP(R35,Definitions48Gy4F[],5,FALSE))</f>
        <v>cc</v>
      </c>
      <c r="W35" s="319" t="b">
        <f ca="1">EXACT(config48Gy4F[[#This Row],[Address]],VLOOKUP(config48Gy4F[[#This Row],[Name]],Definitions48Gy4F[],2,FALSE))</f>
        <v>1</v>
      </c>
      <c r="X35" s="319" t="b">
        <f ca="1">IF(EXACT(config48Gy4F[[#This Row],[Extracted Format]],config48Gy4F[[#This Row],[Expected Format]]),TRUE,IF(EXACT(config48Gy4F[[#This Row],[Expected Format]],"@"),"Check",FALSE))</f>
        <v>1</v>
      </c>
      <c r="Y35" t="str">
        <f>IF(ISERROR(FIND(config48Gy4F[[#This Row],[Units]],config48Gy4F[[#This Row],[Label]])),"Check",TRUE)</f>
        <v>Check</v>
      </c>
      <c r="AA35" t="s">
        <v>376</v>
      </c>
      <c r="AB35" t="s">
        <v>377</v>
      </c>
      <c r="AC35" s="318" t="s">
        <v>190</v>
      </c>
      <c r="AD35" s="318" t="s">
        <v>190</v>
      </c>
      <c r="AE35" t="s">
        <v>267</v>
      </c>
      <c r="AF35" t="s">
        <v>378</v>
      </c>
      <c r="AG35" t="s">
        <v>14</v>
      </c>
      <c r="AH35" t="s">
        <v>269</v>
      </c>
      <c r="AJ35" t="s">
        <v>379</v>
      </c>
    </row>
    <row r="36" spans="1:36" ht="14.25" x14ac:dyDescent="0.2">
      <c r="A36" s="249"/>
      <c r="B36" s="120"/>
      <c r="C36" s="116"/>
      <c r="D36" s="120"/>
      <c r="E36" s="179" t="s">
        <v>105</v>
      </c>
      <c r="F36" s="331" t="str">
        <f>IF(F34&lt;=1360,"OK","??")</f>
        <v>??</v>
      </c>
      <c r="G36" s="119"/>
      <c r="H36" s="120"/>
      <c r="I36" s="120"/>
      <c r="J36" s="121">
        <v>1.2</v>
      </c>
      <c r="K36" s="7" t="str">
        <f>IF(F36="??","??",IF(F36&lt;=1.2,"Yes",IF(F36="OK","Yes","No")))</f>
        <v>??</v>
      </c>
      <c r="L36" s="76" t="s">
        <v>41</v>
      </c>
      <c r="M36" s="77"/>
      <c r="O36" s="316" t="s">
        <v>380</v>
      </c>
      <c r="P36" s="317" t="str">
        <f t="shared" ca="1" si="0"/>
        <v>??</v>
      </c>
      <c r="Q36" t="str">
        <f t="shared" ca="1" si="2"/>
        <v>$F$41</v>
      </c>
      <c r="R36" t="s">
        <v>381</v>
      </c>
      <c r="S36" t="str">
        <f t="shared" ca="1" si="1"/>
        <v>F41</v>
      </c>
      <c r="T36" s="318" t="str">
        <f ca="1">VLOOKUP(CELL("format",INDIRECT(Q36)),FormatLookup[],2,FALSE)</f>
        <v>0.0</v>
      </c>
      <c r="U36" s="319" t="s">
        <v>188</v>
      </c>
      <c r="V36" t="str">
        <f>IF(ISBLANK(VLOOKUP(R36,Definitions48Gy4F[],5,FALSE)),"",VLOOKUP(R36,Definitions48Gy4F[],5,FALSE))</f>
        <v>cGy</v>
      </c>
      <c r="W36" s="319" t="b">
        <f ca="1">EXACT(config48Gy4F[[#This Row],[Address]],VLOOKUP(config48Gy4F[[#This Row],[Name]],Definitions48Gy4F[],2,FALSE))</f>
        <v>1</v>
      </c>
      <c r="X36" s="319" t="b">
        <f ca="1">IF(EXACT(config48Gy4F[[#This Row],[Extracted Format]],config48Gy4F[[#This Row],[Expected Format]]),TRUE,IF(EXACT(config48Gy4F[[#This Row],[Expected Format]],"@"),"Check",FALSE))</f>
        <v>1</v>
      </c>
      <c r="Y36" t="str">
        <f>IF(ISERROR(FIND(config48Gy4F[[#This Row],[Units]],config48Gy4F[[#This Row],[Label]])),"Check",TRUE)</f>
        <v>Check</v>
      </c>
      <c r="AA36" t="s">
        <v>381</v>
      </c>
      <c r="AB36" t="s">
        <v>382</v>
      </c>
      <c r="AC36" s="318" t="s">
        <v>188</v>
      </c>
      <c r="AD36" s="318" t="s">
        <v>188</v>
      </c>
      <c r="AE36" t="s">
        <v>260</v>
      </c>
      <c r="AF36" t="s">
        <v>383</v>
      </c>
      <c r="AG36" t="s">
        <v>16</v>
      </c>
      <c r="AH36" t="s">
        <v>269</v>
      </c>
      <c r="AJ36" t="s">
        <v>287</v>
      </c>
    </row>
    <row r="37" spans="1:36" x14ac:dyDescent="0.2">
      <c r="A37" s="249"/>
      <c r="B37" s="102" t="s">
        <v>25</v>
      </c>
      <c r="C37" s="102"/>
      <c r="D37" s="102"/>
      <c r="E37" s="181" t="s">
        <v>40</v>
      </c>
      <c r="F37" s="336" t="s">
        <v>46</v>
      </c>
      <c r="G37" s="104"/>
      <c r="H37" s="102"/>
      <c r="I37" s="102"/>
      <c r="J37" s="9">
        <v>2900</v>
      </c>
      <c r="K37" s="7" t="str">
        <f>IF(F37="??","??",IF(F37&lt;=2900,"Yes","No"))</f>
        <v>??</v>
      </c>
      <c r="L37" s="76"/>
      <c r="M37" s="77"/>
      <c r="O37" s="316" t="s">
        <v>384</v>
      </c>
      <c r="P37" s="317" t="str">
        <f t="shared" ca="1" si="0"/>
        <v>??</v>
      </c>
      <c r="Q37" t="str">
        <f t="shared" ca="1" si="2"/>
        <v>$F$42</v>
      </c>
      <c r="R37" t="s">
        <v>385</v>
      </c>
      <c r="S37" t="str">
        <f t="shared" ca="1" si="1"/>
        <v>F42</v>
      </c>
      <c r="T37" s="318" t="str">
        <f ca="1">VLOOKUP(CELL("format",INDIRECT(Q37)),FormatLookup[],2,FALSE)</f>
        <v>0.00</v>
      </c>
      <c r="U37" s="319" t="s">
        <v>190</v>
      </c>
      <c r="V37" t="str">
        <f>IF(ISBLANK(VLOOKUP(R37,Definitions48Gy4F[],5,FALSE)),"",VLOOKUP(R37,Definitions48Gy4F[],5,FALSE))</f>
        <v>cc</v>
      </c>
      <c r="W37" s="319" t="b">
        <f ca="1">EXACT(config48Gy4F[[#This Row],[Address]],VLOOKUP(config48Gy4F[[#This Row],[Name]],Definitions48Gy4F[],2,FALSE))</f>
        <v>1</v>
      </c>
      <c r="X37" s="319" t="b">
        <f ca="1">IF(EXACT(config48Gy4F[[#This Row],[Extracted Format]],config48Gy4F[[#This Row],[Expected Format]]),TRUE,IF(EXACT(config48Gy4F[[#This Row],[Expected Format]],"@"),"Check",FALSE))</f>
        <v>1</v>
      </c>
      <c r="Y37" t="str">
        <f>IF(ISERROR(FIND(config48Gy4F[[#This Row],[Units]],config48Gy4F[[#This Row],[Label]])),"Check",TRUE)</f>
        <v>Check</v>
      </c>
      <c r="AA37" t="s">
        <v>385</v>
      </c>
      <c r="AB37" t="s">
        <v>386</v>
      </c>
      <c r="AC37" s="318" t="s">
        <v>190</v>
      </c>
      <c r="AD37" s="318" t="s">
        <v>190</v>
      </c>
      <c r="AE37" t="s">
        <v>267</v>
      </c>
      <c r="AF37" t="s">
        <v>387</v>
      </c>
      <c r="AG37" t="s">
        <v>16</v>
      </c>
      <c r="AH37" t="s">
        <v>269</v>
      </c>
      <c r="AJ37" t="s">
        <v>388</v>
      </c>
    </row>
    <row r="38" spans="1:36" x14ac:dyDescent="0.2">
      <c r="A38" s="249"/>
      <c r="B38" s="247" t="s">
        <v>129</v>
      </c>
      <c r="C38" s="91"/>
      <c r="D38" s="91"/>
      <c r="E38" s="264" t="s">
        <v>40</v>
      </c>
      <c r="F38" s="337" t="s">
        <v>46</v>
      </c>
      <c r="G38" s="98"/>
      <c r="H38" s="91"/>
      <c r="I38" s="91"/>
      <c r="J38" s="99">
        <v>2700</v>
      </c>
      <c r="K38" s="7" t="str">
        <f>IF(F38="??","??",IF(F38&lt;=2700,"Yes","No"))</f>
        <v>??</v>
      </c>
      <c r="L38" s="112" t="s">
        <v>114</v>
      </c>
      <c r="M38" s="77"/>
      <c r="O38" s="316" t="s">
        <v>389</v>
      </c>
      <c r="P38" s="317" t="str">
        <f t="shared" ca="1" si="0"/>
        <v>??</v>
      </c>
      <c r="Q38" t="str">
        <f t="shared" ca="1" si="2"/>
        <v>$F$43</v>
      </c>
      <c r="R38" t="s">
        <v>390</v>
      </c>
      <c r="S38" t="str">
        <f t="shared" ca="1" si="1"/>
        <v>F43</v>
      </c>
      <c r="T38" s="318" t="str">
        <f ca="1">VLOOKUP(CELL("format",INDIRECT(Q38)),FormatLookup[],2,FALSE)</f>
        <v>0.0</v>
      </c>
      <c r="U38" s="319" t="s">
        <v>188</v>
      </c>
      <c r="V38" t="str">
        <f>IF(ISBLANK(VLOOKUP(R38,Definitions48Gy4F[],5,FALSE)),"",VLOOKUP(R38,Definitions48Gy4F[],5,FALSE))</f>
        <v>cGy</v>
      </c>
      <c r="W38" s="319" t="b">
        <f ca="1">EXACT(config48Gy4F[[#This Row],[Address]],VLOOKUP(config48Gy4F[[#This Row],[Name]],Definitions48Gy4F[],2,FALSE))</f>
        <v>1</v>
      </c>
      <c r="X38" s="319" t="b">
        <f ca="1">IF(EXACT(config48Gy4F[[#This Row],[Extracted Format]],config48Gy4F[[#This Row],[Expected Format]]),TRUE,IF(EXACT(config48Gy4F[[#This Row],[Expected Format]],"@"),"Check",FALSE))</f>
        <v>1</v>
      </c>
      <c r="Y38" t="str">
        <f>IF(ISERROR(FIND(config48Gy4F[[#This Row],[Units]],config48Gy4F[[#This Row],[Label]])),"Check",TRUE)</f>
        <v>Check</v>
      </c>
      <c r="AA38" t="s">
        <v>390</v>
      </c>
      <c r="AB38" t="s">
        <v>391</v>
      </c>
      <c r="AC38" s="318" t="s">
        <v>188</v>
      </c>
      <c r="AD38" s="318" t="s">
        <v>188</v>
      </c>
      <c r="AE38" t="s">
        <v>260</v>
      </c>
      <c r="AF38" t="s">
        <v>392</v>
      </c>
      <c r="AG38" t="s">
        <v>13</v>
      </c>
      <c r="AH38" t="s">
        <v>269</v>
      </c>
      <c r="AJ38" t="s">
        <v>287</v>
      </c>
    </row>
    <row r="39" spans="1:36" ht="14.25" customHeight="1" x14ac:dyDescent="0.2">
      <c r="A39" s="249"/>
      <c r="B39" s="84"/>
      <c r="C39" s="116"/>
      <c r="D39" s="125" t="s">
        <v>26</v>
      </c>
      <c r="E39" s="179" t="s">
        <v>106</v>
      </c>
      <c r="F39" s="331" t="str">
        <f>IF(F38&lt;=2360,"OK","??")</f>
        <v>??</v>
      </c>
      <c r="G39" s="104"/>
      <c r="H39" s="102"/>
      <c r="I39" s="102"/>
      <c r="J39" s="9">
        <v>3</v>
      </c>
      <c r="K39" s="7" t="str">
        <f>IF(F39="??","??",IF(F39&lt;=3,"Yes",IF(F39="OK","Yes","No")))</f>
        <v>??</v>
      </c>
      <c r="L39" s="112" t="s">
        <v>135</v>
      </c>
      <c r="M39" s="77"/>
      <c r="O39" s="316" t="s">
        <v>393</v>
      </c>
      <c r="P39" s="317" t="str">
        <f t="shared" ca="1" si="0"/>
        <v>??</v>
      </c>
      <c r="Q39" t="str">
        <f t="shared" ca="1" si="2"/>
        <v>$F$44</v>
      </c>
      <c r="R39" t="s">
        <v>394</v>
      </c>
      <c r="S39" t="str">
        <f t="shared" ca="1" si="1"/>
        <v>F44</v>
      </c>
      <c r="T39" s="318" t="str">
        <f ca="1">VLOOKUP(CELL("format",INDIRECT(Q39)),FormatLookup[],2,FALSE)</f>
        <v>0.00</v>
      </c>
      <c r="U39" s="319" t="s">
        <v>190</v>
      </c>
      <c r="V39" t="str">
        <f>IF(ISBLANK(VLOOKUP(R39,Definitions48Gy4F[],5,FALSE)),"",VLOOKUP(R39,Definitions48Gy4F[],5,FALSE))</f>
        <v>cc</v>
      </c>
      <c r="W39" s="319" t="b">
        <f ca="1">EXACT(config48Gy4F[[#This Row],[Address]],VLOOKUP(config48Gy4F[[#This Row],[Name]],Definitions48Gy4F[],2,FALSE))</f>
        <v>1</v>
      </c>
      <c r="X39" s="319" t="b">
        <f ca="1">IF(EXACT(config48Gy4F[[#This Row],[Extracted Format]],config48Gy4F[[#This Row],[Expected Format]]),TRUE,IF(EXACT(config48Gy4F[[#This Row],[Expected Format]],"@"),"Check",FALSE))</f>
        <v>1</v>
      </c>
      <c r="Y39" t="str">
        <f>IF(ISERROR(FIND(config48Gy4F[[#This Row],[Units]],config48Gy4F[[#This Row],[Label]])),"Check",TRUE)</f>
        <v>Check</v>
      </c>
      <c r="AA39" t="s">
        <v>394</v>
      </c>
      <c r="AB39" t="s">
        <v>395</v>
      </c>
      <c r="AC39" s="318" t="s">
        <v>190</v>
      </c>
      <c r="AD39" s="318" t="s">
        <v>190</v>
      </c>
      <c r="AE39" t="s">
        <v>267</v>
      </c>
      <c r="AF39" t="s">
        <v>396</v>
      </c>
      <c r="AG39" t="s">
        <v>13</v>
      </c>
      <c r="AH39" t="s">
        <v>269</v>
      </c>
      <c r="AJ39" t="s">
        <v>397</v>
      </c>
    </row>
    <row r="40" spans="1:36" ht="14.25" x14ac:dyDescent="0.2">
      <c r="A40" s="249"/>
      <c r="B40" s="102" t="s">
        <v>14</v>
      </c>
      <c r="C40" s="165"/>
      <c r="D40" s="102"/>
      <c r="E40" s="178" t="s">
        <v>92</v>
      </c>
      <c r="F40" s="327" t="s">
        <v>46</v>
      </c>
      <c r="G40" s="104" t="s">
        <v>26</v>
      </c>
      <c r="H40" s="102"/>
      <c r="I40" s="102"/>
      <c r="J40" s="9">
        <v>10</v>
      </c>
      <c r="K40" s="7" t="str">
        <f>IF(F40="??","??",IF(F40&lt;=10,"Yes",IF(F40="OK","Yes","No")))</f>
        <v>??</v>
      </c>
      <c r="L40" s="112" t="s">
        <v>135</v>
      </c>
      <c r="M40" s="77"/>
      <c r="O40" s="316" t="s">
        <v>398</v>
      </c>
      <c r="P40" s="317" t="str">
        <f t="shared" ca="1" si="0"/>
        <v>??</v>
      </c>
      <c r="Q40" t="str">
        <f t="shared" ca="1" si="2"/>
        <v>$F$45</v>
      </c>
      <c r="R40" t="s">
        <v>399</v>
      </c>
      <c r="S40" t="str">
        <f t="shared" ca="1" si="1"/>
        <v>F45</v>
      </c>
      <c r="T40" s="318" t="str">
        <f ca="1">VLOOKUP(CELL("format",INDIRECT(Q40)),FormatLookup[],2,FALSE)</f>
        <v>0.0</v>
      </c>
      <c r="U40" s="319" t="s">
        <v>188</v>
      </c>
      <c r="V40" t="str">
        <f>IF(ISBLANK(VLOOKUP(R40,Definitions48Gy4F[],5,FALSE)),"",VLOOKUP(R40,Definitions48Gy4F[],5,FALSE))</f>
        <v>cGy</v>
      </c>
      <c r="W40" s="319" t="b">
        <f ca="1">EXACT(config48Gy4F[[#This Row],[Address]],VLOOKUP(config48Gy4F[[#This Row],[Name]],Definitions48Gy4F[],2,FALSE))</f>
        <v>1</v>
      </c>
      <c r="X40" s="319" t="b">
        <f ca="1">IF(EXACT(config48Gy4F[[#This Row],[Extracted Format]],config48Gy4F[[#This Row],[Expected Format]]),TRUE,IF(EXACT(config48Gy4F[[#This Row],[Expected Format]],"@"),"Check",FALSE))</f>
        <v>1</v>
      </c>
      <c r="Y40" t="str">
        <f>IF(ISERROR(FIND(config48Gy4F[[#This Row],[Units]],config48Gy4F[[#This Row],[Label]])),"Check",TRUE)</f>
        <v>Check</v>
      </c>
      <c r="AA40" t="s">
        <v>399</v>
      </c>
      <c r="AB40" t="s">
        <v>400</v>
      </c>
      <c r="AC40" s="318" t="s">
        <v>188</v>
      </c>
      <c r="AD40" s="318" t="s">
        <v>188</v>
      </c>
      <c r="AE40" t="s">
        <v>260</v>
      </c>
      <c r="AF40" t="s">
        <v>401</v>
      </c>
      <c r="AG40" t="s">
        <v>402</v>
      </c>
      <c r="AH40" t="s">
        <v>269</v>
      </c>
      <c r="AJ40" t="s">
        <v>287</v>
      </c>
    </row>
    <row r="41" spans="1:36" x14ac:dyDescent="0.2">
      <c r="A41" s="249"/>
      <c r="B41" s="91" t="s">
        <v>16</v>
      </c>
      <c r="C41" s="91"/>
      <c r="D41" s="91"/>
      <c r="E41" s="266" t="s">
        <v>40</v>
      </c>
      <c r="F41" s="337" t="s">
        <v>46</v>
      </c>
      <c r="G41" s="98"/>
      <c r="H41" s="91"/>
      <c r="I41" s="91"/>
      <c r="J41" s="99">
        <v>3400</v>
      </c>
      <c r="K41" s="7" t="str">
        <f>IF(F41="??","??",IF(F41&lt;=3400,"Yes","No"))</f>
        <v>??</v>
      </c>
      <c r="L41" s="76" t="s">
        <v>41</v>
      </c>
      <c r="M41" s="77"/>
      <c r="O41" s="316" t="s">
        <v>403</v>
      </c>
      <c r="P41" s="317" t="str">
        <f t="shared" ca="1" si="0"/>
        <v>??</v>
      </c>
      <c r="Q41" t="str">
        <f t="shared" ca="1" si="2"/>
        <v>$F$46</v>
      </c>
      <c r="R41" t="s">
        <v>404</v>
      </c>
      <c r="S41" t="str">
        <f t="shared" ca="1" si="1"/>
        <v>F46</v>
      </c>
      <c r="T41" s="318" t="str">
        <f ca="1">VLOOKUP(CELL("format",INDIRECT(Q41)),FormatLookup[],2,FALSE)</f>
        <v>0.00</v>
      </c>
      <c r="U41" s="319" t="s">
        <v>190</v>
      </c>
      <c r="V41" t="str">
        <f>IF(ISBLANK(VLOOKUP(R41,Definitions48Gy4F[],5,FALSE)),"",VLOOKUP(R41,Definitions48Gy4F[],5,FALSE))</f>
        <v>cc</v>
      </c>
      <c r="W41" s="319" t="b">
        <f ca="1">EXACT(config48Gy4F[[#This Row],[Address]],VLOOKUP(config48Gy4F[[#This Row],[Name]],Definitions48Gy4F[],2,FALSE))</f>
        <v>1</v>
      </c>
      <c r="X41" s="319" t="b">
        <f ca="1">IF(EXACT(config48Gy4F[[#This Row],[Extracted Format]],config48Gy4F[[#This Row],[Expected Format]]),TRUE,IF(EXACT(config48Gy4F[[#This Row],[Expected Format]],"@"),"Check",FALSE))</f>
        <v>1</v>
      </c>
      <c r="Y41" t="str">
        <f>IF(ISERROR(FIND(config48Gy4F[[#This Row],[Units]],config48Gy4F[[#This Row],[Label]])),"Check",TRUE)</f>
        <v>Check</v>
      </c>
      <c r="AA41" t="s">
        <v>404</v>
      </c>
      <c r="AB41" t="s">
        <v>405</v>
      </c>
      <c r="AC41" s="318" t="s">
        <v>190</v>
      </c>
      <c r="AD41" s="318" t="s">
        <v>190</v>
      </c>
      <c r="AE41" t="s">
        <v>267</v>
      </c>
      <c r="AF41" t="s">
        <v>406</v>
      </c>
      <c r="AG41" t="s">
        <v>402</v>
      </c>
      <c r="AH41" t="s">
        <v>269</v>
      </c>
      <c r="AJ41" t="s">
        <v>336</v>
      </c>
    </row>
    <row r="42" spans="1:36" ht="14.25" x14ac:dyDescent="0.2">
      <c r="A42" s="249"/>
      <c r="B42" s="175" t="s">
        <v>26</v>
      </c>
      <c r="C42" s="175"/>
      <c r="D42" s="120"/>
      <c r="E42" s="182" t="s">
        <v>93</v>
      </c>
      <c r="F42" s="331" t="str">
        <f>IF(F41&lt;=2800,"OK","??")</f>
        <v>??</v>
      </c>
      <c r="G42" s="104"/>
      <c r="H42" s="102"/>
      <c r="I42" s="102"/>
      <c r="J42" s="9">
        <v>15</v>
      </c>
      <c r="K42" s="7" t="str">
        <f>IF(F42="??","??",IF(F42&lt;=15,"Yes",IF(F42="OK","Yes","No")))</f>
        <v>??</v>
      </c>
      <c r="L42" s="76" t="s">
        <v>41</v>
      </c>
      <c r="M42" s="77"/>
      <c r="O42" s="316" t="s">
        <v>407</v>
      </c>
      <c r="P42" s="317" t="str">
        <f t="shared" ca="1" si="0"/>
        <v>??</v>
      </c>
      <c r="Q42" t="str">
        <f t="shared" ca="1" si="2"/>
        <v>$F$47</v>
      </c>
      <c r="R42" t="s">
        <v>408</v>
      </c>
      <c r="S42" t="str">
        <f t="shared" ca="1" si="1"/>
        <v>F47</v>
      </c>
      <c r="T42" s="318" t="str">
        <f ca="1">VLOOKUP(CELL("format",INDIRECT(Q42)),FormatLookup[],2,FALSE)</f>
        <v>0.00</v>
      </c>
      <c r="U42" s="319" t="s">
        <v>190</v>
      </c>
      <c r="V42" t="str">
        <f>IF(ISBLANK(VLOOKUP(R42,Definitions48Gy4F[],5,FALSE)),"",VLOOKUP(R42,Definitions48Gy4F[],5,FALSE))</f>
        <v>cc</v>
      </c>
      <c r="W42" s="319" t="b">
        <f ca="1">EXACT(config48Gy4F[[#This Row],[Address]],VLOOKUP(config48Gy4F[[#This Row],[Name]],Definitions48Gy4F[],2,FALSE))</f>
        <v>1</v>
      </c>
      <c r="X42" s="319" t="b">
        <f ca="1">IF(EXACT(config48Gy4F[[#This Row],[Extracted Format]],config48Gy4F[[#This Row],[Expected Format]]),TRUE,IF(EXACT(config48Gy4F[[#This Row],[Expected Format]],"@"),"Check",FALSE))</f>
        <v>1</v>
      </c>
      <c r="Y42" t="str">
        <f>IF(ISERROR(FIND(config48Gy4F[[#This Row],[Units]],config48Gy4F[[#This Row],[Label]])),"Check",TRUE)</f>
        <v>Check</v>
      </c>
      <c r="AA42" t="s">
        <v>408</v>
      </c>
      <c r="AB42" t="s">
        <v>409</v>
      </c>
      <c r="AC42" s="318" t="s">
        <v>190</v>
      </c>
      <c r="AD42" s="318" t="s">
        <v>190</v>
      </c>
      <c r="AE42" t="s">
        <v>267</v>
      </c>
      <c r="AF42" t="s">
        <v>410</v>
      </c>
      <c r="AG42" t="s">
        <v>402</v>
      </c>
      <c r="AH42" t="s">
        <v>269</v>
      </c>
      <c r="AJ42" t="s">
        <v>379</v>
      </c>
    </row>
    <row r="43" spans="1:36" x14ac:dyDescent="0.2">
      <c r="A43" s="249"/>
      <c r="B43" s="84" t="s">
        <v>13</v>
      </c>
      <c r="C43" s="84"/>
      <c r="D43" s="91"/>
      <c r="E43" s="266" t="s">
        <v>40</v>
      </c>
      <c r="F43" s="337" t="s">
        <v>46</v>
      </c>
      <c r="G43" s="98"/>
      <c r="H43" s="91"/>
      <c r="I43" s="91"/>
      <c r="J43" s="99">
        <v>3000</v>
      </c>
      <c r="K43" s="7" t="str">
        <f>IF(F43="??","??",IF(F43&lt;=3000,"Yes","No"))</f>
        <v>??</v>
      </c>
      <c r="L43" s="112" t="s">
        <v>135</v>
      </c>
      <c r="M43" s="77"/>
      <c r="O43" s="316" t="s">
        <v>411</v>
      </c>
      <c r="P43" s="317" t="str">
        <f t="shared" ca="1" si="0"/>
        <v>??</v>
      </c>
      <c r="Q43" t="str">
        <f t="shared" ca="1" si="2"/>
        <v>$F$48</v>
      </c>
      <c r="R43" t="s">
        <v>412</v>
      </c>
      <c r="S43" t="str">
        <f t="shared" ca="1" si="1"/>
        <v>F48</v>
      </c>
      <c r="T43" s="318" t="str">
        <f ca="1">VLOOKUP(CELL("format",INDIRECT(Q43)),FormatLookup[],2,FALSE)</f>
        <v>0.0</v>
      </c>
      <c r="U43" s="319" t="s">
        <v>188</v>
      </c>
      <c r="V43" t="str">
        <f>IF(ISBLANK(VLOOKUP(R43,Definitions48Gy4F[],5,FALSE)),"",VLOOKUP(R43,Definitions48Gy4F[],5,FALSE))</f>
        <v>cGy</v>
      </c>
      <c r="W43" s="319" t="b">
        <f ca="1">EXACT(config48Gy4F[[#This Row],[Address]],VLOOKUP(config48Gy4F[[#This Row],[Name]],Definitions48Gy4F[],2,FALSE))</f>
        <v>1</v>
      </c>
      <c r="X43" s="319" t="b">
        <f ca="1">IF(EXACT(config48Gy4F[[#This Row],[Extracted Format]],config48Gy4F[[#This Row],[Expected Format]]),TRUE,IF(EXACT(config48Gy4F[[#This Row],[Expected Format]],"@"),"Check",FALSE))</f>
        <v>1</v>
      </c>
      <c r="Y43" t="str">
        <f>IF(ISERROR(FIND(config48Gy4F[[#This Row],[Units]],config48Gy4F[[#This Row],[Label]])),"Check",TRUE)</f>
        <v>Check</v>
      </c>
      <c r="AA43" t="s">
        <v>412</v>
      </c>
      <c r="AB43" t="s">
        <v>413</v>
      </c>
      <c r="AC43" s="318" t="s">
        <v>188</v>
      </c>
      <c r="AD43" s="318" t="s">
        <v>188</v>
      </c>
      <c r="AE43" t="s">
        <v>260</v>
      </c>
      <c r="AF43" t="s">
        <v>414</v>
      </c>
      <c r="AG43" t="s">
        <v>136</v>
      </c>
      <c r="AH43" t="s">
        <v>269</v>
      </c>
      <c r="AJ43" t="s">
        <v>287</v>
      </c>
    </row>
    <row r="44" spans="1:36" ht="14.25" x14ac:dyDescent="0.2">
      <c r="A44" s="249"/>
      <c r="B44" s="120"/>
      <c r="C44" s="183"/>
      <c r="D44" s="120"/>
      <c r="E44" s="182" t="s">
        <v>94</v>
      </c>
      <c r="F44" s="331" t="str">
        <f>IF(F43&lt;=1880,"OK","??")</f>
        <v>??</v>
      </c>
      <c r="G44" s="104"/>
      <c r="H44" s="102"/>
      <c r="I44" s="102"/>
      <c r="J44" s="9">
        <v>5</v>
      </c>
      <c r="K44" s="7" t="str">
        <f>IF(F44="??","??",IF(F44&lt;=5,"Yes",IF(F44="OK","Yes","No")))</f>
        <v>??</v>
      </c>
      <c r="L44" s="76"/>
      <c r="M44" s="77"/>
      <c r="O44" s="316" t="s">
        <v>415</v>
      </c>
      <c r="P44" s="317" t="str">
        <f t="shared" ca="1" si="0"/>
        <v>??</v>
      </c>
      <c r="Q44" t="str">
        <f t="shared" ca="1" si="2"/>
        <v>$F$49</v>
      </c>
      <c r="R44" t="s">
        <v>416</v>
      </c>
      <c r="S44" t="str">
        <f t="shared" ca="1" si="1"/>
        <v>F49</v>
      </c>
      <c r="T44" s="318" t="str">
        <f ca="1">VLOOKUP(CELL("format",INDIRECT(Q44)),FormatLookup[],2,FALSE)</f>
        <v>0.0</v>
      </c>
      <c r="U44" s="319" t="s">
        <v>188</v>
      </c>
      <c r="V44" t="str">
        <f>IF(ISBLANK(VLOOKUP(R44,Definitions48Gy4F[],5,FALSE)),"",VLOOKUP(R44,Definitions48Gy4F[],5,FALSE))</f>
        <v>cGy</v>
      </c>
      <c r="W44" s="319" t="b">
        <f ca="1">EXACT(config48Gy4F[[#This Row],[Address]],VLOOKUP(config48Gy4F[[#This Row],[Name]],Definitions48Gy4F[],2,FALSE))</f>
        <v>1</v>
      </c>
      <c r="X44" s="319" t="b">
        <f ca="1">IF(EXACT(config48Gy4F[[#This Row],[Extracted Format]],config48Gy4F[[#This Row],[Expected Format]]),TRUE,IF(EXACT(config48Gy4F[[#This Row],[Expected Format]],"@"),"Check",FALSE))</f>
        <v>1</v>
      </c>
      <c r="Y44" t="str">
        <f>IF(ISERROR(FIND(config48Gy4F[[#This Row],[Units]],config48Gy4F[[#This Row],[Label]])),"Check",TRUE)</f>
        <v>Check</v>
      </c>
      <c r="AA44" t="s">
        <v>416</v>
      </c>
      <c r="AB44" t="s">
        <v>417</v>
      </c>
      <c r="AC44" s="318" t="s">
        <v>188</v>
      </c>
      <c r="AD44" s="318" t="s">
        <v>188</v>
      </c>
      <c r="AE44" t="s">
        <v>260</v>
      </c>
      <c r="AF44" t="s">
        <v>418</v>
      </c>
      <c r="AG44" t="s">
        <v>419</v>
      </c>
      <c r="AH44" t="s">
        <v>269</v>
      </c>
      <c r="AI44" t="s">
        <v>369</v>
      </c>
      <c r="AJ44" t="s">
        <v>287</v>
      </c>
    </row>
    <row r="45" spans="1:36" x14ac:dyDescent="0.2">
      <c r="A45" s="249"/>
      <c r="B45" s="247" t="s">
        <v>176</v>
      </c>
      <c r="C45" s="91"/>
      <c r="D45" s="91"/>
      <c r="E45" s="266" t="s">
        <v>40</v>
      </c>
      <c r="F45" s="337" t="s">
        <v>46</v>
      </c>
      <c r="G45" s="98"/>
      <c r="H45" s="91"/>
      <c r="I45" s="91"/>
      <c r="J45" s="99">
        <v>5000</v>
      </c>
      <c r="K45" s="7" t="str">
        <f>IF(F45="??","??",IF(F45&lt;=5000,"Yes","No"))</f>
        <v>??</v>
      </c>
      <c r="L45" s="112" t="s">
        <v>114</v>
      </c>
      <c r="M45" s="77"/>
      <c r="O45" s="316" t="s">
        <v>420</v>
      </c>
      <c r="P45" s="317">
        <f t="shared" ca="1" si="0"/>
        <v>0</v>
      </c>
      <c r="Q45" t="str">
        <f ca="1">CELL("address",B50)</f>
        <v>$B$50</v>
      </c>
      <c r="R45" t="s">
        <v>421</v>
      </c>
      <c r="S45" t="str">
        <f t="shared" ca="1" si="1"/>
        <v>B50</v>
      </c>
      <c r="T45" s="318" t="str">
        <f ca="1">VLOOKUP(CELL("format",INDIRECT(Q45)),FormatLookup[],2,FALSE)</f>
        <v>0.00</v>
      </c>
      <c r="U45" s="319" t="s">
        <v>190</v>
      </c>
      <c r="V45" t="str">
        <f>IF(ISBLANK(VLOOKUP(R45,Definitions48Gy4F[],5,FALSE)),"",VLOOKUP(R45,Definitions48Gy4F[],5,FALSE))</f>
        <v>cc</v>
      </c>
      <c r="W45" s="319" t="b">
        <f ca="1">EXACT(config48Gy4F[[#This Row],[Address]],VLOOKUP(config48Gy4F[[#This Row],[Name]],Definitions48Gy4F[],2,FALSE))</f>
        <v>1</v>
      </c>
      <c r="X45" s="319" t="b">
        <f ca="1">IF(EXACT(config48Gy4F[[#This Row],[Extracted Format]],config48Gy4F[[#This Row],[Expected Format]]),TRUE,IF(EXACT(config48Gy4F[[#This Row],[Expected Format]],"@"),"Check",FALSE))</f>
        <v>1</v>
      </c>
      <c r="Y45" t="str">
        <f>IF(ISERROR(FIND(config48Gy4F[[#This Row],[Units]],config48Gy4F[[#This Row],[Label]])),"Check",TRUE)</f>
        <v>Check</v>
      </c>
      <c r="AA45" t="s">
        <v>421</v>
      </c>
      <c r="AB45" t="s">
        <v>422</v>
      </c>
      <c r="AC45" s="318" t="s">
        <v>190</v>
      </c>
      <c r="AD45" s="318" t="s">
        <v>190</v>
      </c>
      <c r="AE45" t="s">
        <v>267</v>
      </c>
      <c r="AF45" t="s">
        <v>423</v>
      </c>
      <c r="AG45" t="s">
        <v>136</v>
      </c>
      <c r="AH45" t="s">
        <v>269</v>
      </c>
      <c r="AJ45" t="s">
        <v>424</v>
      </c>
    </row>
    <row r="46" spans="1:36" ht="14.25" x14ac:dyDescent="0.2">
      <c r="A46" s="249"/>
      <c r="B46" s="84"/>
      <c r="C46" s="116"/>
      <c r="D46" s="84"/>
      <c r="E46" s="267" t="s">
        <v>102</v>
      </c>
      <c r="F46" s="331" t="str">
        <f>IF(F45&lt;=4000,"OK","??")</f>
        <v>??</v>
      </c>
      <c r="G46" s="104"/>
      <c r="H46" s="102"/>
      <c r="I46" s="102"/>
      <c r="J46" s="9">
        <v>5</v>
      </c>
      <c r="K46" s="7" t="str">
        <f>IF(F46="??","??",IF(F46&lt;=5,"Yes",IF(F46="OK","Yes","No")))</f>
        <v>??</v>
      </c>
      <c r="L46" s="76" t="s">
        <v>114</v>
      </c>
      <c r="M46" s="77"/>
      <c r="O46" s="316" t="s">
        <v>425</v>
      </c>
      <c r="P46" s="317">
        <f t="shared" ca="1" si="0"/>
        <v>0</v>
      </c>
      <c r="Q46" t="str">
        <f ca="1">CELL("address",C50)</f>
        <v>$C$50</v>
      </c>
      <c r="R46" t="s">
        <v>426</v>
      </c>
      <c r="S46" t="str">
        <f t="shared" ca="1" si="1"/>
        <v>C50</v>
      </c>
      <c r="T46" s="318" t="str">
        <f ca="1">VLOOKUP(CELL("format",INDIRECT(Q46)),FormatLookup[],2,FALSE)</f>
        <v>0.00</v>
      </c>
      <c r="U46" s="319" t="s">
        <v>190</v>
      </c>
      <c r="V46" t="str">
        <f>IF(ISBLANK(VLOOKUP(R46,Definitions48Gy4F[],5,FALSE)),"",VLOOKUP(R46,Definitions48Gy4F[],5,FALSE))</f>
        <v>cc</v>
      </c>
      <c r="W46" s="319" t="b">
        <f ca="1">EXACT(config48Gy4F[[#This Row],[Address]],VLOOKUP(config48Gy4F[[#This Row],[Name]],Definitions48Gy4F[],2,FALSE))</f>
        <v>1</v>
      </c>
      <c r="X46" s="319" t="b">
        <f ca="1">IF(EXACT(config48Gy4F[[#This Row],[Extracted Format]],config48Gy4F[[#This Row],[Expected Format]]),TRUE,IF(EXACT(config48Gy4F[[#This Row],[Expected Format]],"@"),"Check",FALSE))</f>
        <v>1</v>
      </c>
      <c r="Y46" t="str">
        <f>IF(ISERROR(FIND(config48Gy4F[[#This Row],[Units]],config48Gy4F[[#This Row],[Label]])),"Check",TRUE)</f>
        <v>Check</v>
      </c>
      <c r="AA46" t="s">
        <v>426</v>
      </c>
      <c r="AB46" t="s">
        <v>427</v>
      </c>
      <c r="AC46" s="318" t="s">
        <v>190</v>
      </c>
      <c r="AD46" s="318" t="s">
        <v>190</v>
      </c>
      <c r="AE46" t="s">
        <v>267</v>
      </c>
      <c r="AF46" t="s">
        <v>428</v>
      </c>
      <c r="AG46" t="s">
        <v>429</v>
      </c>
      <c r="AH46" t="s">
        <v>269</v>
      </c>
      <c r="AJ46" t="s">
        <v>424</v>
      </c>
    </row>
    <row r="47" spans="1:36" ht="14.25" x14ac:dyDescent="0.2">
      <c r="A47" s="249"/>
      <c r="B47" s="84"/>
      <c r="C47" s="184"/>
      <c r="D47" s="185" t="s">
        <v>26</v>
      </c>
      <c r="E47" s="179" t="s">
        <v>92</v>
      </c>
      <c r="F47" s="332" t="str">
        <f>IF(F45&lt;=3000,"OK","??")</f>
        <v>??</v>
      </c>
      <c r="G47" s="119"/>
      <c r="H47" s="120"/>
      <c r="I47" s="120"/>
      <c r="J47" s="121">
        <v>30</v>
      </c>
      <c r="K47" s="7" t="str">
        <f>IF(F47="??","??",IF(F47&lt;=30,"Yes",IF(F47="OK","Yes","No")))</f>
        <v>??</v>
      </c>
      <c r="L47" s="76" t="s">
        <v>41</v>
      </c>
      <c r="M47" s="77"/>
      <c r="O47" s="316" t="s">
        <v>430</v>
      </c>
      <c r="P47" s="317" t="str">
        <f t="shared" ca="1" si="0"/>
        <v>??</v>
      </c>
      <c r="Q47" t="str">
        <f ca="1">CELL("address",F51)</f>
        <v>$F$51</v>
      </c>
      <c r="R47" t="s">
        <v>431</v>
      </c>
      <c r="S47" t="str">
        <f t="shared" ca="1" si="1"/>
        <v>F51</v>
      </c>
      <c r="T47" s="318" t="str">
        <f ca="1">VLOOKUP(CELL("format",INDIRECT(Q47)),FormatLookup[],2,FALSE)</f>
        <v>0.0</v>
      </c>
      <c r="U47" s="319" t="s">
        <v>188</v>
      </c>
      <c r="V47" t="str">
        <f>IF(ISBLANK(VLOOKUP(R47,Definitions48Gy4F[],5,FALSE)),"",VLOOKUP(R47,Definitions48Gy4F[],5,FALSE))</f>
        <v>cGy</v>
      </c>
      <c r="W47" s="319" t="b">
        <f ca="1">EXACT(config48Gy4F[[#This Row],[Address]],VLOOKUP(config48Gy4F[[#This Row],[Name]],Definitions48Gy4F[],2,FALSE))</f>
        <v>1</v>
      </c>
      <c r="X47" s="319" t="b">
        <f ca="1">IF(EXACT(config48Gy4F[[#This Row],[Extracted Format]],config48Gy4F[[#This Row],[Expected Format]]),TRUE,IF(EXACT(config48Gy4F[[#This Row],[Expected Format]],"@"),"Check",FALSE))</f>
        <v>1</v>
      </c>
      <c r="Y47" t="str">
        <f>IF(ISERROR(FIND(config48Gy4F[[#This Row],[Units]],config48Gy4F[[#This Row],[Label]])),"Check",TRUE)</f>
        <v>Check</v>
      </c>
      <c r="AA47" t="s">
        <v>431</v>
      </c>
      <c r="AB47" t="s">
        <v>432</v>
      </c>
      <c r="AC47" s="318" t="s">
        <v>188</v>
      </c>
      <c r="AD47" s="318" t="s">
        <v>188</v>
      </c>
      <c r="AE47" t="s">
        <v>260</v>
      </c>
      <c r="AF47" t="s">
        <v>433</v>
      </c>
      <c r="AG47" t="s">
        <v>434</v>
      </c>
      <c r="AH47" t="s">
        <v>269</v>
      </c>
      <c r="AJ47" t="s">
        <v>287</v>
      </c>
    </row>
    <row r="48" spans="1:36" x14ac:dyDescent="0.2">
      <c r="A48" s="249"/>
      <c r="B48" s="247" t="s">
        <v>136</v>
      </c>
      <c r="C48" s="91"/>
      <c r="D48" s="91"/>
      <c r="E48" s="266" t="s">
        <v>40</v>
      </c>
      <c r="F48" s="336" t="s">
        <v>46</v>
      </c>
      <c r="G48" s="98" t="s">
        <v>26</v>
      </c>
      <c r="H48" s="91"/>
      <c r="I48" s="91"/>
      <c r="J48" s="9">
        <v>3480</v>
      </c>
      <c r="K48" s="186" t="str">
        <f>IF(F48="??","??",IF(F48&lt;=3480,"Yes","No"))</f>
        <v>??</v>
      </c>
      <c r="L48" s="76" t="s">
        <v>41</v>
      </c>
      <c r="M48" s="77"/>
      <c r="O48" s="316" t="s">
        <v>435</v>
      </c>
      <c r="P48" s="317" t="str">
        <f t="shared" ca="1" si="0"/>
        <v>??</v>
      </c>
      <c r="Q48" t="str">
        <f ca="1">CELL("address",F52)</f>
        <v>$F$52</v>
      </c>
      <c r="R48" t="s">
        <v>436</v>
      </c>
      <c r="S48" t="str">
        <f t="shared" ca="1" si="1"/>
        <v>F52</v>
      </c>
      <c r="T48" s="318" t="str">
        <f ca="1">VLOOKUP(CELL("format",INDIRECT(Q48)),FormatLookup[],2,FALSE)</f>
        <v>0.00</v>
      </c>
      <c r="U48" s="319" t="s">
        <v>190</v>
      </c>
      <c r="V48" t="str">
        <f>IF(ISBLANK(VLOOKUP(R48,Definitions48Gy4F[],5,FALSE)),"",VLOOKUP(R48,Definitions48Gy4F[],5,FALSE))</f>
        <v>cc</v>
      </c>
      <c r="W48" s="319" t="b">
        <f ca="1">EXACT(config48Gy4F[[#This Row],[Address]],VLOOKUP(config48Gy4F[[#This Row],[Name]],Definitions48Gy4F[],2,FALSE))</f>
        <v>1</v>
      </c>
      <c r="X48" s="319" t="b">
        <f ca="1">IF(EXACT(config48Gy4F[[#This Row],[Extracted Format]],config48Gy4F[[#This Row],[Expected Format]]),TRUE,IF(EXACT(config48Gy4F[[#This Row],[Expected Format]],"@"),"Check",FALSE))</f>
        <v>1</v>
      </c>
      <c r="Y48" t="str">
        <f>IF(ISERROR(FIND(config48Gy4F[[#This Row],[Units]],config48Gy4F[[#This Row],[Label]])),"Check",TRUE)</f>
        <v>Check</v>
      </c>
      <c r="AA48" t="s">
        <v>436</v>
      </c>
      <c r="AB48" t="s">
        <v>437</v>
      </c>
      <c r="AC48" s="318" t="s">
        <v>190</v>
      </c>
      <c r="AD48" s="318" t="s">
        <v>190</v>
      </c>
      <c r="AE48" t="s">
        <v>267</v>
      </c>
      <c r="AF48" t="s">
        <v>438</v>
      </c>
      <c r="AG48" t="s">
        <v>434</v>
      </c>
      <c r="AH48" t="s">
        <v>269</v>
      </c>
      <c r="AJ48" t="s">
        <v>439</v>
      </c>
    </row>
    <row r="49" spans="1:30" x14ac:dyDescent="0.2">
      <c r="A49" s="249"/>
      <c r="B49" s="116" t="s">
        <v>138</v>
      </c>
      <c r="C49" s="84"/>
      <c r="D49" s="84"/>
      <c r="E49" s="268" t="s">
        <v>40</v>
      </c>
      <c r="F49" s="338" t="s">
        <v>46</v>
      </c>
      <c r="G49" s="119"/>
      <c r="H49" s="120"/>
      <c r="I49" s="120"/>
      <c r="J49" s="121">
        <v>3480</v>
      </c>
      <c r="K49" s="186" t="str">
        <f>IF(F49="??","??",IF(F49&lt;=3480,"Yes","No"))</f>
        <v>??</v>
      </c>
      <c r="L49" s="76"/>
      <c r="M49" s="77"/>
      <c r="O49"/>
      <c r="P49"/>
      <c r="AC49" s="318"/>
      <c r="AD49" s="318"/>
    </row>
    <row r="50" spans="1:30" ht="14.25" x14ac:dyDescent="0.2">
      <c r="A50" s="249"/>
      <c r="B50" s="339"/>
      <c r="C50" s="340"/>
      <c r="D50" s="120"/>
      <c r="E50" s="182" t="s">
        <v>139</v>
      </c>
      <c r="F50" s="327" t="s">
        <v>46</v>
      </c>
      <c r="G50" s="119" t="s">
        <v>26</v>
      </c>
      <c r="H50" s="120"/>
      <c r="I50" s="120"/>
      <c r="J50" s="121">
        <v>4</v>
      </c>
      <c r="K50" s="7" t="str">
        <f>IF(F50="??","??",IF(F50&lt;=J50,"Yes",IF(F50="OK","Yes","No")))</f>
        <v>??</v>
      </c>
      <c r="L50" s="76" t="s">
        <v>41</v>
      </c>
      <c r="M50" s="77"/>
      <c r="AC50" s="318"/>
      <c r="AD50" s="318"/>
    </row>
    <row r="51" spans="1:30" x14ac:dyDescent="0.2">
      <c r="A51" s="249"/>
      <c r="B51" s="84" t="s">
        <v>96</v>
      </c>
      <c r="C51" s="84"/>
      <c r="D51" s="91"/>
      <c r="E51" s="266" t="s">
        <v>40</v>
      </c>
      <c r="F51" s="336" t="s">
        <v>46</v>
      </c>
      <c r="G51" s="188"/>
      <c r="H51" s="102"/>
      <c r="I51" s="102"/>
      <c r="J51" s="9">
        <v>2800</v>
      </c>
      <c r="K51" s="7" t="str">
        <f>IF(F51="??","??",IF(F51&lt;=2800,"Yes","No"))</f>
        <v>??</v>
      </c>
      <c r="L51" s="76" t="s">
        <v>114</v>
      </c>
      <c r="M51" s="77"/>
      <c r="AC51" s="318"/>
      <c r="AD51" s="318"/>
    </row>
    <row r="52" spans="1:30" ht="15" thickBot="1" x14ac:dyDescent="0.25">
      <c r="A52" s="249"/>
      <c r="B52" s="167" t="s">
        <v>101</v>
      </c>
      <c r="C52" s="230"/>
      <c r="D52" s="79"/>
      <c r="E52" s="231" t="s">
        <v>113</v>
      </c>
      <c r="F52" s="333" t="str">
        <f>IF(F51&lt;=2100,"OK","??")</f>
        <v>??</v>
      </c>
      <c r="G52" s="80" t="s">
        <v>26</v>
      </c>
      <c r="H52" s="79"/>
      <c r="I52" s="79"/>
      <c r="J52" s="107">
        <v>1</v>
      </c>
      <c r="K52" s="232" t="str">
        <f>IF(F52="??","??",IF(F52&lt;=1,"Yes",IF(F52="OK","Yes","No")))</f>
        <v>??</v>
      </c>
      <c r="L52" s="76" t="s">
        <v>114</v>
      </c>
      <c r="M52" s="77"/>
      <c r="AC52" s="318"/>
      <c r="AD52" s="318"/>
    </row>
    <row r="53" spans="1:30" x14ac:dyDescent="0.2">
      <c r="A53" s="251"/>
      <c r="B53" s="77"/>
      <c r="C53" s="77"/>
      <c r="D53" s="77"/>
      <c r="E53" s="127"/>
      <c r="F53" s="127"/>
      <c r="G53" s="127"/>
      <c r="H53" s="77"/>
      <c r="I53" s="77"/>
      <c r="J53" s="127"/>
      <c r="K53" s="127"/>
      <c r="L53" s="76"/>
      <c r="M53" s="77"/>
      <c r="AC53" s="318"/>
      <c r="AD53" s="318"/>
    </row>
    <row r="54" spans="1:30" x14ac:dyDescent="0.2">
      <c r="A54" s="77"/>
      <c r="B54" s="77"/>
      <c r="C54" s="77"/>
      <c r="D54" s="77"/>
      <c r="E54" s="127"/>
      <c r="F54" s="127"/>
      <c r="G54" s="127"/>
      <c r="H54" s="77"/>
      <c r="I54" s="77"/>
      <c r="J54" s="127"/>
      <c r="K54" s="127"/>
      <c r="L54" s="76"/>
      <c r="M54" s="77"/>
    </row>
  </sheetData>
  <sheetProtection formatCells="0"/>
  <mergeCells count="4">
    <mergeCell ref="D28:E28"/>
    <mergeCell ref="D27:E27"/>
    <mergeCell ref="D29:E29"/>
    <mergeCell ref="C35:D35"/>
  </mergeCells>
  <phoneticPr fontId="2" type="noConversion"/>
  <conditionalFormatting sqref="K30:K52">
    <cfRule type="containsText" dxfId="178" priority="20" stopIfTrue="1" operator="containsText" text="No">
      <formula>NOT(ISERROR(SEARCH("No",K30)))</formula>
    </cfRule>
  </conditionalFormatting>
  <conditionalFormatting sqref="K13:K14 K21:K29 K19">
    <cfRule type="containsText" dxfId="177" priority="17" stopIfTrue="1" operator="containsText" text="Minor">
      <formula>NOT(ISERROR(SEARCH("Minor",K13)))</formula>
    </cfRule>
    <cfRule type="containsText" dxfId="176" priority="18" stopIfTrue="1" operator="containsText" text="No">
      <formula>NOT(ISERROR(SEARCH("No",K13)))</formula>
    </cfRule>
    <cfRule type="containsText" dxfId="175" priority="19" stopIfTrue="1" operator="containsText" text="Major">
      <formula>NOT(ISERROR(SEARCH("Major",K13)))</formula>
    </cfRule>
  </conditionalFormatting>
  <conditionalFormatting sqref="K20">
    <cfRule type="containsText" dxfId="174" priority="15" stopIfTrue="1" operator="containsText" text="No">
      <formula>NOT(ISERROR(SEARCH("No",K20)))</formula>
    </cfRule>
    <cfRule type="containsText" dxfId="173" priority="16" stopIfTrue="1" operator="containsText" text="Major">
      <formula>NOT(ISERROR(SEARCH("Major",K20)))</formula>
    </cfRule>
  </conditionalFormatting>
  <conditionalFormatting sqref="K20">
    <cfRule type="containsText" dxfId="172" priority="14" stopIfTrue="1" operator="containsText" text="Minor">
      <formula>NOT(ISERROR(SEARCH("Minor",K20)))</formula>
    </cfRule>
  </conditionalFormatting>
  <conditionalFormatting sqref="K15">
    <cfRule type="containsText" dxfId="171" priority="13" stopIfTrue="1" operator="containsText" text="No">
      <formula>NOT(ISERROR(SEARCH("No",K15)))</formula>
    </cfRule>
  </conditionalFormatting>
  <conditionalFormatting sqref="K16">
    <cfRule type="containsText" dxfId="170" priority="10" stopIfTrue="1" operator="containsText" text="Minor">
      <formula>NOT(ISERROR(SEARCH("Minor",K16)))</formula>
    </cfRule>
    <cfRule type="containsText" dxfId="169" priority="11" stopIfTrue="1" operator="containsText" text="No">
      <formula>NOT(ISERROR(SEARCH("No",K16)))</formula>
    </cfRule>
    <cfRule type="containsText" dxfId="168" priority="12" stopIfTrue="1" operator="containsText" text="Major">
      <formula>NOT(ISERROR(SEARCH("Major",K16)))</formula>
    </cfRule>
  </conditionalFormatting>
  <conditionalFormatting sqref="K17">
    <cfRule type="containsText" dxfId="167" priority="7" stopIfTrue="1" operator="containsText" text="Minor">
      <formula>NOT(ISERROR(SEARCH("Minor",K17)))</formula>
    </cfRule>
    <cfRule type="containsText" dxfId="166" priority="8" stopIfTrue="1" operator="containsText" text="No">
      <formula>NOT(ISERROR(SEARCH("No",K17)))</formula>
    </cfRule>
    <cfRule type="containsText" dxfId="165" priority="9" stopIfTrue="1" operator="containsText" text="Major">
      <formula>NOT(ISERROR(SEARCH("Major",K17)))</formula>
    </cfRule>
  </conditionalFormatting>
  <conditionalFormatting sqref="K18">
    <cfRule type="containsText" dxfId="164" priority="4" stopIfTrue="1" operator="containsText" text="Minor">
      <formula>NOT(ISERROR(SEARCH("Minor",K18)))</formula>
    </cfRule>
    <cfRule type="containsText" dxfId="163" priority="5" stopIfTrue="1" operator="containsText" text="No">
      <formula>NOT(ISERROR(SEARCH("No",K18)))</formula>
    </cfRule>
    <cfRule type="containsText" dxfId="162" priority="6" stopIfTrue="1" operator="containsText" text="Major">
      <formula>NOT(ISERROR(SEARCH("Major",K18)))</formula>
    </cfRule>
  </conditionalFormatting>
  <conditionalFormatting sqref="V4:Y48">
    <cfRule type="expression" dxfId="161" priority="1" stopIfTrue="1">
      <formula>V4</formula>
    </cfRule>
    <cfRule type="expression" dxfId="160" priority="2" stopIfTrue="1">
      <formula>EXACT(V4,"Check")</formula>
    </cfRule>
    <cfRule type="expression" dxfId="159" priority="3">
      <formula>V4=FALSE</formula>
    </cfRule>
  </conditionalFormatting>
  <pageMargins left="0.75" right="0.75" top="1" bottom="1" header="0.5" footer="0.5"/>
  <pageSetup scale="80" orientation="portrait" r:id="rId1"/>
  <headerFooter alignWithMargins="0"/>
  <ignoredErrors>
    <ignoredError sqref="K45" formula="1"/>
  </ignoredErrors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K1" sqref="K1:N1048576"/>
    </sheetView>
  </sheetViews>
  <sheetFormatPr defaultRowHeight="12.75" x14ac:dyDescent="0.2"/>
  <cols>
    <col min="1" max="1" width="23.7109375" bestFit="1" customWidth="1"/>
    <col min="2" max="2" width="35.42578125" style="309" bestFit="1" customWidth="1"/>
  </cols>
  <sheetData>
    <row r="1" spans="1:2" x14ac:dyDescent="0.2">
      <c r="A1" s="308" t="s">
        <v>180</v>
      </c>
      <c r="B1" s="309" t="s">
        <v>181</v>
      </c>
    </row>
    <row r="2" spans="1:2" ht="15" x14ac:dyDescent="0.2">
      <c r="A2" s="310" t="s">
        <v>182</v>
      </c>
      <c r="B2" s="311" t="s">
        <v>183</v>
      </c>
    </row>
    <row r="3" spans="1:2" ht="15" x14ac:dyDescent="0.2">
      <c r="A3" s="310" t="s">
        <v>184</v>
      </c>
      <c r="B3" s="311">
        <v>0</v>
      </c>
    </row>
    <row r="4" spans="1:2" ht="15" x14ac:dyDescent="0.2">
      <c r="A4" s="310" t="s">
        <v>185</v>
      </c>
      <c r="B4" s="311" t="s">
        <v>186</v>
      </c>
    </row>
    <row r="5" spans="1:2" ht="15" x14ac:dyDescent="0.2">
      <c r="A5" s="312" t="s">
        <v>187</v>
      </c>
      <c r="B5" s="311" t="s">
        <v>188</v>
      </c>
    </row>
    <row r="6" spans="1:2" ht="15" x14ac:dyDescent="0.2">
      <c r="A6" s="310" t="s">
        <v>189</v>
      </c>
      <c r="B6" s="311" t="s">
        <v>190</v>
      </c>
    </row>
    <row r="7" spans="1:2" ht="15" x14ac:dyDescent="0.2">
      <c r="A7" s="310" t="s">
        <v>191</v>
      </c>
      <c r="B7" s="311" t="s">
        <v>192</v>
      </c>
    </row>
    <row r="8" spans="1:2" ht="15" x14ac:dyDescent="0.2">
      <c r="A8" s="310" t="s">
        <v>193</v>
      </c>
      <c r="B8" s="311" t="s">
        <v>194</v>
      </c>
    </row>
    <row r="9" spans="1:2" ht="15" x14ac:dyDescent="0.2">
      <c r="A9" s="310" t="s">
        <v>195</v>
      </c>
      <c r="B9" s="311" t="s">
        <v>196</v>
      </c>
    </row>
    <row r="10" spans="1:2" ht="15" x14ac:dyDescent="0.2">
      <c r="A10" s="310" t="s">
        <v>197</v>
      </c>
      <c r="B10" s="311" t="s">
        <v>198</v>
      </c>
    </row>
    <row r="11" spans="1:2" ht="15" x14ac:dyDescent="0.2">
      <c r="A11" s="310" t="s">
        <v>199</v>
      </c>
      <c r="B11" s="311" t="s">
        <v>200</v>
      </c>
    </row>
    <row r="12" spans="1:2" ht="15" x14ac:dyDescent="0.2">
      <c r="A12" s="310" t="s">
        <v>201</v>
      </c>
      <c r="B12" s="311" t="s">
        <v>202</v>
      </c>
    </row>
    <row r="13" spans="1:2" ht="15" x14ac:dyDescent="0.2">
      <c r="A13" s="310" t="s">
        <v>203</v>
      </c>
      <c r="B13" s="311" t="s">
        <v>204</v>
      </c>
    </row>
    <row r="14" spans="1:2" ht="15" x14ac:dyDescent="0.2">
      <c r="A14" s="310" t="s">
        <v>205</v>
      </c>
      <c r="B14" s="311" t="s">
        <v>206</v>
      </c>
    </row>
    <row r="15" spans="1:2" ht="15" x14ac:dyDescent="0.2">
      <c r="A15" s="310" t="s">
        <v>207</v>
      </c>
      <c r="B15" s="311" t="s">
        <v>208</v>
      </c>
    </row>
    <row r="16" spans="1:2" ht="15" x14ac:dyDescent="0.2">
      <c r="A16" s="310" t="s">
        <v>182</v>
      </c>
      <c r="B16" s="311" t="s">
        <v>209</v>
      </c>
    </row>
    <row r="17" spans="1:2" ht="15" x14ac:dyDescent="0.2">
      <c r="A17" s="310" t="s">
        <v>210</v>
      </c>
      <c r="B17" s="311" t="s">
        <v>211</v>
      </c>
    </row>
    <row r="18" spans="1:2" ht="15" x14ac:dyDescent="0.2">
      <c r="A18" s="310" t="s">
        <v>212</v>
      </c>
      <c r="B18" s="311" t="s">
        <v>213</v>
      </c>
    </row>
    <row r="19" spans="1:2" ht="15" x14ac:dyDescent="0.2">
      <c r="A19" s="310" t="s">
        <v>214</v>
      </c>
      <c r="B19" s="311" t="s">
        <v>215</v>
      </c>
    </row>
    <row r="20" spans="1:2" ht="15" x14ac:dyDescent="0.2">
      <c r="A20" s="310" t="s">
        <v>216</v>
      </c>
      <c r="B20" s="311" t="s">
        <v>217</v>
      </c>
    </row>
    <row r="21" spans="1:2" ht="15" x14ac:dyDescent="0.2">
      <c r="A21" s="310" t="s">
        <v>218</v>
      </c>
      <c r="B21" s="311" t="s">
        <v>219</v>
      </c>
    </row>
    <row r="22" spans="1:2" ht="15" x14ac:dyDescent="0.2">
      <c r="A22" s="310" t="s">
        <v>220</v>
      </c>
      <c r="B22" s="311" t="s">
        <v>221</v>
      </c>
    </row>
    <row r="23" spans="1:2" ht="15" x14ac:dyDescent="0.2">
      <c r="A23" s="310" t="s">
        <v>222</v>
      </c>
      <c r="B23" s="311" t="s">
        <v>223</v>
      </c>
    </row>
    <row r="24" spans="1:2" ht="15" x14ac:dyDescent="0.2">
      <c r="A24" s="310" t="s">
        <v>224</v>
      </c>
      <c r="B24" s="311" t="s">
        <v>225</v>
      </c>
    </row>
    <row r="25" spans="1:2" ht="15" x14ac:dyDescent="0.2">
      <c r="A25" s="310" t="s">
        <v>226</v>
      </c>
      <c r="B25" s="311" t="s">
        <v>227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B1:AJ57"/>
  <sheetViews>
    <sheetView topLeftCell="C1" zoomScaleNormal="100" workbookViewId="0">
      <selection activeCell="K22" sqref="K22"/>
    </sheetView>
  </sheetViews>
  <sheetFormatPr defaultRowHeight="12.75" x14ac:dyDescent="0.2"/>
  <cols>
    <col min="1" max="1" width="8.28515625" customWidth="1"/>
    <col min="3" max="3" width="11.7109375" customWidth="1"/>
    <col min="4" max="4" width="3.85546875" customWidth="1"/>
    <col min="5" max="5" width="8.140625" style="1" customWidth="1"/>
    <col min="6" max="6" width="19.28515625" style="1" customWidth="1"/>
    <col min="7" max="7" width="19.5703125" style="1" customWidth="1"/>
    <col min="8" max="8" width="0" hidden="1" customWidth="1"/>
    <col min="9" max="9" width="3.85546875" hidden="1" customWidth="1"/>
    <col min="10" max="10" width="14.42578125" style="1" customWidth="1"/>
    <col min="11" max="11" width="17.42578125" style="1" customWidth="1"/>
    <col min="12" max="12" width="14" style="2" customWidth="1"/>
    <col min="15" max="15" width="38.85546875" style="320" hidden="1" customWidth="1"/>
    <col min="16" max="16" width="13.5703125" style="314" hidden="1" customWidth="1"/>
    <col min="17" max="17" width="9.140625" hidden="1" customWidth="1"/>
    <col min="18" max="18" width="24.7109375" hidden="1" customWidth="1"/>
    <col min="19" max="19" width="10.28515625" hidden="1" customWidth="1"/>
    <col min="20" max="20" width="18.7109375" hidden="1" customWidth="1"/>
    <col min="21" max="21" width="16.7109375" hidden="1" customWidth="1"/>
    <col min="22" max="26" width="9.140625" hidden="1" customWidth="1"/>
    <col min="27" max="27" width="24.7109375" hidden="1" customWidth="1"/>
    <col min="28" max="28" width="32.5703125" hidden="1" customWidth="1"/>
    <col min="29" max="29" width="12.28515625" hidden="1" customWidth="1"/>
    <col min="30" max="30" width="10.42578125" hidden="1" customWidth="1"/>
    <col min="31" max="31" width="9.7109375" hidden="1" customWidth="1"/>
    <col min="32" max="32" width="19" hidden="1" customWidth="1"/>
    <col min="33" max="33" width="35.140625" hidden="1" customWidth="1"/>
    <col min="34" max="34" width="11.85546875" hidden="1" customWidth="1"/>
    <col min="35" max="35" width="13.5703125" hidden="1" customWidth="1"/>
    <col min="36" max="36" width="7.7109375" hidden="1" customWidth="1"/>
  </cols>
  <sheetData>
    <row r="1" spans="2:36" ht="13.5" thickBot="1" x14ac:dyDescent="0.25">
      <c r="O1" s="313"/>
    </row>
    <row r="2" spans="2:36" ht="13.5" thickBot="1" x14ac:dyDescent="0.25">
      <c r="B2" s="237"/>
      <c r="C2" s="238"/>
      <c r="D2" s="238"/>
      <c r="E2" s="239"/>
      <c r="F2" s="296" t="s">
        <v>144</v>
      </c>
      <c r="G2" s="239"/>
      <c r="H2" s="238"/>
      <c r="I2" s="238"/>
      <c r="J2" s="239"/>
      <c r="K2" s="240"/>
      <c r="O2" s="313"/>
    </row>
    <row r="3" spans="2:36" x14ac:dyDescent="0.2">
      <c r="B3" s="87" t="s">
        <v>0</v>
      </c>
      <c r="C3" s="235"/>
      <c r="D3" s="72"/>
      <c r="E3" s="100" t="s">
        <v>117</v>
      </c>
      <c r="F3" s="73"/>
      <c r="G3" s="322"/>
      <c r="H3" s="72"/>
      <c r="I3" s="72"/>
      <c r="J3" s="74" t="s">
        <v>2</v>
      </c>
      <c r="K3" s="236"/>
      <c r="L3" s="76"/>
      <c r="M3" s="77"/>
      <c r="N3" s="77"/>
      <c r="O3" s="315" t="s">
        <v>228</v>
      </c>
      <c r="P3" s="315" t="s">
        <v>229</v>
      </c>
      <c r="Q3" s="315" t="s">
        <v>230</v>
      </c>
      <c r="R3" s="315" t="s">
        <v>231</v>
      </c>
      <c r="S3" s="315" t="s">
        <v>232</v>
      </c>
      <c r="T3" s="315" t="s">
        <v>233</v>
      </c>
      <c r="U3" s="315" t="s">
        <v>234</v>
      </c>
      <c r="V3" s="315" t="s">
        <v>235</v>
      </c>
      <c r="W3" s="315" t="s">
        <v>236</v>
      </c>
      <c r="X3" s="315" t="s">
        <v>237</v>
      </c>
      <c r="Y3" s="315" t="s">
        <v>238</v>
      </c>
      <c r="AA3" t="s">
        <v>231</v>
      </c>
      <c r="AB3" t="s">
        <v>232</v>
      </c>
      <c r="AC3" t="s">
        <v>239</v>
      </c>
      <c r="AD3" t="s">
        <v>233</v>
      </c>
      <c r="AE3" t="s">
        <v>235</v>
      </c>
      <c r="AF3" t="s">
        <v>228</v>
      </c>
      <c r="AG3" t="s">
        <v>240</v>
      </c>
      <c r="AH3" t="s">
        <v>241</v>
      </c>
      <c r="AI3" t="s">
        <v>242</v>
      </c>
      <c r="AJ3" t="s">
        <v>243</v>
      </c>
    </row>
    <row r="4" spans="2:36" ht="13.5" thickBot="1" x14ac:dyDescent="0.25">
      <c r="B4" s="89" t="s">
        <v>1</v>
      </c>
      <c r="C4" s="13"/>
      <c r="D4" s="84"/>
      <c r="E4" s="83" t="s">
        <v>116</v>
      </c>
      <c r="F4" s="85"/>
      <c r="G4" s="323"/>
      <c r="H4" s="84"/>
      <c r="I4" s="84"/>
      <c r="J4" s="86" t="s">
        <v>3</v>
      </c>
      <c r="K4" s="11"/>
      <c r="L4" s="76"/>
      <c r="M4" s="77"/>
      <c r="N4" s="77"/>
      <c r="O4" s="316" t="s">
        <v>0</v>
      </c>
      <c r="P4" s="317">
        <f ca="1">INDIRECT(Q4)</f>
        <v>0</v>
      </c>
      <c r="Q4" t="str">
        <f ca="1">CELL("address",C3)</f>
        <v>$C$3</v>
      </c>
      <c r="R4" t="s">
        <v>244</v>
      </c>
      <c r="S4" t="str">
        <f ca="1">SUBSTITUTE(Q4,"$","")</f>
        <v>C3</v>
      </c>
      <c r="T4" s="318" t="str">
        <f ca="1">VLOOKUP(CELL("format",INDIRECT(Q4)),FormatLookup[],2,FALSE)</f>
        <v>General</v>
      </c>
      <c r="U4" s="318" t="s">
        <v>245</v>
      </c>
      <c r="V4" t="str">
        <f>IF(ISBLANK(VLOOKUP(R4,Definitions60Gy8F[],5,FALSE)),"",VLOOKUP(R4,Definitions60Gy8F[],5,FALSE))</f>
        <v/>
      </c>
      <c r="W4" s="319" t="b">
        <f ca="1">EXACT(config60Gy8F[[#This Row],[Address]],VLOOKUP(config60Gy8F[[#This Row],[Name]],Definitions60Gy8F[],2,FALSE))</f>
        <v>1</v>
      </c>
      <c r="X4" s="319" t="str">
        <f ca="1">IF(EXACT(config60Gy8F[[#This Row],[Extracted Format]],config60Gy8F[[#This Row],[Expected Format]]),TRUE,IF(EXACT(config60Gy8F[[#This Row],[Expected Format]],"@"),"Check",FALSE))</f>
        <v>Check</v>
      </c>
      <c r="Y4" t="b">
        <f>IF(ISERROR(FIND(config60Gy8F[[#This Row],[Units]],config60Gy8F[[#This Row],[Label]])),"Check",TRUE)</f>
        <v>1</v>
      </c>
      <c r="AA4" t="s">
        <v>244</v>
      </c>
      <c r="AB4" t="s">
        <v>246</v>
      </c>
      <c r="AC4" s="318" t="s">
        <v>245</v>
      </c>
      <c r="AD4" s="318" t="s">
        <v>245</v>
      </c>
      <c r="AF4" t="s">
        <v>0</v>
      </c>
      <c r="AG4" t="s">
        <v>247</v>
      </c>
      <c r="AH4" t="s">
        <v>248</v>
      </c>
    </row>
    <row r="5" spans="2:36" x14ac:dyDescent="0.2">
      <c r="B5" s="87" t="s">
        <v>9</v>
      </c>
      <c r="C5" s="72"/>
      <c r="D5" s="72"/>
      <c r="E5" s="73"/>
      <c r="F5" s="73"/>
      <c r="G5" s="73"/>
      <c r="H5" s="72"/>
      <c r="I5" s="72"/>
      <c r="J5" s="73"/>
      <c r="K5" s="75"/>
      <c r="L5" s="76"/>
      <c r="M5" s="77"/>
      <c r="N5" s="77"/>
      <c r="O5" s="316" t="s">
        <v>1</v>
      </c>
      <c r="P5" s="317">
        <f t="shared" ref="P5:P40" ca="1" si="0">INDIRECT(Q5)</f>
        <v>0</v>
      </c>
      <c r="Q5" t="str">
        <f ca="1">CELL("address",C4)</f>
        <v>$C$4</v>
      </c>
      <c r="R5" t="s">
        <v>249</v>
      </c>
      <c r="S5" t="str">
        <f t="shared" ref="S5:S40" ca="1" si="1">SUBSTITUTE(Q5,"$","")</f>
        <v>C4</v>
      </c>
      <c r="T5" s="318" t="str">
        <f ca="1">VLOOKUP(CELL("format",INDIRECT(Q5)),FormatLookup[],2,FALSE)</f>
        <v>General</v>
      </c>
      <c r="U5" s="318" t="s">
        <v>245</v>
      </c>
      <c r="V5" t="str">
        <f>IF(ISBLANK(VLOOKUP(R5,Definitions60Gy8F[],5,FALSE)),"",VLOOKUP(R5,Definitions60Gy8F[],5,FALSE))</f>
        <v/>
      </c>
      <c r="W5" s="319" t="b">
        <f ca="1">EXACT(config60Gy8F[[#This Row],[Address]],VLOOKUP(config60Gy8F[[#This Row],[Name]],Definitions60Gy8F[],2,FALSE))</f>
        <v>1</v>
      </c>
      <c r="X5" s="319" t="str">
        <f ca="1">IF(EXACT(config60Gy8F[[#This Row],[Extracted Format]],config60Gy8F[[#This Row],[Expected Format]]),TRUE,IF(EXACT(config60Gy8F[[#This Row],[Expected Format]],"@"),"Check",FALSE))</f>
        <v>Check</v>
      </c>
      <c r="Y5" t="b">
        <f>IF(ISERROR(FIND(config60Gy8F[[#This Row],[Units]],config60Gy8F[[#This Row],[Label]])),"Check",TRUE)</f>
        <v>1</v>
      </c>
      <c r="AA5" t="s">
        <v>249</v>
      </c>
      <c r="AB5" t="s">
        <v>250</v>
      </c>
      <c r="AC5" s="318" t="s">
        <v>245</v>
      </c>
      <c r="AD5" s="318" t="s">
        <v>245</v>
      </c>
      <c r="AF5" t="s">
        <v>249</v>
      </c>
      <c r="AG5" t="s">
        <v>251</v>
      </c>
      <c r="AH5" t="s">
        <v>248</v>
      </c>
    </row>
    <row r="6" spans="2:36" x14ac:dyDescent="0.2">
      <c r="B6" s="82" t="s">
        <v>4</v>
      </c>
      <c r="C6" s="84"/>
      <c r="D6" s="84"/>
      <c r="E6" s="85"/>
      <c r="F6" s="342"/>
      <c r="G6" s="85"/>
      <c r="H6" s="84"/>
      <c r="I6" s="84"/>
      <c r="J6" s="85"/>
      <c r="K6" s="88"/>
      <c r="L6" s="76"/>
      <c r="M6" s="226"/>
      <c r="N6" s="226"/>
      <c r="O6" s="316" t="s">
        <v>2</v>
      </c>
      <c r="P6" s="317">
        <f t="shared" ca="1" si="0"/>
        <v>0</v>
      </c>
      <c r="Q6" t="str">
        <f ca="1">CELL("address",K3)</f>
        <v>$K$3</v>
      </c>
      <c r="R6" t="s">
        <v>252</v>
      </c>
      <c r="S6" t="str">
        <f t="shared" ca="1" si="1"/>
        <v>K3</v>
      </c>
      <c r="T6" s="318" t="str">
        <f ca="1">VLOOKUP(CELL("format",INDIRECT(Q6)),FormatLookup[],2,FALSE)</f>
        <v>General</v>
      </c>
      <c r="U6" s="318" t="s">
        <v>245</v>
      </c>
      <c r="V6" t="str">
        <f>IF(ISBLANK(VLOOKUP(R6,Definitions60Gy8F[],5,FALSE)),"",VLOOKUP(R6,Definitions60Gy8F[],5,FALSE))</f>
        <v/>
      </c>
      <c r="W6" s="319" t="b">
        <f ca="1">EXACT(config60Gy8F[[#This Row],[Address]],VLOOKUP(config60Gy8F[[#This Row],[Name]],Definitions60Gy8F[],2,FALSE))</f>
        <v>1</v>
      </c>
      <c r="X6" s="319" t="str">
        <f ca="1">IF(EXACT(config60Gy8F[[#This Row],[Extracted Format]],config60Gy8F[[#This Row],[Expected Format]]),TRUE,IF(EXACT(config60Gy8F[[#This Row],[Expected Format]],"@"),"Check",FALSE))</f>
        <v>Check</v>
      </c>
      <c r="Y6" t="b">
        <f>IF(ISERROR(FIND(config60Gy8F[[#This Row],[Units]],config60Gy8F[[#This Row],[Label]])),"Check",TRUE)</f>
        <v>1</v>
      </c>
      <c r="AA6" t="s">
        <v>252</v>
      </c>
      <c r="AB6" t="s">
        <v>253</v>
      </c>
      <c r="AC6" s="318" t="s">
        <v>245</v>
      </c>
      <c r="AD6" s="318" t="s">
        <v>245</v>
      </c>
      <c r="AF6" t="s">
        <v>2</v>
      </c>
      <c r="AG6" t="s">
        <v>254</v>
      </c>
      <c r="AH6" t="s">
        <v>248</v>
      </c>
    </row>
    <row r="7" spans="2:36" x14ac:dyDescent="0.2">
      <c r="B7" s="82" t="s">
        <v>5</v>
      </c>
      <c r="C7" s="84"/>
      <c r="D7" s="84"/>
      <c r="E7" s="85"/>
      <c r="F7" s="343"/>
      <c r="G7" s="85"/>
      <c r="H7" s="84"/>
      <c r="I7" s="84"/>
      <c r="J7" s="85"/>
      <c r="K7" s="88" t="s">
        <v>26</v>
      </c>
      <c r="L7" s="76"/>
      <c r="M7" s="228"/>
      <c r="N7" s="226"/>
      <c r="O7" s="316" t="s">
        <v>3</v>
      </c>
      <c r="P7" s="317">
        <f t="shared" ca="1" si="0"/>
        <v>0</v>
      </c>
      <c r="Q7" t="str">
        <f ca="1">CELL("address",K4)</f>
        <v>$K$4</v>
      </c>
      <c r="R7" t="s">
        <v>255</v>
      </c>
      <c r="S7" t="str">
        <f t="shared" ca="1" si="1"/>
        <v>K4</v>
      </c>
      <c r="T7" s="318" t="str">
        <f ca="1">VLOOKUP(CELL("format",INDIRECT(Q7)),FormatLookup[],2,FALSE)</f>
        <v>General</v>
      </c>
      <c r="U7" s="318" t="s">
        <v>245</v>
      </c>
      <c r="V7" t="str">
        <f>IF(ISBLANK(VLOOKUP(R7,Definitions60Gy8F[],5,FALSE)),"",VLOOKUP(R7,Definitions60Gy8F[],5,FALSE))</f>
        <v/>
      </c>
      <c r="W7" s="319" t="b">
        <f ca="1">EXACT(config60Gy8F[[#This Row],[Address]],VLOOKUP(config60Gy8F[[#This Row],[Name]],Definitions60Gy8F[],2,FALSE))</f>
        <v>1</v>
      </c>
      <c r="X7" s="319" t="str">
        <f ca="1">IF(EXACT(config60Gy8F[[#This Row],[Extracted Format]],config60Gy8F[[#This Row],[Expected Format]]),TRUE,IF(EXACT(config60Gy8F[[#This Row],[Expected Format]],"@"),"Check",FALSE))</f>
        <v>Check</v>
      </c>
      <c r="Y7" t="b">
        <f>IF(ISERROR(FIND(config60Gy8F[[#This Row],[Units]],config60Gy8F[[#This Row],[Label]])),"Check",TRUE)</f>
        <v>1</v>
      </c>
      <c r="AA7" t="s">
        <v>255</v>
      </c>
      <c r="AB7" t="s">
        <v>256</v>
      </c>
      <c r="AC7" s="318" t="s">
        <v>245</v>
      </c>
      <c r="AD7" s="318" t="s">
        <v>245</v>
      </c>
      <c r="AF7" t="s">
        <v>3</v>
      </c>
      <c r="AG7" t="s">
        <v>257</v>
      </c>
      <c r="AH7" t="s">
        <v>248</v>
      </c>
    </row>
    <row r="8" spans="2:36" x14ac:dyDescent="0.2">
      <c r="B8" s="82" t="s">
        <v>6</v>
      </c>
      <c r="C8" s="84"/>
      <c r="D8" s="84"/>
      <c r="E8" s="85"/>
      <c r="F8" s="342"/>
      <c r="G8" s="85"/>
      <c r="H8" s="84"/>
      <c r="I8" s="84"/>
      <c r="J8" s="85"/>
      <c r="K8" s="88"/>
      <c r="L8" s="76"/>
      <c r="M8" s="226"/>
      <c r="N8" s="226"/>
      <c r="O8" s="316" t="s">
        <v>117</v>
      </c>
      <c r="P8" s="317">
        <f t="shared" ca="1" si="0"/>
        <v>0</v>
      </c>
      <c r="Q8" t="str">
        <f ca="1">CELL("address",G3)</f>
        <v>$G$3</v>
      </c>
      <c r="R8" t="s">
        <v>258</v>
      </c>
      <c r="S8" t="str">
        <f t="shared" ca="1" si="1"/>
        <v>G3</v>
      </c>
      <c r="T8" s="318" t="str">
        <f ca="1">VLOOKUP(CELL("format",INDIRECT(Q8)),FormatLookup[],2,FALSE)</f>
        <v>0.0</v>
      </c>
      <c r="U8" s="318" t="s">
        <v>188</v>
      </c>
      <c r="V8" t="str">
        <f>IF(ISBLANK(VLOOKUP(R8,Definitions60Gy8F[],5,FALSE)),"",VLOOKUP(R8,Definitions60Gy8F[],5,FALSE))</f>
        <v>cGy</v>
      </c>
      <c r="W8" s="319" t="b">
        <f ca="1">EXACT(config60Gy8F[[#This Row],[Address]],VLOOKUP(config60Gy8F[[#This Row],[Name]],Definitions60Gy8F[],2,FALSE))</f>
        <v>1</v>
      </c>
      <c r="X8" s="319" t="b">
        <f ca="1">IF(EXACT(config60Gy8F[[#This Row],[Extracted Format]],config60Gy8F[[#This Row],[Expected Format]]),TRUE,IF(EXACT(config60Gy8F[[#This Row],[Expected Format]],"@"),"Check",FALSE))</f>
        <v>1</v>
      </c>
      <c r="Y8" t="b">
        <f>IF(ISERROR(FIND(config60Gy8F[[#This Row],[Units]],config60Gy8F[[#This Row],[Label]])),"Check",TRUE)</f>
        <v>1</v>
      </c>
      <c r="AA8" t="s">
        <v>265</v>
      </c>
      <c r="AB8" t="s">
        <v>266</v>
      </c>
      <c r="AC8" s="318" t="s">
        <v>190</v>
      </c>
      <c r="AD8" s="318" t="s">
        <v>190</v>
      </c>
      <c r="AE8" t="s">
        <v>267</v>
      </c>
      <c r="AF8" t="s">
        <v>4</v>
      </c>
      <c r="AG8" t="s">
        <v>268</v>
      </c>
      <c r="AH8" t="s">
        <v>269</v>
      </c>
      <c r="AJ8" t="s">
        <v>29</v>
      </c>
    </row>
    <row r="9" spans="2:36" ht="13.5" thickBot="1" x14ac:dyDescent="0.25">
      <c r="B9" s="78" t="s">
        <v>7</v>
      </c>
      <c r="C9" s="79"/>
      <c r="D9" s="79"/>
      <c r="E9" s="80"/>
      <c r="F9" s="325"/>
      <c r="G9" s="80"/>
      <c r="H9" s="79"/>
      <c r="I9" s="79"/>
      <c r="J9" s="80"/>
      <c r="K9" s="81"/>
      <c r="L9" s="76"/>
      <c r="M9" s="77"/>
      <c r="N9" s="77"/>
      <c r="O9" s="316" t="s">
        <v>116</v>
      </c>
      <c r="P9" s="317">
        <f t="shared" ca="1" si="0"/>
        <v>0</v>
      </c>
      <c r="Q9" t="str">
        <f ca="1">CELL("address",G4)</f>
        <v>$G$4</v>
      </c>
      <c r="R9" t="s">
        <v>262</v>
      </c>
      <c r="S9" t="str">
        <f t="shared" ca="1" si="1"/>
        <v>G4</v>
      </c>
      <c r="T9" s="318">
        <f ca="1">VLOOKUP(CELL("format",INDIRECT(Q9)),FormatLookup[],2,FALSE)</f>
        <v>0</v>
      </c>
      <c r="U9" s="318">
        <v>0</v>
      </c>
      <c r="V9" t="str">
        <f>IF(ISBLANK(VLOOKUP(R9,Definitions60Gy8F[],5,FALSE)),"",VLOOKUP(R9,Definitions60Gy8F[],5,FALSE))</f>
        <v/>
      </c>
      <c r="W9" s="319" t="b">
        <f ca="1">EXACT(config60Gy8F[[#This Row],[Address]],VLOOKUP(config60Gy8F[[#This Row],[Name]],Definitions60Gy8F[],2,FALSE))</f>
        <v>1</v>
      </c>
      <c r="X9" s="319" t="b">
        <f ca="1">IF(EXACT(config60Gy8F[[#This Row],[Extracted Format]],config60Gy8F[[#This Row],[Expected Format]]),TRUE,IF(EXACT(config60Gy8F[[#This Row],[Expected Format]],"@"),"Check",FALSE))</f>
        <v>1</v>
      </c>
      <c r="Y9" t="b">
        <f>IF(ISERROR(FIND(config60Gy8F[[#This Row],[Units]],config60Gy8F[[#This Row],[Label]])),"Check",TRUE)</f>
        <v>1</v>
      </c>
      <c r="AA9" t="s">
        <v>270</v>
      </c>
      <c r="AB9" t="s">
        <v>271</v>
      </c>
      <c r="AC9" s="318" t="s">
        <v>190</v>
      </c>
      <c r="AD9" s="318" t="s">
        <v>190</v>
      </c>
      <c r="AE9" t="s">
        <v>267</v>
      </c>
      <c r="AF9" t="s">
        <v>5</v>
      </c>
      <c r="AG9" t="s">
        <v>272</v>
      </c>
      <c r="AH9" t="s">
        <v>269</v>
      </c>
      <c r="AJ9" t="s">
        <v>29</v>
      </c>
    </row>
    <row r="10" spans="2:36" x14ac:dyDescent="0.2">
      <c r="B10" s="87" t="s">
        <v>8</v>
      </c>
      <c r="C10" s="72"/>
      <c r="E10" s="253"/>
      <c r="F10" s="155" t="s">
        <v>28</v>
      </c>
      <c r="G10" s="156"/>
      <c r="H10" s="100" t="s">
        <v>26</v>
      </c>
      <c r="I10" s="72"/>
      <c r="J10" s="157" t="s">
        <v>26</v>
      </c>
      <c r="K10" s="158" t="s">
        <v>26</v>
      </c>
      <c r="L10" s="76"/>
      <c r="M10" s="77"/>
      <c r="N10" s="77"/>
      <c r="O10" s="316" t="s">
        <v>4</v>
      </c>
      <c r="P10" s="317">
        <f t="shared" ca="1" si="0"/>
        <v>0</v>
      </c>
      <c r="Q10" t="str">
        <f ca="1">CELL("address",F6)</f>
        <v>$F$6</v>
      </c>
      <c r="R10" t="s">
        <v>265</v>
      </c>
      <c r="S10" t="str">
        <f t="shared" ca="1" si="1"/>
        <v>F6</v>
      </c>
      <c r="T10" s="318" t="str">
        <f ca="1">VLOOKUP(CELL("format",INDIRECT(Q10)),FormatLookup[],2,FALSE)</f>
        <v>0.00</v>
      </c>
      <c r="U10" s="318" t="s">
        <v>190</v>
      </c>
      <c r="V10" t="str">
        <f>IF(ISBLANK(VLOOKUP(R10,Definitions60Gy8F[],5,FALSE)),"",VLOOKUP(R10,Definitions60Gy8F[],5,FALSE))</f>
        <v>cc</v>
      </c>
      <c r="W10" s="319" t="b">
        <f ca="1">EXACT(config60Gy8F[[#This Row],[Address]],VLOOKUP(config60Gy8F[[#This Row],[Name]],Definitions60Gy8F[],2,FALSE))</f>
        <v>1</v>
      </c>
      <c r="X10" s="319" t="b">
        <f ca="1">IF(EXACT(config60Gy8F[[#This Row],[Extracted Format]],config60Gy8F[[#This Row],[Expected Format]]),TRUE,IF(EXACT(config60Gy8F[[#This Row],[Expected Format]],"@"),"Check",FALSE))</f>
        <v>1</v>
      </c>
      <c r="Y10" t="b">
        <f>IF(ISERROR(FIND(config60Gy8F[[#This Row],[Units]],config60Gy8F[[#This Row],[Label]])),"Check",TRUE)</f>
        <v>1</v>
      </c>
      <c r="AA10" t="s">
        <v>273</v>
      </c>
      <c r="AB10" t="s">
        <v>274</v>
      </c>
      <c r="AC10" s="318" t="s">
        <v>190</v>
      </c>
      <c r="AD10" s="318" t="s">
        <v>190</v>
      </c>
      <c r="AE10" t="s">
        <v>267</v>
      </c>
      <c r="AF10" t="s">
        <v>6</v>
      </c>
      <c r="AG10" t="s">
        <v>275</v>
      </c>
      <c r="AH10" t="s">
        <v>269</v>
      </c>
      <c r="AJ10" t="s">
        <v>29</v>
      </c>
    </row>
    <row r="11" spans="2:36" x14ac:dyDescent="0.2">
      <c r="B11" s="124"/>
      <c r="C11" s="91"/>
      <c r="D11" s="91"/>
      <c r="E11" s="91"/>
      <c r="F11" s="92" t="s">
        <v>124</v>
      </c>
      <c r="G11" s="93" t="s">
        <v>128</v>
      </c>
      <c r="H11" s="94" t="s">
        <v>19</v>
      </c>
      <c r="I11" s="91"/>
      <c r="J11" s="92" t="s">
        <v>18</v>
      </c>
      <c r="K11" s="95" t="s">
        <v>11</v>
      </c>
      <c r="L11" s="96" t="s">
        <v>30</v>
      </c>
      <c r="M11" s="77"/>
      <c r="N11" s="77"/>
      <c r="O11" s="316" t="s">
        <v>5</v>
      </c>
      <c r="P11" s="317">
        <f t="shared" ca="1" si="0"/>
        <v>0</v>
      </c>
      <c r="Q11" t="str">
        <f ca="1">CELL("address",F7)</f>
        <v>$F$7</v>
      </c>
      <c r="R11" t="s">
        <v>270</v>
      </c>
      <c r="S11" t="str">
        <f t="shared" ca="1" si="1"/>
        <v>F7</v>
      </c>
      <c r="T11" s="318" t="str">
        <f ca="1">VLOOKUP(CELL("format",INDIRECT(Q11)),FormatLookup[],2,FALSE)</f>
        <v>0.00</v>
      </c>
      <c r="U11" s="318" t="s">
        <v>190</v>
      </c>
      <c r="V11" t="str">
        <f>IF(ISBLANK(VLOOKUP(R11,Definitions60Gy8F[],5,FALSE)),"",VLOOKUP(R11,Definitions60Gy8F[],5,FALSE))</f>
        <v>cc</v>
      </c>
      <c r="W11" s="319" t="b">
        <f ca="1">EXACT(config60Gy8F[[#This Row],[Address]],VLOOKUP(config60Gy8F[[#This Row],[Name]],Definitions60Gy8F[],2,FALSE))</f>
        <v>1</v>
      </c>
      <c r="X11" s="319" t="b">
        <f ca="1">IF(EXACT(config60Gy8F[[#This Row],[Extracted Format]],config60Gy8F[[#This Row],[Expected Format]]),TRUE,IF(EXACT(config60Gy8F[[#This Row],[Expected Format]],"@"),"Check",FALSE))</f>
        <v>1</v>
      </c>
      <c r="Y11" t="b">
        <f>IF(ISERROR(FIND(config60Gy8F[[#This Row],[Units]],config60Gy8F[[#This Row],[Label]])),"Check",TRUE)</f>
        <v>1</v>
      </c>
      <c r="AA11" t="s">
        <v>276</v>
      </c>
      <c r="AB11" t="s">
        <v>277</v>
      </c>
      <c r="AC11" s="318" t="s">
        <v>190</v>
      </c>
      <c r="AD11" s="318" t="s">
        <v>190</v>
      </c>
      <c r="AE11" t="s">
        <v>267</v>
      </c>
      <c r="AF11" t="s">
        <v>7</v>
      </c>
      <c r="AG11" t="s">
        <v>141</v>
      </c>
      <c r="AH11" t="s">
        <v>269</v>
      </c>
      <c r="AI11" t="s">
        <v>278</v>
      </c>
      <c r="AJ11" t="s">
        <v>29</v>
      </c>
    </row>
    <row r="12" spans="2:36" x14ac:dyDescent="0.2">
      <c r="B12" s="82"/>
      <c r="C12" s="84"/>
      <c r="D12" s="84"/>
      <c r="E12" s="85"/>
      <c r="F12" s="187" t="s">
        <v>125</v>
      </c>
      <c r="G12" s="90"/>
      <c r="H12" s="83"/>
      <c r="I12" s="84"/>
      <c r="J12" s="97" t="s">
        <v>17</v>
      </c>
      <c r="K12" s="88"/>
      <c r="L12" s="76"/>
      <c r="M12" s="77"/>
      <c r="N12" s="77"/>
      <c r="O12" s="316" t="s">
        <v>6</v>
      </c>
      <c r="P12" s="317">
        <f t="shared" ca="1" si="0"/>
        <v>0</v>
      </c>
      <c r="Q12" t="str">
        <f ca="1">CELL("address",F8)</f>
        <v>$F$8</v>
      </c>
      <c r="R12" t="s">
        <v>273</v>
      </c>
      <c r="S12" t="str">
        <f t="shared" ca="1" si="1"/>
        <v>F8</v>
      </c>
      <c r="T12" s="318" t="str">
        <f ca="1">VLOOKUP(CELL("format",INDIRECT(Q12)),FormatLookup[],2,FALSE)</f>
        <v>0.00</v>
      </c>
      <c r="U12" s="318" t="s">
        <v>190</v>
      </c>
      <c r="V12" t="str">
        <f>IF(ISBLANK(VLOOKUP(R12,Definitions60Gy8F[],5,FALSE)),"",VLOOKUP(R12,Definitions60Gy8F[],5,FALSE))</f>
        <v>cc</v>
      </c>
      <c r="W12" s="319" t="b">
        <f ca="1">EXACT(config60Gy8F[[#This Row],[Address]],VLOOKUP(config60Gy8F[[#This Row],[Name]],Definitions60Gy8F[],2,FALSE))</f>
        <v>1</v>
      </c>
      <c r="X12" s="319" t="b">
        <f ca="1">IF(EXACT(config60Gy8F[[#This Row],[Extracted Format]],config60Gy8F[[#This Row],[Expected Format]]),TRUE,IF(EXACT(config60Gy8F[[#This Row],[Expected Format]],"@"),"Check",FALSE))</f>
        <v>1</v>
      </c>
      <c r="Y12" t="b">
        <f>IF(ISERROR(FIND(config60Gy8F[[#This Row],[Units]],config60Gy8F[[#This Row],[Label]])),"Check",TRUE)</f>
        <v>1</v>
      </c>
      <c r="AA12" t="s">
        <v>258</v>
      </c>
      <c r="AB12" t="s">
        <v>259</v>
      </c>
      <c r="AC12" s="318" t="s">
        <v>188</v>
      </c>
      <c r="AD12" s="318" t="s">
        <v>188</v>
      </c>
      <c r="AE12" t="s">
        <v>260</v>
      </c>
      <c r="AF12" t="s">
        <v>117</v>
      </c>
      <c r="AG12" t="s">
        <v>261</v>
      </c>
      <c r="AH12" t="s">
        <v>248</v>
      </c>
    </row>
    <row r="13" spans="2:36" x14ac:dyDescent="0.2">
      <c r="B13" s="124" t="s">
        <v>31</v>
      </c>
      <c r="C13" s="91"/>
      <c r="D13" s="91"/>
      <c r="E13" s="98"/>
      <c r="F13" s="344" t="s">
        <v>46</v>
      </c>
      <c r="G13" s="188"/>
      <c r="H13" s="163"/>
      <c r="I13" s="91"/>
      <c r="J13" s="161" t="s">
        <v>112</v>
      </c>
      <c r="K13" s="5" t="str">
        <f>IF(F13="??","??",IF((AND((F13&gt;59.99%),(F13&lt;95.01%))),"Yes", "No"))</f>
        <v>??</v>
      </c>
      <c r="L13" s="76" t="s">
        <v>32</v>
      </c>
      <c r="M13" s="77"/>
      <c r="N13" s="77"/>
      <c r="O13" s="316" t="s">
        <v>7</v>
      </c>
      <c r="P13" s="317">
        <f t="shared" ca="1" si="0"/>
        <v>0</v>
      </c>
      <c r="Q13" t="str">
        <f ca="1">CELL("address",F9)</f>
        <v>$F$9</v>
      </c>
      <c r="R13" t="s">
        <v>276</v>
      </c>
      <c r="S13" t="str">
        <f t="shared" ca="1" si="1"/>
        <v>F9</v>
      </c>
      <c r="T13" s="318" t="str">
        <f ca="1">VLOOKUP(CELL("format",INDIRECT(Q13)),FormatLookup[],2,FALSE)</f>
        <v>0.00</v>
      </c>
      <c r="U13" s="318" t="s">
        <v>190</v>
      </c>
      <c r="V13" t="str">
        <f>IF(ISBLANK(VLOOKUP(R13,Definitions60Gy8F[],5,FALSE)),"",VLOOKUP(R13,Definitions60Gy8F[],5,FALSE))</f>
        <v>cc</v>
      </c>
      <c r="W13" s="319" t="b">
        <f ca="1">EXACT(config60Gy8F[[#This Row],[Address]],VLOOKUP(config60Gy8F[[#This Row],[Name]],Definitions60Gy8F[],2,FALSE))</f>
        <v>1</v>
      </c>
      <c r="X13" s="319" t="b">
        <f ca="1">IF(EXACT(config60Gy8F[[#This Row],[Extracted Format]],config60Gy8F[[#This Row],[Expected Format]]),TRUE,IF(EXACT(config60Gy8F[[#This Row],[Expected Format]],"@"),"Check",FALSE))</f>
        <v>1</v>
      </c>
      <c r="Y13" t="b">
        <f>IF(ISERROR(FIND(config60Gy8F[[#This Row],[Units]],config60Gy8F[[#This Row],[Label]])),"Check",TRUE)</f>
        <v>1</v>
      </c>
      <c r="AA13" t="s">
        <v>262</v>
      </c>
      <c r="AB13" t="s">
        <v>263</v>
      </c>
      <c r="AC13" s="318" t="s">
        <v>188</v>
      </c>
      <c r="AD13" s="318" t="s">
        <v>264</v>
      </c>
      <c r="AF13" t="s">
        <v>116</v>
      </c>
      <c r="AH13" t="s">
        <v>248</v>
      </c>
    </row>
    <row r="14" spans="2:36" ht="13.5" thickBot="1" x14ac:dyDescent="0.25">
      <c r="B14" s="124"/>
      <c r="C14" s="91"/>
      <c r="D14" s="91"/>
      <c r="E14" s="98"/>
      <c r="F14" s="345"/>
      <c r="G14" s="162"/>
      <c r="H14" s="128"/>
      <c r="I14" s="91"/>
      <c r="J14" s="99"/>
      <c r="K14" s="5"/>
      <c r="L14" s="76"/>
      <c r="M14" s="77"/>
      <c r="N14" s="77"/>
      <c r="O14" s="316" t="s">
        <v>31</v>
      </c>
      <c r="P14" s="317" t="str">
        <f t="shared" ca="1" si="0"/>
        <v>??</v>
      </c>
      <c r="Q14" t="str">
        <f ca="1">CELL("address",F13)</f>
        <v>$F$13</v>
      </c>
      <c r="R14" t="s">
        <v>279</v>
      </c>
      <c r="S14" t="str">
        <f t="shared" ca="1" si="1"/>
        <v>F13</v>
      </c>
      <c r="T14" s="318" t="str">
        <f ca="1">VLOOKUP(CELL("format",INDIRECT(Q14)),FormatLookup[],2,FALSE)</f>
        <v>0.0%</v>
      </c>
      <c r="U14" s="318" t="s">
        <v>204</v>
      </c>
      <c r="V14" t="str">
        <f>IF(ISBLANK(VLOOKUP(R14,Definitions60Gy8F[],5,FALSE)),"",VLOOKUP(R14,Definitions60Gy8F[],5,FALSE))</f>
        <v>%</v>
      </c>
      <c r="W14" s="319" t="b">
        <f ca="1">EXACT(config60Gy8F[[#This Row],[Address]],VLOOKUP(config60Gy8F[[#This Row],[Name]],Definitions60Gy8F[],2,FALSE))</f>
        <v>1</v>
      </c>
      <c r="X14" s="319" t="b">
        <f ca="1">IF(EXACT(config60Gy8F[[#This Row],[Extracted Format]],config60Gy8F[[#This Row],[Expected Format]]),TRUE,IF(EXACT(config60Gy8F[[#This Row],[Expected Format]],"@"),"Check",FALSE))</f>
        <v>1</v>
      </c>
      <c r="Y14" t="b">
        <f>IF(ISERROR(FIND(config60Gy8F[[#This Row],[Units]],config60Gy8F[[#This Row],[Label]])),"Check",TRUE)</f>
        <v>1</v>
      </c>
      <c r="AA14" t="s">
        <v>279</v>
      </c>
      <c r="AB14" t="s">
        <v>280</v>
      </c>
      <c r="AC14" s="318" t="s">
        <v>204</v>
      </c>
      <c r="AD14" s="318" t="s">
        <v>204</v>
      </c>
      <c r="AE14" t="s">
        <v>281</v>
      </c>
      <c r="AF14" t="s">
        <v>31</v>
      </c>
      <c r="AH14" t="s">
        <v>248</v>
      </c>
    </row>
    <row r="15" spans="2:36" x14ac:dyDescent="0.2">
      <c r="B15" s="288" t="s">
        <v>21</v>
      </c>
      <c r="C15" s="219"/>
      <c r="D15" s="219"/>
      <c r="E15" s="289"/>
      <c r="F15" s="290"/>
      <c r="G15" s="291"/>
      <c r="H15" s="292"/>
      <c r="I15" s="219"/>
      <c r="J15" s="291"/>
      <c r="K15" s="293"/>
      <c r="L15" s="76"/>
      <c r="M15" s="77"/>
      <c r="N15" s="77"/>
      <c r="O15" s="316" t="s">
        <v>282</v>
      </c>
      <c r="P15" s="317" t="str">
        <f t="shared" ca="1" si="0"/>
        <v>??</v>
      </c>
      <c r="Q15" t="str">
        <f ca="1">CELL("address",F16)</f>
        <v>$F$16</v>
      </c>
      <c r="R15" t="s">
        <v>283</v>
      </c>
      <c r="S15" t="str">
        <f t="shared" ca="1" si="1"/>
        <v>F16</v>
      </c>
      <c r="T15" s="318" t="str">
        <f ca="1">VLOOKUP(CELL("format",INDIRECT(Q15)),FormatLookup[],2,FALSE)</f>
        <v>0.0%</v>
      </c>
      <c r="U15" s="318" t="s">
        <v>204</v>
      </c>
      <c r="V15" t="str">
        <f>IF(ISBLANK(VLOOKUP(R15,Definitions60Gy8F[],5,FALSE)),"",VLOOKUP(R15,Definitions60Gy8F[],5,FALSE))</f>
        <v>cc</v>
      </c>
      <c r="W15" s="319" t="b">
        <f ca="1">EXACT(config60Gy8F[[#This Row],[Address]],VLOOKUP(config60Gy8F[[#This Row],[Name]],Definitions60Gy8F[],2,FALSE))</f>
        <v>1</v>
      </c>
      <c r="X15" s="319" t="b">
        <f ca="1">IF(EXACT(config60Gy8F[[#This Row],[Extracted Format]],config60Gy8F[[#This Row],[Expected Format]]),TRUE,IF(EXACT(config60Gy8F[[#This Row],[Expected Format]],"@"),"Check",FALSE))</f>
        <v>1</v>
      </c>
      <c r="Y15" t="str">
        <f>IF(ISERROR(FIND(config60Gy8F[[#This Row],[Units]],config60Gy8F[[#This Row],[Label]])),"Check",TRUE)</f>
        <v>Check</v>
      </c>
      <c r="AA15" t="s">
        <v>284</v>
      </c>
      <c r="AB15" t="s">
        <v>285</v>
      </c>
      <c r="AC15" s="318" t="s">
        <v>204</v>
      </c>
      <c r="AD15" s="318" t="s">
        <v>204</v>
      </c>
      <c r="AE15" t="s">
        <v>281</v>
      </c>
      <c r="AF15" t="s">
        <v>440</v>
      </c>
      <c r="AG15" t="s">
        <v>275</v>
      </c>
      <c r="AH15" t="s">
        <v>269</v>
      </c>
      <c r="AJ15" t="s">
        <v>287</v>
      </c>
    </row>
    <row r="16" spans="2:36" x14ac:dyDescent="0.2">
      <c r="B16" s="148" t="s">
        <v>171</v>
      </c>
      <c r="C16" s="84"/>
      <c r="D16" s="84"/>
      <c r="E16" s="85"/>
      <c r="F16" s="346" t="s">
        <v>46</v>
      </c>
      <c r="G16" s="286"/>
      <c r="H16" s="120"/>
      <c r="I16" s="120"/>
      <c r="J16" s="287">
        <v>0.95</v>
      </c>
      <c r="K16" s="217" t="str">
        <f>IF(F16="??","??",(IF(F16&gt;=95%,"Yes","No")))</f>
        <v>??</v>
      </c>
      <c r="L16" s="76"/>
      <c r="M16" s="77"/>
      <c r="N16" s="77"/>
      <c r="O16" s="316" t="s">
        <v>288</v>
      </c>
      <c r="P16" s="317" t="str">
        <f t="shared" ca="1" si="0"/>
        <v>??</v>
      </c>
      <c r="Q16" t="str">
        <f ca="1">CELL("address",F17)</f>
        <v>$F$17</v>
      </c>
      <c r="R16" t="s">
        <v>289</v>
      </c>
      <c r="S16" t="str">
        <f t="shared" ca="1" si="1"/>
        <v>F17</v>
      </c>
      <c r="T16" s="318" t="str">
        <f ca="1">VLOOKUP(CELL("format",INDIRECT(Q16)),FormatLookup[],2,FALSE)</f>
        <v>0.0%</v>
      </c>
      <c r="U16" s="318" t="s">
        <v>204</v>
      </c>
      <c r="V16" t="str">
        <f>IF(ISBLANK(VLOOKUP(R16,Definitions60Gy8F[],5,FALSE)),"",VLOOKUP(R16,Definitions60Gy8F[],5,FALSE))</f>
        <v>cc</v>
      </c>
      <c r="W16" s="319" t="b">
        <f ca="1">EXACT(config60Gy8F[[#This Row],[Address]],VLOOKUP(config60Gy8F[[#This Row],[Name]],Definitions60Gy8F[],2,FALSE))</f>
        <v>1</v>
      </c>
      <c r="X16" s="319" t="b">
        <f ca="1">IF(EXACT(config60Gy8F[[#This Row],[Extracted Format]],config60Gy8F[[#This Row],[Expected Format]]),TRUE,IF(EXACT(config60Gy8F[[#This Row],[Expected Format]],"@"),"Check",FALSE))</f>
        <v>1</v>
      </c>
      <c r="Y16" t="str">
        <f>IF(ISERROR(FIND(config60Gy8F[[#This Row],[Units]],config60Gy8F[[#This Row],[Label]])),"Check",TRUE)</f>
        <v>Check</v>
      </c>
      <c r="AA16" t="s">
        <v>283</v>
      </c>
      <c r="AB16" t="s">
        <v>290</v>
      </c>
      <c r="AC16" s="318" t="s">
        <v>204</v>
      </c>
      <c r="AD16" s="318" t="s">
        <v>204</v>
      </c>
      <c r="AE16" t="s">
        <v>267</v>
      </c>
      <c r="AF16" t="s">
        <v>282</v>
      </c>
      <c r="AG16" t="s">
        <v>275</v>
      </c>
      <c r="AH16" t="s">
        <v>269</v>
      </c>
      <c r="AJ16" t="s">
        <v>441</v>
      </c>
    </row>
    <row r="17" spans="2:36" x14ac:dyDescent="0.2">
      <c r="B17" s="148" t="s">
        <v>172</v>
      </c>
      <c r="C17" s="84"/>
      <c r="D17" s="84"/>
      <c r="E17" s="85"/>
      <c r="F17" s="347" t="s">
        <v>46</v>
      </c>
      <c r="G17" s="307"/>
      <c r="H17" s="300"/>
      <c r="I17" s="102"/>
      <c r="J17" s="301">
        <v>0.99</v>
      </c>
      <c r="K17" s="149" t="str">
        <f>IF(F17="??","??",(IF(F17&gt;=99%,"Yes","No")))</f>
        <v>??</v>
      </c>
      <c r="L17" s="173" t="s">
        <v>147</v>
      </c>
      <c r="M17" s="77"/>
      <c r="N17" s="77"/>
      <c r="O17" s="316" t="s">
        <v>442</v>
      </c>
      <c r="P17" s="317" t="str">
        <f ca="1">INDIRECT(Q17)</f>
        <v>??</v>
      </c>
      <c r="Q17" t="str">
        <f ca="1">CELL("address",F18)</f>
        <v>$F$18</v>
      </c>
      <c r="R17" t="s">
        <v>284</v>
      </c>
      <c r="S17" t="str">
        <f t="shared" ca="1" si="1"/>
        <v>F18</v>
      </c>
      <c r="T17" s="318" t="str">
        <f ca="1">VLOOKUP(CELL("format",INDIRECT(Q17)),FormatLookup[],2,FALSE)</f>
        <v>0.0%</v>
      </c>
      <c r="U17" s="318" t="s">
        <v>204</v>
      </c>
      <c r="V17" t="str">
        <f>IF(ISBLANK(VLOOKUP(R17,Definitions60Gy8F[],5,FALSE)),"",VLOOKUP(R17,Definitions60Gy8F[],5,FALSE))</f>
        <v>%</v>
      </c>
      <c r="W17" s="319" t="b">
        <f ca="1">EXACT(config60Gy8F[[#This Row],[Address]],VLOOKUP(config60Gy8F[[#This Row],[Name]],Definitions60Gy8F[],2,FALSE))</f>
        <v>1</v>
      </c>
      <c r="X17" s="319" t="b">
        <f ca="1">IF(EXACT(config60Gy8F[[#This Row],[Extracted Format]],config60Gy8F[[#This Row],[Expected Format]]),TRUE,IF(EXACT(config60Gy8F[[#This Row],[Expected Format]],"@"),"Check",FALSE))</f>
        <v>1</v>
      </c>
      <c r="Y17" t="str">
        <f>IF(ISERROR(FIND(config60Gy8F[[#This Row],[Units]],config60Gy8F[[#This Row],[Label]])),"Check",TRUE)</f>
        <v>Check</v>
      </c>
      <c r="AA17" t="s">
        <v>289</v>
      </c>
      <c r="AB17" t="s">
        <v>292</v>
      </c>
      <c r="AC17" s="318" t="s">
        <v>204</v>
      </c>
      <c r="AD17" s="318" t="s">
        <v>204</v>
      </c>
      <c r="AE17" t="s">
        <v>267</v>
      </c>
      <c r="AF17" t="s">
        <v>288</v>
      </c>
      <c r="AG17" t="s">
        <v>275</v>
      </c>
      <c r="AH17" t="s">
        <v>269</v>
      </c>
      <c r="AJ17" t="s">
        <v>443</v>
      </c>
    </row>
    <row r="18" spans="2:36" ht="13.5" thickBot="1" x14ac:dyDescent="0.25">
      <c r="B18" s="233" t="s">
        <v>173</v>
      </c>
      <c r="C18" s="79"/>
      <c r="D18" s="79"/>
      <c r="E18" s="80"/>
      <c r="F18" s="348" t="s">
        <v>46</v>
      </c>
      <c r="G18" s="281"/>
      <c r="H18" s="282" t="b">
        <f>AND((G18&gt;59.99%),(G18&lt;95.01%))</f>
        <v>0</v>
      </c>
      <c r="I18" s="79"/>
      <c r="J18" s="283" t="s">
        <v>169</v>
      </c>
      <c r="K18" s="8" t="str">
        <f>IF(F18="??","??",IF((AND((F18&gt;=111%),(F18&lt;=140%))),"Yes", "No"))</f>
        <v>??</v>
      </c>
      <c r="L18" s="173" t="s">
        <v>108</v>
      </c>
      <c r="M18" s="77"/>
      <c r="N18" s="77"/>
      <c r="O18" s="316" t="s">
        <v>294</v>
      </c>
      <c r="P18" s="317" t="str">
        <f t="shared" ca="1" si="0"/>
        <v>??</v>
      </c>
      <c r="Q18" t="str">
        <f ca="1">CELL("address",F20)</f>
        <v>$F$20</v>
      </c>
      <c r="R18" t="s">
        <v>295</v>
      </c>
      <c r="S18" t="str">
        <f t="shared" ca="1" si="1"/>
        <v>F20</v>
      </c>
      <c r="T18" s="318" t="str">
        <f ca="1">VLOOKUP(CELL("format",INDIRECT(Q18)),FormatLookup[],2,FALSE)</f>
        <v>0.00</v>
      </c>
      <c r="U18" s="318" t="s">
        <v>190</v>
      </c>
      <c r="V18" t="str">
        <f>IF(ISBLANK(VLOOKUP(R18,Definitions60Gy8F[],5,FALSE)),"",VLOOKUP(R18,Definitions60Gy8F[],5,FALSE))</f>
        <v>cc</v>
      </c>
      <c r="W18" s="319" t="b">
        <f ca="1">EXACT(config60Gy8F[[#This Row],[Address]],VLOOKUP(config60Gy8F[[#This Row],[Name]],Definitions60Gy8F[],2,FALSE))</f>
        <v>1</v>
      </c>
      <c r="X18" s="319" t="b">
        <f ca="1">IF(EXACT(config60Gy8F[[#This Row],[Extracted Format]],config60Gy8F[[#This Row],[Expected Format]]),TRUE,IF(EXACT(config60Gy8F[[#This Row],[Expected Format]],"@"),"Check",FALSE))</f>
        <v>1</v>
      </c>
      <c r="Y18" t="b">
        <f>IF(ISERROR(FIND(config60Gy8F[[#This Row],[Units]],config60Gy8F[[#This Row],[Label]])),"Check",TRUE)</f>
        <v>1</v>
      </c>
      <c r="AA18" t="s">
        <v>295</v>
      </c>
      <c r="AB18" t="s">
        <v>296</v>
      </c>
      <c r="AC18" s="318" t="s">
        <v>190</v>
      </c>
      <c r="AD18" s="318" t="s">
        <v>190</v>
      </c>
      <c r="AE18" t="s">
        <v>267</v>
      </c>
      <c r="AF18" t="s">
        <v>297</v>
      </c>
      <c r="AG18" t="s">
        <v>298</v>
      </c>
      <c r="AH18" t="s">
        <v>269</v>
      </c>
      <c r="AJ18" t="s">
        <v>29</v>
      </c>
    </row>
    <row r="19" spans="2:36" x14ac:dyDescent="0.2">
      <c r="B19" s="89" t="s">
        <v>177</v>
      </c>
      <c r="C19" s="84"/>
      <c r="D19" s="84"/>
      <c r="E19" s="291"/>
      <c r="F19" s="291"/>
      <c r="G19" s="291"/>
      <c r="H19" s="219"/>
      <c r="I19" s="219"/>
      <c r="J19" s="277"/>
      <c r="K19" s="293"/>
      <c r="L19" s="76"/>
      <c r="M19" s="77"/>
      <c r="N19" s="77"/>
      <c r="O19" s="316" t="s">
        <v>299</v>
      </c>
      <c r="P19" s="317" t="str">
        <f t="shared" ca="1" si="0"/>
        <v>??</v>
      </c>
      <c r="Q19" t="str">
        <f ca="1">CELL("address",F21)</f>
        <v>$F$21</v>
      </c>
      <c r="R19" t="s">
        <v>300</v>
      </c>
      <c r="S19" t="str">
        <f t="shared" ca="1" si="1"/>
        <v>F21</v>
      </c>
      <c r="T19" s="318" t="str">
        <f ca="1">VLOOKUP(CELL("format",INDIRECT(Q19)),FormatLookup[],2,FALSE)</f>
        <v>0.00</v>
      </c>
      <c r="U19" s="318" t="s">
        <v>190</v>
      </c>
      <c r="V19" t="str">
        <f>IF(ISBLANK(VLOOKUP(R19,Definitions60Gy8F[],5,FALSE)),"",VLOOKUP(R19,Definitions60Gy8F[],5,FALSE))</f>
        <v>cc</v>
      </c>
      <c r="W19" s="319" t="b">
        <f ca="1">EXACT(config60Gy8F[[#This Row],[Address]],VLOOKUP(config60Gy8F[[#This Row],[Name]],Definitions60Gy8F[],2,FALSE))</f>
        <v>1</v>
      </c>
      <c r="X19" s="319" t="b">
        <f ca="1">IF(EXACT(config60Gy8F[[#This Row],[Extracted Format]],config60Gy8F[[#This Row],[Expected Format]]),TRUE,IF(EXACT(config60Gy8F[[#This Row],[Expected Format]],"@"),"Check",FALSE))</f>
        <v>1</v>
      </c>
      <c r="Y19" t="b">
        <f>IF(ISERROR(FIND(config60Gy8F[[#This Row],[Units]],config60Gy8F[[#This Row],[Label]])),"Check",TRUE)</f>
        <v>1</v>
      </c>
      <c r="AA19" t="s">
        <v>300</v>
      </c>
      <c r="AB19" t="s">
        <v>301</v>
      </c>
      <c r="AC19" s="318" t="s">
        <v>190</v>
      </c>
      <c r="AD19" s="318" t="s">
        <v>190</v>
      </c>
      <c r="AE19" t="s">
        <v>267</v>
      </c>
      <c r="AF19" t="s">
        <v>302</v>
      </c>
      <c r="AG19" t="s">
        <v>303</v>
      </c>
      <c r="AH19" t="s">
        <v>269</v>
      </c>
      <c r="AJ19" t="s">
        <v>29</v>
      </c>
    </row>
    <row r="20" spans="2:36" ht="15.75" x14ac:dyDescent="0.3">
      <c r="B20" s="252" t="s">
        <v>27</v>
      </c>
      <c r="C20" s="102" t="s">
        <v>87</v>
      </c>
      <c r="D20" s="102"/>
      <c r="E20" s="104"/>
      <c r="F20" s="349" t="s">
        <v>46</v>
      </c>
      <c r="G20" s="139" t="e">
        <f>F20/F8</f>
        <v>#VALUE!</v>
      </c>
      <c r="H20" s="102"/>
      <c r="I20" s="102"/>
      <c r="J20" s="9" t="s">
        <v>10</v>
      </c>
      <c r="K20" s="7" t="str">
        <f>IF(F20="??","??",IF(G20&lt;15%,"Yes","No"))</f>
        <v>??</v>
      </c>
      <c r="L20" s="112" t="s">
        <v>148</v>
      </c>
      <c r="M20" s="77"/>
      <c r="N20" s="77"/>
      <c r="O20" s="316" t="s">
        <v>304</v>
      </c>
      <c r="P20" s="317" t="str">
        <f t="shared" ca="1" si="0"/>
        <v>??</v>
      </c>
      <c r="Q20" t="str">
        <f ca="1">CELL("address",F23)</f>
        <v>$F$23</v>
      </c>
      <c r="R20" t="s">
        <v>305</v>
      </c>
      <c r="S20" t="str">
        <f t="shared" ca="1" si="1"/>
        <v>F23</v>
      </c>
      <c r="T20" s="318" t="str">
        <f ca="1">VLOOKUP(CELL("format",INDIRECT(Q20)),FormatLookup[],2,FALSE)</f>
        <v>0.0%</v>
      </c>
      <c r="U20" s="318" t="s">
        <v>204</v>
      </c>
      <c r="V20" t="str">
        <f>IF(ISBLANK(VLOOKUP(R20,Definitions60Gy8F[],5,FALSE)),"",VLOOKUP(R20,Definitions60Gy8F[],5,FALSE))</f>
        <v>%</v>
      </c>
      <c r="W20" s="319" t="b">
        <f ca="1">EXACT(config60Gy8F[[#This Row],[Address]],VLOOKUP(config60Gy8F[[#This Row],[Name]],Definitions60Gy8F[],2,FALSE))</f>
        <v>1</v>
      </c>
      <c r="X20" s="319" t="b">
        <f ca="1">IF(EXACT(config60Gy8F[[#This Row],[Extracted Format]],config60Gy8F[[#This Row],[Expected Format]]),TRUE,IF(EXACT(config60Gy8F[[#This Row],[Expected Format]],"@"),"Check",FALSE))</f>
        <v>1</v>
      </c>
      <c r="Y20" t="b">
        <f>IF(ISERROR(FIND(config60Gy8F[[#This Row],[Units]],config60Gy8F[[#This Row],[Label]])),"Check",TRUE)</f>
        <v>1</v>
      </c>
      <c r="AA20" t="s">
        <v>305</v>
      </c>
      <c r="AB20" t="s">
        <v>306</v>
      </c>
      <c r="AC20" s="318" t="s">
        <v>204</v>
      </c>
      <c r="AD20" s="318" t="s">
        <v>204</v>
      </c>
      <c r="AE20" t="s">
        <v>281</v>
      </c>
      <c r="AF20" t="s">
        <v>307</v>
      </c>
      <c r="AG20" t="s">
        <v>308</v>
      </c>
      <c r="AH20" t="s">
        <v>269</v>
      </c>
      <c r="AJ20" t="s">
        <v>287</v>
      </c>
    </row>
    <row r="21" spans="2:36" ht="16.5" thickBot="1" x14ac:dyDescent="0.35">
      <c r="B21" s="105" t="s">
        <v>29</v>
      </c>
      <c r="C21" s="79" t="s">
        <v>86</v>
      </c>
      <c r="D21" s="79"/>
      <c r="E21" s="141" t="s">
        <v>26</v>
      </c>
      <c r="F21" s="350" t="s">
        <v>46</v>
      </c>
      <c r="G21" s="140" t="e">
        <f>F21/F8</f>
        <v>#VALUE!</v>
      </c>
      <c r="H21" s="106" t="s">
        <v>26</v>
      </c>
      <c r="I21" s="79"/>
      <c r="J21" s="107" t="s">
        <v>12</v>
      </c>
      <c r="K21" s="8" t="str">
        <f>'Calculations 60Gy_8F'!K31</f>
        <v>??</v>
      </c>
      <c r="L21" s="76" t="s">
        <v>37</v>
      </c>
      <c r="M21" s="77"/>
      <c r="N21" s="77"/>
      <c r="O21" s="316" t="s">
        <v>309</v>
      </c>
      <c r="P21" s="317" t="str">
        <f t="shared" ca="1" si="0"/>
        <v>??</v>
      </c>
      <c r="Q21" t="str">
        <f ca="1">CELL("address",F24)</f>
        <v>$F$24</v>
      </c>
      <c r="R21" t="s">
        <v>310</v>
      </c>
      <c r="S21" t="str">
        <f t="shared" ca="1" si="1"/>
        <v>F24</v>
      </c>
      <c r="T21" s="318" t="str">
        <f ca="1">VLOOKUP(CELL("format",INDIRECT(Q21)),FormatLookup[],2,FALSE)</f>
        <v>0.00</v>
      </c>
      <c r="U21" s="318" t="s">
        <v>190</v>
      </c>
      <c r="V21" t="str">
        <f>IF(ISBLANK(VLOOKUP(R21,Definitions60Gy8F[],5,FALSE)),"",VLOOKUP(R21,Definitions60Gy8F[],5,FALSE))</f>
        <v>cc</v>
      </c>
      <c r="W21" s="319" t="b">
        <f ca="1">EXACT(config60Gy8F[[#This Row],[Address]],VLOOKUP(config60Gy8F[[#This Row],[Name]],Definitions60Gy8F[],2,FALSE))</f>
        <v>1</v>
      </c>
      <c r="X21" s="319" t="b">
        <f ca="1">IF(EXACT(config60Gy8F[[#This Row],[Extracted Format]],config60Gy8F[[#This Row],[Expected Format]]),TRUE,IF(EXACT(config60Gy8F[[#This Row],[Expected Format]],"@"),"Check",FALSE))</f>
        <v>1</v>
      </c>
      <c r="Y21" t="b">
        <f>IF(ISERROR(FIND(config60Gy8F[[#This Row],[Units]],config60Gy8F[[#This Row],[Label]])),"Check",TRUE)</f>
        <v>1</v>
      </c>
      <c r="AA21" t="s">
        <v>310</v>
      </c>
      <c r="AB21" t="s">
        <v>311</v>
      </c>
      <c r="AC21" s="318" t="s">
        <v>190</v>
      </c>
      <c r="AD21" s="318" t="s">
        <v>190</v>
      </c>
      <c r="AE21" t="s">
        <v>267</v>
      </c>
      <c r="AF21" t="s">
        <v>312</v>
      </c>
      <c r="AG21" t="s">
        <v>313</v>
      </c>
      <c r="AH21" t="s">
        <v>269</v>
      </c>
      <c r="AJ21" t="s">
        <v>29</v>
      </c>
    </row>
    <row r="22" spans="2:36" x14ac:dyDescent="0.2">
      <c r="B22" s="87" t="s">
        <v>178</v>
      </c>
      <c r="C22" s="72"/>
      <c r="D22" s="72"/>
      <c r="E22" s="291"/>
      <c r="F22" s="291"/>
      <c r="G22" s="291"/>
      <c r="H22" s="219"/>
      <c r="I22" s="219"/>
      <c r="J22" s="291"/>
      <c r="K22" s="293"/>
      <c r="L22" s="76"/>
      <c r="M22" s="77"/>
      <c r="N22" s="77"/>
      <c r="O22" s="316" t="s">
        <v>444</v>
      </c>
      <c r="P22" s="317" t="str">
        <f t="shared" ca="1" si="0"/>
        <v>??</v>
      </c>
      <c r="Q22" t="str">
        <f t="shared" ref="Q22:Q36" ca="1" si="2">CELL("address",F27)</f>
        <v>$F$27</v>
      </c>
      <c r="R22" t="s">
        <v>315</v>
      </c>
      <c r="S22" t="str">
        <f t="shared" ca="1" si="1"/>
        <v>F27</v>
      </c>
      <c r="T22" s="318" t="str">
        <f ca="1">VLOOKUP(CELL("format",INDIRECT(Q22)),FormatLookup[],2,FALSE)</f>
        <v>0.0%</v>
      </c>
      <c r="U22" s="318" t="s">
        <v>204</v>
      </c>
      <c r="V22" t="str">
        <f>IF(ISBLANK(VLOOKUP(R22,Definitions60Gy8F[],5,FALSE)),"",VLOOKUP(R22,Definitions60Gy8F[],5,FALSE))</f>
        <v>cc</v>
      </c>
      <c r="W22" s="319" t="b">
        <f ca="1">EXACT(config60Gy8F[[#This Row],[Address]],VLOOKUP(config60Gy8F[[#This Row],[Name]],Definitions60Gy8F[],2,FALSE))</f>
        <v>1</v>
      </c>
      <c r="X22" s="319" t="b">
        <f ca="1">IF(EXACT(config60Gy8F[[#This Row],[Extracted Format]],config60Gy8F[[#This Row],[Expected Format]]),TRUE,IF(EXACT(config60Gy8F[[#This Row],[Expected Format]],"@"),"Check",FALSE))</f>
        <v>1</v>
      </c>
      <c r="Y22" t="str">
        <f>IF(ISERROR(FIND(config60Gy8F[[#This Row],[Units]],config60Gy8F[[#This Row],[Label]])),"Check",TRUE)</f>
        <v>Check</v>
      </c>
      <c r="AA22" t="s">
        <v>315</v>
      </c>
      <c r="AB22" t="s">
        <v>316</v>
      </c>
      <c r="AC22" s="318" t="s">
        <v>204</v>
      </c>
      <c r="AD22" s="318" t="s">
        <v>204</v>
      </c>
      <c r="AE22" t="s">
        <v>267</v>
      </c>
      <c r="AF22" t="s">
        <v>317</v>
      </c>
      <c r="AG22" t="s">
        <v>141</v>
      </c>
      <c r="AH22" t="s">
        <v>269</v>
      </c>
      <c r="AI22" t="s">
        <v>278</v>
      </c>
      <c r="AJ22" t="s">
        <v>318</v>
      </c>
    </row>
    <row r="23" spans="2:36" ht="14.25" x14ac:dyDescent="0.25">
      <c r="B23" s="252" t="s">
        <v>27</v>
      </c>
      <c r="C23" s="108" t="s">
        <v>35</v>
      </c>
      <c r="D23" s="102"/>
      <c r="E23" s="109"/>
      <c r="F23" s="351" t="s">
        <v>46</v>
      </c>
      <c r="G23" s="110"/>
      <c r="H23" s="111"/>
      <c r="I23" s="102"/>
      <c r="J23" s="129" t="e">
        <f ca="1">'Calculations 60Gy_8F'!L27/100</f>
        <v>#N/A</v>
      </c>
      <c r="K23" s="70" t="str">
        <f>'Calculations 60Gy_8F'!K33</f>
        <v>??</v>
      </c>
      <c r="L23" s="112" t="s">
        <v>131</v>
      </c>
      <c r="M23" s="113"/>
      <c r="N23" s="113"/>
      <c r="O23" s="316" t="s">
        <v>327</v>
      </c>
      <c r="P23" s="317" t="str">
        <f t="shared" ca="1" si="0"/>
        <v>??</v>
      </c>
      <c r="Q23" t="str">
        <f t="shared" ca="1" si="2"/>
        <v>$F$28</v>
      </c>
      <c r="R23" t="s">
        <v>328</v>
      </c>
      <c r="S23" t="str">
        <f t="shared" ca="1" si="1"/>
        <v>F28</v>
      </c>
      <c r="T23" s="318" t="str">
        <f ca="1">VLOOKUP(CELL("format",INDIRECT(Q23)),FormatLookup[],2,FALSE)</f>
        <v>0.0</v>
      </c>
      <c r="U23" s="318" t="s">
        <v>188</v>
      </c>
      <c r="V23" t="str">
        <f>IF(ISBLANK(VLOOKUP(R23,Definitions60Gy8F[],5,FALSE)),"",VLOOKUP(R23,Definitions60Gy8F[],5,FALSE))</f>
        <v>cGy</v>
      </c>
      <c r="W23" s="319" t="b">
        <f ca="1">EXACT(config60Gy8F[[#This Row],[Address]],VLOOKUP(config60Gy8F[[#This Row],[Name]],Definitions60Gy8F[],2,FALSE))</f>
        <v>1</v>
      </c>
      <c r="X23" s="319" t="b">
        <f ca="1">IF(EXACT(config60Gy8F[[#This Row],[Extracted Format]],config60Gy8F[[#This Row],[Expected Format]]),TRUE,IF(EXACT(config60Gy8F[[#This Row],[Expected Format]],"@"),"Check",FALSE))</f>
        <v>1</v>
      </c>
      <c r="Y23" t="str">
        <f>IF(ISERROR(FIND(config60Gy8F[[#This Row],[Units]],config60Gy8F[[#This Row],[Label]])),"Check",TRUE)</f>
        <v>Check</v>
      </c>
      <c r="AA23" t="s">
        <v>328</v>
      </c>
      <c r="AB23" t="s">
        <v>321</v>
      </c>
      <c r="AC23" s="318" t="s">
        <v>188</v>
      </c>
      <c r="AD23" s="318" t="s">
        <v>188</v>
      </c>
      <c r="AE23" t="s">
        <v>260</v>
      </c>
      <c r="AF23" t="s">
        <v>445</v>
      </c>
      <c r="AG23" t="s">
        <v>331</v>
      </c>
      <c r="AH23" t="s">
        <v>269</v>
      </c>
      <c r="AJ23" t="s">
        <v>287</v>
      </c>
    </row>
    <row r="24" spans="2:36" ht="16.5" thickBot="1" x14ac:dyDescent="0.35">
      <c r="B24" s="105" t="s">
        <v>29</v>
      </c>
      <c r="C24" s="167" t="s">
        <v>179</v>
      </c>
      <c r="D24" s="79"/>
      <c r="E24" s="147"/>
      <c r="F24" s="350" t="s">
        <v>46</v>
      </c>
      <c r="G24" s="114" t="e">
        <f>F24/F8</f>
        <v>#VALUE!</v>
      </c>
      <c r="H24" s="115" t="s">
        <v>26</v>
      </c>
      <c r="I24" s="79"/>
      <c r="J24" s="130" t="e">
        <f ca="1">'Calculations 60Gy_8F'!I27</f>
        <v>#N/A</v>
      </c>
      <c r="K24" s="71" t="str">
        <f>'Calculations 60Gy_8F'!K32</f>
        <v>??</v>
      </c>
      <c r="L24" s="112" t="s">
        <v>132</v>
      </c>
      <c r="M24" s="77"/>
      <c r="N24" s="77"/>
      <c r="O24" s="316" t="s">
        <v>446</v>
      </c>
      <c r="P24" s="317" t="str">
        <f t="shared" ca="1" si="0"/>
        <v>??</v>
      </c>
      <c r="Q24" t="str">
        <f t="shared" ca="1" si="2"/>
        <v>$F$29</v>
      </c>
      <c r="R24" t="s">
        <v>447</v>
      </c>
      <c r="S24" t="str">
        <f t="shared" ca="1" si="1"/>
        <v>F29</v>
      </c>
      <c r="T24" s="318" t="str">
        <f ca="1">VLOOKUP(CELL("format",INDIRECT(Q24)),FormatLookup[],2,FALSE)</f>
        <v>0.0</v>
      </c>
      <c r="U24" s="318" t="s">
        <v>188</v>
      </c>
      <c r="V24" t="str">
        <f>IF(ISBLANK(VLOOKUP(R24,Definitions60Gy8F[],5,FALSE)),"",VLOOKUP(R24,Definitions60Gy8F[],5,FALSE))</f>
        <v>cc</v>
      </c>
      <c r="W24" s="319" t="b">
        <f ca="1">EXACT(config60Gy8F[[#This Row],[Address]],VLOOKUP(config60Gy8F[[#This Row],[Name]],Definitions60Gy8F[],2,FALSE))</f>
        <v>1</v>
      </c>
      <c r="X24" s="319" t="b">
        <f ca="1">IF(EXACT(config60Gy8F[[#This Row],[Extracted Format]],config60Gy8F[[#This Row],[Expected Format]]),TRUE,IF(EXACT(config60Gy8F[[#This Row],[Expected Format]],"@"),"Check",FALSE))</f>
        <v>1</v>
      </c>
      <c r="Y24" t="str">
        <f>IF(ISERROR(FIND(config60Gy8F[[#This Row],[Units]],config60Gy8F[[#This Row],[Label]])),"Check",TRUE)</f>
        <v>Check</v>
      </c>
      <c r="AA24" t="s">
        <v>447</v>
      </c>
      <c r="AB24" t="s">
        <v>325</v>
      </c>
      <c r="AC24" s="318" t="s">
        <v>188</v>
      </c>
      <c r="AD24" s="318" t="s">
        <v>188</v>
      </c>
      <c r="AE24" t="s">
        <v>267</v>
      </c>
      <c r="AF24" t="s">
        <v>448</v>
      </c>
      <c r="AG24" t="s">
        <v>331</v>
      </c>
      <c r="AH24" t="s">
        <v>269</v>
      </c>
      <c r="AJ24" t="s">
        <v>449</v>
      </c>
    </row>
    <row r="25" spans="2:36" x14ac:dyDescent="0.2">
      <c r="B25" s="89" t="s">
        <v>170</v>
      </c>
      <c r="C25" s="84"/>
      <c r="D25" s="84"/>
      <c r="E25" s="85"/>
      <c r="F25" s="97" t="s">
        <v>122</v>
      </c>
      <c r="G25" s="90" t="s">
        <v>128</v>
      </c>
      <c r="H25" s="116"/>
      <c r="I25" s="116"/>
      <c r="J25" s="117" t="s">
        <v>24</v>
      </c>
      <c r="K25" s="118"/>
      <c r="L25" s="76"/>
      <c r="M25" s="77"/>
      <c r="N25" s="77"/>
      <c r="O25" s="316" t="s">
        <v>337</v>
      </c>
      <c r="P25" s="317" t="str">
        <f t="shared" ca="1" si="0"/>
        <v>??</v>
      </c>
      <c r="Q25" t="str">
        <f t="shared" ca="1" si="2"/>
        <v>$F$30</v>
      </c>
      <c r="R25" t="s">
        <v>338</v>
      </c>
      <c r="S25" t="str">
        <f t="shared" ca="1" si="1"/>
        <v>F30</v>
      </c>
      <c r="T25" s="318" t="str">
        <f ca="1">VLOOKUP(CELL("format",INDIRECT(Q25)),FormatLookup[],2,FALSE)</f>
        <v>0.0</v>
      </c>
      <c r="U25" s="318" t="s">
        <v>188</v>
      </c>
      <c r="V25" t="str">
        <f>IF(ISBLANK(VLOOKUP(R25,Definitions60Gy8F[],5,FALSE)),"",VLOOKUP(R25,Definitions60Gy8F[],5,FALSE))</f>
        <v>cGy</v>
      </c>
      <c r="W25" s="319" t="b">
        <f ca="1">EXACT(config60Gy8F[[#This Row],[Address]],VLOOKUP(config60Gy8F[[#This Row],[Name]],Definitions60Gy8F[],2,FALSE))</f>
        <v>1</v>
      </c>
      <c r="X25" s="319" t="b">
        <f ca="1">IF(EXACT(config60Gy8F[[#This Row],[Extracted Format]],config60Gy8F[[#This Row],[Expected Format]]),TRUE,IF(EXACT(config60Gy8F[[#This Row],[Expected Format]],"@"),"Check",FALSE))</f>
        <v>1</v>
      </c>
      <c r="Y25" t="str">
        <f>IF(ISERROR(FIND(config60Gy8F[[#This Row],[Units]],config60Gy8F[[#This Row],[Label]])),"Check",TRUE)</f>
        <v>Check</v>
      </c>
      <c r="AA25" t="s">
        <v>338</v>
      </c>
      <c r="AB25" t="s">
        <v>329</v>
      </c>
      <c r="AC25" s="318" t="s">
        <v>188</v>
      </c>
      <c r="AD25" s="318" t="s">
        <v>188</v>
      </c>
      <c r="AE25" t="s">
        <v>260</v>
      </c>
      <c r="AF25" t="s">
        <v>340</v>
      </c>
      <c r="AG25" t="s">
        <v>341</v>
      </c>
      <c r="AH25" t="s">
        <v>269</v>
      </c>
      <c r="AJ25" t="s">
        <v>287</v>
      </c>
    </row>
    <row r="26" spans="2:36" ht="13.5" thickBot="1" x14ac:dyDescent="0.25">
      <c r="B26" s="82"/>
      <c r="C26" s="84"/>
      <c r="D26" s="84"/>
      <c r="E26" s="85"/>
      <c r="F26" s="97" t="s">
        <v>123</v>
      </c>
      <c r="G26" s="90"/>
      <c r="H26" s="116"/>
      <c r="I26" s="116"/>
      <c r="J26" s="153" t="s">
        <v>121</v>
      </c>
      <c r="K26" s="118"/>
      <c r="L26" s="76"/>
      <c r="M26" s="77"/>
      <c r="N26" s="77"/>
      <c r="O26" s="316" t="s">
        <v>450</v>
      </c>
      <c r="P26" s="317" t="str">
        <f t="shared" ca="1" si="0"/>
        <v>??</v>
      </c>
      <c r="Q26" t="str">
        <f t="shared" ca="1" si="2"/>
        <v>$F$31</v>
      </c>
      <c r="R26" t="s">
        <v>451</v>
      </c>
      <c r="S26" t="str">
        <f t="shared" ca="1" si="1"/>
        <v>F31</v>
      </c>
      <c r="T26" s="318" t="str">
        <f ca="1">VLOOKUP(CELL("format",INDIRECT(Q26)),FormatLookup[],2,FALSE)</f>
        <v>0.0</v>
      </c>
      <c r="U26" s="318" t="s">
        <v>188</v>
      </c>
      <c r="V26" t="str">
        <f>IF(ISBLANK(VLOOKUP(R26,Definitions60Gy8F[],5,FALSE)),"",VLOOKUP(R26,Definitions60Gy8F[],5,FALSE))</f>
        <v>cc</v>
      </c>
      <c r="W26" s="319" t="b">
        <f ca="1">EXACT(config60Gy8F[[#This Row],[Address]],VLOOKUP(config60Gy8F[[#This Row],[Name]],Definitions60Gy8F[],2,FALSE))</f>
        <v>1</v>
      </c>
      <c r="X26" s="319" t="b">
        <f ca="1">IF(EXACT(config60Gy8F[[#This Row],[Extracted Format]],config60Gy8F[[#This Row],[Expected Format]]),TRUE,IF(EXACT(config60Gy8F[[#This Row],[Expected Format]],"@"),"Check",FALSE))</f>
        <v>1</v>
      </c>
      <c r="Y26" t="str">
        <f>IF(ISERROR(FIND(config60Gy8F[[#This Row],[Units]],config60Gy8F[[#This Row],[Label]])),"Check",TRUE)</f>
        <v>Check</v>
      </c>
      <c r="AA26" t="s">
        <v>451</v>
      </c>
      <c r="AB26" t="s">
        <v>334</v>
      </c>
      <c r="AC26" s="318" t="s">
        <v>188</v>
      </c>
      <c r="AD26" s="318" t="s">
        <v>188</v>
      </c>
      <c r="AE26" t="s">
        <v>267</v>
      </c>
      <c r="AF26" t="s">
        <v>452</v>
      </c>
      <c r="AG26" t="s">
        <v>341</v>
      </c>
      <c r="AH26" t="s">
        <v>269</v>
      </c>
      <c r="AJ26" t="s">
        <v>449</v>
      </c>
    </row>
    <row r="27" spans="2:36" ht="14.25" x14ac:dyDescent="0.25">
      <c r="B27" s="218" t="s">
        <v>141</v>
      </c>
      <c r="C27" s="219"/>
      <c r="D27" s="380" t="s">
        <v>118</v>
      </c>
      <c r="E27" s="381"/>
      <c r="F27" s="352" t="s">
        <v>46</v>
      </c>
      <c r="G27" s="221" t="s">
        <v>26</v>
      </c>
      <c r="H27" s="219"/>
      <c r="I27" s="219"/>
      <c r="J27" s="222" t="s">
        <v>47</v>
      </c>
      <c r="K27" s="223" t="str">
        <f>'Calculations 60Gy_8F'!K34</f>
        <v>??</v>
      </c>
      <c r="L27" s="76" t="s">
        <v>36</v>
      </c>
      <c r="M27" s="77"/>
      <c r="N27" s="77"/>
      <c r="O27" s="316" t="s">
        <v>346</v>
      </c>
      <c r="P27" s="317" t="str">
        <f t="shared" ca="1" si="0"/>
        <v>??</v>
      </c>
      <c r="Q27" t="str">
        <f t="shared" ca="1" si="2"/>
        <v>$F$32</v>
      </c>
      <c r="R27" t="s">
        <v>347</v>
      </c>
      <c r="S27" t="str">
        <f t="shared" ca="1" si="1"/>
        <v>F32</v>
      </c>
      <c r="T27" s="318" t="str">
        <f ca="1">VLOOKUP(CELL("format",INDIRECT(Q27)),FormatLookup[],2,FALSE)</f>
        <v>0.0</v>
      </c>
      <c r="U27" s="318" t="s">
        <v>188</v>
      </c>
      <c r="V27" t="str">
        <f>IF(ISBLANK(VLOOKUP(R27,Definitions60Gy8F[],5,FALSE)),"",VLOOKUP(R27,Definitions60Gy8F[],5,FALSE))</f>
        <v>cGy</v>
      </c>
      <c r="W27" s="319" t="b">
        <f ca="1">EXACT(config60Gy8F[[#This Row],[Address]],VLOOKUP(config60Gy8F[[#This Row],[Name]],Definitions60Gy8F[],2,FALSE))</f>
        <v>1</v>
      </c>
      <c r="X27" s="319" t="b">
        <f ca="1">IF(EXACT(config60Gy8F[[#This Row],[Extracted Format]],config60Gy8F[[#This Row],[Expected Format]]),TRUE,IF(EXACT(config60Gy8F[[#This Row],[Expected Format]],"@"),"Check",FALSE))</f>
        <v>1</v>
      </c>
      <c r="Y27" t="str">
        <f>IF(ISERROR(FIND(config60Gy8F[[#This Row],[Units]],config60Gy8F[[#This Row],[Label]])),"Check",TRUE)</f>
        <v>Check</v>
      </c>
      <c r="AA27" t="s">
        <v>347</v>
      </c>
      <c r="AB27" t="s">
        <v>339</v>
      </c>
      <c r="AC27" s="318" t="s">
        <v>188</v>
      </c>
      <c r="AD27" s="318" t="s">
        <v>188</v>
      </c>
      <c r="AE27" t="s">
        <v>260</v>
      </c>
      <c r="AF27" t="s">
        <v>349</v>
      </c>
      <c r="AG27" t="s">
        <v>15</v>
      </c>
      <c r="AH27" t="s">
        <v>269</v>
      </c>
      <c r="AJ27" t="s">
        <v>287</v>
      </c>
    </row>
    <row r="28" spans="2:36" x14ac:dyDescent="0.2">
      <c r="B28" s="148" t="s">
        <v>98</v>
      </c>
      <c r="C28" s="84" t="s">
        <v>26</v>
      </c>
      <c r="D28" s="91"/>
      <c r="E28" s="263" t="s">
        <v>40</v>
      </c>
      <c r="F28" s="353" t="s">
        <v>46</v>
      </c>
      <c r="G28" s="85"/>
      <c r="H28" s="84"/>
      <c r="I28" s="84"/>
      <c r="J28" s="97">
        <v>6400</v>
      </c>
      <c r="K28" s="217" t="str">
        <f>IF(F28="??","??",IF(F28&lt;=6400,"Yes","No"))</f>
        <v>??</v>
      </c>
      <c r="L28" s="112" t="s">
        <v>114</v>
      </c>
      <c r="M28" s="77"/>
      <c r="N28" s="77"/>
      <c r="O28" s="316" t="s">
        <v>365</v>
      </c>
      <c r="P28" s="317" t="str">
        <f t="shared" ca="1" si="0"/>
        <v>??</v>
      </c>
      <c r="Q28" t="str">
        <f t="shared" ca="1" si="2"/>
        <v>$F$33</v>
      </c>
      <c r="R28" t="s">
        <v>366</v>
      </c>
      <c r="S28" t="str">
        <f t="shared" ca="1" si="1"/>
        <v>F33</v>
      </c>
      <c r="T28" s="318" t="str">
        <f ca="1">VLOOKUP(CELL("format",INDIRECT(Q28)),FormatLookup[],2,FALSE)</f>
        <v>0.0</v>
      </c>
      <c r="U28" s="318" t="s">
        <v>188</v>
      </c>
      <c r="V28" t="str">
        <f>IF(ISBLANK(VLOOKUP(R28,Definitions60Gy8F[],5,FALSE)),"",VLOOKUP(R28,Definitions60Gy8F[],5,FALSE))</f>
        <v>cGy</v>
      </c>
      <c r="W28" s="319" t="b">
        <f ca="1">EXACT(config60Gy8F[[#This Row],[Address]],VLOOKUP(config60Gy8F[[#This Row],[Name]],Definitions60Gy8F[],2,FALSE))</f>
        <v>1</v>
      </c>
      <c r="X28" s="319" t="b">
        <f ca="1">IF(EXACT(config60Gy8F[[#This Row],[Extracted Format]],config60Gy8F[[#This Row],[Expected Format]]),TRUE,IF(EXACT(config60Gy8F[[#This Row],[Expected Format]],"@"),"Check",FALSE))</f>
        <v>1</v>
      </c>
      <c r="Y28" t="str">
        <f>IF(ISERROR(FIND(config60Gy8F[[#This Row],[Units]],config60Gy8F[[#This Row],[Label]])),"Check",TRUE)</f>
        <v>Check</v>
      </c>
      <c r="AA28" t="s">
        <v>366</v>
      </c>
      <c r="AB28" t="s">
        <v>344</v>
      </c>
      <c r="AC28" s="318" t="s">
        <v>188</v>
      </c>
      <c r="AD28" s="318" t="s">
        <v>188</v>
      </c>
      <c r="AE28" t="s">
        <v>260</v>
      </c>
      <c r="AF28" t="s">
        <v>368</v>
      </c>
      <c r="AG28" t="s">
        <v>129</v>
      </c>
      <c r="AH28" t="s">
        <v>269</v>
      </c>
      <c r="AI28" t="s">
        <v>369</v>
      </c>
      <c r="AJ28" t="s">
        <v>287</v>
      </c>
    </row>
    <row r="29" spans="2:36" ht="14.25" x14ac:dyDescent="0.25">
      <c r="B29" s="174"/>
      <c r="C29" s="175"/>
      <c r="D29" s="120"/>
      <c r="E29" s="189" t="s">
        <v>107</v>
      </c>
      <c r="F29" s="335" t="str">
        <f>IF(F28&lt;=6000,"OK","??")</f>
        <v>??</v>
      </c>
      <c r="G29" s="98"/>
      <c r="H29" s="91"/>
      <c r="I29" s="91"/>
      <c r="J29" s="92">
        <v>10</v>
      </c>
      <c r="K29" s="149" t="str">
        <f>IF(F29="??","??",IF(F29&lt;=10,"Yes",IF(F29="OK","Yes","No")))</f>
        <v>??</v>
      </c>
      <c r="L29" s="76"/>
      <c r="M29" s="77"/>
      <c r="N29" s="77"/>
      <c r="O29" s="316" t="s">
        <v>453</v>
      </c>
      <c r="P29" s="317" t="str">
        <f t="shared" ca="1" si="0"/>
        <v>??</v>
      </c>
      <c r="Q29" t="str">
        <f t="shared" ca="1" si="2"/>
        <v>$F$34</v>
      </c>
      <c r="R29" t="s">
        <v>454</v>
      </c>
      <c r="S29" t="str">
        <f t="shared" ca="1" si="1"/>
        <v>F34</v>
      </c>
      <c r="T29" s="318" t="str">
        <f ca="1">VLOOKUP(CELL("format",INDIRECT(Q29)),FormatLookup[],2,FALSE)</f>
        <v>0.0</v>
      </c>
      <c r="U29" s="318" t="s">
        <v>188</v>
      </c>
      <c r="V29" t="str">
        <f>IF(ISBLANK(VLOOKUP(R29,Definitions60Gy8F[],5,FALSE)),"",VLOOKUP(R29,Definitions60Gy8F[],5,FALSE))</f>
        <v>cc</v>
      </c>
      <c r="W29" s="319" t="b">
        <f ca="1">EXACT(config60Gy8F[[#This Row],[Address]],VLOOKUP(config60Gy8F[[#This Row],[Name]],Definitions60Gy8F[],2,FALSE))</f>
        <v>1</v>
      </c>
      <c r="X29" s="319" t="b">
        <f ca="1">IF(EXACT(config60Gy8F[[#This Row],[Extracted Format]],config60Gy8F[[#This Row],[Expected Format]]),TRUE,IF(EXACT(config60Gy8F[[#This Row],[Expected Format]],"@"),"Check",FALSE))</f>
        <v>1</v>
      </c>
      <c r="Y29" t="str">
        <f>IF(ISERROR(FIND(config60Gy8F[[#This Row],[Units]],config60Gy8F[[#This Row],[Label]])),"Check",TRUE)</f>
        <v>Check</v>
      </c>
      <c r="AA29" t="s">
        <v>454</v>
      </c>
      <c r="AB29" t="s">
        <v>348</v>
      </c>
      <c r="AC29" s="318" t="s">
        <v>188</v>
      </c>
      <c r="AD29" s="318" t="s">
        <v>188</v>
      </c>
      <c r="AE29" t="s">
        <v>267</v>
      </c>
      <c r="AF29" t="s">
        <v>455</v>
      </c>
      <c r="AG29" t="s">
        <v>129</v>
      </c>
      <c r="AH29" t="s">
        <v>269</v>
      </c>
      <c r="AI29" t="s">
        <v>369</v>
      </c>
      <c r="AJ29" t="s">
        <v>379</v>
      </c>
    </row>
    <row r="30" spans="2:36" x14ac:dyDescent="0.2">
      <c r="B30" s="154" t="s">
        <v>163</v>
      </c>
      <c r="C30" s="91"/>
      <c r="D30" s="91"/>
      <c r="E30" s="263" t="s">
        <v>40</v>
      </c>
      <c r="F30" s="334" t="s">
        <v>46</v>
      </c>
      <c r="G30" s="98"/>
      <c r="H30" s="91"/>
      <c r="I30" s="91"/>
      <c r="J30" s="92">
        <v>6400</v>
      </c>
      <c r="K30" s="149" t="str">
        <f>IF(F30="??","??",IF(F30&lt;=6400,"Yes","No"))</f>
        <v>??</v>
      </c>
      <c r="L30" s="112" t="s">
        <v>114</v>
      </c>
      <c r="M30" s="77"/>
      <c r="N30" s="77"/>
      <c r="O30" s="316" t="s">
        <v>380</v>
      </c>
      <c r="P30" s="317" t="str">
        <f t="shared" ca="1" si="0"/>
        <v>??</v>
      </c>
      <c r="Q30" t="str">
        <f t="shared" ca="1" si="2"/>
        <v>$F$35</v>
      </c>
      <c r="R30" t="s">
        <v>381</v>
      </c>
      <c r="S30" t="str">
        <f t="shared" ca="1" si="1"/>
        <v>F35</v>
      </c>
      <c r="T30" s="318" t="str">
        <f ca="1">VLOOKUP(CELL("format",INDIRECT(Q30)),FormatLookup[],2,FALSE)</f>
        <v>0.0</v>
      </c>
      <c r="U30" s="318" t="s">
        <v>188</v>
      </c>
      <c r="V30" t="str">
        <f>IF(ISBLANK(VLOOKUP(R30,Definitions60Gy8F[],5,FALSE)),"",VLOOKUP(R30,Definitions60Gy8F[],5,FALSE))</f>
        <v>cGy</v>
      </c>
      <c r="W30" s="319" t="b">
        <f ca="1">EXACT(config60Gy8F[[#This Row],[Address]],VLOOKUP(config60Gy8F[[#This Row],[Name]],Definitions60Gy8F[],2,FALSE))</f>
        <v>1</v>
      </c>
      <c r="X30" s="319" t="b">
        <f ca="1">IF(EXACT(config60Gy8F[[#This Row],[Extracted Format]],config60Gy8F[[#This Row],[Expected Format]]),TRUE,IF(EXACT(config60Gy8F[[#This Row],[Expected Format]],"@"),"Check",FALSE))</f>
        <v>1</v>
      </c>
      <c r="Y30" t="str">
        <f>IF(ISERROR(FIND(config60Gy8F[[#This Row],[Units]],config60Gy8F[[#This Row],[Label]])),"Check",TRUE)</f>
        <v>Check</v>
      </c>
      <c r="AA30" t="s">
        <v>381</v>
      </c>
      <c r="AB30" t="s">
        <v>352</v>
      </c>
      <c r="AC30" s="318" t="s">
        <v>188</v>
      </c>
      <c r="AD30" s="318" t="s">
        <v>188</v>
      </c>
      <c r="AE30" t="s">
        <v>260</v>
      </c>
      <c r="AF30" t="s">
        <v>383</v>
      </c>
      <c r="AG30" t="s">
        <v>16</v>
      </c>
      <c r="AH30" t="s">
        <v>269</v>
      </c>
      <c r="AJ30" t="s">
        <v>287</v>
      </c>
    </row>
    <row r="31" spans="2:36" ht="14.25" x14ac:dyDescent="0.25">
      <c r="B31" s="174"/>
      <c r="C31" s="175"/>
      <c r="D31" s="120"/>
      <c r="E31" s="189" t="s">
        <v>107</v>
      </c>
      <c r="F31" s="335" t="str">
        <f>IF(F30&lt;=6000,"OK","??")</f>
        <v>??</v>
      </c>
      <c r="G31" s="98"/>
      <c r="H31" s="91"/>
      <c r="I31" s="91"/>
      <c r="J31" s="92">
        <v>10</v>
      </c>
      <c r="K31" s="149" t="str">
        <f>IF(F31="??","??",IF(F31&lt;=10,"Yes",IF(F31="OK","Yes","No")))</f>
        <v>??</v>
      </c>
      <c r="L31" s="76"/>
      <c r="M31" s="77"/>
      <c r="N31" s="77"/>
      <c r="O31" s="316" t="s">
        <v>456</v>
      </c>
      <c r="P31" s="317" t="str">
        <f t="shared" ca="1" si="0"/>
        <v>??</v>
      </c>
      <c r="Q31" t="str">
        <f t="shared" ca="1" si="2"/>
        <v>$F$36</v>
      </c>
      <c r="R31" t="s">
        <v>457</v>
      </c>
      <c r="S31" t="str">
        <f t="shared" ca="1" si="1"/>
        <v>F36</v>
      </c>
      <c r="T31" s="318" t="str">
        <f ca="1">VLOOKUP(CELL("format",INDIRECT(Q31)),FormatLookup[],2,FALSE)</f>
        <v>0.0</v>
      </c>
      <c r="U31" s="318" t="s">
        <v>188</v>
      </c>
      <c r="V31" t="str">
        <f>IF(ISBLANK(VLOOKUP(R31,Definitions60Gy8F[],5,FALSE)),"",VLOOKUP(R31,Definitions60Gy8F[],5,FALSE))</f>
        <v>cc</v>
      </c>
      <c r="W31" s="319" t="b">
        <f ca="1">EXACT(config60Gy8F[[#This Row],[Address]],VLOOKUP(config60Gy8F[[#This Row],[Name]],Definitions60Gy8F[],2,FALSE))</f>
        <v>1</v>
      </c>
      <c r="X31" s="319" t="b">
        <f ca="1">IF(EXACT(config60Gy8F[[#This Row],[Extracted Format]],config60Gy8F[[#This Row],[Expected Format]]),TRUE,IF(EXACT(config60Gy8F[[#This Row],[Expected Format]],"@"),"Check",FALSE))</f>
        <v>1</v>
      </c>
      <c r="Y31" t="str">
        <f>IF(ISERROR(FIND(config60Gy8F[[#This Row],[Units]],config60Gy8F[[#This Row],[Label]])),"Check",TRUE)</f>
        <v>Check</v>
      </c>
      <c r="AA31" t="s">
        <v>457</v>
      </c>
      <c r="AB31" t="s">
        <v>357</v>
      </c>
      <c r="AC31" s="318" t="s">
        <v>188</v>
      </c>
      <c r="AD31" s="318" t="s">
        <v>188</v>
      </c>
      <c r="AE31" t="s">
        <v>267</v>
      </c>
      <c r="AF31" t="s">
        <v>458</v>
      </c>
      <c r="AG31" t="s">
        <v>16</v>
      </c>
      <c r="AH31" t="s">
        <v>269</v>
      </c>
      <c r="AJ31" t="s">
        <v>449</v>
      </c>
    </row>
    <row r="32" spans="2:36" x14ac:dyDescent="0.2">
      <c r="B32" s="82" t="s">
        <v>15</v>
      </c>
      <c r="C32" s="84"/>
      <c r="D32" s="142"/>
      <c r="E32" s="123" t="s">
        <v>40</v>
      </c>
      <c r="F32" s="354" t="s">
        <v>46</v>
      </c>
      <c r="G32" s="98"/>
      <c r="H32" s="91"/>
      <c r="I32" s="91"/>
      <c r="J32" s="99">
        <v>3200</v>
      </c>
      <c r="K32" s="149" t="str">
        <f>IF(F32="??","??",IF(F32&lt;=3200,"Yes","No"))</f>
        <v>??</v>
      </c>
      <c r="L32" s="76" t="s">
        <v>20</v>
      </c>
      <c r="M32" s="77"/>
      <c r="N32" s="77"/>
      <c r="O32" s="316" t="s">
        <v>389</v>
      </c>
      <c r="P32" s="317" t="str">
        <f t="shared" ca="1" si="0"/>
        <v>??</v>
      </c>
      <c r="Q32" t="str">
        <f t="shared" ca="1" si="2"/>
        <v>$F$37</v>
      </c>
      <c r="R32" t="s">
        <v>390</v>
      </c>
      <c r="S32" t="str">
        <f t="shared" ca="1" si="1"/>
        <v>F37</v>
      </c>
      <c r="T32" s="318" t="str">
        <f ca="1">VLOOKUP(CELL("format",INDIRECT(Q32)),FormatLookup[],2,FALSE)</f>
        <v>0.0</v>
      </c>
      <c r="U32" s="318" t="s">
        <v>188</v>
      </c>
      <c r="V32" t="str">
        <f>IF(ISBLANK(VLOOKUP(R32,Definitions60Gy8F[],5,FALSE)),"",VLOOKUP(R32,Definitions60Gy8F[],5,FALSE))</f>
        <v>cGy</v>
      </c>
      <c r="W32" s="319" t="b">
        <f ca="1">EXACT(config60Gy8F[[#This Row],[Address]],VLOOKUP(config60Gy8F[[#This Row],[Name]],Definitions60Gy8F[],2,FALSE))</f>
        <v>1</v>
      </c>
      <c r="X32" s="319" t="b">
        <f ca="1">IF(EXACT(config60Gy8F[[#This Row],[Extracted Format]],config60Gy8F[[#This Row],[Expected Format]]),TRUE,IF(EXACT(config60Gy8F[[#This Row],[Expected Format]],"@"),"Check",FALSE))</f>
        <v>1</v>
      </c>
      <c r="Y32" t="str">
        <f>IF(ISERROR(FIND(config60Gy8F[[#This Row],[Units]],config60Gy8F[[#This Row],[Label]])),"Check",TRUE)</f>
        <v>Check</v>
      </c>
      <c r="AA32" t="s">
        <v>390</v>
      </c>
      <c r="AB32" t="s">
        <v>362</v>
      </c>
      <c r="AC32" s="318" t="s">
        <v>188</v>
      </c>
      <c r="AD32" s="318" t="s">
        <v>188</v>
      </c>
      <c r="AE32" t="s">
        <v>260</v>
      </c>
      <c r="AF32" t="s">
        <v>392</v>
      </c>
      <c r="AG32" t="s">
        <v>13</v>
      </c>
      <c r="AH32" t="s">
        <v>269</v>
      </c>
      <c r="AJ32" t="s">
        <v>287</v>
      </c>
    </row>
    <row r="33" spans="2:36" x14ac:dyDescent="0.2">
      <c r="B33" s="154" t="s">
        <v>129</v>
      </c>
      <c r="C33" s="91"/>
      <c r="D33" s="91"/>
      <c r="E33" s="263" t="s">
        <v>40</v>
      </c>
      <c r="F33" s="354" t="s">
        <v>46</v>
      </c>
      <c r="G33" s="98"/>
      <c r="H33" s="91"/>
      <c r="I33" s="91"/>
      <c r="J33" s="99">
        <v>3800</v>
      </c>
      <c r="K33" s="149" t="str">
        <f>IF(F33="??","??",IF(F33&lt;=3800,"Yes","No"))</f>
        <v>??</v>
      </c>
      <c r="L33" s="112" t="s">
        <v>114</v>
      </c>
      <c r="M33" s="77"/>
      <c r="N33" s="77"/>
      <c r="O33" s="316" t="s">
        <v>459</v>
      </c>
      <c r="P33" s="317" t="str">
        <f t="shared" ca="1" si="0"/>
        <v>??</v>
      </c>
      <c r="Q33" t="str">
        <f t="shared" ca="1" si="2"/>
        <v>$F$38</v>
      </c>
      <c r="R33" s="321" t="s">
        <v>399</v>
      </c>
      <c r="S33" t="str">
        <f t="shared" ca="1" si="1"/>
        <v>F38</v>
      </c>
      <c r="T33" s="318" t="str">
        <f ca="1">VLOOKUP(CELL("format",INDIRECT(Q33)),FormatLookup[],2,FALSE)</f>
        <v>0.0</v>
      </c>
      <c r="U33" s="318" t="s">
        <v>188</v>
      </c>
      <c r="V33" t="str">
        <f>IF(ISBLANK(VLOOKUP(R33,Definitions60Gy8F[],5,FALSE)),"",VLOOKUP(R33,Definitions60Gy8F[],5,FALSE))</f>
        <v>cGy</v>
      </c>
      <c r="W33" s="319" t="b">
        <f ca="1">EXACT(config60Gy8F[[#This Row],[Address]],VLOOKUP(config60Gy8F[[#This Row],[Name]],Definitions60Gy8F[],2,FALSE))</f>
        <v>1</v>
      </c>
      <c r="X33" s="319" t="b">
        <f ca="1">IF(EXACT(config60Gy8F[[#This Row],[Extracted Format]],config60Gy8F[[#This Row],[Expected Format]]),TRUE,IF(EXACT(config60Gy8F[[#This Row],[Expected Format]],"@"),"Check",FALSE))</f>
        <v>1</v>
      </c>
      <c r="Y33" t="str">
        <f>IF(ISERROR(FIND(config60Gy8F[[#This Row],[Units]],config60Gy8F[[#This Row],[Label]])),"Check",TRUE)</f>
        <v>Check</v>
      </c>
      <c r="AA33" t="s">
        <v>399</v>
      </c>
      <c r="AB33" t="s">
        <v>367</v>
      </c>
      <c r="AC33" s="318" t="s">
        <v>188</v>
      </c>
      <c r="AD33" s="318" t="s">
        <v>188</v>
      </c>
      <c r="AE33" t="s">
        <v>260</v>
      </c>
      <c r="AF33" t="s">
        <v>401</v>
      </c>
      <c r="AG33" t="s">
        <v>402</v>
      </c>
      <c r="AH33" t="s">
        <v>269</v>
      </c>
      <c r="AJ33" t="s">
        <v>287</v>
      </c>
    </row>
    <row r="34" spans="2:36" ht="14.25" x14ac:dyDescent="0.25">
      <c r="B34" s="143"/>
      <c r="C34" s="175"/>
      <c r="D34" s="120"/>
      <c r="E34" s="190" t="s">
        <v>92</v>
      </c>
      <c r="F34" s="335" t="str">
        <f>IF(F33&lt;=3000,"OK","??")</f>
        <v>??</v>
      </c>
      <c r="G34" s="98"/>
      <c r="H34" s="91"/>
      <c r="I34" s="91"/>
      <c r="J34" s="99">
        <v>3</v>
      </c>
      <c r="K34" s="149" t="str">
        <f>IF(F34="??","??",IF(F34&lt;=3,"Yes",IF(F34="OK","Yes","No")))</f>
        <v>??</v>
      </c>
      <c r="L34" s="112"/>
      <c r="M34" s="77"/>
      <c r="N34" s="77"/>
      <c r="O34" s="316" t="s">
        <v>460</v>
      </c>
      <c r="P34" s="317" t="str">
        <f t="shared" ca="1" si="0"/>
        <v>??</v>
      </c>
      <c r="Q34" t="str">
        <f t="shared" ca="1" si="2"/>
        <v>$F$39</v>
      </c>
      <c r="R34" t="s">
        <v>461</v>
      </c>
      <c r="S34" t="str">
        <f t="shared" ca="1" si="1"/>
        <v>F39</v>
      </c>
      <c r="T34" s="318" t="str">
        <f ca="1">VLOOKUP(CELL("format",INDIRECT(Q34)),FormatLookup[],2,FALSE)</f>
        <v>0.0</v>
      </c>
      <c r="U34" s="318" t="s">
        <v>188</v>
      </c>
      <c r="V34" t="str">
        <f>IF(ISBLANK(VLOOKUP(R34,Definitions60Gy8F[],5,FALSE)),"",VLOOKUP(R34,Definitions60Gy8F[],5,FALSE))</f>
        <v>cc</v>
      </c>
      <c r="W34" s="319" t="b">
        <f ca="1">EXACT(config60Gy8F[[#This Row],[Address]],VLOOKUP(config60Gy8F[[#This Row],[Name]],Definitions60Gy8F[],2,FALSE))</f>
        <v>1</v>
      </c>
      <c r="X34" s="319" t="b">
        <f ca="1">IF(EXACT(config60Gy8F[[#This Row],[Extracted Format]],config60Gy8F[[#This Row],[Expected Format]]),TRUE,IF(EXACT(config60Gy8F[[#This Row],[Expected Format]],"@"),"Check",FALSE))</f>
        <v>1</v>
      </c>
      <c r="Y34" t="str">
        <f>IF(ISERROR(FIND(config60Gy8F[[#This Row],[Units]],config60Gy8F[[#This Row],[Label]])),"Check",TRUE)</f>
        <v>Check</v>
      </c>
      <c r="AA34" t="s">
        <v>461</v>
      </c>
      <c r="AB34" t="s">
        <v>372</v>
      </c>
      <c r="AC34" s="318" t="s">
        <v>188</v>
      </c>
      <c r="AD34" s="318" t="s">
        <v>188</v>
      </c>
      <c r="AE34" t="s">
        <v>267</v>
      </c>
      <c r="AF34" t="s">
        <v>462</v>
      </c>
      <c r="AG34" t="s">
        <v>402</v>
      </c>
      <c r="AH34" t="s">
        <v>269</v>
      </c>
      <c r="AJ34" t="s">
        <v>463</v>
      </c>
    </row>
    <row r="35" spans="2:36" x14ac:dyDescent="0.2">
      <c r="B35" s="124" t="s">
        <v>16</v>
      </c>
      <c r="C35" s="91"/>
      <c r="D35" s="91"/>
      <c r="E35" s="261" t="s">
        <v>40</v>
      </c>
      <c r="F35" s="354" t="s">
        <v>46</v>
      </c>
      <c r="G35" s="98"/>
      <c r="H35" s="91"/>
      <c r="I35" s="91"/>
      <c r="J35" s="99">
        <v>6400</v>
      </c>
      <c r="K35" s="149" t="str">
        <f>IF(F35="??","??",IF(F35&lt;=6400,"Yes","No"))</f>
        <v>??</v>
      </c>
      <c r="L35" s="76" t="s">
        <v>20</v>
      </c>
      <c r="M35" s="77"/>
      <c r="N35" s="77"/>
      <c r="O35" s="316" t="s">
        <v>411</v>
      </c>
      <c r="P35" s="317" t="str">
        <f t="shared" ca="1" si="0"/>
        <v>??</v>
      </c>
      <c r="Q35" t="str">
        <f t="shared" ca="1" si="2"/>
        <v>$F$40</v>
      </c>
      <c r="R35" t="s">
        <v>412</v>
      </c>
      <c r="S35" t="str">
        <f t="shared" ca="1" si="1"/>
        <v>F40</v>
      </c>
      <c r="T35" s="318" t="str">
        <f ca="1">VLOOKUP(CELL("format",INDIRECT(Q35)),FormatLookup[],2,FALSE)</f>
        <v>0.0</v>
      </c>
      <c r="U35" s="318" t="s">
        <v>188</v>
      </c>
      <c r="V35" t="str">
        <f>IF(ISBLANK(VLOOKUP(R35,Definitions60Gy8F[],5,FALSE)),"",VLOOKUP(R35,Definitions60Gy8F[],5,FALSE))</f>
        <v>cGy</v>
      </c>
      <c r="W35" s="319" t="b">
        <f ca="1">EXACT(config60Gy8F[[#This Row],[Address]],VLOOKUP(config60Gy8F[[#This Row],[Name]],Definitions60Gy8F[],2,FALSE))</f>
        <v>1</v>
      </c>
      <c r="X35" s="319" t="b">
        <f ca="1">IF(EXACT(config60Gy8F[[#This Row],[Extracted Format]],config60Gy8F[[#This Row],[Expected Format]]),TRUE,IF(EXACT(config60Gy8F[[#This Row],[Expected Format]],"@"),"Check",FALSE))</f>
        <v>1</v>
      </c>
      <c r="Y35" t="str">
        <f>IF(ISERROR(FIND(config60Gy8F[[#This Row],[Units]],config60Gy8F[[#This Row],[Label]])),"Check",TRUE)</f>
        <v>Check</v>
      </c>
      <c r="AA35" t="s">
        <v>412</v>
      </c>
      <c r="AB35" t="s">
        <v>377</v>
      </c>
      <c r="AC35" s="318" t="s">
        <v>188</v>
      </c>
      <c r="AD35" s="318" t="s">
        <v>188</v>
      </c>
      <c r="AE35" t="s">
        <v>260</v>
      </c>
      <c r="AF35" t="s">
        <v>414</v>
      </c>
      <c r="AG35" t="s">
        <v>136</v>
      </c>
      <c r="AH35" t="s">
        <v>269</v>
      </c>
      <c r="AJ35" t="s">
        <v>287</v>
      </c>
    </row>
    <row r="36" spans="2:36" ht="14.25" x14ac:dyDescent="0.25">
      <c r="B36" s="174"/>
      <c r="C36" s="175"/>
      <c r="D36" s="120"/>
      <c r="E36" s="189" t="s">
        <v>107</v>
      </c>
      <c r="F36" s="335" t="str">
        <f>IF(F35&lt;=6000,"OK","??")</f>
        <v>??</v>
      </c>
      <c r="G36" s="98"/>
      <c r="H36" s="91"/>
      <c r="I36" s="91"/>
      <c r="J36" s="92">
        <v>10</v>
      </c>
      <c r="K36" s="149" t="str">
        <f>IF(F36="??","??",IF(F36&lt;=10,"Yes",IF(F36="OK","Yes","No")))</f>
        <v>??</v>
      </c>
      <c r="L36" s="112" t="s">
        <v>114</v>
      </c>
      <c r="M36" s="77"/>
      <c r="N36" s="77"/>
      <c r="O36" s="316" t="s">
        <v>415</v>
      </c>
      <c r="P36" s="317" t="str">
        <f t="shared" ca="1" si="0"/>
        <v>??</v>
      </c>
      <c r="Q36" t="str">
        <f t="shared" ca="1" si="2"/>
        <v>$F$41</v>
      </c>
      <c r="R36" t="s">
        <v>416</v>
      </c>
      <c r="S36" t="str">
        <f t="shared" ca="1" si="1"/>
        <v>F41</v>
      </c>
      <c r="T36" s="318" t="str">
        <f ca="1">VLOOKUP(CELL("format",INDIRECT(Q36)),FormatLookup[],2,FALSE)</f>
        <v>0.0</v>
      </c>
      <c r="U36" s="318" t="s">
        <v>188</v>
      </c>
      <c r="V36" t="str">
        <f>IF(ISBLANK(VLOOKUP(R36,Definitions60Gy8F[],5,FALSE)),"",VLOOKUP(R36,Definitions60Gy8F[],5,FALSE))</f>
        <v>cGy</v>
      </c>
      <c r="W36" s="319" t="b">
        <f ca="1">EXACT(config60Gy8F[[#This Row],[Address]],VLOOKUP(config60Gy8F[[#This Row],[Name]],Definitions60Gy8F[],2,FALSE))</f>
        <v>1</v>
      </c>
      <c r="X36" s="319" t="b">
        <f ca="1">IF(EXACT(config60Gy8F[[#This Row],[Extracted Format]],config60Gy8F[[#This Row],[Expected Format]]),TRUE,IF(EXACT(config60Gy8F[[#This Row],[Expected Format]],"@"),"Check",FALSE))</f>
        <v>1</v>
      </c>
      <c r="Y36" t="str">
        <f>IF(ISERROR(FIND(config60Gy8F[[#This Row],[Units]],config60Gy8F[[#This Row],[Label]])),"Check",TRUE)</f>
        <v>Check</v>
      </c>
      <c r="AA36" t="s">
        <v>416</v>
      </c>
      <c r="AB36" t="s">
        <v>382</v>
      </c>
      <c r="AC36" s="318" t="s">
        <v>188</v>
      </c>
      <c r="AD36" s="318" t="s">
        <v>188</v>
      </c>
      <c r="AE36" t="s">
        <v>260</v>
      </c>
      <c r="AF36" t="s">
        <v>418</v>
      </c>
      <c r="AG36" t="s">
        <v>419</v>
      </c>
      <c r="AH36" t="s">
        <v>269</v>
      </c>
      <c r="AI36" t="s">
        <v>369</v>
      </c>
      <c r="AJ36" t="s">
        <v>287</v>
      </c>
    </row>
    <row r="37" spans="2:36" x14ac:dyDescent="0.2">
      <c r="B37" s="124" t="s">
        <v>13</v>
      </c>
      <c r="C37" s="91"/>
      <c r="D37" s="91"/>
      <c r="E37" s="122" t="s">
        <v>40</v>
      </c>
      <c r="F37" s="354" t="s">
        <v>46</v>
      </c>
      <c r="G37" s="98"/>
      <c r="H37" s="91"/>
      <c r="I37" s="91"/>
      <c r="J37" s="99">
        <v>4000</v>
      </c>
      <c r="K37" s="149" t="str">
        <f>IF(F37="??","??",IF(F37&lt;=4000,"Yes","No"))</f>
        <v>??</v>
      </c>
      <c r="L37" s="112" t="s">
        <v>114</v>
      </c>
      <c r="M37" s="77"/>
      <c r="N37" s="77"/>
      <c r="O37" s="316" t="s">
        <v>464</v>
      </c>
      <c r="P37" s="317">
        <f t="shared" ca="1" si="0"/>
        <v>0</v>
      </c>
      <c r="Q37" t="str">
        <f ca="1">CELL("address",B42)</f>
        <v>$B$42</v>
      </c>
      <c r="R37" t="s">
        <v>465</v>
      </c>
      <c r="S37" t="str">
        <f t="shared" ca="1" si="1"/>
        <v>B42</v>
      </c>
      <c r="T37" s="318" t="str">
        <f ca="1">VLOOKUP(CELL("format",INDIRECT(Q37)),FormatLookup[],2,FALSE)</f>
        <v>0.00</v>
      </c>
      <c r="U37" s="318" t="s">
        <v>190</v>
      </c>
      <c r="V37" t="str">
        <f>IF(ISBLANK(VLOOKUP(R37,Definitions60Gy8F[],5,FALSE)),"",VLOOKUP(R37,Definitions60Gy8F[],5,FALSE))</f>
        <v>cc</v>
      </c>
      <c r="W37" s="319" t="b">
        <f ca="1">EXACT(config60Gy8F[[#This Row],[Address]],VLOOKUP(config60Gy8F[[#This Row],[Name]],Definitions60Gy8F[],2,FALSE))</f>
        <v>1</v>
      </c>
      <c r="X37" s="319" t="b">
        <f ca="1">IF(EXACT(config60Gy8F[[#This Row],[Extracted Format]],config60Gy8F[[#This Row],[Expected Format]]),TRUE,IF(EXACT(config60Gy8F[[#This Row],[Expected Format]],"@"),"Check",FALSE))</f>
        <v>1</v>
      </c>
      <c r="Y37" t="str">
        <f>IF(ISERROR(FIND(config60Gy8F[[#This Row],[Units]],config60Gy8F[[#This Row],[Label]])),"Check",TRUE)</f>
        <v>Check</v>
      </c>
      <c r="AA37" t="s">
        <v>465</v>
      </c>
      <c r="AB37" t="s">
        <v>466</v>
      </c>
      <c r="AC37" s="318" t="s">
        <v>190</v>
      </c>
      <c r="AD37" s="318" t="s">
        <v>190</v>
      </c>
      <c r="AE37" t="s">
        <v>267</v>
      </c>
      <c r="AF37" t="s">
        <v>467</v>
      </c>
      <c r="AG37" t="s">
        <v>136</v>
      </c>
      <c r="AH37" t="s">
        <v>269</v>
      </c>
      <c r="AJ37" t="s">
        <v>449</v>
      </c>
    </row>
    <row r="38" spans="2:36" x14ac:dyDescent="0.2">
      <c r="B38" s="154" t="s">
        <v>95</v>
      </c>
      <c r="C38" s="91"/>
      <c r="D38" s="91"/>
      <c r="E38" s="261" t="s">
        <v>40</v>
      </c>
      <c r="F38" s="354" t="s">
        <v>46</v>
      </c>
      <c r="G38" s="98"/>
      <c r="H38" s="91"/>
      <c r="I38" s="91"/>
      <c r="J38" s="99">
        <v>6000</v>
      </c>
      <c r="K38" s="149" t="str">
        <f>IF(F38="??","??",IF(F38&lt;=6000,"Yes","No"))</f>
        <v>??</v>
      </c>
      <c r="L38" s="112" t="s">
        <v>114</v>
      </c>
      <c r="M38" s="77"/>
      <c r="N38" s="77"/>
      <c r="O38" s="316" t="s">
        <v>468</v>
      </c>
      <c r="P38" s="317">
        <f t="shared" ca="1" si="0"/>
        <v>0</v>
      </c>
      <c r="Q38" t="str">
        <f ca="1">CELL("address",C42)</f>
        <v>$C$42</v>
      </c>
      <c r="R38" t="s">
        <v>469</v>
      </c>
      <c r="S38" t="str">
        <f t="shared" ca="1" si="1"/>
        <v>C42</v>
      </c>
      <c r="T38" s="318" t="str">
        <f ca="1">VLOOKUP(CELL("format",INDIRECT(Q38)),FormatLookup[],2,FALSE)</f>
        <v>0.00</v>
      </c>
      <c r="U38" s="318" t="s">
        <v>190</v>
      </c>
      <c r="V38" t="str">
        <f>IF(ISBLANK(VLOOKUP(R38,Definitions60Gy8F[],5,FALSE)),"",VLOOKUP(R38,Definitions60Gy8F[],5,FALSE))</f>
        <v>cc</v>
      </c>
      <c r="W38" s="319" t="b">
        <f ca="1">EXACT(config60Gy8F[[#This Row],[Address]],VLOOKUP(config60Gy8F[[#This Row],[Name]],Definitions60Gy8F[],2,FALSE))</f>
        <v>1</v>
      </c>
      <c r="X38" s="319" t="b">
        <f ca="1">IF(EXACT(config60Gy8F[[#This Row],[Extracted Format]],config60Gy8F[[#This Row],[Expected Format]]),TRUE,IF(EXACT(config60Gy8F[[#This Row],[Expected Format]],"@"),"Check",FALSE))</f>
        <v>1</v>
      </c>
      <c r="Y38" t="str">
        <f>IF(ISERROR(FIND(config60Gy8F[[#This Row],[Units]],config60Gy8F[[#This Row],[Label]])),"Check",TRUE)</f>
        <v>Check</v>
      </c>
      <c r="AA38" t="s">
        <v>469</v>
      </c>
      <c r="AB38" t="s">
        <v>470</v>
      </c>
      <c r="AC38" s="318" t="s">
        <v>190</v>
      </c>
      <c r="AD38" s="318" t="s">
        <v>190</v>
      </c>
      <c r="AE38" t="s">
        <v>267</v>
      </c>
      <c r="AF38" t="s">
        <v>471</v>
      </c>
      <c r="AG38" t="s">
        <v>429</v>
      </c>
      <c r="AH38" t="s">
        <v>269</v>
      </c>
      <c r="AJ38" t="s">
        <v>449</v>
      </c>
    </row>
    <row r="39" spans="2:36" ht="14.25" x14ac:dyDescent="0.25">
      <c r="B39" s="82"/>
      <c r="C39" s="116"/>
      <c r="D39" s="120"/>
      <c r="E39" s="189" t="s">
        <v>115</v>
      </c>
      <c r="F39" s="335" t="str">
        <f>IF(F38&lt;=5000,"OK","??")</f>
        <v>??</v>
      </c>
      <c r="G39" s="98"/>
      <c r="H39" s="91"/>
      <c r="I39" s="91"/>
      <c r="J39" s="92">
        <v>5</v>
      </c>
      <c r="K39" s="149" t="str">
        <f>IF(F39="??","??",IF(F39&lt;=5,"Yes",IF(F39="OK","Yes","No")))</f>
        <v>??</v>
      </c>
      <c r="L39" s="112" t="s">
        <v>114</v>
      </c>
      <c r="M39" s="77"/>
      <c r="N39" s="77"/>
      <c r="O39" s="316" t="s">
        <v>472</v>
      </c>
      <c r="P39" s="317" t="str">
        <f t="shared" ca="1" si="0"/>
        <v>??</v>
      </c>
      <c r="Q39" t="str">
        <f ca="1">CELL("address",F43)</f>
        <v>$F$43</v>
      </c>
      <c r="R39" t="s">
        <v>431</v>
      </c>
      <c r="S39" t="str">
        <f t="shared" ca="1" si="1"/>
        <v>F43</v>
      </c>
      <c r="T39" s="318" t="str">
        <f ca="1">VLOOKUP(CELL("format",INDIRECT(Q39)),FormatLookup[],2,FALSE)</f>
        <v>0.0</v>
      </c>
      <c r="U39" s="318" t="s">
        <v>188</v>
      </c>
      <c r="V39" t="str">
        <f>IF(ISBLANK(VLOOKUP(R39,Definitions60Gy8F[],5,FALSE)),"",VLOOKUP(R39,Definitions60Gy8F[],5,FALSE))</f>
        <v>cGy</v>
      </c>
      <c r="W39" s="319" t="b">
        <f ca="1">EXACT(config60Gy8F[[#This Row],[Address]],VLOOKUP(config60Gy8F[[#This Row],[Name]],Definitions60Gy8F[],2,FALSE))</f>
        <v>1</v>
      </c>
      <c r="X39" s="319" t="b">
        <f ca="1">IF(EXACT(config60Gy8F[[#This Row],[Extracted Format]],config60Gy8F[[#This Row],[Expected Format]]),TRUE,IF(EXACT(config60Gy8F[[#This Row],[Expected Format]],"@"),"Check",FALSE))</f>
        <v>1</v>
      </c>
      <c r="Y39" t="str">
        <f>IF(ISERROR(FIND(config60Gy8F[[#This Row],[Units]],config60Gy8F[[#This Row],[Label]])),"Check",TRUE)</f>
        <v>Check</v>
      </c>
      <c r="AA39" t="s">
        <v>431</v>
      </c>
      <c r="AB39" t="s">
        <v>391</v>
      </c>
      <c r="AC39" s="318" t="s">
        <v>188</v>
      </c>
      <c r="AD39" s="318" t="s">
        <v>188</v>
      </c>
      <c r="AE39" t="s">
        <v>260</v>
      </c>
      <c r="AF39" t="s">
        <v>433</v>
      </c>
      <c r="AG39" t="s">
        <v>434</v>
      </c>
      <c r="AH39" t="s">
        <v>269</v>
      </c>
      <c r="AJ39" t="s">
        <v>287</v>
      </c>
    </row>
    <row r="40" spans="2:36" x14ac:dyDescent="0.2">
      <c r="B40" s="154" t="s">
        <v>136</v>
      </c>
      <c r="C40" s="203"/>
      <c r="D40" s="91"/>
      <c r="E40" s="261" t="s">
        <v>40</v>
      </c>
      <c r="F40" s="355" t="str">
        <f>IF(MAX(A40:A40)&gt;0,MAX(A40:A40),"??")</f>
        <v>??</v>
      </c>
      <c r="G40" s="205" t="s">
        <v>26</v>
      </c>
      <c r="H40" s="102"/>
      <c r="I40" s="102"/>
      <c r="J40" s="9">
        <v>6400</v>
      </c>
      <c r="K40" s="149" t="str">
        <f>IF(F40="??","??",IF(F40&lt;=6400,"Yes","No"))</f>
        <v>??</v>
      </c>
      <c r="L40" s="76" t="s">
        <v>20</v>
      </c>
      <c r="M40" s="77"/>
      <c r="N40" s="77"/>
      <c r="O40" s="316" t="s">
        <v>473</v>
      </c>
      <c r="P40" s="317" t="str">
        <f t="shared" ca="1" si="0"/>
        <v>??</v>
      </c>
      <c r="Q40" t="str">
        <f ca="1">CELL("address",F44)</f>
        <v>$F$44</v>
      </c>
      <c r="R40" t="s">
        <v>474</v>
      </c>
      <c r="S40" t="str">
        <f t="shared" ca="1" si="1"/>
        <v>F44</v>
      </c>
      <c r="T40" s="318" t="str">
        <f ca="1">VLOOKUP(CELL("format",INDIRECT(Q40)),FormatLookup[],2,FALSE)</f>
        <v>0.0</v>
      </c>
      <c r="U40" s="318" t="s">
        <v>188</v>
      </c>
      <c r="V40" t="str">
        <f>IF(ISBLANK(VLOOKUP(R40,Definitions60Gy8F[],5,FALSE)),"",VLOOKUP(R40,Definitions60Gy8F[],5,FALSE))</f>
        <v>cc</v>
      </c>
      <c r="W40" s="319" t="b">
        <f ca="1">EXACT(config60Gy8F[[#This Row],[Address]],VLOOKUP(config60Gy8F[[#This Row],[Name]],Definitions60Gy8F[],2,FALSE))</f>
        <v>1</v>
      </c>
      <c r="X40" s="319" t="b">
        <f ca="1">IF(EXACT(config60Gy8F[[#This Row],[Extracted Format]],config60Gy8F[[#This Row],[Expected Format]]),TRUE,IF(EXACT(config60Gy8F[[#This Row],[Expected Format]],"@"),"Check",FALSE))</f>
        <v>1</v>
      </c>
      <c r="Y40" t="str">
        <f>IF(ISERROR(FIND(config60Gy8F[[#This Row],[Units]],config60Gy8F[[#This Row],[Label]])),"Check",TRUE)</f>
        <v>Check</v>
      </c>
      <c r="AA40" t="s">
        <v>474</v>
      </c>
      <c r="AB40" t="s">
        <v>395</v>
      </c>
      <c r="AC40" s="318" t="s">
        <v>188</v>
      </c>
      <c r="AD40" s="318" t="s">
        <v>188</v>
      </c>
      <c r="AE40" t="s">
        <v>267</v>
      </c>
      <c r="AF40" t="s">
        <v>475</v>
      </c>
      <c r="AG40" t="s">
        <v>434</v>
      </c>
      <c r="AH40" t="s">
        <v>269</v>
      </c>
      <c r="AJ40" t="s">
        <v>476</v>
      </c>
    </row>
    <row r="41" spans="2:36" x14ac:dyDescent="0.2">
      <c r="B41" s="148" t="s">
        <v>138</v>
      </c>
      <c r="C41" s="204"/>
      <c r="D41" s="84"/>
      <c r="E41" s="123" t="s">
        <v>40</v>
      </c>
      <c r="F41" s="355" t="s">
        <v>46</v>
      </c>
      <c r="G41" s="213"/>
      <c r="H41" s="84"/>
      <c r="I41" s="84"/>
      <c r="J41" s="99">
        <v>6400</v>
      </c>
      <c r="K41" s="149" t="str">
        <f>IF(F41="??","??",IF(F41&lt;=6400,"Yes","No"))</f>
        <v>??</v>
      </c>
      <c r="L41" s="76"/>
      <c r="M41" s="77"/>
      <c r="N41" s="77"/>
      <c r="P41" s="320"/>
      <c r="Q41" s="320"/>
    </row>
    <row r="42" spans="2:36" ht="14.25" x14ac:dyDescent="0.25">
      <c r="B42" s="357"/>
      <c r="C42" s="358"/>
      <c r="D42" s="84"/>
      <c r="E42" s="86" t="s">
        <v>140</v>
      </c>
      <c r="F42" s="355" t="str">
        <f>IF(MAX(A42:A42)&gt;0,MAX(A42:A42),"??")</f>
        <v>??</v>
      </c>
      <c r="G42" s="206" t="s">
        <v>26</v>
      </c>
      <c r="H42" s="84"/>
      <c r="I42" s="84"/>
      <c r="J42" s="99">
        <v>5</v>
      </c>
      <c r="K42" s="149" t="str">
        <f>IF(F42="??","??",IF(F42&lt;=5,"Yes",IF(F42="OK","Yes","No")))</f>
        <v>??</v>
      </c>
      <c r="L42" s="112" t="s">
        <v>114</v>
      </c>
      <c r="M42" s="77"/>
      <c r="N42" s="77"/>
      <c r="P42" s="320"/>
      <c r="Q42" s="320"/>
    </row>
    <row r="43" spans="2:36" x14ac:dyDescent="0.2">
      <c r="B43" s="124" t="s">
        <v>100</v>
      </c>
      <c r="C43" s="91"/>
      <c r="D43" s="91"/>
      <c r="E43" s="261" t="s">
        <v>40</v>
      </c>
      <c r="F43" s="355" t="s">
        <v>46</v>
      </c>
      <c r="G43" s="104"/>
      <c r="H43" s="102"/>
      <c r="I43" s="102"/>
      <c r="J43" s="9">
        <v>4000</v>
      </c>
      <c r="K43" s="149" t="str">
        <f>IF(F43="??","??",IF(F43&lt;=4000,"Yes","No"))</f>
        <v>??</v>
      </c>
      <c r="L43" s="112" t="s">
        <v>114</v>
      </c>
      <c r="M43" s="77"/>
      <c r="N43" s="77"/>
      <c r="P43" s="320"/>
      <c r="Q43" s="320"/>
    </row>
    <row r="44" spans="2:36" ht="15" thickBot="1" x14ac:dyDescent="0.3">
      <c r="B44" s="78" t="s">
        <v>101</v>
      </c>
      <c r="C44" s="167"/>
      <c r="D44" s="79" t="s">
        <v>26</v>
      </c>
      <c r="E44" s="214" t="s">
        <v>97</v>
      </c>
      <c r="F44" s="356" t="str">
        <f>IF(F43&lt;=3600,"OK","??")</f>
        <v>??</v>
      </c>
      <c r="G44" s="80"/>
      <c r="H44" s="79"/>
      <c r="I44" s="79"/>
      <c r="J44" s="107">
        <v>1</v>
      </c>
      <c r="K44" s="150" t="str">
        <f>IF(F44="??","??",IF(F44&lt;=1,"Yes",IF(F44="OK","Yes","No")))</f>
        <v>??</v>
      </c>
      <c r="L44" s="112" t="s">
        <v>114</v>
      </c>
      <c r="M44" s="77"/>
      <c r="N44" s="77"/>
      <c r="P44" s="320"/>
      <c r="Q44" s="320"/>
    </row>
    <row r="45" spans="2:36" x14ac:dyDescent="0.2">
      <c r="B45" s="77"/>
      <c r="C45" s="77"/>
      <c r="D45" s="77"/>
      <c r="E45" s="127"/>
      <c r="F45" s="127"/>
      <c r="G45" s="127"/>
      <c r="H45" s="77"/>
      <c r="I45" s="77"/>
      <c r="J45" s="127"/>
      <c r="K45" s="127"/>
      <c r="L45" s="76"/>
      <c r="M45" s="77"/>
      <c r="N45" s="77"/>
      <c r="P45" s="320"/>
      <c r="Q45" s="320"/>
    </row>
    <row r="46" spans="2:36" x14ac:dyDescent="0.2">
      <c r="B46" s="77"/>
      <c r="C46" s="77"/>
      <c r="D46" s="77"/>
      <c r="E46" s="127"/>
      <c r="F46" s="127"/>
      <c r="G46" s="127"/>
      <c r="H46" s="77"/>
      <c r="I46" s="77"/>
      <c r="J46" s="127"/>
      <c r="K46" s="127"/>
      <c r="L46" s="76"/>
      <c r="M46" s="77"/>
      <c r="P46" s="320"/>
      <c r="Q46" s="320"/>
    </row>
    <row r="47" spans="2:36" x14ac:dyDescent="0.2">
      <c r="B47" s="77"/>
      <c r="C47" s="77"/>
      <c r="D47" s="77"/>
      <c r="E47" s="127"/>
      <c r="F47" s="127"/>
      <c r="G47" s="127"/>
      <c r="H47" s="77"/>
      <c r="I47" s="77"/>
      <c r="J47" s="127"/>
      <c r="K47" s="127"/>
      <c r="L47" s="76"/>
      <c r="M47" s="77"/>
      <c r="P47" s="320"/>
      <c r="Q47" s="320"/>
    </row>
    <row r="48" spans="2:36" x14ac:dyDescent="0.2">
      <c r="B48" s="77"/>
      <c r="C48" s="77"/>
      <c r="D48" s="77"/>
      <c r="E48" s="127"/>
      <c r="F48" s="127"/>
      <c r="G48" s="127"/>
      <c r="H48" s="77"/>
      <c r="I48" s="77"/>
      <c r="J48" s="127"/>
      <c r="K48" s="127"/>
      <c r="L48" s="76"/>
      <c r="M48" s="77"/>
      <c r="P48" s="320"/>
      <c r="Q48" s="320"/>
    </row>
    <row r="49" spans="16:17" x14ac:dyDescent="0.2">
      <c r="P49" s="320"/>
      <c r="Q49" s="320"/>
    </row>
    <row r="50" spans="16:17" x14ac:dyDescent="0.2">
      <c r="P50" s="320"/>
      <c r="Q50" s="320"/>
    </row>
    <row r="51" spans="16:17" x14ac:dyDescent="0.2">
      <c r="P51" s="320"/>
    </row>
    <row r="52" spans="16:17" x14ac:dyDescent="0.2">
      <c r="P52" s="320"/>
    </row>
    <row r="53" spans="16:17" x14ac:dyDescent="0.2">
      <c r="P53" s="320"/>
    </row>
    <row r="54" spans="16:17" x14ac:dyDescent="0.2">
      <c r="P54" s="320"/>
    </row>
    <row r="55" spans="16:17" x14ac:dyDescent="0.2">
      <c r="P55" s="320"/>
    </row>
    <row r="56" spans="16:17" x14ac:dyDescent="0.2">
      <c r="P56" s="320"/>
    </row>
    <row r="57" spans="16:17" x14ac:dyDescent="0.2">
      <c r="P57" s="320"/>
    </row>
  </sheetData>
  <sheetProtection formatCells="0"/>
  <mergeCells count="1">
    <mergeCell ref="D27:E27"/>
  </mergeCells>
  <phoneticPr fontId="2" type="noConversion"/>
  <conditionalFormatting sqref="K28:K44">
    <cfRule type="containsText" dxfId="143" priority="25" stopIfTrue="1" operator="containsText" text="No">
      <formula>NOT(ISERROR(SEARCH("No",K28)))</formula>
    </cfRule>
  </conditionalFormatting>
  <conditionalFormatting sqref="K19:K26">
    <cfRule type="containsText" dxfId="142" priority="23" stopIfTrue="1" operator="containsText" text="No">
      <formula>NOT(ISERROR(SEARCH("No",K19)))</formula>
    </cfRule>
    <cfRule type="containsText" dxfId="141" priority="24" stopIfTrue="1" operator="containsText" text="Major">
      <formula>NOT(ISERROR(SEARCH("Major",K19)))</formula>
    </cfRule>
  </conditionalFormatting>
  <conditionalFormatting sqref="K19:K24">
    <cfRule type="containsText" dxfId="140" priority="20" stopIfTrue="1" operator="containsText" text="Minor">
      <formula>NOT(ISERROR(SEARCH("Minor",K19)))</formula>
    </cfRule>
  </conditionalFormatting>
  <conditionalFormatting sqref="K27">
    <cfRule type="containsText" dxfId="139" priority="14" stopIfTrue="1" operator="containsText" text="Minor">
      <formula>NOT(ISERROR(SEARCH("Minor",K27)))</formula>
    </cfRule>
    <cfRule type="containsText" dxfId="138" priority="15" stopIfTrue="1" operator="containsText" text="Major">
      <formula>NOT(ISERROR(SEARCH("Major",K27)))</formula>
    </cfRule>
    <cfRule type="containsText" dxfId="137" priority="19" stopIfTrue="1" operator="containsText" text="No">
      <formula>NOT(ISERROR(SEARCH("No",K27)))</formula>
    </cfRule>
  </conditionalFormatting>
  <conditionalFormatting sqref="K13:K14">
    <cfRule type="containsText" dxfId="136" priority="16" stopIfTrue="1" operator="containsText" text="Minor">
      <formula>NOT(ISERROR(SEARCH("Minor",K13)))</formula>
    </cfRule>
    <cfRule type="containsText" dxfId="135" priority="17" stopIfTrue="1" operator="containsText" text="No">
      <formula>NOT(ISERROR(SEARCH("No",K13)))</formula>
    </cfRule>
    <cfRule type="containsText" dxfId="134" priority="18" stopIfTrue="1" operator="containsText" text="Major">
      <formula>NOT(ISERROR(SEARCH("Major",K13)))</formula>
    </cfRule>
  </conditionalFormatting>
  <conditionalFormatting sqref="K15">
    <cfRule type="containsText" dxfId="133" priority="13" stopIfTrue="1" operator="containsText" text="No">
      <formula>NOT(ISERROR(SEARCH("No",K15)))</formula>
    </cfRule>
  </conditionalFormatting>
  <conditionalFormatting sqref="K16">
    <cfRule type="containsText" dxfId="132" priority="10" stopIfTrue="1" operator="containsText" text="Minor">
      <formula>NOT(ISERROR(SEARCH("Minor",K16)))</formula>
    </cfRule>
    <cfRule type="containsText" dxfId="131" priority="11" stopIfTrue="1" operator="containsText" text="No">
      <formula>NOT(ISERROR(SEARCH("No",K16)))</formula>
    </cfRule>
    <cfRule type="containsText" dxfId="130" priority="12" stopIfTrue="1" operator="containsText" text="Major">
      <formula>NOT(ISERROR(SEARCH("Major",K16)))</formula>
    </cfRule>
  </conditionalFormatting>
  <conditionalFormatting sqref="K17">
    <cfRule type="containsText" dxfId="129" priority="7" stopIfTrue="1" operator="containsText" text="Minor">
      <formula>NOT(ISERROR(SEARCH("Minor",K17)))</formula>
    </cfRule>
    <cfRule type="containsText" dxfId="128" priority="8" stopIfTrue="1" operator="containsText" text="No">
      <formula>NOT(ISERROR(SEARCH("No",K17)))</formula>
    </cfRule>
    <cfRule type="containsText" dxfId="127" priority="9" stopIfTrue="1" operator="containsText" text="Major">
      <formula>NOT(ISERROR(SEARCH("Major",K17)))</formula>
    </cfRule>
  </conditionalFormatting>
  <conditionalFormatting sqref="K18">
    <cfRule type="containsText" dxfId="126" priority="4" stopIfTrue="1" operator="containsText" text="Minor">
      <formula>NOT(ISERROR(SEARCH("Minor",K18)))</formula>
    </cfRule>
    <cfRule type="containsText" dxfId="125" priority="5" stopIfTrue="1" operator="containsText" text="No">
      <formula>NOT(ISERROR(SEARCH("No",K18)))</formula>
    </cfRule>
    <cfRule type="containsText" dxfId="124" priority="6" stopIfTrue="1" operator="containsText" text="Major">
      <formula>NOT(ISERROR(SEARCH("Major",K18)))</formula>
    </cfRule>
  </conditionalFormatting>
  <conditionalFormatting sqref="V4:Y40">
    <cfRule type="expression" dxfId="123" priority="1" stopIfTrue="1">
      <formula>V4</formula>
    </cfRule>
    <cfRule type="expression" dxfId="122" priority="2" stopIfTrue="1">
      <formula>EXACT(V4,"Check")</formula>
    </cfRule>
    <cfRule type="expression" dxfId="121" priority="3">
      <formula>V4=FALSE</formula>
    </cfRule>
  </conditionalFormatting>
  <pageMargins left="0.75" right="0.75" top="1" bottom="1" header="0.5" footer="0.5"/>
  <pageSetup scale="79" orientation="portrait" r:id="rId1"/>
  <headerFooter alignWithMargins="0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B1:AJ46"/>
  <sheetViews>
    <sheetView topLeftCell="C1" zoomScaleNormal="100" workbookViewId="0">
      <selection activeCell="AL7" sqref="AL7"/>
    </sheetView>
  </sheetViews>
  <sheetFormatPr defaultRowHeight="12.75" x14ac:dyDescent="0.2"/>
  <cols>
    <col min="1" max="1" width="6.85546875" customWidth="1"/>
    <col min="2" max="2" width="10" customWidth="1"/>
    <col min="3" max="3" width="11.7109375" customWidth="1"/>
    <col min="4" max="4" width="3.85546875" customWidth="1"/>
    <col min="5" max="5" width="8.7109375" style="1" customWidth="1"/>
    <col min="6" max="6" width="19.42578125" style="1" customWidth="1"/>
    <col min="7" max="7" width="18.42578125" style="1" customWidth="1"/>
    <col min="8" max="8" width="6.140625" hidden="1" customWidth="1"/>
    <col min="9" max="9" width="3.140625" hidden="1" customWidth="1"/>
    <col min="10" max="10" width="13.85546875" style="1" customWidth="1"/>
    <col min="11" max="11" width="15.5703125" style="1" customWidth="1"/>
    <col min="12" max="12" width="14" style="2" customWidth="1"/>
    <col min="15" max="15" width="43" style="320" hidden="1" customWidth="1"/>
    <col min="16" max="16" width="6.28515625" style="314" hidden="1" customWidth="1"/>
    <col min="17" max="17" width="6.28515625" hidden="1" customWidth="1"/>
    <col min="18" max="18" width="23.140625" hidden="1" customWidth="1"/>
    <col min="19" max="19" width="8.140625" hidden="1" customWidth="1"/>
    <col min="20" max="20" width="16.7109375" hidden="1" customWidth="1"/>
    <col min="21" max="21" width="16.5703125" hidden="1" customWidth="1"/>
    <col min="22" max="22" width="5.5703125" hidden="1" customWidth="1"/>
    <col min="23" max="23" width="14.42578125" hidden="1" customWidth="1"/>
    <col min="24" max="24" width="13.7109375" hidden="1" customWidth="1"/>
    <col min="25" max="25" width="10.7109375" hidden="1" customWidth="1"/>
    <col min="26" max="26" width="9.140625" hidden="1" customWidth="1"/>
    <col min="27" max="27" width="23.140625" hidden="1" customWidth="1"/>
    <col min="28" max="28" width="10.42578125" hidden="1" customWidth="1"/>
    <col min="29" max="29" width="9.7109375" hidden="1" customWidth="1"/>
    <col min="30" max="30" width="19" hidden="1" customWidth="1"/>
    <col min="31" max="31" width="7.7109375" hidden="1" customWidth="1"/>
    <col min="32" max="32" width="35.140625" hidden="1" customWidth="1"/>
    <col min="33" max="33" width="17.5703125" hidden="1" customWidth="1"/>
    <col min="34" max="34" width="12.28515625" hidden="1" customWidth="1"/>
    <col min="35" max="35" width="11.85546875" hidden="1" customWidth="1"/>
    <col min="36" max="36" width="14" hidden="1" customWidth="1"/>
  </cols>
  <sheetData>
    <row r="1" spans="2:36" ht="13.5" thickBot="1" x14ac:dyDescent="0.25">
      <c r="O1" s="313"/>
      <c r="T1" t="str">
        <f ca="1">CELL("format",K3)</f>
        <v>G</v>
      </c>
    </row>
    <row r="2" spans="2:36" ht="13.5" thickBot="1" x14ac:dyDescent="0.25">
      <c r="B2" s="241"/>
      <c r="C2" s="242"/>
      <c r="D2" s="242"/>
      <c r="E2" s="243"/>
      <c r="F2" s="297" t="s">
        <v>143</v>
      </c>
      <c r="G2" s="243"/>
      <c r="H2" s="242"/>
      <c r="I2" s="242"/>
      <c r="J2" s="243"/>
      <c r="K2" s="244"/>
      <c r="L2" s="76"/>
      <c r="M2" s="77"/>
      <c r="O2" s="313"/>
    </row>
    <row r="3" spans="2:36" x14ac:dyDescent="0.2">
      <c r="B3" s="89" t="s">
        <v>0</v>
      </c>
      <c r="C3" s="12"/>
      <c r="D3" s="84"/>
      <c r="E3" s="83" t="s">
        <v>117</v>
      </c>
      <c r="F3" s="85"/>
      <c r="G3" s="368"/>
      <c r="H3" s="84"/>
      <c r="I3" s="84"/>
      <c r="J3" s="86" t="s">
        <v>2</v>
      </c>
      <c r="K3" s="10"/>
      <c r="L3" s="76"/>
      <c r="M3" s="77"/>
      <c r="O3" s="315" t="s">
        <v>228</v>
      </c>
      <c r="P3" s="315" t="s">
        <v>229</v>
      </c>
      <c r="Q3" s="315" t="s">
        <v>230</v>
      </c>
      <c r="R3" s="315" t="s">
        <v>231</v>
      </c>
      <c r="S3" s="315" t="s">
        <v>232</v>
      </c>
      <c r="T3" s="315" t="s">
        <v>233</v>
      </c>
      <c r="U3" s="315" t="s">
        <v>234</v>
      </c>
      <c r="V3" s="315" t="s">
        <v>235</v>
      </c>
      <c r="W3" s="315" t="s">
        <v>236</v>
      </c>
      <c r="X3" s="315" t="s">
        <v>237</v>
      </c>
      <c r="Y3" s="315" t="s">
        <v>238</v>
      </c>
      <c r="AA3" t="s">
        <v>231</v>
      </c>
      <c r="AB3" t="s">
        <v>232</v>
      </c>
      <c r="AC3" t="s">
        <v>239</v>
      </c>
      <c r="AD3" t="s">
        <v>233</v>
      </c>
      <c r="AE3" t="s">
        <v>235</v>
      </c>
      <c r="AF3" t="s">
        <v>228</v>
      </c>
      <c r="AG3" t="s">
        <v>240</v>
      </c>
      <c r="AH3" t="s">
        <v>241</v>
      </c>
      <c r="AI3" t="s">
        <v>242</v>
      </c>
      <c r="AJ3" t="s">
        <v>243</v>
      </c>
    </row>
    <row r="4" spans="2:36" ht="13.5" thickBot="1" x14ac:dyDescent="0.25">
      <c r="B4" s="89" t="s">
        <v>1</v>
      </c>
      <c r="C4" s="13"/>
      <c r="D4" s="84"/>
      <c r="E4" s="83" t="s">
        <v>116</v>
      </c>
      <c r="F4" s="85"/>
      <c r="G4" s="323"/>
      <c r="H4" s="84"/>
      <c r="I4" s="84"/>
      <c r="J4" s="86" t="s">
        <v>3</v>
      </c>
      <c r="K4" s="11"/>
      <c r="L4" s="76"/>
      <c r="M4" s="77"/>
      <c r="O4" s="316" t="s">
        <v>0</v>
      </c>
      <c r="P4" s="317">
        <f t="shared" ref="P4:P37" ca="1" si="0">INDIRECT(Q4)</f>
        <v>0</v>
      </c>
      <c r="Q4" t="str">
        <f ca="1">CELL("address",C3)</f>
        <v>$C$3</v>
      </c>
      <c r="R4" t="s">
        <v>244</v>
      </c>
      <c r="S4" t="str">
        <f ca="1">SUBSTITUTE(config54Gy3F[[#This Row],[Cell]],"$","")</f>
        <v>C3</v>
      </c>
      <c r="T4" s="318" t="str">
        <f ca="1">VLOOKUP(CELL("format",INDIRECT(config54Gy3F[[#This Row],[Cell]])),FormatLookup[],2,FALSE)</f>
        <v>General</v>
      </c>
      <c r="U4" s="318" t="str">
        <f>VLOOKUP(R4,Definitions54Gy3F[],3,FALSE)</f>
        <v>@</v>
      </c>
      <c r="V4" s="319" t="str">
        <f>IF(ISBLANK(VLOOKUP(R4,Definitions54Gy3F[],5,FALSE)),"",VLOOKUP(R4,Definitions54Gy3F[],5,FALSE))</f>
        <v/>
      </c>
      <c r="W4" t="b">
        <f ca="1">EXACT(config54Gy3F[[#This Row],[Address]],VLOOKUP(config54Gy3F[[#This Row],[Name]],Definitions54Gy3F[],2,FALSE))</f>
        <v>1</v>
      </c>
      <c r="X4" s="319" t="str">
        <f ca="1">IF(EXACT(config54Gy3F[[#This Row],[Extracted Format]],config54Gy3F[[#This Row],[Expected Format]]),TRUE,IF(EXACT(config54Gy3F[[#This Row],[Expected Format]],"@"),"Check",FALSE))</f>
        <v>Check</v>
      </c>
      <c r="Y4" s="319" t="b">
        <f>IF(ISERROR(FIND(config54Gy3F[[#This Row],[Units]],config54Gy3F[[#This Row],[Label]])),"Check",TRUE)</f>
        <v>1</v>
      </c>
      <c r="AA4" t="s">
        <v>244</v>
      </c>
      <c r="AB4" t="s">
        <v>246</v>
      </c>
      <c r="AC4" s="318" t="s">
        <v>245</v>
      </c>
      <c r="AD4" s="318" t="s">
        <v>245</v>
      </c>
      <c r="AF4" t="s">
        <v>0</v>
      </c>
      <c r="AG4" t="s">
        <v>247</v>
      </c>
      <c r="AH4" t="s">
        <v>248</v>
      </c>
    </row>
    <row r="5" spans="2:36" x14ac:dyDescent="0.2">
      <c r="B5" s="87" t="s">
        <v>9</v>
      </c>
      <c r="C5" s="72"/>
      <c r="D5" s="72"/>
      <c r="E5" s="73"/>
      <c r="F5" s="73"/>
      <c r="G5" s="73"/>
      <c r="H5" s="72"/>
      <c r="I5" s="72"/>
      <c r="J5" s="73"/>
      <c r="K5" s="75"/>
      <c r="L5" s="76"/>
      <c r="M5" s="77"/>
      <c r="O5" s="316" t="s">
        <v>1</v>
      </c>
      <c r="P5" s="317">
        <f t="shared" ca="1" si="0"/>
        <v>0</v>
      </c>
      <c r="Q5" t="str">
        <f ca="1">CELL("address",C4)</f>
        <v>$C$4</v>
      </c>
      <c r="R5" t="s">
        <v>249</v>
      </c>
      <c r="S5" t="str">
        <f ca="1">SUBSTITUTE(config54Gy3F[[#This Row],[Cell]],"$","")</f>
        <v>C4</v>
      </c>
      <c r="T5" s="318" t="str">
        <f ca="1">VLOOKUP(CELL("format",INDIRECT(config54Gy3F[[#This Row],[Cell]])),FormatLookup[],2,FALSE)</f>
        <v>General</v>
      </c>
      <c r="U5" s="318" t="str">
        <f>VLOOKUP(R5,Definitions54Gy3F[],3,FALSE)</f>
        <v>@</v>
      </c>
      <c r="V5" s="319" t="str">
        <f>IF(ISBLANK(VLOOKUP(R5,Definitions54Gy3F[],5,FALSE)),"",VLOOKUP(R5,Definitions54Gy3F[],5,FALSE))</f>
        <v/>
      </c>
      <c r="W5" t="b">
        <f ca="1">EXACT(config54Gy3F[[#This Row],[Address]],VLOOKUP(config54Gy3F[[#This Row],[Name]],Definitions54Gy3F[],2,FALSE))</f>
        <v>1</v>
      </c>
      <c r="X5" s="319" t="str">
        <f ca="1">IF(EXACT(config54Gy3F[[#This Row],[Extracted Format]],config54Gy3F[[#This Row],[Expected Format]]),TRUE,IF(EXACT(config54Gy3F[[#This Row],[Expected Format]],"@"),"Check",FALSE))</f>
        <v>Check</v>
      </c>
      <c r="Y5" s="319" t="b">
        <f>IF(ISERROR(FIND(config54Gy3F[[#This Row],[Units]],config54Gy3F[[#This Row],[Label]])),"Check",TRUE)</f>
        <v>1</v>
      </c>
      <c r="AA5" t="s">
        <v>249</v>
      </c>
      <c r="AB5" t="s">
        <v>250</v>
      </c>
      <c r="AC5" s="318" t="s">
        <v>245</v>
      </c>
      <c r="AD5" s="318" t="s">
        <v>245</v>
      </c>
      <c r="AF5" t="s">
        <v>1</v>
      </c>
      <c r="AG5" t="s">
        <v>251</v>
      </c>
      <c r="AH5" t="s">
        <v>248</v>
      </c>
    </row>
    <row r="6" spans="2:36" x14ac:dyDescent="0.2">
      <c r="B6" s="82" t="s">
        <v>4</v>
      </c>
      <c r="C6" s="84"/>
      <c r="D6" s="84"/>
      <c r="E6" s="85"/>
      <c r="F6" s="343" t="s">
        <v>26</v>
      </c>
      <c r="G6" s="85"/>
      <c r="H6" s="84"/>
      <c r="I6" s="84"/>
      <c r="J6" s="85"/>
      <c r="K6" s="88"/>
      <c r="L6" s="76"/>
      <c r="M6" s="226"/>
      <c r="N6" s="227"/>
      <c r="O6" s="316" t="s">
        <v>2</v>
      </c>
      <c r="P6" s="317">
        <f t="shared" ca="1" si="0"/>
        <v>0</v>
      </c>
      <c r="Q6" t="str">
        <f ca="1">CELL("address",K3)</f>
        <v>$K$3</v>
      </c>
      <c r="R6" t="s">
        <v>252</v>
      </c>
      <c r="S6" t="str">
        <f ca="1">SUBSTITUTE(config54Gy3F[[#This Row],[Cell]],"$","")</f>
        <v>K3</v>
      </c>
      <c r="T6" s="318" t="str">
        <f ca="1">VLOOKUP(CELL("format",INDIRECT(config54Gy3F[[#This Row],[Cell]])),FormatLookup[],2,FALSE)</f>
        <v>General</v>
      </c>
      <c r="U6" s="318" t="str">
        <f>VLOOKUP(R6,Definitions54Gy3F[],3,FALSE)</f>
        <v>@</v>
      </c>
      <c r="V6" s="319" t="str">
        <f>IF(ISBLANK(VLOOKUP(R6,Definitions54Gy3F[],5,FALSE)),"",VLOOKUP(R6,Definitions54Gy3F[],5,FALSE))</f>
        <v/>
      </c>
      <c r="W6" t="b">
        <f ca="1">EXACT(config54Gy3F[[#This Row],[Address]],VLOOKUP(config54Gy3F[[#This Row],[Name]],Definitions54Gy3F[],2,FALSE))</f>
        <v>1</v>
      </c>
      <c r="X6" s="319" t="str">
        <f ca="1">IF(EXACT(config54Gy3F[[#This Row],[Extracted Format]],config54Gy3F[[#This Row],[Expected Format]]),TRUE,IF(EXACT(config54Gy3F[[#This Row],[Expected Format]],"@"),"Check",FALSE))</f>
        <v>Check</v>
      </c>
      <c r="Y6" s="319" t="b">
        <f>IF(ISERROR(FIND(config54Gy3F[[#This Row],[Units]],config54Gy3F[[#This Row],[Label]])),"Check",TRUE)</f>
        <v>1</v>
      </c>
      <c r="AA6" t="s">
        <v>252</v>
      </c>
      <c r="AB6" t="s">
        <v>253</v>
      </c>
      <c r="AC6" s="318" t="s">
        <v>245</v>
      </c>
      <c r="AD6" s="318" t="s">
        <v>245</v>
      </c>
      <c r="AF6" t="s">
        <v>2</v>
      </c>
      <c r="AG6" t="s">
        <v>254</v>
      </c>
      <c r="AH6" t="s">
        <v>248</v>
      </c>
    </row>
    <row r="7" spans="2:36" x14ac:dyDescent="0.2">
      <c r="B7" s="82" t="s">
        <v>5</v>
      </c>
      <c r="C7" s="84"/>
      <c r="D7" s="84"/>
      <c r="E7" s="85"/>
      <c r="F7" s="343"/>
      <c r="G7" s="85"/>
      <c r="H7" s="84"/>
      <c r="I7" s="84"/>
      <c r="J7" s="85"/>
      <c r="K7" s="88"/>
      <c r="L7" s="76"/>
      <c r="M7" s="226"/>
      <c r="N7" s="227"/>
      <c r="O7" s="316" t="s">
        <v>3</v>
      </c>
      <c r="P7" s="317">
        <f t="shared" ca="1" si="0"/>
        <v>0</v>
      </c>
      <c r="Q7" t="str">
        <f ca="1">CELL("address",K4)</f>
        <v>$K$4</v>
      </c>
      <c r="R7" t="s">
        <v>255</v>
      </c>
      <c r="S7" t="str">
        <f ca="1">SUBSTITUTE(config54Gy3F[[#This Row],[Cell]],"$","")</f>
        <v>K4</v>
      </c>
      <c r="T7" s="318" t="str">
        <f ca="1">VLOOKUP(CELL("format",INDIRECT(config54Gy3F[[#This Row],[Cell]])),FormatLookup[],2,FALSE)</f>
        <v>General</v>
      </c>
      <c r="U7" s="318" t="str">
        <f>VLOOKUP(R7,Definitions54Gy3F[],3,FALSE)</f>
        <v>@</v>
      </c>
      <c r="V7" s="319" t="str">
        <f>IF(ISBLANK(VLOOKUP(R7,Definitions54Gy3F[],5,FALSE)),"",VLOOKUP(R7,Definitions54Gy3F[],5,FALSE))</f>
        <v/>
      </c>
      <c r="W7" t="b">
        <f ca="1">EXACT(config54Gy3F[[#This Row],[Address]],VLOOKUP(config54Gy3F[[#This Row],[Name]],Definitions54Gy3F[],2,FALSE))</f>
        <v>1</v>
      </c>
      <c r="X7" s="319" t="str">
        <f ca="1">IF(EXACT(config54Gy3F[[#This Row],[Extracted Format]],config54Gy3F[[#This Row],[Expected Format]]),TRUE,IF(EXACT(config54Gy3F[[#This Row],[Expected Format]],"@"),"Check",FALSE))</f>
        <v>Check</v>
      </c>
      <c r="Y7" s="319" t="b">
        <f>IF(ISERROR(FIND(config54Gy3F[[#This Row],[Units]],config54Gy3F[[#This Row],[Label]])),"Check",TRUE)</f>
        <v>1</v>
      </c>
      <c r="AA7" t="s">
        <v>255</v>
      </c>
      <c r="AB7" t="s">
        <v>256</v>
      </c>
      <c r="AC7" s="318" t="s">
        <v>245</v>
      </c>
      <c r="AD7" s="318" t="s">
        <v>245</v>
      </c>
      <c r="AF7" t="s">
        <v>3</v>
      </c>
      <c r="AG7" t="s">
        <v>257</v>
      </c>
      <c r="AH7" t="s">
        <v>248</v>
      </c>
    </row>
    <row r="8" spans="2:36" x14ac:dyDescent="0.2">
      <c r="B8" s="82" t="s">
        <v>6</v>
      </c>
      <c r="C8" s="84"/>
      <c r="D8" s="84"/>
      <c r="E8" s="85"/>
      <c r="F8" s="342"/>
      <c r="G8" s="85"/>
      <c r="H8" s="84"/>
      <c r="I8" s="84"/>
      <c r="J8" s="85"/>
      <c r="K8" s="88"/>
      <c r="L8" s="76"/>
      <c r="M8" s="226"/>
      <c r="N8" s="227"/>
      <c r="O8" s="316" t="s">
        <v>117</v>
      </c>
      <c r="P8" s="317">
        <f t="shared" ca="1" si="0"/>
        <v>0</v>
      </c>
      <c r="Q8" t="str">
        <f ca="1">CELL("address",G3)</f>
        <v>$G$3</v>
      </c>
      <c r="R8" t="s">
        <v>258</v>
      </c>
      <c r="S8" t="str">
        <f ca="1">SUBSTITUTE(config54Gy3F[[#This Row],[Cell]],"$","")</f>
        <v>G3</v>
      </c>
      <c r="T8" s="318" t="str">
        <f ca="1">VLOOKUP(CELL("format",INDIRECT(config54Gy3F[[#This Row],[Cell]])),FormatLookup[],2,FALSE)</f>
        <v>0.0</v>
      </c>
      <c r="U8" s="318" t="str">
        <f>VLOOKUP(R8,Definitions54Gy3F[],3,FALSE)</f>
        <v>0.0</v>
      </c>
      <c r="V8" s="319" t="str">
        <f>IF(ISBLANK(VLOOKUP(R8,Definitions54Gy3F[],5,FALSE)),"",VLOOKUP(R8,Definitions54Gy3F[],5,FALSE))</f>
        <v>cGy</v>
      </c>
      <c r="W8" t="b">
        <f ca="1">EXACT(config54Gy3F[[#This Row],[Address]],VLOOKUP(config54Gy3F[[#This Row],[Name]],Definitions54Gy3F[],2,FALSE))</f>
        <v>1</v>
      </c>
      <c r="X8" s="319" t="b">
        <f ca="1">IF(EXACT(config54Gy3F[[#This Row],[Extracted Format]],config54Gy3F[[#This Row],[Expected Format]]),TRUE,IF(EXACT(config54Gy3F[[#This Row],[Expected Format]],"@"),"Check",FALSE))</f>
        <v>1</v>
      </c>
      <c r="Y8" s="319" t="b">
        <f>IF(ISERROR(FIND(config54Gy3F[[#This Row],[Units]],config54Gy3F[[#This Row],[Label]])),"Check",TRUE)</f>
        <v>1</v>
      </c>
      <c r="AA8" t="s">
        <v>258</v>
      </c>
      <c r="AB8" t="s">
        <v>259</v>
      </c>
      <c r="AC8" s="318" t="s">
        <v>188</v>
      </c>
      <c r="AD8" s="318" t="s">
        <v>188</v>
      </c>
      <c r="AE8" t="s">
        <v>260</v>
      </c>
      <c r="AF8" t="s">
        <v>117</v>
      </c>
      <c r="AG8" t="s">
        <v>261</v>
      </c>
      <c r="AH8" t="s">
        <v>248</v>
      </c>
    </row>
    <row r="9" spans="2:36" ht="13.5" thickBot="1" x14ac:dyDescent="0.25">
      <c r="B9" s="78" t="s">
        <v>7</v>
      </c>
      <c r="C9" s="79"/>
      <c r="D9" s="79"/>
      <c r="E9" s="80"/>
      <c r="F9" s="325"/>
      <c r="G9" s="80"/>
      <c r="H9" s="79"/>
      <c r="I9" s="79"/>
      <c r="J9" s="80"/>
      <c r="K9" s="81"/>
      <c r="L9" s="76"/>
      <c r="M9" s="77"/>
      <c r="O9" s="316" t="s">
        <v>116</v>
      </c>
      <c r="P9" s="317">
        <f t="shared" ca="1" si="0"/>
        <v>0</v>
      </c>
      <c r="Q9" t="str">
        <f ca="1">CELL("address",G4)</f>
        <v>$G$4</v>
      </c>
      <c r="R9" t="s">
        <v>262</v>
      </c>
      <c r="S9" t="str">
        <f ca="1">SUBSTITUTE(config54Gy3F[[#This Row],[Cell]],"$","")</f>
        <v>G4</v>
      </c>
      <c r="T9" s="318">
        <f ca="1">VLOOKUP(CELL("format",INDIRECT(config54Gy3F[[#This Row],[Cell]])),FormatLookup[],2,FALSE)</f>
        <v>0</v>
      </c>
      <c r="U9" s="318" t="str">
        <f>VLOOKUP(R9,Definitions54Gy3F[],3,FALSE)</f>
        <v>0</v>
      </c>
      <c r="V9" s="319" t="str">
        <f>IF(ISBLANK(VLOOKUP(R9,Definitions54Gy3F[],5,FALSE)),"",VLOOKUP(R9,Definitions54Gy3F[],5,FALSE))</f>
        <v/>
      </c>
      <c r="W9" t="b">
        <f ca="1">EXACT(config54Gy3F[[#This Row],[Address]],VLOOKUP(config54Gy3F[[#This Row],[Name]],Definitions54Gy3F[],2,FALSE))</f>
        <v>1</v>
      </c>
      <c r="X9" s="319" t="b">
        <f ca="1">IF(EXACT(config54Gy3F[[#This Row],[Extracted Format]],config54Gy3F[[#This Row],[Expected Format]]),TRUE,IF(EXACT(config54Gy3F[[#This Row],[Expected Format]],"@"),"Check",FALSE))</f>
        <v>1</v>
      </c>
      <c r="Y9" s="319" t="b">
        <f>IF(ISERROR(FIND(config54Gy3F[[#This Row],[Units]],config54Gy3F[[#This Row],[Label]])),"Check",TRUE)</f>
        <v>1</v>
      </c>
      <c r="AA9" s="3" t="s">
        <v>262</v>
      </c>
      <c r="AB9" t="s">
        <v>263</v>
      </c>
      <c r="AC9" s="318" t="s">
        <v>264</v>
      </c>
      <c r="AD9" s="318" t="s">
        <v>264</v>
      </c>
      <c r="AF9" t="s">
        <v>116</v>
      </c>
      <c r="AH9" t="s">
        <v>248</v>
      </c>
    </row>
    <row r="10" spans="2:36" x14ac:dyDescent="0.2">
      <c r="B10" s="87" t="s">
        <v>8</v>
      </c>
      <c r="C10" s="72"/>
      <c r="E10" s="253"/>
      <c r="F10" s="155" t="s">
        <v>28</v>
      </c>
      <c r="G10" s="156"/>
      <c r="H10" s="100" t="s">
        <v>26</v>
      </c>
      <c r="I10" s="72"/>
      <c r="J10" s="157" t="s">
        <v>26</v>
      </c>
      <c r="K10" s="158" t="s">
        <v>26</v>
      </c>
      <c r="L10" s="76"/>
      <c r="M10" s="77"/>
      <c r="O10" s="316" t="s">
        <v>4</v>
      </c>
      <c r="P10" s="317" t="str">
        <f t="shared" ca="1" si="0"/>
        <v xml:space="preserve"> </v>
      </c>
      <c r="Q10" t="str">
        <f ca="1">CELL("address",F6)</f>
        <v>$F$6</v>
      </c>
      <c r="R10" t="s">
        <v>265</v>
      </c>
      <c r="S10" t="str">
        <f ca="1">SUBSTITUTE(config54Gy3F[[#This Row],[Cell]],"$","")</f>
        <v>F6</v>
      </c>
      <c r="T10" s="318" t="str">
        <f ca="1">VLOOKUP(CELL("format",INDIRECT(config54Gy3F[[#This Row],[Cell]])),FormatLookup[],2,FALSE)</f>
        <v>0.00</v>
      </c>
      <c r="U10" s="318" t="str">
        <f>VLOOKUP(R10,Definitions54Gy3F[],3,FALSE)</f>
        <v>0.00</v>
      </c>
      <c r="V10" s="319" t="str">
        <f>IF(ISBLANK(VLOOKUP(R10,Definitions54Gy3F[],5,FALSE)),"",VLOOKUP(R10,Definitions54Gy3F[],5,FALSE))</f>
        <v>cc</v>
      </c>
      <c r="W10" t="b">
        <f ca="1">EXACT(config54Gy3F[[#This Row],[Address]],VLOOKUP(config54Gy3F[[#This Row],[Name]],Definitions54Gy3F[],2,FALSE))</f>
        <v>1</v>
      </c>
      <c r="X10" s="319" t="b">
        <f ca="1">IF(EXACT(config54Gy3F[[#This Row],[Extracted Format]],config54Gy3F[[#This Row],[Expected Format]]),TRUE,IF(EXACT(config54Gy3F[[#This Row],[Expected Format]],"@"),"Check",FALSE))</f>
        <v>1</v>
      </c>
      <c r="Y10" s="319" t="b">
        <f>IF(ISERROR(FIND(config54Gy3F[[#This Row],[Units]],config54Gy3F[[#This Row],[Label]])),"Check",TRUE)</f>
        <v>1</v>
      </c>
      <c r="AA10" t="s">
        <v>265</v>
      </c>
      <c r="AB10" t="s">
        <v>266</v>
      </c>
      <c r="AC10" s="318" t="s">
        <v>190</v>
      </c>
      <c r="AD10" s="318" t="s">
        <v>190</v>
      </c>
      <c r="AE10" t="s">
        <v>267</v>
      </c>
      <c r="AF10" t="s">
        <v>4</v>
      </c>
      <c r="AG10" t="s">
        <v>268</v>
      </c>
      <c r="AH10" t="s">
        <v>269</v>
      </c>
      <c r="AJ10" t="s">
        <v>29</v>
      </c>
    </row>
    <row r="11" spans="2:36" x14ac:dyDescent="0.2">
      <c r="B11" s="124"/>
      <c r="C11" s="91"/>
      <c r="D11" s="91"/>
      <c r="E11" s="91"/>
      <c r="F11" s="92" t="s">
        <v>124</v>
      </c>
      <c r="G11" s="93" t="s">
        <v>128</v>
      </c>
      <c r="H11" s="94" t="s">
        <v>19</v>
      </c>
      <c r="I11" s="91"/>
      <c r="J11" s="92" t="s">
        <v>18</v>
      </c>
      <c r="K11" s="95" t="s">
        <v>11</v>
      </c>
      <c r="L11" s="96" t="s">
        <v>30</v>
      </c>
      <c r="M11" s="77"/>
      <c r="O11" s="316" t="s">
        <v>5</v>
      </c>
      <c r="P11" s="317">
        <f t="shared" ca="1" si="0"/>
        <v>0</v>
      </c>
      <c r="Q11" t="str">
        <f ca="1">CELL("address",F7)</f>
        <v>$F$7</v>
      </c>
      <c r="R11" t="s">
        <v>270</v>
      </c>
      <c r="S11" t="str">
        <f ca="1">SUBSTITUTE(config54Gy3F[[#This Row],[Cell]],"$","")</f>
        <v>F7</v>
      </c>
      <c r="T11" s="318" t="str">
        <f ca="1">VLOOKUP(CELL("format",INDIRECT(config54Gy3F[[#This Row],[Cell]])),FormatLookup[],2,FALSE)</f>
        <v>0.00</v>
      </c>
      <c r="U11" s="318" t="str">
        <f>VLOOKUP(R11,Definitions54Gy3F[],3,FALSE)</f>
        <v>0.00</v>
      </c>
      <c r="V11" s="319" t="str">
        <f>IF(ISBLANK(VLOOKUP(R11,Definitions54Gy3F[],5,FALSE)),"",VLOOKUP(R11,Definitions54Gy3F[],5,FALSE))</f>
        <v>cc</v>
      </c>
      <c r="W11" t="b">
        <f ca="1">EXACT(config54Gy3F[[#This Row],[Address]],VLOOKUP(config54Gy3F[[#This Row],[Name]],Definitions54Gy3F[],2,FALSE))</f>
        <v>1</v>
      </c>
      <c r="X11" s="319" t="b">
        <f ca="1">IF(EXACT(config54Gy3F[[#This Row],[Extracted Format]],config54Gy3F[[#This Row],[Expected Format]]),TRUE,IF(EXACT(config54Gy3F[[#This Row],[Expected Format]],"@"),"Check",FALSE))</f>
        <v>1</v>
      </c>
      <c r="Y11" s="319" t="b">
        <f>IF(ISERROR(FIND(config54Gy3F[[#This Row],[Units]],config54Gy3F[[#This Row],[Label]])),"Check",TRUE)</f>
        <v>1</v>
      </c>
      <c r="AA11" t="s">
        <v>270</v>
      </c>
      <c r="AB11" t="s">
        <v>271</v>
      </c>
      <c r="AC11" s="318" t="s">
        <v>190</v>
      </c>
      <c r="AD11" s="318" t="s">
        <v>190</v>
      </c>
      <c r="AE11" t="s">
        <v>267</v>
      </c>
      <c r="AF11" t="s">
        <v>5</v>
      </c>
      <c r="AG11" t="s">
        <v>272</v>
      </c>
      <c r="AH11" t="s">
        <v>269</v>
      </c>
      <c r="AJ11" t="s">
        <v>29</v>
      </c>
    </row>
    <row r="12" spans="2:36" x14ac:dyDescent="0.2">
      <c r="B12" s="82"/>
      <c r="C12" s="84"/>
      <c r="D12" s="84"/>
      <c r="E12" s="85"/>
      <c r="F12" s="187" t="s">
        <v>125</v>
      </c>
      <c r="G12" s="90"/>
      <c r="H12" s="83"/>
      <c r="I12" s="84"/>
      <c r="J12" s="97" t="s">
        <v>17</v>
      </c>
      <c r="K12" s="88"/>
      <c r="L12" s="76"/>
      <c r="M12" s="77"/>
      <c r="O12" s="316" t="s">
        <v>6</v>
      </c>
      <c r="P12" s="317">
        <f t="shared" ca="1" si="0"/>
        <v>0</v>
      </c>
      <c r="Q12" t="str">
        <f ca="1">CELL("address",F8)</f>
        <v>$F$8</v>
      </c>
      <c r="R12" t="s">
        <v>273</v>
      </c>
      <c r="S12" t="str">
        <f ca="1">SUBSTITUTE(config54Gy3F[[#This Row],[Cell]],"$","")</f>
        <v>F8</v>
      </c>
      <c r="T12" s="318" t="str">
        <f ca="1">VLOOKUP(CELL("format",INDIRECT(config54Gy3F[[#This Row],[Cell]])),FormatLookup[],2,FALSE)</f>
        <v>0.00</v>
      </c>
      <c r="U12" s="318" t="str">
        <f>VLOOKUP(R12,Definitions54Gy3F[],3,FALSE)</f>
        <v>0.00</v>
      </c>
      <c r="V12" s="319" t="str">
        <f>IF(ISBLANK(VLOOKUP(R12,Definitions54Gy3F[],5,FALSE)),"",VLOOKUP(R12,Definitions54Gy3F[],5,FALSE))</f>
        <v>cc</v>
      </c>
      <c r="W12" t="b">
        <f ca="1">EXACT(config54Gy3F[[#This Row],[Address]],VLOOKUP(config54Gy3F[[#This Row],[Name]],Definitions54Gy3F[],2,FALSE))</f>
        <v>1</v>
      </c>
      <c r="X12" s="319" t="b">
        <f ca="1">IF(EXACT(config54Gy3F[[#This Row],[Extracted Format]],config54Gy3F[[#This Row],[Expected Format]]),TRUE,IF(EXACT(config54Gy3F[[#This Row],[Expected Format]],"@"),"Check",FALSE))</f>
        <v>1</v>
      </c>
      <c r="Y12" s="319" t="b">
        <f>IF(ISERROR(FIND(config54Gy3F[[#This Row],[Units]],config54Gy3F[[#This Row],[Label]])),"Check",TRUE)</f>
        <v>1</v>
      </c>
      <c r="AA12" t="s">
        <v>273</v>
      </c>
      <c r="AB12" t="s">
        <v>274</v>
      </c>
      <c r="AC12" s="318" t="s">
        <v>190</v>
      </c>
      <c r="AD12" s="318" t="s">
        <v>190</v>
      </c>
      <c r="AE12" t="s">
        <v>267</v>
      </c>
      <c r="AF12" t="s">
        <v>6</v>
      </c>
      <c r="AG12" t="s">
        <v>275</v>
      </c>
      <c r="AH12" t="s">
        <v>269</v>
      </c>
      <c r="AJ12" t="s">
        <v>29</v>
      </c>
    </row>
    <row r="13" spans="2:36" x14ac:dyDescent="0.2">
      <c r="B13" s="124" t="s">
        <v>31</v>
      </c>
      <c r="C13" s="91"/>
      <c r="D13" s="91"/>
      <c r="E13" s="98"/>
      <c r="F13" s="344" t="s">
        <v>46</v>
      </c>
      <c r="G13" s="210"/>
      <c r="H13" s="163" t="b">
        <f>AND((G13&gt;59.99%),(G13&lt;95.01%))</f>
        <v>0</v>
      </c>
      <c r="I13" s="91"/>
      <c r="J13" s="161" t="s">
        <v>112</v>
      </c>
      <c r="K13" s="5" t="str">
        <f>IF(F13="??","??",IF((AND((F13&gt;59.99%),(F13&lt;95.01%))),"Yes", "No"))</f>
        <v>??</v>
      </c>
      <c r="L13" s="76" t="s">
        <v>137</v>
      </c>
      <c r="M13" s="77"/>
      <c r="O13" s="316" t="s">
        <v>7</v>
      </c>
      <c r="P13" s="317">
        <f t="shared" ca="1" si="0"/>
        <v>0</v>
      </c>
      <c r="Q13" t="str">
        <f ca="1">CELL("address",F9)</f>
        <v>$F$9</v>
      </c>
      <c r="R13" t="s">
        <v>477</v>
      </c>
      <c r="S13" t="str">
        <f ca="1">SUBSTITUTE(config54Gy3F[[#This Row],[Cell]],"$","")</f>
        <v>F9</v>
      </c>
      <c r="T13" s="318" t="str">
        <f ca="1">VLOOKUP(CELL("format",INDIRECT(config54Gy3F[[#This Row],[Cell]])),FormatLookup[],2,FALSE)</f>
        <v>0.00</v>
      </c>
      <c r="U13" s="318" t="str">
        <f>VLOOKUP(R13,Definitions54Gy3F[],3,FALSE)</f>
        <v>0.00</v>
      </c>
      <c r="V13" s="319" t="str">
        <f>IF(ISBLANK(VLOOKUP(R13,Definitions54Gy3F[],5,FALSE)),"",VLOOKUP(R13,Definitions54Gy3F[],5,FALSE))</f>
        <v>cc</v>
      </c>
      <c r="W13" t="b">
        <f ca="1">EXACT(config54Gy3F[[#This Row],[Address]],VLOOKUP(config54Gy3F[[#This Row],[Name]],Definitions54Gy3F[],2,FALSE))</f>
        <v>1</v>
      </c>
      <c r="X13" s="319" t="b">
        <f ca="1">IF(EXACT(config54Gy3F[[#This Row],[Extracted Format]],config54Gy3F[[#This Row],[Expected Format]]),TRUE,IF(EXACT(config54Gy3F[[#This Row],[Expected Format]],"@"),"Check",FALSE))</f>
        <v>1</v>
      </c>
      <c r="Y13" s="319" t="b">
        <f>IF(ISERROR(FIND(config54Gy3F[[#This Row],[Units]],config54Gy3F[[#This Row],[Label]])),"Check",TRUE)</f>
        <v>1</v>
      </c>
      <c r="AA13" t="s">
        <v>477</v>
      </c>
      <c r="AB13" t="s">
        <v>277</v>
      </c>
      <c r="AC13" s="318" t="s">
        <v>190</v>
      </c>
      <c r="AD13" s="318" t="s">
        <v>190</v>
      </c>
      <c r="AE13" t="s">
        <v>267</v>
      </c>
      <c r="AF13" t="s">
        <v>7</v>
      </c>
      <c r="AG13" t="s">
        <v>141</v>
      </c>
      <c r="AH13" t="s">
        <v>269</v>
      </c>
      <c r="AI13" t="s">
        <v>278</v>
      </c>
      <c r="AJ13" t="s">
        <v>29</v>
      </c>
    </row>
    <row r="14" spans="2:36" ht="13.5" thickBot="1" x14ac:dyDescent="0.25">
      <c r="B14" s="124"/>
      <c r="C14" s="91"/>
      <c r="D14" s="91"/>
      <c r="E14" s="98"/>
      <c r="F14" s="212"/>
      <c r="G14" s="162"/>
      <c r="H14" s="163"/>
      <c r="I14" s="91"/>
      <c r="J14" s="99"/>
      <c r="K14" s="5"/>
      <c r="L14" s="76"/>
      <c r="M14" s="77"/>
      <c r="O14" s="316" t="s">
        <v>31</v>
      </c>
      <c r="P14" s="317" t="str">
        <f t="shared" ca="1" si="0"/>
        <v>??</v>
      </c>
      <c r="Q14" t="str">
        <f ca="1">CELL("address",F13)</f>
        <v>$F$13</v>
      </c>
      <c r="R14" t="s">
        <v>279</v>
      </c>
      <c r="S14" t="str">
        <f ca="1">SUBSTITUTE(config54Gy3F[[#This Row],[Cell]],"$","")</f>
        <v>F13</v>
      </c>
      <c r="T14" s="318" t="str">
        <f ca="1">VLOOKUP(CELL("format",INDIRECT(config54Gy3F[[#This Row],[Cell]])),FormatLookup[],2,FALSE)</f>
        <v>0.0%</v>
      </c>
      <c r="U14" s="318" t="str">
        <f>VLOOKUP(R14,Definitions54Gy3F[],3,FALSE)</f>
        <v>0.0%</v>
      </c>
      <c r="V14" s="319" t="str">
        <f>IF(ISBLANK(VLOOKUP(R14,Definitions54Gy3F[],5,FALSE)),"",VLOOKUP(R14,Definitions54Gy3F[],5,FALSE))</f>
        <v>%</v>
      </c>
      <c r="W14" t="b">
        <f ca="1">EXACT(config54Gy3F[[#This Row],[Address]],VLOOKUP(config54Gy3F[[#This Row],[Name]],Definitions54Gy3F[],2,FALSE))</f>
        <v>1</v>
      </c>
      <c r="X14" s="319" t="b">
        <f ca="1">IF(EXACT(config54Gy3F[[#This Row],[Extracted Format]],config54Gy3F[[#This Row],[Expected Format]]),TRUE,IF(EXACT(config54Gy3F[[#This Row],[Expected Format]],"@"),"Check",FALSE))</f>
        <v>1</v>
      </c>
      <c r="Y14" s="319" t="b">
        <f>IF(ISERROR(FIND(config54Gy3F[[#This Row],[Units]],config54Gy3F[[#This Row],[Label]])),"Check",TRUE)</f>
        <v>1</v>
      </c>
      <c r="AA14" t="s">
        <v>279</v>
      </c>
      <c r="AB14" t="s">
        <v>280</v>
      </c>
      <c r="AC14" s="318" t="s">
        <v>204</v>
      </c>
      <c r="AD14" s="318" t="s">
        <v>204</v>
      </c>
      <c r="AE14" t="s">
        <v>281</v>
      </c>
      <c r="AF14" t="s">
        <v>31</v>
      </c>
      <c r="AH14" t="s">
        <v>248</v>
      </c>
    </row>
    <row r="15" spans="2:36" x14ac:dyDescent="0.2">
      <c r="B15" s="288" t="s">
        <v>21</v>
      </c>
      <c r="C15" s="219"/>
      <c r="D15" s="219"/>
      <c r="E15" s="289"/>
      <c r="F15" s="359"/>
      <c r="G15" s="291"/>
      <c r="H15" s="292"/>
      <c r="I15" s="219"/>
      <c r="J15" s="291"/>
      <c r="K15" s="293"/>
      <c r="L15" s="76"/>
      <c r="M15" s="77"/>
      <c r="O15" s="316" t="s">
        <v>282</v>
      </c>
      <c r="P15" s="317" t="str">
        <f t="shared" ca="1" si="0"/>
        <v>??</v>
      </c>
      <c r="Q15" t="str">
        <f ca="1">CELL("address",F16)</f>
        <v>$F$16</v>
      </c>
      <c r="R15" t="s">
        <v>283</v>
      </c>
      <c r="S15" t="str">
        <f ca="1">SUBSTITUTE(config54Gy3F[[#This Row],[Cell]],"$","")</f>
        <v>F16</v>
      </c>
      <c r="T15" s="318" t="str">
        <f ca="1">VLOOKUP(CELL("format",INDIRECT(config54Gy3F[[#This Row],[Cell]])),FormatLookup[],2,FALSE)</f>
        <v>0.0%</v>
      </c>
      <c r="U15" s="318" t="str">
        <f>VLOOKUP(R15,Definitions54Gy3F[],3,FALSE)</f>
        <v>0.0%</v>
      </c>
      <c r="V15" s="319" t="str">
        <f>IF(ISBLANK(VLOOKUP(R15,Definitions54Gy3F[],5,FALSE)),"",VLOOKUP(R15,Definitions54Gy3F[],5,FALSE))</f>
        <v>%</v>
      </c>
      <c r="W15" t="b">
        <f ca="1">EXACT(config54Gy3F[[#This Row],[Address]],VLOOKUP(config54Gy3F[[#This Row],[Name]],Definitions54Gy3F[],2,FALSE))</f>
        <v>1</v>
      </c>
      <c r="X15" s="319" t="b">
        <f ca="1">IF(EXACT(config54Gy3F[[#This Row],[Extracted Format]],config54Gy3F[[#This Row],[Expected Format]]),TRUE,IF(EXACT(config54Gy3F[[#This Row],[Expected Format]],"@"),"Check",FALSE))</f>
        <v>1</v>
      </c>
      <c r="Y15" s="319" t="b">
        <f>IF(ISERROR(FIND(config54Gy3F[[#This Row],[Units]],config54Gy3F[[#This Row],[Label]])),"Check",TRUE)</f>
        <v>1</v>
      </c>
      <c r="AA15" t="s">
        <v>289</v>
      </c>
      <c r="AB15" t="s">
        <v>292</v>
      </c>
      <c r="AC15" s="318" t="s">
        <v>204</v>
      </c>
      <c r="AD15" s="318" t="s">
        <v>204</v>
      </c>
      <c r="AE15" t="s">
        <v>281</v>
      </c>
      <c r="AF15" t="s">
        <v>288</v>
      </c>
      <c r="AG15" t="s">
        <v>275</v>
      </c>
      <c r="AH15" t="s">
        <v>269</v>
      </c>
      <c r="AJ15" t="s">
        <v>443</v>
      </c>
    </row>
    <row r="16" spans="2:36" x14ac:dyDescent="0.2">
      <c r="B16" s="148" t="s">
        <v>171</v>
      </c>
      <c r="C16" s="84"/>
      <c r="D16" s="84"/>
      <c r="E16" s="85"/>
      <c r="F16" s="346" t="s">
        <v>46</v>
      </c>
      <c r="G16" s="286"/>
      <c r="H16" s="120"/>
      <c r="I16" s="120"/>
      <c r="J16" s="287">
        <v>0.95</v>
      </c>
      <c r="K16" s="217" t="str">
        <f>IF(F16="??","??",(IF(F16&gt;=95%,"Yes","No")))</f>
        <v>??</v>
      </c>
      <c r="L16" s="76"/>
      <c r="M16" s="77"/>
      <c r="O16" s="316" t="s">
        <v>288</v>
      </c>
      <c r="P16" s="317" t="str">
        <f t="shared" ca="1" si="0"/>
        <v>??</v>
      </c>
      <c r="Q16" t="str">
        <f ca="1">CELL("address",F17)</f>
        <v>$F$17</v>
      </c>
      <c r="R16" t="s">
        <v>289</v>
      </c>
      <c r="S16" t="str">
        <f ca="1">SUBSTITUTE(config54Gy3F[[#This Row],[Cell]],"$","")</f>
        <v>F17</v>
      </c>
      <c r="T16" s="318" t="str">
        <f ca="1">VLOOKUP(CELL("format",INDIRECT(config54Gy3F[[#This Row],[Cell]])),FormatLookup[],2,FALSE)</f>
        <v>0.0%</v>
      </c>
      <c r="U16" s="318" t="str">
        <f>VLOOKUP(R16,Definitions54Gy3F[],3,FALSE)</f>
        <v>0.0%</v>
      </c>
      <c r="V16" s="319" t="str">
        <f>IF(ISBLANK(VLOOKUP(R16,Definitions54Gy3F[],5,FALSE)),"",VLOOKUP(R16,Definitions54Gy3F[],5,FALSE))</f>
        <v>%</v>
      </c>
      <c r="W16" t="b">
        <f ca="1">EXACT(config54Gy3F[[#This Row],[Address]],VLOOKUP(config54Gy3F[[#This Row],[Name]],Definitions54Gy3F[],2,FALSE))</f>
        <v>1</v>
      </c>
      <c r="X16" s="319" t="b">
        <f ca="1">IF(EXACT(config54Gy3F[[#This Row],[Extracted Format]],config54Gy3F[[#This Row],[Expected Format]]),TRUE,IF(EXACT(config54Gy3F[[#This Row],[Expected Format]],"@"),"Check",FALSE))</f>
        <v>1</v>
      </c>
      <c r="Y16" s="319" t="b">
        <f>IF(ISERROR(FIND(config54Gy3F[[#This Row],[Units]],config54Gy3F[[#This Row],[Label]])),"Check",TRUE)</f>
        <v>1</v>
      </c>
      <c r="AA16" t="s">
        <v>283</v>
      </c>
      <c r="AB16" t="s">
        <v>290</v>
      </c>
      <c r="AC16" s="318" t="s">
        <v>204</v>
      </c>
      <c r="AD16" s="318" t="s">
        <v>204</v>
      </c>
      <c r="AE16" t="s">
        <v>281</v>
      </c>
      <c r="AF16" t="s">
        <v>282</v>
      </c>
      <c r="AG16" t="s">
        <v>275</v>
      </c>
      <c r="AH16" t="s">
        <v>269</v>
      </c>
      <c r="AJ16" t="s">
        <v>441</v>
      </c>
    </row>
    <row r="17" spans="2:36" x14ac:dyDescent="0.2">
      <c r="B17" s="148" t="s">
        <v>172</v>
      </c>
      <c r="C17" s="84"/>
      <c r="D17" s="84"/>
      <c r="E17" s="85"/>
      <c r="F17" s="360" t="s">
        <v>46</v>
      </c>
      <c r="G17" s="278"/>
      <c r="H17" s="280"/>
      <c r="I17" s="84"/>
      <c r="J17" s="279">
        <v>0.99</v>
      </c>
      <c r="K17" s="284" t="str">
        <f>IF(F17="??","??",(IF(F17&gt;=99%,"Yes","No")))</f>
        <v>??</v>
      </c>
      <c r="L17" s="77" t="s">
        <v>108</v>
      </c>
      <c r="M17" s="77"/>
      <c r="O17" s="316" t="s">
        <v>286</v>
      </c>
      <c r="P17" s="317" t="str">
        <f t="shared" ca="1" si="0"/>
        <v>??</v>
      </c>
      <c r="Q17" t="str">
        <f ca="1">CELL("address",F18)</f>
        <v>$F$18</v>
      </c>
      <c r="R17" t="s">
        <v>284</v>
      </c>
      <c r="S17" t="str">
        <f ca="1">SUBSTITUTE(config54Gy3F[[#This Row],[Cell]],"$","")</f>
        <v>F18</v>
      </c>
      <c r="T17" s="318" t="str">
        <f ca="1">VLOOKUP(CELL("format",INDIRECT(config54Gy3F[[#This Row],[Cell]])),FormatLookup[],2,FALSE)</f>
        <v>0.0%</v>
      </c>
      <c r="U17" s="318" t="s">
        <v>204</v>
      </c>
      <c r="V17" s="319" t="str">
        <f>IF(ISBLANK(VLOOKUP(R17,Definitions54Gy3F[],5,FALSE)),"",VLOOKUP(R17,Definitions54Gy3F[],5,FALSE))</f>
        <v>%</v>
      </c>
      <c r="W17" t="b">
        <f ca="1">EXACT(config54Gy3F[[#This Row],[Address]],VLOOKUP(config54Gy3F[[#This Row],[Name]],Definitions54Gy3F[],2,FALSE))</f>
        <v>1</v>
      </c>
      <c r="X17" s="319" t="b">
        <f ca="1">IF(EXACT(config54Gy3F[[#This Row],[Extracted Format]],config54Gy3F[[#This Row],[Expected Format]]),TRUE,IF(EXACT(config54Gy3F[[#This Row],[Expected Format]],"@"),"Check",FALSE))</f>
        <v>1</v>
      </c>
      <c r="Y17" s="319" t="b">
        <f>IF(ISERROR(FIND(config54Gy3F[[#This Row],[Units]],config54Gy3F[[#This Row],[Label]])),"Check",TRUE)</f>
        <v>1</v>
      </c>
      <c r="AA17" t="s">
        <v>284</v>
      </c>
      <c r="AB17" t="s">
        <v>285</v>
      </c>
      <c r="AC17" s="318" t="s">
        <v>204</v>
      </c>
      <c r="AD17" s="318" t="s">
        <v>204</v>
      </c>
      <c r="AE17" t="s">
        <v>281</v>
      </c>
      <c r="AF17" t="s">
        <v>442</v>
      </c>
      <c r="AG17" t="s">
        <v>275</v>
      </c>
      <c r="AH17" t="s">
        <v>269</v>
      </c>
      <c r="AJ17" t="s">
        <v>287</v>
      </c>
    </row>
    <row r="18" spans="2:36" ht="13.5" thickBot="1" x14ac:dyDescent="0.25">
      <c r="B18" s="233" t="s">
        <v>173</v>
      </c>
      <c r="C18" s="79"/>
      <c r="D18" s="79"/>
      <c r="E18" s="306"/>
      <c r="F18" s="361" t="s">
        <v>46</v>
      </c>
      <c r="G18" s="303"/>
      <c r="H18" s="304" t="b">
        <f>AND((G18&gt;59.99%),(G18&lt;95.01%))</f>
        <v>0</v>
      </c>
      <c r="I18" s="302"/>
      <c r="J18" s="305" t="s">
        <v>169</v>
      </c>
      <c r="K18" s="232" t="str">
        <f>IF(F18="??","??",IF((AND((F18&gt;=111%),(F18&lt;=140%))),"Yes", "No"))</f>
        <v>??</v>
      </c>
      <c r="L18" s="77" t="s">
        <v>109</v>
      </c>
      <c r="M18" s="77"/>
      <c r="O18" s="316" t="s">
        <v>294</v>
      </c>
      <c r="P18" s="317" t="str">
        <f t="shared" ca="1" si="0"/>
        <v>??</v>
      </c>
      <c r="Q18" t="str">
        <f ca="1">CELL("address",F20)</f>
        <v>$F$20</v>
      </c>
      <c r="R18" t="s">
        <v>295</v>
      </c>
      <c r="S18" t="str">
        <f ca="1">SUBSTITUTE(config54Gy3F[[#This Row],[Cell]],"$","")</f>
        <v>F20</v>
      </c>
      <c r="T18" s="318" t="str">
        <f ca="1">VLOOKUP(CELL("format",INDIRECT(config54Gy3F[[#This Row],[Cell]])),FormatLookup[],2,FALSE)</f>
        <v>0.00</v>
      </c>
      <c r="U18" s="318" t="str">
        <f>VLOOKUP(R18,Definitions54Gy3F[],3,FALSE)</f>
        <v>0.00</v>
      </c>
      <c r="V18" s="319" t="str">
        <f>IF(ISBLANK(VLOOKUP(R18,Definitions54Gy3F[],5,FALSE)),"",VLOOKUP(R18,Definitions54Gy3F[],5,FALSE))</f>
        <v>cc</v>
      </c>
      <c r="W18" t="b">
        <f ca="1">EXACT(config54Gy3F[[#This Row],[Address]],VLOOKUP(config54Gy3F[[#This Row],[Name]],Definitions54Gy3F[],2,FALSE))</f>
        <v>1</v>
      </c>
      <c r="X18" s="319" t="b">
        <f ca="1">IF(EXACT(config54Gy3F[[#This Row],[Extracted Format]],config54Gy3F[[#This Row],[Expected Format]]),TRUE,IF(EXACT(config54Gy3F[[#This Row],[Expected Format]],"@"),"Check",FALSE))</f>
        <v>1</v>
      </c>
      <c r="Y18" s="319" t="b">
        <f>IF(ISERROR(FIND(config54Gy3F[[#This Row],[Units]],config54Gy3F[[#This Row],[Label]])),"Check",TRUE)</f>
        <v>1</v>
      </c>
      <c r="AA18" t="s">
        <v>295</v>
      </c>
      <c r="AB18" t="s">
        <v>296</v>
      </c>
      <c r="AC18" s="318" t="s">
        <v>190</v>
      </c>
      <c r="AD18" s="318" t="s">
        <v>190</v>
      </c>
      <c r="AE18" t="s">
        <v>267</v>
      </c>
      <c r="AF18" t="s">
        <v>297</v>
      </c>
      <c r="AG18" t="s">
        <v>298</v>
      </c>
      <c r="AH18" t="s">
        <v>269</v>
      </c>
      <c r="AJ18" t="s">
        <v>29</v>
      </c>
    </row>
    <row r="19" spans="2:36" x14ac:dyDescent="0.2">
      <c r="B19" s="89" t="s">
        <v>177</v>
      </c>
      <c r="C19" s="84"/>
      <c r="D19" s="84"/>
      <c r="E19" s="291"/>
      <c r="F19" s="291"/>
      <c r="G19" s="294"/>
      <c r="H19" s="219"/>
      <c r="I19" s="219"/>
      <c r="J19" s="277"/>
      <c r="K19" s="293"/>
      <c r="L19" s="76"/>
      <c r="M19" s="77"/>
      <c r="O19" s="316" t="s">
        <v>299</v>
      </c>
      <c r="P19" s="317" t="str">
        <f t="shared" ca="1" si="0"/>
        <v>??</v>
      </c>
      <c r="Q19" t="str">
        <f ca="1">CELL("address",F21)</f>
        <v>$F$21</v>
      </c>
      <c r="R19" t="s">
        <v>300</v>
      </c>
      <c r="S19" t="str">
        <f ca="1">SUBSTITUTE(config54Gy3F[[#This Row],[Cell]],"$","")</f>
        <v>F21</v>
      </c>
      <c r="T19" s="318" t="str">
        <f ca="1">VLOOKUP(CELL("format",INDIRECT(config54Gy3F[[#This Row],[Cell]])),FormatLookup[],2,FALSE)</f>
        <v>0.00</v>
      </c>
      <c r="U19" s="318" t="str">
        <f>VLOOKUP(R19,Definitions54Gy3F[],3,FALSE)</f>
        <v>0.00</v>
      </c>
      <c r="V19" s="319" t="str">
        <f>IF(ISBLANK(VLOOKUP(R19,Definitions54Gy3F[],5,FALSE)),"",VLOOKUP(R19,Definitions54Gy3F[],5,FALSE))</f>
        <v>cc</v>
      </c>
      <c r="W19" t="b">
        <f ca="1">EXACT(config54Gy3F[[#This Row],[Address]],VLOOKUP(config54Gy3F[[#This Row],[Name]],Definitions54Gy3F[],2,FALSE))</f>
        <v>1</v>
      </c>
      <c r="X19" s="319" t="b">
        <f ca="1">IF(EXACT(config54Gy3F[[#This Row],[Extracted Format]],config54Gy3F[[#This Row],[Expected Format]]),TRUE,IF(EXACT(config54Gy3F[[#This Row],[Expected Format]],"@"),"Check",FALSE))</f>
        <v>1</v>
      </c>
      <c r="Y19" s="319" t="b">
        <f>IF(ISERROR(FIND(config54Gy3F[[#This Row],[Units]],config54Gy3F[[#This Row],[Label]])),"Check",TRUE)</f>
        <v>1</v>
      </c>
      <c r="AA19" t="s">
        <v>300</v>
      </c>
      <c r="AB19" t="s">
        <v>301</v>
      </c>
      <c r="AC19" s="318" t="s">
        <v>190</v>
      </c>
      <c r="AD19" s="318" t="s">
        <v>190</v>
      </c>
      <c r="AE19" t="s">
        <v>267</v>
      </c>
      <c r="AF19" t="s">
        <v>302</v>
      </c>
      <c r="AG19" t="s">
        <v>303</v>
      </c>
      <c r="AH19" t="s">
        <v>269</v>
      </c>
      <c r="AJ19" t="s">
        <v>29</v>
      </c>
    </row>
    <row r="20" spans="2:36" ht="15.75" x14ac:dyDescent="0.3">
      <c r="B20" s="252" t="s">
        <v>27</v>
      </c>
      <c r="C20" s="102" t="s">
        <v>87</v>
      </c>
      <c r="D20" s="102"/>
      <c r="E20" s="104"/>
      <c r="F20" s="349" t="s">
        <v>46</v>
      </c>
      <c r="G20" s="139" t="e">
        <f>F20/F8</f>
        <v>#VALUE!</v>
      </c>
      <c r="H20" s="102"/>
      <c r="I20" s="102"/>
      <c r="J20" s="9" t="s">
        <v>10</v>
      </c>
      <c r="K20" s="7" t="e">
        <f>IF(G20&lt;=15%,"Yes","No")</f>
        <v>#VALUE!</v>
      </c>
      <c r="L20" s="76" t="s">
        <v>34</v>
      </c>
      <c r="M20" s="77"/>
      <c r="O20" s="316" t="s">
        <v>304</v>
      </c>
      <c r="P20" s="317" t="str">
        <f t="shared" ca="1" si="0"/>
        <v>??</v>
      </c>
      <c r="Q20" t="str">
        <f ca="1">CELL("address",F23)</f>
        <v>$F$23</v>
      </c>
      <c r="R20" t="s">
        <v>305</v>
      </c>
      <c r="S20" t="str">
        <f ca="1">SUBSTITUTE(config54Gy3F[[#This Row],[Cell]],"$","")</f>
        <v>F23</v>
      </c>
      <c r="T20" s="318" t="str">
        <f ca="1">VLOOKUP(CELL("format",INDIRECT(config54Gy3F[[#This Row],[Cell]])),FormatLookup[],2,FALSE)</f>
        <v>0.0%</v>
      </c>
      <c r="U20" s="318" t="str">
        <f>VLOOKUP(R20,Definitions54Gy3F[],3,FALSE)</f>
        <v>0.0%</v>
      </c>
      <c r="V20" s="319" t="str">
        <f>IF(ISBLANK(VLOOKUP(R20,Definitions54Gy3F[],5,FALSE)),"",VLOOKUP(R20,Definitions54Gy3F[],5,FALSE))</f>
        <v>%</v>
      </c>
      <c r="W20" t="b">
        <f ca="1">EXACT(config54Gy3F[[#This Row],[Address]],VLOOKUP(config54Gy3F[[#This Row],[Name]],Definitions54Gy3F[],2,FALSE))</f>
        <v>1</v>
      </c>
      <c r="X20" s="319" t="b">
        <f ca="1">IF(EXACT(config54Gy3F[[#This Row],[Extracted Format]],config54Gy3F[[#This Row],[Expected Format]]),TRUE,IF(EXACT(config54Gy3F[[#This Row],[Expected Format]],"@"),"Check",FALSE))</f>
        <v>1</v>
      </c>
      <c r="Y20" s="319" t="b">
        <f>IF(ISERROR(FIND(config54Gy3F[[#This Row],[Units]],config54Gy3F[[#This Row],[Label]])),"Check",TRUE)</f>
        <v>1</v>
      </c>
      <c r="AA20" t="s">
        <v>305</v>
      </c>
      <c r="AB20" t="s">
        <v>306</v>
      </c>
      <c r="AC20" s="318" t="s">
        <v>204</v>
      </c>
      <c r="AD20" s="318" t="s">
        <v>204</v>
      </c>
      <c r="AE20" t="s">
        <v>281</v>
      </c>
      <c r="AF20" t="s">
        <v>307</v>
      </c>
      <c r="AG20" t="s">
        <v>308</v>
      </c>
      <c r="AH20" t="s">
        <v>269</v>
      </c>
      <c r="AJ20" t="s">
        <v>287</v>
      </c>
    </row>
    <row r="21" spans="2:36" ht="16.5" thickBot="1" x14ac:dyDescent="0.35">
      <c r="B21" s="105" t="s">
        <v>29</v>
      </c>
      <c r="C21" s="79" t="s">
        <v>86</v>
      </c>
      <c r="D21" s="79"/>
      <c r="E21" s="80"/>
      <c r="F21" s="350" t="s">
        <v>46</v>
      </c>
      <c r="G21" s="140" t="e">
        <f>'Calculations 54Gy 3F'!J31</f>
        <v>#VALUE!</v>
      </c>
      <c r="H21" s="106" t="s">
        <v>26</v>
      </c>
      <c r="I21" s="79"/>
      <c r="J21" s="107" t="s">
        <v>12</v>
      </c>
      <c r="K21" s="71" t="e">
        <f ca="1">'Calculations 54Gy 3F'!K31</f>
        <v>#VALUE!</v>
      </c>
      <c r="L21" s="76" t="s">
        <v>37</v>
      </c>
      <c r="M21" s="77"/>
      <c r="O21" s="316" t="s">
        <v>309</v>
      </c>
      <c r="P21" s="317" t="str">
        <f t="shared" ca="1" si="0"/>
        <v>??</v>
      </c>
      <c r="Q21" t="str">
        <f ca="1">CELL("address",F24)</f>
        <v>$F$24</v>
      </c>
      <c r="R21" t="s">
        <v>310</v>
      </c>
      <c r="S21" t="str">
        <f ca="1">SUBSTITUTE(config54Gy3F[[#This Row],[Cell]],"$","")</f>
        <v>F24</v>
      </c>
      <c r="T21" s="318" t="str">
        <f ca="1">VLOOKUP(CELL("format",INDIRECT(config54Gy3F[[#This Row],[Cell]])),FormatLookup[],2,FALSE)</f>
        <v>0.00</v>
      </c>
      <c r="U21" s="318" t="str">
        <f>VLOOKUP(R21,Definitions54Gy3F[],3,FALSE)</f>
        <v>0.00</v>
      </c>
      <c r="V21" s="319" t="str">
        <f>IF(ISBLANK(VLOOKUP(R21,Definitions54Gy3F[],5,FALSE)),"",VLOOKUP(R21,Definitions54Gy3F[],5,FALSE))</f>
        <v>cc</v>
      </c>
      <c r="W21" t="b">
        <f ca="1">EXACT(config54Gy3F[[#This Row],[Address]],VLOOKUP(config54Gy3F[[#This Row],[Name]],Definitions54Gy3F[],2,FALSE))</f>
        <v>1</v>
      </c>
      <c r="X21" s="319" t="b">
        <f ca="1">IF(EXACT(config54Gy3F[[#This Row],[Extracted Format]],config54Gy3F[[#This Row],[Expected Format]]),TRUE,IF(EXACT(config54Gy3F[[#This Row],[Expected Format]],"@"),"Check",FALSE))</f>
        <v>1</v>
      </c>
      <c r="Y21" s="319" t="b">
        <f>IF(ISERROR(FIND(config54Gy3F[[#This Row],[Units]],config54Gy3F[[#This Row],[Label]])),"Check",TRUE)</f>
        <v>1</v>
      </c>
      <c r="AA21" t="s">
        <v>310</v>
      </c>
      <c r="AB21" t="s">
        <v>311</v>
      </c>
      <c r="AC21" s="318" t="s">
        <v>190</v>
      </c>
      <c r="AD21" s="318" t="s">
        <v>190</v>
      </c>
      <c r="AE21" t="s">
        <v>267</v>
      </c>
      <c r="AF21" t="s">
        <v>312</v>
      </c>
      <c r="AG21" t="s">
        <v>313</v>
      </c>
      <c r="AH21" t="s">
        <v>269</v>
      </c>
      <c r="AJ21" t="s">
        <v>29</v>
      </c>
    </row>
    <row r="22" spans="2:36" x14ac:dyDescent="0.2">
      <c r="B22" s="87" t="s">
        <v>178</v>
      </c>
      <c r="C22" s="72"/>
      <c r="D22" s="72"/>
      <c r="E22" s="291"/>
      <c r="F22" s="291"/>
      <c r="G22" s="294"/>
      <c r="H22" s="219"/>
      <c r="I22" s="219"/>
      <c r="J22" s="291"/>
      <c r="K22" s="293"/>
      <c r="L22" s="76"/>
      <c r="M22" s="77"/>
      <c r="O22" s="316" t="s">
        <v>314</v>
      </c>
      <c r="P22" s="317" t="str">
        <f t="shared" ca="1" si="0"/>
        <v>??</v>
      </c>
      <c r="Q22" t="str">
        <f ca="1">CELL("address",F27)</f>
        <v>$F$27</v>
      </c>
      <c r="R22" t="s">
        <v>315</v>
      </c>
      <c r="S22" t="str">
        <f ca="1">SUBSTITUTE(config54Gy3F[[#This Row],[Cell]],"$","")</f>
        <v>F27</v>
      </c>
      <c r="T22" s="318" t="str">
        <f ca="1">VLOOKUP(CELL("format",INDIRECT(config54Gy3F[[#This Row],[Cell]])),FormatLookup[],2,FALSE)</f>
        <v>0.00%</v>
      </c>
      <c r="U22" s="318" t="str">
        <f>VLOOKUP(R22,Definitions54Gy3F[],3,FALSE)</f>
        <v>0.00%</v>
      </c>
      <c r="V22" s="319" t="str">
        <f>IF(ISBLANK(VLOOKUP(R22,Definitions54Gy3F[],5,FALSE)),"",VLOOKUP(R22,Definitions54Gy3F[],5,FALSE))</f>
        <v>%</v>
      </c>
      <c r="W22" t="b">
        <f ca="1">EXACT(config54Gy3F[[#This Row],[Address]],VLOOKUP(config54Gy3F[[#This Row],[Name]],Definitions54Gy3F[],2,FALSE))</f>
        <v>1</v>
      </c>
      <c r="X22" s="319" t="b">
        <f ca="1">IF(EXACT(config54Gy3F[[#This Row],[Extracted Format]],config54Gy3F[[#This Row],[Expected Format]]),TRUE,IF(EXACT(config54Gy3F[[#This Row],[Expected Format]],"@"),"Check",FALSE))</f>
        <v>1</v>
      </c>
      <c r="Y22" s="319" t="b">
        <f>IF(ISERROR(FIND(config54Gy3F[[#This Row],[Units]],config54Gy3F[[#This Row],[Label]])),"Check",TRUE)</f>
        <v>1</v>
      </c>
      <c r="AA22" t="s">
        <v>315</v>
      </c>
      <c r="AB22" t="s">
        <v>316</v>
      </c>
      <c r="AC22" s="318" t="s">
        <v>206</v>
      </c>
      <c r="AD22" s="318" t="s">
        <v>206</v>
      </c>
      <c r="AE22" t="s">
        <v>281</v>
      </c>
      <c r="AF22" t="s">
        <v>317</v>
      </c>
      <c r="AG22" t="s">
        <v>141</v>
      </c>
      <c r="AH22" t="s">
        <v>269</v>
      </c>
      <c r="AI22" t="s">
        <v>278</v>
      </c>
      <c r="AJ22" t="s">
        <v>318</v>
      </c>
    </row>
    <row r="23" spans="2:36" ht="14.25" x14ac:dyDescent="0.25">
      <c r="B23" s="252" t="s">
        <v>110</v>
      </c>
      <c r="C23" s="108" t="s">
        <v>35</v>
      </c>
      <c r="D23" s="102"/>
      <c r="E23" s="104"/>
      <c r="F23" s="347" t="s">
        <v>46</v>
      </c>
      <c r="G23" s="139"/>
      <c r="H23" s="111"/>
      <c r="I23" s="102"/>
      <c r="J23" s="133" t="e">
        <f ca="1">'Calculations 54Gy 3F'!L27/100</f>
        <v>#N/A</v>
      </c>
      <c r="K23" s="70" t="str">
        <f>'Calculations 54Gy 3F'!K33</f>
        <v>??</v>
      </c>
      <c r="L23" s="112" t="s">
        <v>39</v>
      </c>
      <c r="M23" s="113"/>
      <c r="N23" s="3"/>
      <c r="O23" s="316" t="s">
        <v>319</v>
      </c>
      <c r="P23" s="317" t="str">
        <f t="shared" ca="1" si="0"/>
        <v>??</v>
      </c>
      <c r="Q23" t="str">
        <f ca="1">CELL("address",F28)</f>
        <v>$F$28</v>
      </c>
      <c r="R23" s="3" t="s">
        <v>320</v>
      </c>
      <c r="S23" t="str">
        <f ca="1">SUBSTITUTE(config54Gy3F[[#This Row],[Cell]],"$","")</f>
        <v>F28</v>
      </c>
      <c r="T23" s="318" t="str">
        <f ca="1">VLOOKUP(CELL("format",INDIRECT(config54Gy3F[[#This Row],[Cell]])),FormatLookup[],2,FALSE)</f>
        <v>0.00</v>
      </c>
      <c r="U23" s="318" t="str">
        <f>VLOOKUP(R23,Definitions54Gy3F[],3,FALSE)</f>
        <v>0.00</v>
      </c>
      <c r="V23" s="319" t="str">
        <f>IF(ISBLANK(VLOOKUP(R23,Definitions54Gy3F[],5,FALSE)),"",VLOOKUP(R23,Definitions54Gy3F[],5,FALSE))</f>
        <v>cc</v>
      </c>
      <c r="W23" t="b">
        <f ca="1">EXACT(config54Gy3F[[#This Row],[Address]],VLOOKUP(config54Gy3F[[#This Row],[Name]],Definitions54Gy3F[],2,FALSE))</f>
        <v>1</v>
      </c>
      <c r="X23" s="319" t="b">
        <f ca="1">IF(EXACT(config54Gy3F[[#This Row],[Extracted Format]],config54Gy3F[[#This Row],[Expected Format]]),TRUE,IF(EXACT(config54Gy3F[[#This Row],[Expected Format]],"@"),"Check",FALSE))</f>
        <v>1</v>
      </c>
      <c r="Y23" s="319" t="str">
        <f>IF(ISERROR(FIND(config54Gy3F[[#This Row],[Units]],config54Gy3F[[#This Row],[Label]])),"Check",TRUE)</f>
        <v>Check</v>
      </c>
      <c r="AA23" t="s">
        <v>320</v>
      </c>
      <c r="AB23" t="s">
        <v>321</v>
      </c>
      <c r="AC23" s="318" t="s">
        <v>190</v>
      </c>
      <c r="AD23" s="318" t="s">
        <v>190</v>
      </c>
      <c r="AE23" t="s">
        <v>267</v>
      </c>
      <c r="AF23" t="s">
        <v>44</v>
      </c>
      <c r="AG23" t="s">
        <v>141</v>
      </c>
      <c r="AH23" t="s">
        <v>269</v>
      </c>
      <c r="AI23" t="s">
        <v>278</v>
      </c>
      <c r="AJ23" s="3" t="s">
        <v>322</v>
      </c>
    </row>
    <row r="24" spans="2:36" ht="16.5" thickBot="1" x14ac:dyDescent="0.35">
      <c r="B24" s="105" t="s">
        <v>29</v>
      </c>
      <c r="C24" s="167" t="s">
        <v>179</v>
      </c>
      <c r="D24" s="79"/>
      <c r="E24" s="145"/>
      <c r="F24" s="350" t="s">
        <v>46</v>
      </c>
      <c r="G24" s="193" t="e">
        <f>'Calculations 54Gy 3F'!J32</f>
        <v>#VALUE!</v>
      </c>
      <c r="H24" s="115" t="s">
        <v>26</v>
      </c>
      <c r="I24" s="79"/>
      <c r="J24" s="134" t="e">
        <f ca="1">'Calculations 54Gy 3F'!I27</f>
        <v>#N/A</v>
      </c>
      <c r="K24" s="211" t="e">
        <f ca="1">'Calculations 54Gy 3F'!K32</f>
        <v>#VALUE!</v>
      </c>
      <c r="L24" s="76" t="s">
        <v>38</v>
      </c>
      <c r="M24" s="77"/>
      <c r="O24" s="316" t="s">
        <v>323</v>
      </c>
      <c r="P24" s="317" t="str">
        <f t="shared" ca="1" si="0"/>
        <v>??</v>
      </c>
      <c r="Q24" t="str">
        <f ca="1">CELL("address",F29)</f>
        <v>$F$29</v>
      </c>
      <c r="R24" s="3" t="s">
        <v>324</v>
      </c>
      <c r="S24" t="str">
        <f ca="1">SUBSTITUTE(config54Gy3F[[#This Row],[Cell]],"$","")</f>
        <v>F29</v>
      </c>
      <c r="T24" s="318" t="str">
        <f ca="1">VLOOKUP(CELL("format",INDIRECT(config54Gy3F[[#This Row],[Cell]])),FormatLookup[],2,FALSE)</f>
        <v>0.00</v>
      </c>
      <c r="U24" s="318" t="str">
        <f>VLOOKUP(R24,Definitions54Gy3F[],3,FALSE)</f>
        <v>0.00</v>
      </c>
      <c r="V24" s="319" t="str">
        <f>IF(ISBLANK(VLOOKUP(R24,Definitions54Gy3F[],5,FALSE)),"",VLOOKUP(R24,Definitions54Gy3F[],5,FALSE))</f>
        <v>cc</v>
      </c>
      <c r="W24" t="b">
        <f ca="1">EXACT(config54Gy3F[[#This Row],[Address]],VLOOKUP(config54Gy3F[[#This Row],[Name]],Definitions54Gy3F[],2,FALSE))</f>
        <v>1</v>
      </c>
      <c r="X24" s="319" t="b">
        <f ca="1">IF(EXACT(config54Gy3F[[#This Row],[Extracted Format]],config54Gy3F[[#This Row],[Expected Format]]),TRUE,IF(EXACT(config54Gy3F[[#This Row],[Expected Format]],"@"),"Check",FALSE))</f>
        <v>1</v>
      </c>
      <c r="Y24" s="319" t="str">
        <f>IF(ISERROR(FIND(config54Gy3F[[#This Row],[Units]],config54Gy3F[[#This Row],[Label]])),"Check",TRUE)</f>
        <v>Check</v>
      </c>
      <c r="AA24" t="s">
        <v>324</v>
      </c>
      <c r="AB24" t="s">
        <v>325</v>
      </c>
      <c r="AC24" s="318" t="s">
        <v>190</v>
      </c>
      <c r="AD24" s="318" t="s">
        <v>190</v>
      </c>
      <c r="AE24" t="s">
        <v>267</v>
      </c>
      <c r="AF24" t="s">
        <v>45</v>
      </c>
      <c r="AG24" t="s">
        <v>141</v>
      </c>
      <c r="AH24" t="s">
        <v>269</v>
      </c>
      <c r="AI24" t="s">
        <v>278</v>
      </c>
      <c r="AJ24" s="3" t="s">
        <v>326</v>
      </c>
    </row>
    <row r="25" spans="2:36" x14ac:dyDescent="0.2">
      <c r="B25" s="89" t="s">
        <v>170</v>
      </c>
      <c r="C25" s="84"/>
      <c r="D25" s="84"/>
      <c r="E25" s="85"/>
      <c r="F25" s="97" t="s">
        <v>122</v>
      </c>
      <c r="G25" s="90" t="s">
        <v>33</v>
      </c>
      <c r="H25" s="116"/>
      <c r="I25" s="116"/>
      <c r="J25" s="117" t="s">
        <v>24</v>
      </c>
      <c r="K25" s="118"/>
      <c r="L25" s="76"/>
      <c r="M25" s="77"/>
      <c r="O25" s="316" t="s">
        <v>478</v>
      </c>
      <c r="P25" s="317" t="str">
        <f t="shared" ca="1" si="0"/>
        <v>??</v>
      </c>
      <c r="Q25" t="str">
        <f ca="1">CELL("address",F30)</f>
        <v>$F$30</v>
      </c>
      <c r="R25" t="s">
        <v>328</v>
      </c>
      <c r="S25" t="str">
        <f ca="1">SUBSTITUTE(config54Gy3F[[#This Row],[Cell]],"$","")</f>
        <v>F30</v>
      </c>
      <c r="T25" s="318" t="str">
        <f ca="1">VLOOKUP(CELL("format",INDIRECT(config54Gy3F[[#This Row],[Cell]])),FormatLookup[],2,FALSE)</f>
        <v>0.0</v>
      </c>
      <c r="U25" s="318" t="str">
        <f>VLOOKUP(R25,Definitions54Gy3F[],3,FALSE)</f>
        <v>0.0</v>
      </c>
      <c r="V25" s="319" t="str">
        <f>IF(ISBLANK(VLOOKUP(R25,Definitions54Gy3F[],5,FALSE)),"",VLOOKUP(R25,Definitions54Gy3F[],5,FALSE))</f>
        <v>cGy</v>
      </c>
      <c r="W25" t="b">
        <f ca="1">EXACT(config54Gy3F[[#This Row],[Address]],VLOOKUP(config54Gy3F[[#This Row],[Name]],Definitions54Gy3F[],2,FALSE))</f>
        <v>1</v>
      </c>
      <c r="X25" s="319" t="b">
        <f ca="1">IF(EXACT(config54Gy3F[[#This Row],[Extracted Format]],config54Gy3F[[#This Row],[Expected Format]]),TRUE,IF(EXACT(config54Gy3F[[#This Row],[Expected Format]],"@"),"Check",FALSE))</f>
        <v>1</v>
      </c>
      <c r="Y25" s="319" t="b">
        <f>IF(ISERROR(FIND(config54Gy3F[[#This Row],[Units]],config54Gy3F[[#This Row],[Label]])),"Check",TRUE)</f>
        <v>1</v>
      </c>
      <c r="AA25" t="s">
        <v>328</v>
      </c>
      <c r="AB25" t="s">
        <v>329</v>
      </c>
      <c r="AC25" s="318" t="s">
        <v>188</v>
      </c>
      <c r="AD25" s="318" t="s">
        <v>188</v>
      </c>
      <c r="AE25" t="s">
        <v>260</v>
      </c>
      <c r="AF25" t="s">
        <v>445</v>
      </c>
      <c r="AG25" t="s">
        <v>331</v>
      </c>
      <c r="AH25" t="s">
        <v>269</v>
      </c>
      <c r="AJ25" t="s">
        <v>287</v>
      </c>
    </row>
    <row r="26" spans="2:36" ht="13.5" thickBot="1" x14ac:dyDescent="0.25">
      <c r="B26" s="82"/>
      <c r="C26" s="84"/>
      <c r="D26" s="84"/>
      <c r="E26" s="85"/>
      <c r="F26" s="97" t="s">
        <v>123</v>
      </c>
      <c r="G26" s="191"/>
      <c r="H26" s="116"/>
      <c r="I26" s="116"/>
      <c r="J26" s="153" t="s">
        <v>121</v>
      </c>
      <c r="K26" s="118"/>
      <c r="L26" s="76"/>
      <c r="M26" s="77"/>
      <c r="O26" s="316" t="s">
        <v>479</v>
      </c>
      <c r="P26" s="317" t="str">
        <f t="shared" ca="1" si="0"/>
        <v>??</v>
      </c>
      <c r="Q26" t="str">
        <f ca="1">CELL("address",F32)</f>
        <v>$F$32</v>
      </c>
      <c r="R26" t="s">
        <v>338</v>
      </c>
      <c r="S26" t="str">
        <f ca="1">SUBSTITUTE(config54Gy3F[[#This Row],[Cell]],"$","")</f>
        <v>F32</v>
      </c>
      <c r="T26" s="318" t="str">
        <f ca="1">VLOOKUP(CELL("format",INDIRECT(config54Gy3F[[#This Row],[Cell]])),FormatLookup[],2,FALSE)</f>
        <v>0.0</v>
      </c>
      <c r="U26" s="318" t="str">
        <f>VLOOKUP(R26,Definitions54Gy3F[],3,FALSE)</f>
        <v>0.0</v>
      </c>
      <c r="V26" s="319" t="str">
        <f>IF(ISBLANK(VLOOKUP(R26,Definitions54Gy3F[],5,FALSE)),"",VLOOKUP(R26,Definitions54Gy3F[],5,FALSE))</f>
        <v>cGy</v>
      </c>
      <c r="W26" t="b">
        <f ca="1">EXACT(config54Gy3F[[#This Row],[Address]],VLOOKUP(config54Gy3F[[#This Row],[Name]],Definitions54Gy3F[],2,FALSE))</f>
        <v>1</v>
      </c>
      <c r="X26" s="319" t="b">
        <f ca="1">IF(EXACT(config54Gy3F[[#This Row],[Extracted Format]],config54Gy3F[[#This Row],[Expected Format]]),TRUE,IF(EXACT(config54Gy3F[[#This Row],[Expected Format]],"@"),"Check",FALSE))</f>
        <v>1</v>
      </c>
      <c r="Y26" s="319" t="b">
        <f>IF(ISERROR(FIND(config54Gy3F[[#This Row],[Units]],config54Gy3F[[#This Row],[Label]])),"Check",TRUE)</f>
        <v>1</v>
      </c>
      <c r="AA26" t="s">
        <v>338</v>
      </c>
      <c r="AB26" t="s">
        <v>339</v>
      </c>
      <c r="AC26" s="318" t="s">
        <v>188</v>
      </c>
      <c r="AD26" s="318" t="s">
        <v>188</v>
      </c>
      <c r="AE26" t="s">
        <v>260</v>
      </c>
      <c r="AF26" t="s">
        <v>340</v>
      </c>
      <c r="AG26" t="s">
        <v>341</v>
      </c>
      <c r="AH26" t="s">
        <v>269</v>
      </c>
      <c r="AJ26" t="s">
        <v>287</v>
      </c>
    </row>
    <row r="27" spans="2:36" ht="14.25" x14ac:dyDescent="0.25">
      <c r="B27" s="216" t="s">
        <v>141</v>
      </c>
      <c r="C27" s="72"/>
      <c r="D27" s="374" t="s">
        <v>118</v>
      </c>
      <c r="E27" s="375"/>
      <c r="F27" s="362" t="s">
        <v>46</v>
      </c>
      <c r="G27" s="225" t="s">
        <v>26</v>
      </c>
      <c r="H27" s="219"/>
      <c r="I27" s="219"/>
      <c r="J27" s="222" t="s">
        <v>47</v>
      </c>
      <c r="K27" s="224" t="str">
        <f>'Calculations 54Gy 3F'!K34</f>
        <v>??</v>
      </c>
      <c r="L27" s="76" t="s">
        <v>36</v>
      </c>
      <c r="M27" s="77"/>
      <c r="O27" s="316" t="s">
        <v>480</v>
      </c>
      <c r="P27" s="317" t="str">
        <f t="shared" ca="1" si="0"/>
        <v>??</v>
      </c>
      <c r="Q27" t="str">
        <f t="shared" ref="Q27:Q37" ca="1" si="1">CELL("address",F32)</f>
        <v>$F$32</v>
      </c>
      <c r="R27" t="s">
        <v>347</v>
      </c>
      <c r="S27" t="str">
        <f ca="1">SUBSTITUTE(config54Gy3F[[#This Row],[Cell]],"$","")</f>
        <v>F32</v>
      </c>
      <c r="T27" s="318" t="str">
        <f ca="1">VLOOKUP(CELL("format",INDIRECT(config54Gy3F[[#This Row],[Cell]])),FormatLookup[],2,FALSE)</f>
        <v>0.0</v>
      </c>
      <c r="U27" s="318" t="str">
        <f>VLOOKUP(R27,Definitions54Gy3F[],3,FALSE)</f>
        <v>0.0</v>
      </c>
      <c r="V27" s="319" t="str">
        <f>IF(ISBLANK(VLOOKUP(R27,Definitions54Gy3F[],5,FALSE)),"",VLOOKUP(R27,Definitions54Gy3F[],5,FALSE))</f>
        <v>cGy</v>
      </c>
      <c r="W27" t="b">
        <f ca="1">EXACT(config54Gy3F[[#This Row],[Address]],VLOOKUP(config54Gy3F[[#This Row],[Name]],Definitions54Gy3F[],2,FALSE))</f>
        <v>1</v>
      </c>
      <c r="X27" s="319" t="b">
        <f ca="1">IF(EXACT(config54Gy3F[[#This Row],[Extracted Format]],config54Gy3F[[#This Row],[Expected Format]]),TRUE,IF(EXACT(config54Gy3F[[#This Row],[Expected Format]],"@"),"Check",FALSE))</f>
        <v>1</v>
      </c>
      <c r="Y27" s="319" t="b">
        <f>IF(ISERROR(FIND(config54Gy3F[[#This Row],[Units]],config54Gy3F[[#This Row],[Label]])),"Check",TRUE)</f>
        <v>1</v>
      </c>
      <c r="AA27" t="s">
        <v>347</v>
      </c>
      <c r="AB27" t="s">
        <v>339</v>
      </c>
      <c r="AC27" s="318" t="s">
        <v>188</v>
      </c>
      <c r="AD27" s="318" t="s">
        <v>188</v>
      </c>
      <c r="AE27" t="s">
        <v>260</v>
      </c>
      <c r="AF27" t="s">
        <v>349</v>
      </c>
      <c r="AG27" t="s">
        <v>15</v>
      </c>
      <c r="AH27" t="s">
        <v>269</v>
      </c>
      <c r="AJ27" t="s">
        <v>287</v>
      </c>
    </row>
    <row r="28" spans="2:36" ht="14.25" x14ac:dyDescent="0.25">
      <c r="B28" s="82" t="s">
        <v>44</v>
      </c>
      <c r="C28" s="84"/>
      <c r="D28" s="372" t="s">
        <v>120</v>
      </c>
      <c r="E28" s="373"/>
      <c r="F28" s="363" t="s">
        <v>46</v>
      </c>
      <c r="G28" s="170"/>
      <c r="H28" s="102"/>
      <c r="I28" s="102"/>
      <c r="J28" s="194">
        <v>1500</v>
      </c>
      <c r="K28" s="149" t="str">
        <f t="shared" ref="K28:K34" si="2">IF(F28="??","??",IF(F28&lt;=J28,"Yes","No"))</f>
        <v>??</v>
      </c>
      <c r="L28" s="112" t="s">
        <v>153</v>
      </c>
      <c r="M28" s="173"/>
      <c r="N28" s="4"/>
      <c r="O28" s="316" t="s">
        <v>481</v>
      </c>
      <c r="P28" s="317" t="str">
        <f t="shared" ca="1" si="0"/>
        <v>??</v>
      </c>
      <c r="Q28" t="str">
        <f t="shared" ca="1" si="1"/>
        <v>$F$33</v>
      </c>
      <c r="R28" t="s">
        <v>361</v>
      </c>
      <c r="S28" t="str">
        <f ca="1">SUBSTITUTE(config54Gy3F[[#This Row],[Cell]],"$","")</f>
        <v>F33</v>
      </c>
      <c r="T28" s="318" t="str">
        <f ca="1">VLOOKUP(CELL("format",INDIRECT(config54Gy3F[[#This Row],[Cell]])),FormatLookup[],2,FALSE)</f>
        <v>0.0</v>
      </c>
      <c r="U28" s="318" t="str">
        <f>VLOOKUP(R28,Definitions54Gy3F[],3,FALSE)</f>
        <v>0.0</v>
      </c>
      <c r="V28" s="319" t="str">
        <f>IF(ISBLANK(VLOOKUP(R28,Definitions54Gy3F[],5,FALSE)),"",VLOOKUP(R28,Definitions54Gy3F[],5,FALSE))</f>
        <v>cGy</v>
      </c>
      <c r="W28" t="b">
        <f ca="1">EXACT(config54Gy3F[[#This Row],[Address]],VLOOKUP(config54Gy3F[[#This Row],[Name]],Definitions54Gy3F[],2,FALSE))</f>
        <v>1</v>
      </c>
      <c r="X28" s="319" t="b">
        <f ca="1">IF(EXACT(config54Gy3F[[#This Row],[Extracted Format]],config54Gy3F[[#This Row],[Expected Format]]),TRUE,IF(EXACT(config54Gy3F[[#This Row],[Expected Format]],"@"),"Check",FALSE))</f>
        <v>1</v>
      </c>
      <c r="Y28" s="319" t="b">
        <f>IF(ISERROR(FIND(config54Gy3F[[#This Row],[Units]],config54Gy3F[[#This Row],[Label]])),"Check",TRUE)</f>
        <v>1</v>
      </c>
      <c r="AA28" t="s">
        <v>361</v>
      </c>
      <c r="AB28" t="s">
        <v>344</v>
      </c>
      <c r="AC28" s="318" t="s">
        <v>188</v>
      </c>
      <c r="AD28" s="318" t="s">
        <v>188</v>
      </c>
      <c r="AE28" t="s">
        <v>260</v>
      </c>
      <c r="AF28" t="s">
        <v>25</v>
      </c>
      <c r="AG28" t="s">
        <v>364</v>
      </c>
      <c r="AH28" t="s">
        <v>269</v>
      </c>
      <c r="AJ28" t="s">
        <v>287</v>
      </c>
    </row>
    <row r="29" spans="2:36" ht="14.25" x14ac:dyDescent="0.25">
      <c r="B29" s="148" t="s">
        <v>45</v>
      </c>
      <c r="C29" s="84"/>
      <c r="D29" s="376" t="s">
        <v>119</v>
      </c>
      <c r="E29" s="377"/>
      <c r="F29" s="364" t="s">
        <v>46</v>
      </c>
      <c r="G29" s="170"/>
      <c r="H29" s="84"/>
      <c r="I29" s="84"/>
      <c r="J29" s="117">
        <v>1000</v>
      </c>
      <c r="K29" s="149" t="str">
        <f t="shared" si="2"/>
        <v>??</v>
      </c>
      <c r="L29" s="112" t="s">
        <v>154</v>
      </c>
      <c r="M29" s="173"/>
      <c r="N29" s="4"/>
      <c r="O29" s="316" t="s">
        <v>482</v>
      </c>
      <c r="P29" s="317" t="str">
        <f t="shared" ca="1" si="0"/>
        <v>??</v>
      </c>
      <c r="Q29" t="str">
        <f t="shared" ca="1" si="1"/>
        <v>$F$34</v>
      </c>
      <c r="R29" t="s">
        <v>366</v>
      </c>
      <c r="S29" t="str">
        <f ca="1">SUBSTITUTE(config54Gy3F[[#This Row],[Cell]],"$","")</f>
        <v>F34</v>
      </c>
      <c r="T29" s="318" t="str">
        <f ca="1">VLOOKUP(CELL("format",INDIRECT(config54Gy3F[[#This Row],[Cell]])),FormatLookup[],2,FALSE)</f>
        <v>0.0</v>
      </c>
      <c r="U29" s="318" t="str">
        <f>VLOOKUP(R29,Definitions54Gy3F[],3,FALSE)</f>
        <v>0.0</v>
      </c>
      <c r="V29" s="319" t="str">
        <f>IF(ISBLANK(VLOOKUP(R29,Definitions54Gy3F[],5,FALSE)),"",VLOOKUP(R29,Definitions54Gy3F[],5,FALSE))</f>
        <v>cGy</v>
      </c>
      <c r="W29" t="b">
        <f ca="1">EXACT(config54Gy3F[[#This Row],[Address]],VLOOKUP(config54Gy3F[[#This Row],[Name]],Definitions54Gy3F[],2,FALSE))</f>
        <v>1</v>
      </c>
      <c r="X29" s="319" t="b">
        <f ca="1">IF(EXACT(config54Gy3F[[#This Row],[Extracted Format]],config54Gy3F[[#This Row],[Expected Format]]),TRUE,IF(EXACT(config54Gy3F[[#This Row],[Expected Format]],"@"),"Check",FALSE))</f>
        <v>1</v>
      </c>
      <c r="Y29" s="319" t="b">
        <f>IF(ISERROR(FIND(config54Gy3F[[#This Row],[Units]],config54Gy3F[[#This Row],[Label]])),"Check",TRUE)</f>
        <v>1</v>
      </c>
      <c r="AA29" t="s">
        <v>366</v>
      </c>
      <c r="AB29" t="s">
        <v>348</v>
      </c>
      <c r="AC29" s="318" t="s">
        <v>188</v>
      </c>
      <c r="AD29" s="318" t="s">
        <v>188</v>
      </c>
      <c r="AE29" t="s">
        <v>260</v>
      </c>
      <c r="AF29" t="s">
        <v>368</v>
      </c>
      <c r="AG29" t="s">
        <v>129</v>
      </c>
      <c r="AH29" t="s">
        <v>269</v>
      </c>
      <c r="AI29" t="s">
        <v>369</v>
      </c>
      <c r="AJ29" t="s">
        <v>287</v>
      </c>
    </row>
    <row r="30" spans="2:36" x14ac:dyDescent="0.2">
      <c r="B30" s="154" t="s">
        <v>98</v>
      </c>
      <c r="C30" s="91" t="s">
        <v>26</v>
      </c>
      <c r="D30" s="84"/>
      <c r="E30" s="123" t="s">
        <v>40</v>
      </c>
      <c r="F30" s="334" t="s">
        <v>46</v>
      </c>
      <c r="G30" s="98"/>
      <c r="H30" s="91"/>
      <c r="I30" s="91"/>
      <c r="J30" s="92">
        <v>3000</v>
      </c>
      <c r="K30" s="149" t="str">
        <f t="shared" si="2"/>
        <v>??</v>
      </c>
      <c r="L30" s="76"/>
      <c r="M30" s="77"/>
      <c r="O30" s="316" t="s">
        <v>483</v>
      </c>
      <c r="P30" s="317" t="str">
        <f t="shared" ca="1" si="0"/>
        <v>??</v>
      </c>
      <c r="Q30" t="str">
        <f t="shared" ca="1" si="1"/>
        <v>$F$35</v>
      </c>
      <c r="R30" s="3" t="s">
        <v>376</v>
      </c>
      <c r="S30" t="str">
        <f ca="1">SUBSTITUTE(config54Gy3F[[#This Row],[Cell]],"$","")</f>
        <v>F35</v>
      </c>
      <c r="T30" s="318" t="str">
        <f ca="1">VLOOKUP(CELL("format",INDIRECT(config54Gy3F[[#This Row],[Cell]])),FormatLookup[],2,FALSE)</f>
        <v>0.00</v>
      </c>
      <c r="U30" s="318" t="str">
        <f>VLOOKUP(R30,Definitions54Gy3F[],3,FALSE)</f>
        <v>0.00</v>
      </c>
      <c r="V30" s="319" t="str">
        <f>IF(ISBLANK(VLOOKUP(R30,Definitions54Gy3F[],5,FALSE)),"",VLOOKUP(R30,Definitions54Gy3F[],5,FALSE))</f>
        <v>cc</v>
      </c>
      <c r="W30" t="b">
        <f ca="1">EXACT(config54Gy3F[[#This Row],[Address]],VLOOKUP(config54Gy3F[[#This Row],[Name]],Definitions54Gy3F[],2,FALSE))</f>
        <v>1</v>
      </c>
      <c r="X30" s="319" t="b">
        <f ca="1">IF(EXACT(config54Gy3F[[#This Row],[Extracted Format]],config54Gy3F[[#This Row],[Expected Format]]),TRUE,IF(EXACT(config54Gy3F[[#This Row],[Expected Format]],"@"),"Check",FALSE))</f>
        <v>1</v>
      </c>
      <c r="Y30" s="319" t="b">
        <f>IF(ISERROR(FIND(config54Gy3F[[#This Row],[Units]],config54Gy3F[[#This Row],[Label]])),"Check",TRUE)</f>
        <v>1</v>
      </c>
      <c r="AA30" s="3" t="s">
        <v>376</v>
      </c>
      <c r="AB30" t="s">
        <v>352</v>
      </c>
      <c r="AC30" s="318" t="s">
        <v>190</v>
      </c>
      <c r="AD30" s="318" t="s">
        <v>190</v>
      </c>
      <c r="AE30" t="s">
        <v>267</v>
      </c>
      <c r="AF30" s="3" t="s">
        <v>14</v>
      </c>
      <c r="AG30" t="s">
        <v>14</v>
      </c>
      <c r="AH30" t="s">
        <v>269</v>
      </c>
      <c r="AJ30" t="s">
        <v>379</v>
      </c>
    </row>
    <row r="31" spans="2:36" x14ac:dyDescent="0.2">
      <c r="B31" s="148" t="s">
        <v>163</v>
      </c>
      <c r="C31" s="84"/>
      <c r="D31" s="84"/>
      <c r="E31" s="123" t="s">
        <v>40</v>
      </c>
      <c r="F31" s="334" t="s">
        <v>46</v>
      </c>
      <c r="G31" s="98"/>
      <c r="H31" s="91"/>
      <c r="I31" s="91"/>
      <c r="J31" s="92">
        <v>3000</v>
      </c>
      <c r="K31" s="149" t="str">
        <f t="shared" si="2"/>
        <v>??</v>
      </c>
      <c r="L31" s="76"/>
      <c r="M31" s="77"/>
      <c r="O31" s="316" t="s">
        <v>484</v>
      </c>
      <c r="P31" s="317" t="str">
        <f t="shared" ca="1" si="0"/>
        <v>??</v>
      </c>
      <c r="Q31" t="str">
        <f t="shared" ca="1" si="1"/>
        <v>$F$36</v>
      </c>
      <c r="R31" t="s">
        <v>381</v>
      </c>
      <c r="S31" t="str">
        <f ca="1">SUBSTITUTE(config54Gy3F[[#This Row],[Cell]],"$","")</f>
        <v>F36</v>
      </c>
      <c r="T31" s="318" t="str">
        <f ca="1">VLOOKUP(CELL("format",INDIRECT(config54Gy3F[[#This Row],[Cell]])),FormatLookup[],2,FALSE)</f>
        <v>0.0</v>
      </c>
      <c r="U31" s="318" t="str">
        <f>VLOOKUP(R31,Definitions54Gy3F[],3,FALSE)</f>
        <v>0.0</v>
      </c>
      <c r="V31" s="319" t="str">
        <f>IF(ISBLANK(VLOOKUP(R31,Definitions54Gy3F[],5,FALSE)),"",VLOOKUP(R31,Definitions54Gy3F[],5,FALSE))</f>
        <v>cGy</v>
      </c>
      <c r="W31" t="b">
        <f ca="1">EXACT(config54Gy3F[[#This Row],[Address]],VLOOKUP(config54Gy3F[[#This Row],[Name]],Definitions54Gy3F[],2,FALSE))</f>
        <v>1</v>
      </c>
      <c r="X31" s="319" t="b">
        <f ca="1">IF(EXACT(config54Gy3F[[#This Row],[Extracted Format]],config54Gy3F[[#This Row],[Expected Format]]),TRUE,IF(EXACT(config54Gy3F[[#This Row],[Expected Format]],"@"),"Check",FALSE))</f>
        <v>1</v>
      </c>
      <c r="Y31" s="319" t="b">
        <f>IF(ISERROR(FIND(config54Gy3F[[#This Row],[Units]],config54Gy3F[[#This Row],[Label]])),"Check",TRUE)</f>
        <v>1</v>
      </c>
      <c r="AA31" t="s">
        <v>381</v>
      </c>
      <c r="AB31" t="s">
        <v>357</v>
      </c>
      <c r="AC31" s="318" t="s">
        <v>188</v>
      </c>
      <c r="AD31" s="318" t="s">
        <v>188</v>
      </c>
      <c r="AE31" t="s">
        <v>260</v>
      </c>
      <c r="AF31" t="s">
        <v>383</v>
      </c>
      <c r="AG31" t="s">
        <v>16</v>
      </c>
      <c r="AH31" t="s">
        <v>269</v>
      </c>
      <c r="AJ31" t="s">
        <v>287</v>
      </c>
    </row>
    <row r="32" spans="2:36" x14ac:dyDescent="0.2">
      <c r="B32" s="124" t="s">
        <v>15</v>
      </c>
      <c r="C32" s="91"/>
      <c r="D32" s="91"/>
      <c r="E32" s="122" t="s">
        <v>40</v>
      </c>
      <c r="F32" s="354" t="s">
        <v>46</v>
      </c>
      <c r="G32" s="195" t="s">
        <v>26</v>
      </c>
      <c r="H32" s="91"/>
      <c r="I32" s="91"/>
      <c r="J32" s="99">
        <v>1800</v>
      </c>
      <c r="K32" s="149" t="str">
        <f t="shared" si="2"/>
        <v>??</v>
      </c>
      <c r="L32" s="76" t="s">
        <v>41</v>
      </c>
      <c r="M32" s="77"/>
      <c r="O32" s="316" t="s">
        <v>485</v>
      </c>
      <c r="P32" s="317" t="str">
        <f t="shared" ca="1" si="0"/>
        <v>??</v>
      </c>
      <c r="Q32" t="str">
        <f t="shared" ca="1" si="1"/>
        <v>$F$37</v>
      </c>
      <c r="R32" t="s">
        <v>390</v>
      </c>
      <c r="S32" t="str">
        <f ca="1">SUBSTITUTE(config54Gy3F[[#This Row],[Cell]],"$","")</f>
        <v>F37</v>
      </c>
      <c r="T32" s="318" t="str">
        <f ca="1">VLOOKUP(CELL("format",INDIRECT(config54Gy3F[[#This Row],[Cell]])),FormatLookup[],2,FALSE)</f>
        <v>0.0</v>
      </c>
      <c r="U32" s="318" t="str">
        <f>VLOOKUP(R32,Definitions54Gy3F[],3,FALSE)</f>
        <v>0.0</v>
      </c>
      <c r="V32" s="319" t="str">
        <f>IF(ISBLANK(VLOOKUP(R32,Definitions54Gy3F[],5,FALSE)),"",VLOOKUP(R32,Definitions54Gy3F[],5,FALSE))</f>
        <v>cGy</v>
      </c>
      <c r="W32" t="b">
        <f ca="1">EXACT(config54Gy3F[[#This Row],[Address]],VLOOKUP(config54Gy3F[[#This Row],[Name]],Definitions54Gy3F[],2,FALSE))</f>
        <v>1</v>
      </c>
      <c r="X32" s="319" t="b">
        <f ca="1">IF(EXACT(config54Gy3F[[#This Row],[Extracted Format]],config54Gy3F[[#This Row],[Expected Format]]),TRUE,IF(EXACT(config54Gy3F[[#This Row],[Expected Format]],"@"),"Check",FALSE))</f>
        <v>1</v>
      </c>
      <c r="Y32" s="319" t="b">
        <f>IF(ISERROR(FIND(config54Gy3F[[#This Row],[Units]],config54Gy3F[[#This Row],[Label]])),"Check",TRUE)</f>
        <v>1</v>
      </c>
      <c r="AA32" t="s">
        <v>390</v>
      </c>
      <c r="AB32" t="s">
        <v>362</v>
      </c>
      <c r="AC32" s="318" t="s">
        <v>188</v>
      </c>
      <c r="AD32" s="318" t="s">
        <v>188</v>
      </c>
      <c r="AE32" t="s">
        <v>260</v>
      </c>
      <c r="AF32" t="s">
        <v>392</v>
      </c>
      <c r="AG32" t="s">
        <v>13</v>
      </c>
      <c r="AH32" t="s">
        <v>269</v>
      </c>
      <c r="AJ32" t="s">
        <v>287</v>
      </c>
    </row>
    <row r="33" spans="2:36" x14ac:dyDescent="0.2">
      <c r="B33" s="180" t="s">
        <v>25</v>
      </c>
      <c r="C33" s="102"/>
      <c r="D33" s="102"/>
      <c r="E33" s="123" t="s">
        <v>40</v>
      </c>
      <c r="F33" s="355" t="s">
        <v>46</v>
      </c>
      <c r="G33" s="104"/>
      <c r="H33" s="102"/>
      <c r="I33" s="102"/>
      <c r="J33" s="9">
        <v>2000</v>
      </c>
      <c r="K33" s="149" t="str">
        <f t="shared" si="2"/>
        <v>??</v>
      </c>
      <c r="L33" s="76"/>
      <c r="M33" s="77"/>
      <c r="O33" s="316" t="s">
        <v>486</v>
      </c>
      <c r="P33" s="317" t="str">
        <f t="shared" ca="1" si="0"/>
        <v>??</v>
      </c>
      <c r="Q33" t="str">
        <f t="shared" ca="1" si="1"/>
        <v>$F$38</v>
      </c>
      <c r="R33" t="s">
        <v>399</v>
      </c>
      <c r="S33" t="str">
        <f ca="1">SUBSTITUTE(config54Gy3F[[#This Row],[Cell]],"$","")</f>
        <v>F38</v>
      </c>
      <c r="T33" s="318" t="str">
        <f ca="1">VLOOKUP(CELL("format",INDIRECT(config54Gy3F[[#This Row],[Cell]])),FormatLookup[],2,FALSE)</f>
        <v>0.0</v>
      </c>
      <c r="U33" s="318" t="str">
        <f>VLOOKUP(R33,Definitions54Gy3F[],3,FALSE)</f>
        <v>0.0</v>
      </c>
      <c r="V33" s="319" t="str">
        <f>IF(ISBLANK(VLOOKUP(R33,Definitions54Gy3F[],5,FALSE)),"",VLOOKUP(R33,Definitions54Gy3F[],5,FALSE))</f>
        <v>cGy</v>
      </c>
      <c r="W33" t="b">
        <f ca="1">EXACT(config54Gy3F[[#This Row],[Address]],VLOOKUP(config54Gy3F[[#This Row],[Name]],Definitions54Gy3F[],2,FALSE))</f>
        <v>1</v>
      </c>
      <c r="X33" s="319" t="b">
        <f ca="1">IF(EXACT(config54Gy3F[[#This Row],[Extracted Format]],config54Gy3F[[#This Row],[Expected Format]]),TRUE,IF(EXACT(config54Gy3F[[#This Row],[Expected Format]],"@"),"Check",FALSE))</f>
        <v>1</v>
      </c>
      <c r="Y33" s="319" t="b">
        <f>IF(ISERROR(FIND(config54Gy3F[[#This Row],[Units]],config54Gy3F[[#This Row],[Label]])),"Check",TRUE)</f>
        <v>1</v>
      </c>
      <c r="AA33" t="s">
        <v>399</v>
      </c>
      <c r="AB33" t="s">
        <v>367</v>
      </c>
      <c r="AC33" s="318" t="s">
        <v>188</v>
      </c>
      <c r="AD33" s="318" t="s">
        <v>188</v>
      </c>
      <c r="AE33" t="s">
        <v>260</v>
      </c>
      <c r="AF33" t="s">
        <v>401</v>
      </c>
      <c r="AG33" t="s">
        <v>402</v>
      </c>
      <c r="AH33" t="s">
        <v>269</v>
      </c>
      <c r="AJ33" t="s">
        <v>287</v>
      </c>
    </row>
    <row r="34" spans="2:36" x14ac:dyDescent="0.2">
      <c r="B34" s="124" t="s">
        <v>42</v>
      </c>
      <c r="C34" s="91"/>
      <c r="D34" s="91"/>
      <c r="E34" s="196" t="s">
        <v>40</v>
      </c>
      <c r="F34" s="354" t="s">
        <v>46</v>
      </c>
      <c r="G34" s="98"/>
      <c r="H34" s="91"/>
      <c r="I34" s="91"/>
      <c r="J34" s="99">
        <v>2400</v>
      </c>
      <c r="K34" s="149" t="str">
        <f t="shared" si="2"/>
        <v>??</v>
      </c>
      <c r="L34" s="76" t="s">
        <v>20</v>
      </c>
      <c r="M34" s="77"/>
      <c r="O34" s="316" t="s">
        <v>487</v>
      </c>
      <c r="P34" s="317" t="str">
        <f t="shared" ca="1" si="0"/>
        <v>??</v>
      </c>
      <c r="Q34" t="str">
        <f t="shared" ca="1" si="1"/>
        <v>$F$39</v>
      </c>
      <c r="R34" s="3" t="s">
        <v>408</v>
      </c>
      <c r="S34" t="str">
        <f ca="1">SUBSTITUTE(config54Gy3F[[#This Row],[Cell]],"$","")</f>
        <v>F39</v>
      </c>
      <c r="T34" s="318" t="str">
        <f ca="1">VLOOKUP(CELL("format",INDIRECT(config54Gy3F[[#This Row],[Cell]])),FormatLookup[],2,FALSE)</f>
        <v>0.00</v>
      </c>
      <c r="U34" s="318" t="str">
        <f>VLOOKUP(R34,Definitions54Gy3F[],3,FALSE)</f>
        <v>0.00</v>
      </c>
      <c r="V34" s="319" t="str">
        <f>IF(ISBLANK(VLOOKUP(R34,Definitions54Gy3F[],5,FALSE)),"",VLOOKUP(R34,Definitions54Gy3F[],5,FALSE))</f>
        <v>cc</v>
      </c>
      <c r="W34" t="b">
        <f ca="1">EXACT(config54Gy3F[[#This Row],[Address]],VLOOKUP(config54Gy3F[[#This Row],[Name]],Definitions54Gy3F[],2,FALSE))</f>
        <v>1</v>
      </c>
      <c r="X34" s="319" t="b">
        <f ca="1">IF(EXACT(config54Gy3F[[#This Row],[Extracted Format]],config54Gy3F[[#This Row],[Expected Format]]),TRUE,IF(EXACT(config54Gy3F[[#This Row],[Expected Format]],"@"),"Check",FALSE))</f>
        <v>1</v>
      </c>
      <c r="Y34" s="319" t="b">
        <f>IF(ISERROR(FIND(config54Gy3F[[#This Row],[Units]],config54Gy3F[[#This Row],[Label]])),"Check",TRUE)</f>
        <v>1</v>
      </c>
      <c r="AA34" s="3" t="s">
        <v>488</v>
      </c>
      <c r="AB34" t="s">
        <v>377</v>
      </c>
      <c r="AC34" s="318" t="s">
        <v>190</v>
      </c>
      <c r="AD34" s="318" t="s">
        <v>190</v>
      </c>
      <c r="AE34" t="s">
        <v>267</v>
      </c>
      <c r="AF34" s="3" t="s">
        <v>489</v>
      </c>
      <c r="AG34" t="s">
        <v>402</v>
      </c>
      <c r="AH34" t="s">
        <v>269</v>
      </c>
      <c r="AJ34" s="3" t="s">
        <v>490</v>
      </c>
    </row>
    <row r="35" spans="2:36" ht="14.25" x14ac:dyDescent="0.25">
      <c r="B35" s="197" t="s">
        <v>14</v>
      </c>
      <c r="C35" s="198"/>
      <c r="D35" s="199"/>
      <c r="E35" s="295" t="s">
        <v>92</v>
      </c>
      <c r="F35" s="365" t="s">
        <v>46</v>
      </c>
      <c r="G35" s="200" t="s">
        <v>26</v>
      </c>
      <c r="H35" s="201"/>
      <c r="I35" s="201"/>
      <c r="J35" s="209">
        <v>10</v>
      </c>
      <c r="K35" s="202" t="str">
        <f>IF(F35="??","??",IF(F35&lt;=10,"Yes",IF(F35="OK","Yes","No")))</f>
        <v>??</v>
      </c>
      <c r="L35" s="76" t="s">
        <v>20</v>
      </c>
      <c r="M35" s="77"/>
      <c r="O35" s="316" t="s">
        <v>491</v>
      </c>
      <c r="P35" s="317" t="str">
        <f t="shared" ca="1" si="0"/>
        <v>??</v>
      </c>
      <c r="Q35" t="str">
        <f t="shared" ca="1" si="1"/>
        <v>$F$40</v>
      </c>
      <c r="R35" s="3" t="s">
        <v>488</v>
      </c>
      <c r="S35" t="str">
        <f ca="1">SUBSTITUTE(config54Gy3F[[#This Row],[Cell]],"$","")</f>
        <v>F40</v>
      </c>
      <c r="T35" s="318" t="str">
        <f ca="1">VLOOKUP(CELL("format",INDIRECT(config54Gy3F[[#This Row],[Cell]])),FormatLookup[],2,FALSE)</f>
        <v>0.00</v>
      </c>
      <c r="U35" s="318" t="str">
        <f>VLOOKUP(R35,Definitions54Gy3F[],3,FALSE)</f>
        <v>0.00</v>
      </c>
      <c r="V35" s="319" t="str">
        <f>IF(ISBLANK(VLOOKUP(R35,Definitions54Gy3F[],5,FALSE)),"",VLOOKUP(R35,Definitions54Gy3F[],5,FALSE))</f>
        <v>cc</v>
      </c>
      <c r="W35" t="b">
        <f ca="1">EXACT(config54Gy3F[[#This Row],[Address]],VLOOKUP(config54Gy3F[[#This Row],[Name]],Definitions54Gy3F[],2,FALSE))</f>
        <v>1</v>
      </c>
      <c r="X35" s="319" t="b">
        <f ca="1">IF(EXACT(config54Gy3F[[#This Row],[Extracted Format]],config54Gy3F[[#This Row],[Expected Format]]),TRUE,IF(EXACT(config54Gy3F[[#This Row],[Expected Format]],"@"),"Check",FALSE))</f>
        <v>1</v>
      </c>
      <c r="Y35" s="319" t="b">
        <f>IF(ISERROR(FIND(config54Gy3F[[#This Row],[Units]],config54Gy3F[[#This Row],[Label]])),"Check",TRUE)</f>
        <v>1</v>
      </c>
      <c r="AA35" s="3" t="s">
        <v>408</v>
      </c>
      <c r="AB35" t="s">
        <v>372</v>
      </c>
      <c r="AC35" s="318" t="s">
        <v>190</v>
      </c>
      <c r="AD35" s="318" t="s">
        <v>190</v>
      </c>
      <c r="AE35" t="s">
        <v>267</v>
      </c>
      <c r="AF35" s="3" t="s">
        <v>410</v>
      </c>
      <c r="AG35" t="s">
        <v>402</v>
      </c>
      <c r="AH35" t="s">
        <v>269</v>
      </c>
      <c r="AJ35" s="3" t="s">
        <v>379</v>
      </c>
    </row>
    <row r="36" spans="2:36" x14ac:dyDescent="0.2">
      <c r="B36" s="124" t="s">
        <v>16</v>
      </c>
      <c r="C36" s="91"/>
      <c r="D36" s="91"/>
      <c r="E36" s="122" t="s">
        <v>40</v>
      </c>
      <c r="F36" s="366" t="s">
        <v>46</v>
      </c>
      <c r="G36" s="195" t="s">
        <v>26</v>
      </c>
      <c r="H36" s="91"/>
      <c r="I36" s="91"/>
      <c r="J36" s="99">
        <v>3000</v>
      </c>
      <c r="K36" s="149" t="str">
        <f>IF(F36="??","??",IF(F36&lt;=J36,"Yes","No"))</f>
        <v>??</v>
      </c>
      <c r="L36" s="76" t="s">
        <v>43</v>
      </c>
      <c r="M36" s="77"/>
      <c r="O36" s="316" t="s">
        <v>492</v>
      </c>
      <c r="P36" s="317" t="str">
        <f t="shared" ca="1" si="0"/>
        <v>??</v>
      </c>
      <c r="Q36" t="str">
        <f t="shared" ca="1" si="1"/>
        <v>$F$41</v>
      </c>
      <c r="R36" t="s">
        <v>412</v>
      </c>
      <c r="S36" t="str">
        <f ca="1">SUBSTITUTE(config54Gy3F[[#This Row],[Cell]],"$","")</f>
        <v>F41</v>
      </c>
      <c r="T36" s="318" t="str">
        <f ca="1">VLOOKUP(CELL("format",INDIRECT(config54Gy3F[[#This Row],[Cell]])),FormatLookup[],2,FALSE)</f>
        <v>0.0</v>
      </c>
      <c r="U36" s="318" t="str">
        <f>VLOOKUP(R36,Definitions54Gy3F[],3,FALSE)</f>
        <v>0.0</v>
      </c>
      <c r="V36" s="319" t="str">
        <f>IF(ISBLANK(VLOOKUP(R36,Definitions54Gy3F[],5,FALSE)),"",VLOOKUP(R36,Definitions54Gy3F[],5,FALSE))</f>
        <v>cGy</v>
      </c>
      <c r="W36" t="b">
        <f ca="1">EXACT(config54Gy3F[[#This Row],[Address]],VLOOKUP(config54Gy3F[[#This Row],[Name]],Definitions54Gy3F[],2,FALSE))</f>
        <v>1</v>
      </c>
      <c r="X36" s="319" t="b">
        <f ca="1">IF(EXACT(config54Gy3F[[#This Row],[Extracted Format]],config54Gy3F[[#This Row],[Expected Format]]),TRUE,IF(EXACT(config54Gy3F[[#This Row],[Expected Format]],"@"),"Check",FALSE))</f>
        <v>1</v>
      </c>
      <c r="Y36" s="319" t="b">
        <f>IF(ISERROR(FIND(config54Gy3F[[#This Row],[Units]],config54Gy3F[[#This Row],[Label]])),"Check",TRUE)</f>
        <v>1</v>
      </c>
      <c r="AA36" t="s">
        <v>412</v>
      </c>
      <c r="AB36" t="s">
        <v>382</v>
      </c>
      <c r="AC36" s="318" t="s">
        <v>188</v>
      </c>
      <c r="AD36" s="318" t="s">
        <v>188</v>
      </c>
      <c r="AE36" t="s">
        <v>260</v>
      </c>
      <c r="AF36" t="s">
        <v>414</v>
      </c>
      <c r="AG36" t="s">
        <v>136</v>
      </c>
      <c r="AH36" t="s">
        <v>269</v>
      </c>
      <c r="AJ36" t="s">
        <v>287</v>
      </c>
    </row>
    <row r="37" spans="2:36" x14ac:dyDescent="0.2">
      <c r="B37" s="124" t="s">
        <v>13</v>
      </c>
      <c r="C37" s="91"/>
      <c r="D37" s="91"/>
      <c r="E37" s="122" t="s">
        <v>40</v>
      </c>
      <c r="F37" s="366" t="s">
        <v>46</v>
      </c>
      <c r="G37" s="98"/>
      <c r="H37" s="91"/>
      <c r="I37" s="91"/>
      <c r="J37" s="99">
        <v>2700</v>
      </c>
      <c r="K37" s="149" t="str">
        <f>IF(F37="??","??",IF(F37&lt;=J37,"Yes","No"))</f>
        <v>??</v>
      </c>
      <c r="L37" s="76" t="s">
        <v>20</v>
      </c>
      <c r="M37" s="77"/>
      <c r="O37" s="316" t="s">
        <v>493</v>
      </c>
      <c r="P37" s="317" t="str">
        <f t="shared" ca="1" si="0"/>
        <v>??</v>
      </c>
      <c r="Q37" t="str">
        <f t="shared" ca="1" si="1"/>
        <v>$F$42</v>
      </c>
      <c r="R37" t="s">
        <v>416</v>
      </c>
      <c r="S37" t="str">
        <f ca="1">SUBSTITUTE(config54Gy3F[[#This Row],[Cell]],"$","")</f>
        <v>F42</v>
      </c>
      <c r="T37" s="318" t="str">
        <f ca="1">VLOOKUP(CELL("format",INDIRECT(config54Gy3F[[#This Row],[Cell]])),FormatLookup[],2,FALSE)</f>
        <v>0.0</v>
      </c>
      <c r="U37" s="318" t="str">
        <f>VLOOKUP(R37,Definitions54Gy3F[],3,FALSE)</f>
        <v>0.0</v>
      </c>
      <c r="V37" s="319" t="str">
        <f>IF(ISBLANK(VLOOKUP(R37,Definitions54Gy3F[],5,FALSE)),"",VLOOKUP(R37,Definitions54Gy3F[],5,FALSE))</f>
        <v>cGy</v>
      </c>
      <c r="W37" t="b">
        <f ca="1">EXACT(config54Gy3F[[#This Row],[Address]],VLOOKUP(config54Gy3F[[#This Row],[Name]],Definitions54Gy3F[],2,FALSE))</f>
        <v>1</v>
      </c>
      <c r="X37" s="319" t="b">
        <f ca="1">IF(EXACT(config54Gy3F[[#This Row],[Extracted Format]],config54Gy3F[[#This Row],[Expected Format]]),TRUE,IF(EXACT(config54Gy3F[[#This Row],[Expected Format]],"@"),"Check",FALSE))</f>
        <v>1</v>
      </c>
      <c r="Y37" s="319" t="b">
        <f>IF(ISERROR(FIND(config54Gy3F[[#This Row],[Units]],config54Gy3F[[#This Row],[Label]])),"Check",TRUE)</f>
        <v>1</v>
      </c>
      <c r="AA37" t="s">
        <v>416</v>
      </c>
      <c r="AB37" t="s">
        <v>386</v>
      </c>
      <c r="AC37" s="318" t="s">
        <v>188</v>
      </c>
      <c r="AD37" s="318" t="s">
        <v>188</v>
      </c>
      <c r="AE37" t="s">
        <v>260</v>
      </c>
      <c r="AF37" t="s">
        <v>418</v>
      </c>
      <c r="AG37" t="s">
        <v>419</v>
      </c>
      <c r="AH37" t="s">
        <v>269</v>
      </c>
      <c r="AI37" t="s">
        <v>369</v>
      </c>
      <c r="AJ37" t="s">
        <v>287</v>
      </c>
    </row>
    <row r="38" spans="2:36" x14ac:dyDescent="0.2">
      <c r="B38" s="124" t="s">
        <v>95</v>
      </c>
      <c r="C38" s="91"/>
      <c r="D38" s="91"/>
      <c r="E38" s="122" t="s">
        <v>40</v>
      </c>
      <c r="F38" s="354" t="s">
        <v>46</v>
      </c>
      <c r="G38" s="98"/>
      <c r="H38" s="91"/>
      <c r="I38" s="91"/>
      <c r="J38" s="99">
        <v>3480</v>
      </c>
      <c r="K38" s="149" t="str">
        <f>IF(F38="??","??",IF(F38&lt;=J38,"Yes","No"))</f>
        <v>??</v>
      </c>
      <c r="L38" s="76" t="s">
        <v>41</v>
      </c>
      <c r="M38" s="77"/>
      <c r="O38"/>
      <c r="P38"/>
      <c r="AA38" t="s">
        <v>412</v>
      </c>
      <c r="AB38" t="s">
        <v>382</v>
      </c>
      <c r="AC38" s="318">
        <v>0</v>
      </c>
      <c r="AD38" s="318">
        <v>0</v>
      </c>
      <c r="AE38" t="s">
        <v>260</v>
      </c>
      <c r="AF38" t="s">
        <v>414</v>
      </c>
      <c r="AG38" t="s">
        <v>136</v>
      </c>
      <c r="AH38" t="s">
        <v>269</v>
      </c>
      <c r="AJ38" t="s">
        <v>287</v>
      </c>
    </row>
    <row r="39" spans="2:36" ht="14.25" x14ac:dyDescent="0.25">
      <c r="B39" s="82"/>
      <c r="C39" s="116"/>
      <c r="D39" s="84"/>
      <c r="E39" s="207" t="s">
        <v>92</v>
      </c>
      <c r="F39" s="331" t="str">
        <f>IF(F38&lt;=3000,"OK","??")</f>
        <v>??</v>
      </c>
      <c r="G39" s="104"/>
      <c r="H39" s="102"/>
      <c r="I39" s="102"/>
      <c r="J39" s="9">
        <v>1</v>
      </c>
      <c r="K39" s="202" t="str">
        <f>IF(F39="??","??",IF(F40&lt;=J39,"Yes",IF(F39="OK","Yes","No")))</f>
        <v>??</v>
      </c>
      <c r="L39" s="76" t="s">
        <v>43</v>
      </c>
      <c r="M39" s="77"/>
      <c r="AA39" t="s">
        <v>416</v>
      </c>
      <c r="AB39" t="s">
        <v>386</v>
      </c>
      <c r="AC39" s="318">
        <v>0</v>
      </c>
      <c r="AD39" s="318">
        <v>0</v>
      </c>
      <c r="AE39" t="s">
        <v>260</v>
      </c>
      <c r="AF39" t="s">
        <v>418</v>
      </c>
      <c r="AG39" t="s">
        <v>419</v>
      </c>
      <c r="AH39" t="s">
        <v>269</v>
      </c>
      <c r="AI39" t="s">
        <v>369</v>
      </c>
      <c r="AJ39" t="s">
        <v>287</v>
      </c>
    </row>
    <row r="40" spans="2:36" ht="14.25" x14ac:dyDescent="0.25">
      <c r="B40" s="82"/>
      <c r="C40" s="208"/>
      <c r="D40" s="185" t="s">
        <v>26</v>
      </c>
      <c r="E40" s="189" t="s">
        <v>103</v>
      </c>
      <c r="F40" s="332" t="str">
        <f>IF(F38&lt;=2820,"OK","??")</f>
        <v>??</v>
      </c>
      <c r="G40" s="119"/>
      <c r="H40" s="120"/>
      <c r="I40" s="120"/>
      <c r="J40" s="121">
        <v>30</v>
      </c>
      <c r="K40" s="202" t="str">
        <f>IF(F40="??","??",IF(F40&lt;=J40,"Yes",IF(F40="OK","Yes","No")))</f>
        <v>??</v>
      </c>
      <c r="L40" s="76"/>
      <c r="M40" s="77"/>
    </row>
    <row r="41" spans="2:36" x14ac:dyDescent="0.2">
      <c r="B41" s="154" t="s">
        <v>136</v>
      </c>
      <c r="C41" s="91"/>
      <c r="D41" s="102"/>
      <c r="E41" s="122" t="s">
        <v>40</v>
      </c>
      <c r="F41" s="354" t="s">
        <v>46</v>
      </c>
      <c r="G41" s="98" t="s">
        <v>26</v>
      </c>
      <c r="H41" s="91"/>
      <c r="I41" s="91"/>
      <c r="J41" s="99">
        <v>3000</v>
      </c>
      <c r="K41" s="149" t="str">
        <f>IF(F41="??","??",IF(F41&lt;=J41,"Yes","No"))</f>
        <v>??</v>
      </c>
      <c r="L41" s="76" t="s">
        <v>43</v>
      </c>
      <c r="M41" s="77"/>
    </row>
    <row r="42" spans="2:36" ht="13.5" thickBot="1" x14ac:dyDescent="0.25">
      <c r="B42" s="233" t="s">
        <v>138</v>
      </c>
      <c r="C42" s="79"/>
      <c r="D42" s="79"/>
      <c r="E42" s="234" t="s">
        <v>40</v>
      </c>
      <c r="F42" s="367" t="s">
        <v>46</v>
      </c>
      <c r="G42" s="80"/>
      <c r="H42" s="79"/>
      <c r="I42" s="79"/>
      <c r="J42" s="107">
        <v>3000</v>
      </c>
      <c r="K42" s="150" t="str">
        <f>IF(F42="??","??",IF(F42&lt;=J42,"Yes","No"))</f>
        <v>??</v>
      </c>
      <c r="L42" s="76"/>
      <c r="M42" s="77"/>
    </row>
    <row r="43" spans="2:36" x14ac:dyDescent="0.2">
      <c r="B43" s="77"/>
      <c r="C43" s="77"/>
      <c r="D43" s="77"/>
      <c r="E43" s="127"/>
      <c r="F43" s="127"/>
      <c r="G43" s="127"/>
      <c r="H43" s="77"/>
      <c r="I43" s="77"/>
      <c r="J43" s="127"/>
      <c r="K43" s="127"/>
      <c r="L43" s="76"/>
      <c r="M43" s="77"/>
    </row>
    <row r="44" spans="2:36" x14ac:dyDescent="0.2">
      <c r="B44" s="77"/>
      <c r="C44" s="77"/>
      <c r="D44" s="77"/>
      <c r="E44" s="127"/>
      <c r="F44" s="127"/>
      <c r="G44" s="127"/>
      <c r="H44" s="77"/>
      <c r="I44" s="77"/>
      <c r="J44" s="127"/>
      <c r="K44" s="127"/>
      <c r="L44" s="76"/>
      <c r="M44" s="77"/>
    </row>
    <row r="46" spans="2:36" x14ac:dyDescent="0.2">
      <c r="E46" s="137"/>
      <c r="F46" s="135"/>
      <c r="G46" s="146"/>
      <c r="H46" s="136"/>
      <c r="I46" s="136"/>
      <c r="J46" s="135"/>
      <c r="K46" s="135"/>
    </row>
  </sheetData>
  <sheetProtection formatCells="0"/>
  <mergeCells count="3">
    <mergeCell ref="D27:E27"/>
    <mergeCell ref="D28:E28"/>
    <mergeCell ref="D29:E29"/>
  </mergeCells>
  <phoneticPr fontId="2" type="noConversion"/>
  <conditionalFormatting sqref="K14 K35 K39:K40 K19:K27">
    <cfRule type="containsText" dxfId="105" priority="44" stopIfTrue="1" operator="containsText" text="No">
      <formula>NOT(ISERROR(SEARCH("No",K14)))</formula>
    </cfRule>
  </conditionalFormatting>
  <conditionalFormatting sqref="K30">
    <cfRule type="containsText" dxfId="104" priority="43" stopIfTrue="1" operator="containsText" text="No">
      <formula>NOT(ISERROR(SEARCH("No",K30)))</formula>
    </cfRule>
  </conditionalFormatting>
  <conditionalFormatting sqref="K31">
    <cfRule type="containsText" dxfId="103" priority="42" stopIfTrue="1" operator="containsText" text="No">
      <formula>NOT(ISERROR(SEARCH("No",K31)))</formula>
    </cfRule>
  </conditionalFormatting>
  <conditionalFormatting sqref="K32">
    <cfRule type="containsText" dxfId="102" priority="41" stopIfTrue="1" operator="containsText" text="No">
      <formula>NOT(ISERROR(SEARCH("No",K32)))</formula>
    </cfRule>
  </conditionalFormatting>
  <conditionalFormatting sqref="K33">
    <cfRule type="containsText" dxfId="101" priority="40" stopIfTrue="1" operator="containsText" text="No">
      <formula>NOT(ISERROR(SEARCH("No",K33)))</formula>
    </cfRule>
  </conditionalFormatting>
  <conditionalFormatting sqref="K34">
    <cfRule type="containsText" dxfId="100" priority="39" stopIfTrue="1" operator="containsText" text="No">
      <formula>NOT(ISERROR(SEARCH("No",K34)))</formula>
    </cfRule>
  </conditionalFormatting>
  <conditionalFormatting sqref="K36">
    <cfRule type="containsText" dxfId="99" priority="38" stopIfTrue="1" operator="containsText" text="No">
      <formula>NOT(ISERROR(SEARCH("No",K36)))</formula>
    </cfRule>
  </conditionalFormatting>
  <conditionalFormatting sqref="K37">
    <cfRule type="containsText" dxfId="98" priority="37" stopIfTrue="1" operator="containsText" text="No">
      <formula>NOT(ISERROR(SEARCH("No",K37)))</formula>
    </cfRule>
  </conditionalFormatting>
  <conditionalFormatting sqref="K38">
    <cfRule type="containsText" dxfId="97" priority="36" stopIfTrue="1" operator="containsText" text="No">
      <formula>NOT(ISERROR(SEARCH("No",K38)))</formula>
    </cfRule>
  </conditionalFormatting>
  <conditionalFormatting sqref="K41">
    <cfRule type="containsText" dxfId="96" priority="35" stopIfTrue="1" operator="containsText" text="No">
      <formula>NOT(ISERROR(SEARCH("No",K41)))</formula>
    </cfRule>
  </conditionalFormatting>
  <conditionalFormatting sqref="K13">
    <cfRule type="containsText" dxfId="95" priority="32" stopIfTrue="1" operator="containsText" text="Minor">
      <formula>NOT(ISERROR(SEARCH("Minor",K13)))</formula>
    </cfRule>
    <cfRule type="containsText" dxfId="94" priority="33" stopIfTrue="1" operator="containsText" text="No">
      <formula>NOT(ISERROR(SEARCH("No",K13)))</formula>
    </cfRule>
    <cfRule type="containsText" dxfId="93" priority="34" stopIfTrue="1" operator="containsText" text="Major">
      <formula>NOT(ISERROR(SEARCH("Major",K13)))</formula>
    </cfRule>
  </conditionalFormatting>
  <conditionalFormatting sqref="K28">
    <cfRule type="containsText" dxfId="92" priority="19" stopIfTrue="1" operator="containsText" text="Minor">
      <formula>NOT(ISERROR(SEARCH("Minor",K28)))</formula>
    </cfRule>
    <cfRule type="containsText" dxfId="91" priority="20" stopIfTrue="1" operator="containsText" text="No">
      <formula>NOT(ISERROR(SEARCH("No",K28)))</formula>
    </cfRule>
    <cfRule type="containsText" dxfId="90" priority="21" stopIfTrue="1" operator="containsText" text="Major">
      <formula>NOT(ISERROR(SEARCH("Major",K28)))</formula>
    </cfRule>
  </conditionalFormatting>
  <conditionalFormatting sqref="K29">
    <cfRule type="containsText" dxfId="89" priority="16" stopIfTrue="1" operator="containsText" text="Minor">
      <formula>NOT(ISERROR(SEARCH("Minor",K29)))</formula>
    </cfRule>
    <cfRule type="containsText" dxfId="88" priority="17" stopIfTrue="1" operator="containsText" text="No">
      <formula>NOT(ISERROR(SEARCH("No",K29)))</formula>
    </cfRule>
    <cfRule type="containsText" dxfId="87" priority="18" stopIfTrue="1" operator="containsText" text="Major">
      <formula>NOT(ISERROR(SEARCH("Major",K29)))</formula>
    </cfRule>
  </conditionalFormatting>
  <conditionalFormatting sqref="K20:K27">
    <cfRule type="containsText" dxfId="86" priority="15" stopIfTrue="1" operator="containsText" text="Minor">
      <formula>NOT(ISERROR(SEARCH("Minor",K20)))</formula>
    </cfRule>
    <cfRule type="containsText" dxfId="85" priority="22" stopIfTrue="1" operator="containsText" text="MAJOR">
      <formula>NOT(ISERROR(SEARCH("MAJOR",K20)))</formula>
    </cfRule>
  </conditionalFormatting>
  <conditionalFormatting sqref="K42">
    <cfRule type="containsText" dxfId="84" priority="14" stopIfTrue="1" operator="containsText" text="No">
      <formula>NOT(ISERROR(SEARCH("No",K42)))</formula>
    </cfRule>
  </conditionalFormatting>
  <conditionalFormatting sqref="K15">
    <cfRule type="containsText" dxfId="83" priority="13" stopIfTrue="1" operator="containsText" text="No">
      <formula>NOT(ISERROR(SEARCH("No",K15)))</formula>
    </cfRule>
  </conditionalFormatting>
  <conditionalFormatting sqref="K16">
    <cfRule type="containsText" dxfId="82" priority="10" stopIfTrue="1" operator="containsText" text="Minor">
      <formula>NOT(ISERROR(SEARCH("Minor",K16)))</formula>
    </cfRule>
    <cfRule type="containsText" dxfId="81" priority="11" stopIfTrue="1" operator="containsText" text="No">
      <formula>NOT(ISERROR(SEARCH("No",K16)))</formula>
    </cfRule>
    <cfRule type="containsText" dxfId="80" priority="12" stopIfTrue="1" operator="containsText" text="Major">
      <formula>NOT(ISERROR(SEARCH("Major",K16)))</formula>
    </cfRule>
  </conditionalFormatting>
  <conditionalFormatting sqref="K17">
    <cfRule type="containsText" dxfId="79" priority="7" stopIfTrue="1" operator="containsText" text="Minor">
      <formula>NOT(ISERROR(SEARCH("Minor",K17)))</formula>
    </cfRule>
    <cfRule type="containsText" dxfId="78" priority="8" stopIfTrue="1" operator="containsText" text="No">
      <formula>NOT(ISERROR(SEARCH("No",K17)))</formula>
    </cfRule>
    <cfRule type="containsText" dxfId="77" priority="9" stopIfTrue="1" operator="containsText" text="Major">
      <formula>NOT(ISERROR(SEARCH("Major",K17)))</formula>
    </cfRule>
  </conditionalFormatting>
  <conditionalFormatting sqref="K18">
    <cfRule type="containsText" dxfId="76" priority="4" stopIfTrue="1" operator="containsText" text="Minor">
      <formula>NOT(ISERROR(SEARCH("Minor",K18)))</formula>
    </cfRule>
    <cfRule type="containsText" dxfId="75" priority="5" stopIfTrue="1" operator="containsText" text="No">
      <formula>NOT(ISERROR(SEARCH("No",K18)))</formula>
    </cfRule>
    <cfRule type="containsText" dxfId="74" priority="6" stopIfTrue="1" operator="containsText" text="Major">
      <formula>NOT(ISERROR(SEARCH("Major",K18)))</formula>
    </cfRule>
  </conditionalFormatting>
  <conditionalFormatting sqref="W4:Y37">
    <cfRule type="expression" dxfId="73" priority="1" stopIfTrue="1">
      <formula>W4</formula>
    </cfRule>
    <cfRule type="expression" dxfId="72" priority="2" stopIfTrue="1">
      <formula>EXACT(W4,"Check")</formula>
    </cfRule>
    <cfRule type="expression" dxfId="71" priority="3">
      <formula>W4=FALSE</formula>
    </cfRule>
  </conditionalFormatting>
  <pageMargins left="0.75" right="0.75" top="1" bottom="1" header="0.5" footer="0.5"/>
  <pageSetup scale="81" orientation="portrait" r:id="rId1"/>
  <headerFooter alignWithMargins="0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3"/>
  <sheetViews>
    <sheetView topLeftCell="A7" zoomScaleNormal="100" workbookViewId="0">
      <selection activeCell="AM20" sqref="AM20"/>
    </sheetView>
  </sheetViews>
  <sheetFormatPr defaultRowHeight="12.75" x14ac:dyDescent="0.2"/>
  <cols>
    <col min="1" max="1" width="6.85546875" customWidth="1"/>
    <col min="2" max="2" width="10" customWidth="1"/>
    <col min="3" max="3" width="11.7109375" customWidth="1"/>
    <col min="4" max="4" width="3.85546875" customWidth="1"/>
    <col min="5" max="5" width="8.7109375" style="1" customWidth="1"/>
    <col min="6" max="6" width="19.42578125" style="1" customWidth="1"/>
    <col min="7" max="7" width="18.42578125" style="1" customWidth="1"/>
    <col min="8" max="8" width="3.42578125" hidden="1" customWidth="1"/>
    <col min="9" max="9" width="4.42578125" hidden="1" customWidth="1"/>
    <col min="10" max="10" width="13.85546875" style="1" customWidth="1"/>
    <col min="11" max="11" width="15.5703125" style="1" customWidth="1"/>
    <col min="12" max="12" width="14" style="2" customWidth="1"/>
    <col min="15" max="15" width="43" style="320" hidden="1" customWidth="1"/>
    <col min="16" max="16" width="6.28515625" style="314" hidden="1" customWidth="1"/>
    <col min="17" max="17" width="6.28515625" hidden="1" customWidth="1"/>
    <col min="18" max="18" width="23.140625" hidden="1" customWidth="1"/>
    <col min="19" max="19" width="8.140625" hidden="1" customWidth="1"/>
    <col min="20" max="20" width="16.7109375" hidden="1" customWidth="1"/>
    <col min="21" max="21" width="16.5703125" hidden="1" customWidth="1"/>
    <col min="22" max="22" width="5.5703125" hidden="1" customWidth="1"/>
    <col min="23" max="23" width="14.42578125" hidden="1" customWidth="1"/>
    <col min="24" max="24" width="13.7109375" hidden="1" customWidth="1"/>
    <col min="25" max="25" width="10.7109375" hidden="1" customWidth="1"/>
    <col min="26" max="26" width="9.140625" hidden="1" customWidth="1"/>
    <col min="27" max="27" width="23.140625" hidden="1" customWidth="1"/>
    <col min="28" max="28" width="10.42578125" hidden="1" customWidth="1"/>
    <col min="29" max="29" width="9.7109375" hidden="1" customWidth="1"/>
    <col min="30" max="30" width="19" hidden="1" customWidth="1"/>
    <col min="31" max="31" width="7.7109375" hidden="1" customWidth="1"/>
    <col min="32" max="32" width="35.140625" hidden="1" customWidth="1"/>
    <col min="33" max="33" width="17.5703125" hidden="1" customWidth="1"/>
    <col min="34" max="34" width="12.28515625" hidden="1" customWidth="1"/>
    <col min="35" max="35" width="11.85546875" hidden="1" customWidth="1"/>
    <col min="36" max="36" width="14" hidden="1" customWidth="1"/>
    <col min="37" max="37" width="11.85546875" customWidth="1"/>
  </cols>
  <sheetData>
    <row r="1" spans="2:36" ht="13.5" thickBot="1" x14ac:dyDescent="0.25">
      <c r="O1" s="313"/>
      <c r="T1" t="str">
        <f ca="1">CELL("format",K3)</f>
        <v>G</v>
      </c>
    </row>
    <row r="2" spans="2:36" ht="13.5" thickBot="1" x14ac:dyDescent="0.25">
      <c r="B2" s="241"/>
      <c r="C2" s="242"/>
      <c r="D2" s="242"/>
      <c r="E2" s="243"/>
      <c r="F2" s="297" t="s">
        <v>142</v>
      </c>
      <c r="G2" s="243"/>
      <c r="H2" s="242"/>
      <c r="I2" s="242"/>
      <c r="J2" s="243"/>
      <c r="K2" s="244"/>
      <c r="L2" s="76"/>
      <c r="M2" s="77"/>
      <c r="O2" s="313"/>
    </row>
    <row r="3" spans="2:36" x14ac:dyDescent="0.2">
      <c r="B3" s="87" t="s">
        <v>0</v>
      </c>
      <c r="C3" s="235"/>
      <c r="D3" s="72"/>
      <c r="E3" s="100" t="s">
        <v>117</v>
      </c>
      <c r="F3" s="73"/>
      <c r="G3" s="371"/>
      <c r="H3" s="72"/>
      <c r="I3" s="72"/>
      <c r="J3" s="74" t="s">
        <v>2</v>
      </c>
      <c r="K3" s="236"/>
      <c r="L3" s="76"/>
      <c r="M3" s="77"/>
      <c r="O3" s="315" t="s">
        <v>228</v>
      </c>
      <c r="P3" s="315" t="s">
        <v>229</v>
      </c>
      <c r="Q3" s="315" t="s">
        <v>230</v>
      </c>
      <c r="R3" s="315" t="s">
        <v>231</v>
      </c>
      <c r="S3" s="315" t="s">
        <v>232</v>
      </c>
      <c r="T3" s="315" t="s">
        <v>233</v>
      </c>
      <c r="U3" s="315" t="s">
        <v>234</v>
      </c>
      <c r="V3" s="315" t="s">
        <v>235</v>
      </c>
      <c r="W3" s="315" t="s">
        <v>236</v>
      </c>
      <c r="X3" s="315" t="s">
        <v>237</v>
      </c>
      <c r="Y3" s="315" t="s">
        <v>238</v>
      </c>
      <c r="AA3" t="s">
        <v>231</v>
      </c>
      <c r="AB3" t="s">
        <v>232</v>
      </c>
      <c r="AC3" t="s">
        <v>239</v>
      </c>
      <c r="AD3" t="s">
        <v>233</v>
      </c>
      <c r="AE3" t="s">
        <v>235</v>
      </c>
      <c r="AF3" t="s">
        <v>228</v>
      </c>
      <c r="AG3" t="s">
        <v>240</v>
      </c>
      <c r="AH3" t="s">
        <v>241</v>
      </c>
      <c r="AI3" t="s">
        <v>242</v>
      </c>
      <c r="AJ3" t="s">
        <v>243</v>
      </c>
    </row>
    <row r="4" spans="2:36" ht="13.5" thickBot="1" x14ac:dyDescent="0.25">
      <c r="B4" s="89" t="s">
        <v>1</v>
      </c>
      <c r="C4" s="13"/>
      <c r="D4" s="84"/>
      <c r="E4" s="83" t="s">
        <v>116</v>
      </c>
      <c r="F4" s="85"/>
      <c r="G4" s="323"/>
      <c r="H4" s="84"/>
      <c r="I4" s="84"/>
      <c r="J4" s="86" t="s">
        <v>3</v>
      </c>
      <c r="K4" s="11"/>
      <c r="L4" s="76"/>
      <c r="M4" s="77"/>
      <c r="O4" s="316" t="s">
        <v>0</v>
      </c>
      <c r="P4" s="317">
        <f t="shared" ref="P4:P47" ca="1" si="0">INDIRECT(Q4)</f>
        <v>0</v>
      </c>
      <c r="Q4" t="str">
        <f ca="1">CELL("address",C3)</f>
        <v>$C$3</v>
      </c>
      <c r="R4" t="s">
        <v>244</v>
      </c>
      <c r="S4" t="str">
        <f t="shared" ref="S4:S47" ca="1" si="1">SUBSTITUTE(Q4,"$","")</f>
        <v>C3</v>
      </c>
      <c r="T4" s="318" t="str">
        <f ca="1">VLOOKUP(CELL("format",INDIRECT(Q4)),FormatLookup[],2,FALSE)</f>
        <v>General</v>
      </c>
      <c r="U4" s="318" t="str">
        <f>VLOOKUP(R4,Definitions34Gy1F14[],3,FALSE)</f>
        <v>@</v>
      </c>
      <c r="V4" s="319" t="str">
        <f>IF(ISBLANK(VLOOKUP(R4,Definitions34Gy1F14[],5,FALSE)),"",VLOOKUP(R4,Definitions34Gy1F14[],5,FALSE))</f>
        <v/>
      </c>
      <c r="W4" t="b">
        <f ca="1">EXACT(config34Gy1F13[[#This Row],[Address]],VLOOKUP(config34Gy1F13[[#This Row],[Name]],Definitions34Gy1F14[],2,FALSE))</f>
        <v>1</v>
      </c>
      <c r="X4" s="319" t="str">
        <f ca="1">IF(EXACT(config34Gy1F13[[#This Row],[Extracted Format]],config34Gy1F13[[#This Row],[Expected Format]]),TRUE,IF(EXACT(config34Gy1F13[[#This Row],[Expected Format]],"@"),"Check",FALSE))</f>
        <v>Check</v>
      </c>
      <c r="Y4" s="319" t="b">
        <f>IF(ISERROR(FIND(config34Gy1F13[[#This Row],[Units]],config34Gy1F13[[#This Row],[Label]])),"Check",TRUE)</f>
        <v>1</v>
      </c>
      <c r="AA4" t="s">
        <v>244</v>
      </c>
      <c r="AB4" t="s">
        <v>246</v>
      </c>
      <c r="AC4" s="318" t="s">
        <v>245</v>
      </c>
      <c r="AD4" s="318" t="s">
        <v>245</v>
      </c>
      <c r="AF4" t="s">
        <v>0</v>
      </c>
      <c r="AG4" t="s">
        <v>247</v>
      </c>
      <c r="AH4" t="s">
        <v>248</v>
      </c>
    </row>
    <row r="5" spans="2:36" x14ac:dyDescent="0.2">
      <c r="B5" s="87" t="s">
        <v>9</v>
      </c>
      <c r="C5" s="72"/>
      <c r="D5" s="72"/>
      <c r="E5" s="73"/>
      <c r="F5" s="73"/>
      <c r="G5" s="73"/>
      <c r="H5" s="72"/>
      <c r="I5" s="72"/>
      <c r="J5" s="73"/>
      <c r="K5" s="75"/>
      <c r="L5" s="76"/>
      <c r="M5" s="77"/>
      <c r="O5" s="316" t="s">
        <v>1</v>
      </c>
      <c r="P5" s="317">
        <f t="shared" ca="1" si="0"/>
        <v>0</v>
      </c>
      <c r="Q5" t="str">
        <f ca="1">CELL("address",C4)</f>
        <v>$C$4</v>
      </c>
      <c r="R5" t="s">
        <v>249</v>
      </c>
      <c r="S5" t="str">
        <f t="shared" ca="1" si="1"/>
        <v>C4</v>
      </c>
      <c r="T5" s="318" t="str">
        <f ca="1">VLOOKUP(CELL("format",INDIRECT(Q5)),FormatLookup[],2,FALSE)</f>
        <v>General</v>
      </c>
      <c r="U5" s="318" t="str">
        <f>VLOOKUP(R5,Definitions34Gy1F14[],3,FALSE)</f>
        <v>@</v>
      </c>
      <c r="V5" s="319" t="str">
        <f>IF(ISBLANK(VLOOKUP(R5,Definitions34Gy1F14[],5,FALSE)),"",VLOOKUP(R5,Definitions34Gy1F14[],5,FALSE))</f>
        <v/>
      </c>
      <c r="W5" t="b">
        <f ca="1">EXACT(config34Gy1F13[[#This Row],[Address]],VLOOKUP(config34Gy1F13[[#This Row],[Name]],Definitions34Gy1F14[],2,FALSE))</f>
        <v>1</v>
      </c>
      <c r="X5" s="319" t="str">
        <f ca="1">IF(EXACT(config34Gy1F13[[#This Row],[Extracted Format]],config34Gy1F13[[#This Row],[Expected Format]]),TRUE,IF(EXACT(config34Gy1F13[[#This Row],[Expected Format]],"@"),"Check",FALSE))</f>
        <v>Check</v>
      </c>
      <c r="Y5" s="319" t="b">
        <f>IF(ISERROR(FIND(config34Gy1F13[[#This Row],[Units]],config34Gy1F13[[#This Row],[Label]])),"Check",TRUE)</f>
        <v>1</v>
      </c>
      <c r="AA5" t="s">
        <v>249</v>
      </c>
      <c r="AB5" t="s">
        <v>250</v>
      </c>
      <c r="AC5" s="318" t="s">
        <v>245</v>
      </c>
      <c r="AD5" s="318" t="s">
        <v>245</v>
      </c>
      <c r="AF5" t="s">
        <v>249</v>
      </c>
      <c r="AG5" t="s">
        <v>251</v>
      </c>
      <c r="AH5" t="s">
        <v>248</v>
      </c>
    </row>
    <row r="6" spans="2:36" x14ac:dyDescent="0.2">
      <c r="B6" s="82" t="s">
        <v>4</v>
      </c>
      <c r="C6" s="84"/>
      <c r="D6" s="84"/>
      <c r="E6" s="85"/>
      <c r="F6" s="343" t="s">
        <v>26</v>
      </c>
      <c r="G6" s="85"/>
      <c r="H6" s="84"/>
      <c r="I6" s="84"/>
      <c r="J6" s="85"/>
      <c r="K6" s="88"/>
      <c r="L6" s="76"/>
      <c r="M6" s="226"/>
      <c r="N6" s="227"/>
      <c r="O6" s="316" t="s">
        <v>2</v>
      </c>
      <c r="P6" s="317">
        <f t="shared" ca="1" si="0"/>
        <v>0</v>
      </c>
      <c r="Q6" t="str">
        <f ca="1">CELL("address",K3)</f>
        <v>$K$3</v>
      </c>
      <c r="R6" t="s">
        <v>252</v>
      </c>
      <c r="S6" t="str">
        <f t="shared" ca="1" si="1"/>
        <v>K3</v>
      </c>
      <c r="T6" s="318" t="str">
        <f ca="1">VLOOKUP(CELL("format",INDIRECT(Q6)),FormatLookup[],2,FALSE)</f>
        <v>General</v>
      </c>
      <c r="U6" s="318" t="str">
        <f>VLOOKUP(R6,Definitions34Gy1F14[],3,FALSE)</f>
        <v>@</v>
      </c>
      <c r="V6" s="319" t="str">
        <f>IF(ISBLANK(VLOOKUP(R6,Definitions34Gy1F14[],5,FALSE)),"",VLOOKUP(R6,Definitions34Gy1F14[],5,FALSE))</f>
        <v/>
      </c>
      <c r="W6" t="b">
        <f ca="1">EXACT(config34Gy1F13[[#This Row],[Address]],VLOOKUP(config34Gy1F13[[#This Row],[Name]],Definitions34Gy1F14[],2,FALSE))</f>
        <v>1</v>
      </c>
      <c r="X6" s="319" t="str">
        <f ca="1">IF(EXACT(config34Gy1F13[[#This Row],[Extracted Format]],config34Gy1F13[[#This Row],[Expected Format]]),TRUE,IF(EXACT(config34Gy1F13[[#This Row],[Expected Format]],"@"),"Check",FALSE))</f>
        <v>Check</v>
      </c>
      <c r="Y6" s="319" t="b">
        <f>IF(ISERROR(FIND(config34Gy1F13[[#This Row],[Units]],config34Gy1F13[[#This Row],[Label]])),"Check",TRUE)</f>
        <v>1</v>
      </c>
      <c r="AA6" t="s">
        <v>252</v>
      </c>
      <c r="AB6" t="s">
        <v>253</v>
      </c>
      <c r="AC6" s="318" t="s">
        <v>245</v>
      </c>
      <c r="AD6" s="318" t="s">
        <v>245</v>
      </c>
      <c r="AF6" t="s">
        <v>2</v>
      </c>
      <c r="AG6" t="s">
        <v>254</v>
      </c>
      <c r="AH6" t="s">
        <v>248</v>
      </c>
    </row>
    <row r="7" spans="2:36" x14ac:dyDescent="0.2">
      <c r="B7" s="82" t="s">
        <v>5</v>
      </c>
      <c r="C7" s="84"/>
      <c r="D7" s="84"/>
      <c r="E7" s="85"/>
      <c r="F7" s="343"/>
      <c r="G7" s="85"/>
      <c r="H7" s="84"/>
      <c r="I7" s="84"/>
      <c r="J7" s="85"/>
      <c r="K7" s="88"/>
      <c r="L7" s="76"/>
      <c r="M7" s="226"/>
      <c r="N7" s="227"/>
      <c r="O7" s="316" t="s">
        <v>3</v>
      </c>
      <c r="P7" s="317">
        <f t="shared" ca="1" si="0"/>
        <v>0</v>
      </c>
      <c r="Q7" t="str">
        <f ca="1">CELL("address",K4)</f>
        <v>$K$4</v>
      </c>
      <c r="R7" t="s">
        <v>255</v>
      </c>
      <c r="S7" t="str">
        <f t="shared" ca="1" si="1"/>
        <v>K4</v>
      </c>
      <c r="T7" s="318" t="str">
        <f ca="1">VLOOKUP(CELL("format",INDIRECT(Q7)),FormatLookup[],2,FALSE)</f>
        <v>General</v>
      </c>
      <c r="U7" s="318" t="str">
        <f>VLOOKUP(R7,Definitions34Gy1F14[],3,FALSE)</f>
        <v>@</v>
      </c>
      <c r="V7" s="319" t="str">
        <f>IF(ISBLANK(VLOOKUP(R7,Definitions34Gy1F14[],5,FALSE)),"",VLOOKUP(R7,Definitions34Gy1F14[],5,FALSE))</f>
        <v/>
      </c>
      <c r="W7" t="b">
        <f ca="1">EXACT(config34Gy1F13[[#This Row],[Address]],VLOOKUP(config34Gy1F13[[#This Row],[Name]],Definitions34Gy1F14[],2,FALSE))</f>
        <v>1</v>
      </c>
      <c r="X7" s="319" t="str">
        <f ca="1">IF(EXACT(config34Gy1F13[[#This Row],[Extracted Format]],config34Gy1F13[[#This Row],[Expected Format]]),TRUE,IF(EXACT(config34Gy1F13[[#This Row],[Expected Format]],"@"),"Check",FALSE))</f>
        <v>Check</v>
      </c>
      <c r="Y7" s="319" t="b">
        <f>IF(ISERROR(FIND(config34Gy1F13[[#This Row],[Units]],config34Gy1F13[[#This Row],[Label]])),"Check",TRUE)</f>
        <v>1</v>
      </c>
      <c r="AA7" t="s">
        <v>255</v>
      </c>
      <c r="AB7" t="s">
        <v>256</v>
      </c>
      <c r="AC7" s="318" t="s">
        <v>245</v>
      </c>
      <c r="AD7" s="318" t="s">
        <v>245</v>
      </c>
      <c r="AF7" t="s">
        <v>3</v>
      </c>
      <c r="AG7" t="s">
        <v>257</v>
      </c>
      <c r="AH7" t="s">
        <v>248</v>
      </c>
    </row>
    <row r="8" spans="2:36" x14ac:dyDescent="0.2">
      <c r="B8" s="82" t="s">
        <v>6</v>
      </c>
      <c r="C8" s="84"/>
      <c r="D8" s="84"/>
      <c r="E8" s="85"/>
      <c r="F8" s="342"/>
      <c r="G8" s="85"/>
      <c r="H8" s="84"/>
      <c r="I8" s="84"/>
      <c r="J8" s="85"/>
      <c r="K8" s="88"/>
      <c r="L8" s="76"/>
      <c r="M8" s="226"/>
      <c r="N8" s="227"/>
      <c r="O8" s="316" t="s">
        <v>117</v>
      </c>
      <c r="P8" s="317">
        <f t="shared" ca="1" si="0"/>
        <v>0</v>
      </c>
      <c r="Q8" t="str">
        <f ca="1">CELL("address",G3)</f>
        <v>$G$3</v>
      </c>
      <c r="R8" t="s">
        <v>258</v>
      </c>
      <c r="S8" t="str">
        <f t="shared" ca="1" si="1"/>
        <v>G3</v>
      </c>
      <c r="T8" s="318">
        <f ca="1">VLOOKUP(CELL("format",INDIRECT(Q8)),FormatLookup[],2,FALSE)</f>
        <v>0</v>
      </c>
      <c r="U8" s="318">
        <v>0</v>
      </c>
      <c r="V8" s="319" t="str">
        <f>IF(ISBLANK(VLOOKUP(R8,Definitions34Gy1F14[],5,FALSE)),"",VLOOKUP(R8,Definitions34Gy1F14[],5,FALSE))</f>
        <v>cGy</v>
      </c>
      <c r="W8" t="b">
        <f ca="1">EXACT(config34Gy1F13[[#This Row],[Address]],VLOOKUP(config34Gy1F13[[#This Row],[Name]],Definitions34Gy1F14[],2,FALSE))</f>
        <v>1</v>
      </c>
      <c r="X8" s="319" t="b">
        <f ca="1">IF(EXACT(config34Gy1F13[[#This Row],[Extracted Format]],config34Gy1F13[[#This Row],[Expected Format]]),TRUE,IF(EXACT(config34Gy1F13[[#This Row],[Expected Format]],"@"),"Check",FALSE))</f>
        <v>1</v>
      </c>
      <c r="Y8" s="319" t="b">
        <f>IF(ISERROR(FIND(config34Gy1F13[[#This Row],[Units]],config34Gy1F13[[#This Row],[Label]])),"Check",TRUE)</f>
        <v>1</v>
      </c>
      <c r="AA8" t="s">
        <v>265</v>
      </c>
      <c r="AB8" t="s">
        <v>266</v>
      </c>
      <c r="AC8" s="318" t="s">
        <v>190</v>
      </c>
      <c r="AD8" s="318" t="s">
        <v>190</v>
      </c>
      <c r="AE8" t="s">
        <v>267</v>
      </c>
      <c r="AF8" t="s">
        <v>4</v>
      </c>
      <c r="AG8" t="s">
        <v>268</v>
      </c>
      <c r="AH8" t="s">
        <v>269</v>
      </c>
      <c r="AJ8" t="s">
        <v>29</v>
      </c>
    </row>
    <row r="9" spans="2:36" ht="13.5" thickBot="1" x14ac:dyDescent="0.25">
      <c r="B9" s="78" t="s">
        <v>7</v>
      </c>
      <c r="C9" s="79"/>
      <c r="D9" s="79"/>
      <c r="E9" s="80"/>
      <c r="F9" s="325"/>
      <c r="G9" s="80"/>
      <c r="H9" s="79"/>
      <c r="I9" s="79"/>
      <c r="J9" s="80"/>
      <c r="K9" s="81"/>
      <c r="L9" s="76"/>
      <c r="M9" s="77"/>
      <c r="O9" s="316" t="s">
        <v>116</v>
      </c>
      <c r="P9" s="317">
        <f t="shared" ca="1" si="0"/>
        <v>0</v>
      </c>
      <c r="Q9" t="str">
        <f ca="1">CELL("address",G4)</f>
        <v>$G$4</v>
      </c>
      <c r="R9" t="s">
        <v>262</v>
      </c>
      <c r="S9" t="str">
        <f t="shared" ca="1" si="1"/>
        <v>G4</v>
      </c>
      <c r="T9" s="318">
        <f ca="1">VLOOKUP(CELL("format",INDIRECT(Q9)),FormatLookup[],2,FALSE)</f>
        <v>0</v>
      </c>
      <c r="U9" s="318" t="str">
        <f>VLOOKUP(R9,Definitions34Gy1F14[],3,FALSE)</f>
        <v>0</v>
      </c>
      <c r="V9" s="319" t="str">
        <f>IF(ISBLANK(VLOOKUP(R9,Definitions34Gy1F14[],5,FALSE)),"",VLOOKUP(R9,Definitions34Gy1F14[],5,FALSE))</f>
        <v/>
      </c>
      <c r="W9" t="b">
        <f ca="1">EXACT(config34Gy1F13[[#This Row],[Address]],VLOOKUP(config34Gy1F13[[#This Row],[Name]],Definitions34Gy1F14[],2,FALSE))</f>
        <v>1</v>
      </c>
      <c r="X9" s="319" t="b">
        <f ca="1">IF(EXACT(config34Gy1F13[[#This Row],[Extracted Format]],config34Gy1F13[[#This Row],[Expected Format]]),TRUE,IF(EXACT(config34Gy1F13[[#This Row],[Expected Format]],"@"),"Check",FALSE))</f>
        <v>1</v>
      </c>
      <c r="Y9" s="319" t="b">
        <f>IF(ISERROR(FIND(config34Gy1F13[[#This Row],[Units]],config34Gy1F13[[#This Row],[Label]])),"Check",TRUE)</f>
        <v>1</v>
      </c>
      <c r="AA9" s="3" t="s">
        <v>270</v>
      </c>
      <c r="AB9" t="s">
        <v>271</v>
      </c>
      <c r="AC9" s="318" t="s">
        <v>190</v>
      </c>
      <c r="AD9" s="318" t="s">
        <v>190</v>
      </c>
      <c r="AE9" t="s">
        <v>267</v>
      </c>
      <c r="AF9" t="s">
        <v>5</v>
      </c>
      <c r="AG9" t="s">
        <v>272</v>
      </c>
      <c r="AH9" t="s">
        <v>269</v>
      </c>
      <c r="AJ9" t="s">
        <v>29</v>
      </c>
    </row>
    <row r="10" spans="2:36" x14ac:dyDescent="0.2">
      <c r="B10" s="87" t="s">
        <v>8</v>
      </c>
      <c r="C10" s="72"/>
      <c r="E10" s="253"/>
      <c r="F10" s="155" t="s">
        <v>28</v>
      </c>
      <c r="G10" s="156"/>
      <c r="H10" s="100" t="s">
        <v>26</v>
      </c>
      <c r="I10" s="72"/>
      <c r="J10" s="157" t="s">
        <v>26</v>
      </c>
      <c r="K10" s="158" t="s">
        <v>26</v>
      </c>
      <c r="L10" s="76"/>
      <c r="M10" s="77"/>
      <c r="O10" s="316" t="s">
        <v>4</v>
      </c>
      <c r="P10" s="317" t="str">
        <f t="shared" ca="1" si="0"/>
        <v xml:space="preserve"> </v>
      </c>
      <c r="Q10" t="str">
        <f ca="1">CELL("address",F6)</f>
        <v>$F$6</v>
      </c>
      <c r="R10" t="s">
        <v>265</v>
      </c>
      <c r="S10" t="str">
        <f t="shared" ca="1" si="1"/>
        <v>F6</v>
      </c>
      <c r="T10" s="318" t="str">
        <f ca="1">VLOOKUP(CELL("format",INDIRECT(Q10)),FormatLookup[],2,FALSE)</f>
        <v>0.00</v>
      </c>
      <c r="U10" s="318" t="str">
        <f>VLOOKUP(R10,Definitions34Gy1F14[],3,FALSE)</f>
        <v>0.00</v>
      </c>
      <c r="V10" s="319" t="str">
        <f>IF(ISBLANK(VLOOKUP(R10,Definitions34Gy1F14[],5,FALSE)),"",VLOOKUP(R10,Definitions34Gy1F14[],5,FALSE))</f>
        <v>cc</v>
      </c>
      <c r="W10" t="b">
        <f ca="1">EXACT(config34Gy1F13[[#This Row],[Address]],VLOOKUP(config34Gy1F13[[#This Row],[Name]],Definitions34Gy1F14[],2,FALSE))</f>
        <v>1</v>
      </c>
      <c r="X10" s="319" t="b">
        <f ca="1">IF(EXACT(config34Gy1F13[[#This Row],[Extracted Format]],config34Gy1F13[[#This Row],[Expected Format]]),TRUE,IF(EXACT(config34Gy1F13[[#This Row],[Expected Format]],"@"),"Check",FALSE))</f>
        <v>1</v>
      </c>
      <c r="Y10" s="319" t="b">
        <f>IF(ISERROR(FIND(config34Gy1F13[[#This Row],[Units]],config34Gy1F13[[#This Row],[Label]])),"Check",TRUE)</f>
        <v>1</v>
      </c>
      <c r="AA10" t="s">
        <v>273</v>
      </c>
      <c r="AB10" t="s">
        <v>274</v>
      </c>
      <c r="AC10" s="318" t="s">
        <v>190</v>
      </c>
      <c r="AD10" s="318" t="s">
        <v>190</v>
      </c>
      <c r="AE10" t="s">
        <v>267</v>
      </c>
      <c r="AF10" t="s">
        <v>6</v>
      </c>
      <c r="AG10" t="s">
        <v>275</v>
      </c>
      <c r="AH10" t="s">
        <v>269</v>
      </c>
      <c r="AJ10" t="s">
        <v>29</v>
      </c>
    </row>
    <row r="11" spans="2:36" x14ac:dyDescent="0.2">
      <c r="B11" s="124"/>
      <c r="C11" s="91"/>
      <c r="D11" s="91"/>
      <c r="E11" s="91"/>
      <c r="F11" s="92" t="s">
        <v>124</v>
      </c>
      <c r="G11" s="93" t="s">
        <v>128</v>
      </c>
      <c r="H11" s="94" t="s">
        <v>19</v>
      </c>
      <c r="I11" s="91"/>
      <c r="J11" s="92" t="s">
        <v>18</v>
      </c>
      <c r="K11" s="95" t="s">
        <v>11</v>
      </c>
      <c r="L11" s="96" t="s">
        <v>30</v>
      </c>
      <c r="M11" s="77"/>
      <c r="O11" s="316" t="s">
        <v>5</v>
      </c>
      <c r="P11" s="317">
        <f t="shared" ca="1" si="0"/>
        <v>0</v>
      </c>
      <c r="Q11" t="str">
        <f ca="1">CELL("address",F7)</f>
        <v>$F$7</v>
      </c>
      <c r="R11" t="s">
        <v>270</v>
      </c>
      <c r="S11" t="str">
        <f t="shared" ca="1" si="1"/>
        <v>F7</v>
      </c>
      <c r="T11" s="318" t="str">
        <f ca="1">VLOOKUP(CELL("format",INDIRECT(Q11)),FormatLookup[],2,FALSE)</f>
        <v>0.00</v>
      </c>
      <c r="U11" s="318" t="str">
        <f>VLOOKUP(R11,Definitions34Gy1F14[],3,FALSE)</f>
        <v>0.00</v>
      </c>
      <c r="V11" s="319" t="str">
        <f>IF(ISBLANK(VLOOKUP(R11,Definitions34Gy1F14[],5,FALSE)),"",VLOOKUP(R11,Definitions34Gy1F14[],5,FALSE))</f>
        <v>cc</v>
      </c>
      <c r="W11" t="b">
        <f ca="1">EXACT(config34Gy1F13[[#This Row],[Address]],VLOOKUP(config34Gy1F13[[#This Row],[Name]],Definitions34Gy1F14[],2,FALSE))</f>
        <v>1</v>
      </c>
      <c r="X11" s="319" t="b">
        <f ca="1">IF(EXACT(config34Gy1F13[[#This Row],[Extracted Format]],config34Gy1F13[[#This Row],[Expected Format]]),TRUE,IF(EXACT(config34Gy1F13[[#This Row],[Expected Format]],"@"),"Check",FALSE))</f>
        <v>1</v>
      </c>
      <c r="Y11" s="319" t="b">
        <f>IF(ISERROR(FIND(config34Gy1F13[[#This Row],[Units]],config34Gy1F13[[#This Row],[Label]])),"Check",TRUE)</f>
        <v>1</v>
      </c>
      <c r="AA11" t="s">
        <v>276</v>
      </c>
      <c r="AB11" t="s">
        <v>277</v>
      </c>
      <c r="AC11" s="318" t="s">
        <v>190</v>
      </c>
      <c r="AD11" s="318" t="s">
        <v>190</v>
      </c>
      <c r="AE11" t="s">
        <v>267</v>
      </c>
      <c r="AF11" t="s">
        <v>7</v>
      </c>
      <c r="AG11" t="s">
        <v>141</v>
      </c>
      <c r="AH11" t="s">
        <v>269</v>
      </c>
      <c r="AI11" t="s">
        <v>278</v>
      </c>
      <c r="AJ11" t="s">
        <v>29</v>
      </c>
    </row>
    <row r="12" spans="2:36" x14ac:dyDescent="0.2">
      <c r="B12" s="82"/>
      <c r="C12" s="84"/>
      <c r="D12" s="84"/>
      <c r="E12" s="85"/>
      <c r="F12" s="187" t="s">
        <v>125</v>
      </c>
      <c r="G12" s="90"/>
      <c r="H12" s="83"/>
      <c r="I12" s="84"/>
      <c r="J12" s="97" t="s">
        <v>17</v>
      </c>
      <c r="K12" s="88"/>
      <c r="L12" s="76"/>
      <c r="M12" s="77"/>
      <c r="O12" s="316" t="s">
        <v>6</v>
      </c>
      <c r="P12" s="317">
        <f t="shared" ca="1" si="0"/>
        <v>0</v>
      </c>
      <c r="Q12" t="str">
        <f ca="1">CELL("address",F8)</f>
        <v>$F$8</v>
      </c>
      <c r="R12" t="s">
        <v>273</v>
      </c>
      <c r="S12" t="str">
        <f t="shared" ca="1" si="1"/>
        <v>F8</v>
      </c>
      <c r="T12" s="318" t="str">
        <f ca="1">VLOOKUP(CELL("format",INDIRECT(Q12)),FormatLookup[],2,FALSE)</f>
        <v>0.00</v>
      </c>
      <c r="U12" s="318" t="str">
        <f>VLOOKUP(R12,Definitions34Gy1F14[],3,FALSE)</f>
        <v>0.00</v>
      </c>
      <c r="V12" s="319" t="str">
        <f>IF(ISBLANK(VLOOKUP(R12,Definitions34Gy1F14[],5,FALSE)),"",VLOOKUP(R12,Definitions34Gy1F14[],5,FALSE))</f>
        <v>cc</v>
      </c>
      <c r="W12" t="b">
        <f ca="1">EXACT(config34Gy1F13[[#This Row],[Address]],VLOOKUP(config34Gy1F13[[#This Row],[Name]],Definitions34Gy1F14[],2,FALSE))</f>
        <v>1</v>
      </c>
      <c r="X12" s="319" t="b">
        <f ca="1">IF(EXACT(config34Gy1F13[[#This Row],[Extracted Format]],config34Gy1F13[[#This Row],[Expected Format]]),TRUE,IF(EXACT(config34Gy1F13[[#This Row],[Expected Format]],"@"),"Check",FALSE))</f>
        <v>1</v>
      </c>
      <c r="Y12" s="319" t="b">
        <f>IF(ISERROR(FIND(config34Gy1F13[[#This Row],[Units]],config34Gy1F13[[#This Row],[Label]])),"Check",TRUE)</f>
        <v>1</v>
      </c>
      <c r="AA12" t="s">
        <v>258</v>
      </c>
      <c r="AB12" t="s">
        <v>259</v>
      </c>
      <c r="AC12" s="318" t="s">
        <v>188</v>
      </c>
      <c r="AD12" s="318" t="s">
        <v>264</v>
      </c>
      <c r="AE12" t="s">
        <v>260</v>
      </c>
      <c r="AF12" t="s">
        <v>117</v>
      </c>
      <c r="AG12" t="s">
        <v>261</v>
      </c>
      <c r="AH12" t="s">
        <v>248</v>
      </c>
    </row>
    <row r="13" spans="2:36" x14ac:dyDescent="0.2">
      <c r="B13" s="124" t="s">
        <v>31</v>
      </c>
      <c r="C13" s="91"/>
      <c r="D13" s="91"/>
      <c r="E13" s="98"/>
      <c r="F13" s="344" t="s">
        <v>46</v>
      </c>
      <c r="G13" s="210"/>
      <c r="H13" s="163" t="b">
        <f>AND((G13&gt;59.99%),(G13&lt;95.01%))</f>
        <v>0</v>
      </c>
      <c r="I13" s="91"/>
      <c r="J13" s="161" t="s">
        <v>112</v>
      </c>
      <c r="K13" s="5" t="str">
        <f>IF(F13="??","??",IF((AND((F13&gt;59.99%),(F13&lt;95.01%))),"Yes", "No"))</f>
        <v>??</v>
      </c>
      <c r="L13" s="76"/>
      <c r="M13" s="77"/>
      <c r="O13" s="316" t="s">
        <v>7</v>
      </c>
      <c r="P13" s="317">
        <f t="shared" ca="1" si="0"/>
        <v>0</v>
      </c>
      <c r="Q13" t="str">
        <f ca="1">CELL("address",F9)</f>
        <v>$F$9</v>
      </c>
      <c r="R13" s="3" t="s">
        <v>276</v>
      </c>
      <c r="S13" t="str">
        <f t="shared" ca="1" si="1"/>
        <v>F9</v>
      </c>
      <c r="T13" s="318" t="str">
        <f ca="1">VLOOKUP(CELL("format",INDIRECT(Q13)),FormatLookup[],2,FALSE)</f>
        <v>0.00</v>
      </c>
      <c r="U13" s="318" t="s">
        <v>190</v>
      </c>
      <c r="V13" s="319" t="s">
        <v>267</v>
      </c>
      <c r="W13" t="b">
        <f ca="1">EXACT(config34Gy1F13[[#This Row],[Address]],VLOOKUP(config34Gy1F13[[#This Row],[Name]],Definitions34Gy1F14[],2,FALSE))</f>
        <v>1</v>
      </c>
      <c r="X13" s="319" t="b">
        <f ca="1">IF(EXACT(config34Gy1F13[[#This Row],[Extracted Format]],config34Gy1F13[[#This Row],[Expected Format]]),TRUE,IF(EXACT(config34Gy1F13[[#This Row],[Expected Format]],"@"),"Check",FALSE))</f>
        <v>1</v>
      </c>
      <c r="Y13" s="319" t="b">
        <f>IF(ISERROR(FIND(config34Gy1F13[[#This Row],[Units]],config34Gy1F13[[#This Row],[Label]])),"Check",TRUE)</f>
        <v>1</v>
      </c>
      <c r="AA13" t="s">
        <v>262</v>
      </c>
      <c r="AB13" t="s">
        <v>263</v>
      </c>
      <c r="AC13" s="318" t="s">
        <v>264</v>
      </c>
      <c r="AD13" s="318" t="s">
        <v>264</v>
      </c>
      <c r="AF13" t="s">
        <v>116</v>
      </c>
      <c r="AH13" t="s">
        <v>248</v>
      </c>
    </row>
    <row r="14" spans="2:36" ht="13.5" thickBot="1" x14ac:dyDescent="0.25">
      <c r="B14" s="124"/>
      <c r="C14" s="91"/>
      <c r="D14" s="91"/>
      <c r="E14" s="98"/>
      <c r="F14" s="212"/>
      <c r="G14" s="162"/>
      <c r="H14" s="163"/>
      <c r="I14" s="91"/>
      <c r="J14" s="99"/>
      <c r="K14" s="5"/>
      <c r="L14" s="76" t="s">
        <v>137</v>
      </c>
      <c r="M14" s="77"/>
      <c r="O14" s="316" t="s">
        <v>31</v>
      </c>
      <c r="P14" s="317" t="str">
        <f t="shared" ca="1" si="0"/>
        <v>??</v>
      </c>
      <c r="Q14" t="str">
        <f ca="1">CELL("address",F13)</f>
        <v>$F$13</v>
      </c>
      <c r="R14" t="s">
        <v>279</v>
      </c>
      <c r="S14" t="str">
        <f t="shared" ca="1" si="1"/>
        <v>F13</v>
      </c>
      <c r="T14" s="318" t="str">
        <f ca="1">VLOOKUP(CELL("format",INDIRECT(Q14)),FormatLookup[],2,FALSE)</f>
        <v>0.0%</v>
      </c>
      <c r="U14" s="318" t="str">
        <f>VLOOKUP(R14,Definitions34Gy1F14[],3,FALSE)</f>
        <v>0.0%</v>
      </c>
      <c r="V14" s="319" t="str">
        <f>IF(ISBLANK(VLOOKUP(R14,Definitions34Gy1F14[],5,FALSE)),"",VLOOKUP(R14,Definitions34Gy1F14[],5,FALSE))</f>
        <v>%</v>
      </c>
      <c r="W14" t="b">
        <f ca="1">EXACT(config34Gy1F13[[#This Row],[Address]],VLOOKUP(config34Gy1F13[[#This Row],[Name]],Definitions34Gy1F14[],2,FALSE))</f>
        <v>1</v>
      </c>
      <c r="X14" s="319" t="b">
        <f ca="1">IF(EXACT(config34Gy1F13[[#This Row],[Extracted Format]],config34Gy1F13[[#This Row],[Expected Format]]),TRUE,IF(EXACT(config34Gy1F13[[#This Row],[Expected Format]],"@"),"Check",FALSE))</f>
        <v>1</v>
      </c>
      <c r="Y14" s="319" t="b">
        <f>IF(ISERROR(FIND(config34Gy1F13[[#This Row],[Units]],config34Gy1F13[[#This Row],[Label]])),"Check",TRUE)</f>
        <v>1</v>
      </c>
      <c r="AA14" t="s">
        <v>279</v>
      </c>
      <c r="AB14" t="s">
        <v>280</v>
      </c>
      <c r="AC14" s="318" t="s">
        <v>204</v>
      </c>
      <c r="AD14" s="318" t="s">
        <v>204</v>
      </c>
      <c r="AE14" t="s">
        <v>281</v>
      </c>
      <c r="AF14" t="s">
        <v>31</v>
      </c>
      <c r="AH14" t="s">
        <v>248</v>
      </c>
    </row>
    <row r="15" spans="2:36" x14ac:dyDescent="0.2">
      <c r="B15" s="288" t="s">
        <v>21</v>
      </c>
      <c r="C15" s="219"/>
      <c r="D15" s="219"/>
      <c r="E15" s="289"/>
      <c r="F15" s="290"/>
      <c r="G15" s="291"/>
      <c r="H15" s="292"/>
      <c r="I15" s="219"/>
      <c r="J15" s="291"/>
      <c r="K15" s="293"/>
      <c r="L15" s="76"/>
      <c r="M15" s="77"/>
      <c r="O15" s="316" t="s">
        <v>282</v>
      </c>
      <c r="P15" s="317" t="str">
        <f t="shared" ca="1" si="0"/>
        <v>??</v>
      </c>
      <c r="Q15" t="str">
        <f ca="1">CELL("address",F16)</f>
        <v>$F$16</v>
      </c>
      <c r="R15" t="s">
        <v>283</v>
      </c>
      <c r="S15" t="str">
        <f t="shared" ca="1" si="1"/>
        <v>F16</v>
      </c>
      <c r="T15" s="318" t="str">
        <f ca="1">VLOOKUP(CELL("format",INDIRECT(Q15)),FormatLookup[],2,FALSE)</f>
        <v>0.0%</v>
      </c>
      <c r="U15" s="318" t="str">
        <f>VLOOKUP(R15,Definitions34Gy1F14[],3,FALSE)</f>
        <v>0.0%</v>
      </c>
      <c r="V15" s="319" t="str">
        <f>IF(ISBLANK(VLOOKUP(R15,Definitions34Gy1F14[],5,FALSE)),"",VLOOKUP(R15,Definitions34Gy1F14[],5,FALSE))</f>
        <v>%</v>
      </c>
      <c r="W15" t="b">
        <f ca="1">EXACT(config34Gy1F13[[#This Row],[Address]],VLOOKUP(config34Gy1F13[[#This Row],[Name]],Definitions34Gy1F14[],2,FALSE))</f>
        <v>1</v>
      </c>
      <c r="X15" s="319" t="b">
        <f ca="1">IF(EXACT(config34Gy1F13[[#This Row],[Extracted Format]],config34Gy1F13[[#This Row],[Expected Format]]),TRUE,IF(EXACT(config34Gy1F13[[#This Row],[Expected Format]],"@"),"Check",FALSE))</f>
        <v>1</v>
      </c>
      <c r="Y15" s="319" t="b">
        <f>IF(ISERROR(FIND(config34Gy1F13[[#This Row],[Units]],config34Gy1F13[[#This Row],[Label]])),"Check",TRUE)</f>
        <v>1</v>
      </c>
      <c r="AA15" t="s">
        <v>284</v>
      </c>
      <c r="AB15" t="s">
        <v>285</v>
      </c>
      <c r="AC15" s="318" t="s">
        <v>204</v>
      </c>
      <c r="AD15" s="318" t="s">
        <v>204</v>
      </c>
      <c r="AE15" t="s">
        <v>281</v>
      </c>
      <c r="AF15" t="s">
        <v>440</v>
      </c>
      <c r="AG15" t="s">
        <v>275</v>
      </c>
      <c r="AH15" t="s">
        <v>269</v>
      </c>
      <c r="AJ15" t="s">
        <v>287</v>
      </c>
    </row>
    <row r="16" spans="2:36" x14ac:dyDescent="0.2">
      <c r="B16" s="148" t="s">
        <v>171</v>
      </c>
      <c r="C16" s="84"/>
      <c r="D16" s="84"/>
      <c r="E16" s="85"/>
      <c r="F16" s="346" t="s">
        <v>46</v>
      </c>
      <c r="G16" s="286"/>
      <c r="H16" s="120"/>
      <c r="I16" s="120"/>
      <c r="J16" s="287">
        <v>0.95</v>
      </c>
      <c r="K16" s="217" t="str">
        <f>IF(F16="??","??",(IF(F16&gt;=95%,"Yes","No")))</f>
        <v>??</v>
      </c>
      <c r="L16" s="173" t="s">
        <v>149</v>
      </c>
      <c r="M16" s="77"/>
      <c r="O16" s="316" t="s">
        <v>288</v>
      </c>
      <c r="P16" s="317" t="str">
        <f t="shared" ca="1" si="0"/>
        <v>??</v>
      </c>
      <c r="Q16" t="str">
        <f ca="1">CELL("address",F17)</f>
        <v>$F$17</v>
      </c>
      <c r="R16" t="s">
        <v>289</v>
      </c>
      <c r="S16" t="str">
        <f t="shared" ca="1" si="1"/>
        <v>F17</v>
      </c>
      <c r="T16" s="318" t="str">
        <f ca="1">VLOOKUP(CELL("format",INDIRECT(Q16)),FormatLookup[],2,FALSE)</f>
        <v>0.0%</v>
      </c>
      <c r="U16" s="318" t="str">
        <f>VLOOKUP(R16,Definitions34Gy1F14[],3,FALSE)</f>
        <v>0.0%</v>
      </c>
      <c r="V16" s="319" t="str">
        <f>IF(ISBLANK(VLOOKUP(R16,Definitions34Gy1F14[],5,FALSE)),"",VLOOKUP(R16,Definitions34Gy1F14[],5,FALSE))</f>
        <v>%</v>
      </c>
      <c r="W16" t="b">
        <f ca="1">EXACT(config34Gy1F13[[#This Row],[Address]],VLOOKUP(config34Gy1F13[[#This Row],[Name]],Definitions34Gy1F14[],2,FALSE))</f>
        <v>1</v>
      </c>
      <c r="X16" s="319" t="b">
        <f ca="1">IF(EXACT(config34Gy1F13[[#This Row],[Extracted Format]],config34Gy1F13[[#This Row],[Expected Format]]),TRUE,IF(EXACT(config34Gy1F13[[#This Row],[Expected Format]],"@"),"Check",FALSE))</f>
        <v>1</v>
      </c>
      <c r="Y16" s="319" t="b">
        <f>IF(ISERROR(FIND(config34Gy1F13[[#This Row],[Units]],config34Gy1F13[[#This Row],[Label]])),"Check",TRUE)</f>
        <v>1</v>
      </c>
      <c r="AA16" t="s">
        <v>283</v>
      </c>
      <c r="AB16" t="s">
        <v>290</v>
      </c>
      <c r="AC16" s="318" t="s">
        <v>204</v>
      </c>
      <c r="AD16" s="318" t="s">
        <v>204</v>
      </c>
      <c r="AE16" t="s">
        <v>281</v>
      </c>
      <c r="AF16" t="s">
        <v>282</v>
      </c>
      <c r="AG16" t="s">
        <v>275</v>
      </c>
      <c r="AH16" t="s">
        <v>269</v>
      </c>
      <c r="AJ16" t="s">
        <v>441</v>
      </c>
    </row>
    <row r="17" spans="1:36" x14ac:dyDescent="0.2">
      <c r="B17" s="148" t="s">
        <v>172</v>
      </c>
      <c r="C17" s="84"/>
      <c r="D17" s="84"/>
      <c r="E17" s="85"/>
      <c r="F17" s="347" t="s">
        <v>46</v>
      </c>
      <c r="G17" s="299"/>
      <c r="H17" s="300"/>
      <c r="I17" s="102"/>
      <c r="J17" s="301">
        <v>0.99</v>
      </c>
      <c r="K17" s="149" t="str">
        <f>IF(F17="??","??",(IF(F17&gt;=99%,"Yes","No")))</f>
        <v>??</v>
      </c>
      <c r="L17" s="173" t="s">
        <v>150</v>
      </c>
      <c r="M17" s="77"/>
      <c r="O17" s="316" t="s">
        <v>286</v>
      </c>
      <c r="P17" s="317" t="str">
        <f t="shared" ca="1" si="0"/>
        <v>??</v>
      </c>
      <c r="Q17" t="str">
        <f ca="1">CELL("address",F18)</f>
        <v>$F$18</v>
      </c>
      <c r="R17" t="s">
        <v>284</v>
      </c>
      <c r="S17" t="str">
        <f t="shared" ca="1" si="1"/>
        <v>F18</v>
      </c>
      <c r="T17" s="318" t="str">
        <f ca="1">VLOOKUP(CELL("format",INDIRECT(Q17)),FormatLookup[],2,FALSE)</f>
        <v>0.0%</v>
      </c>
      <c r="U17" s="318" t="s">
        <v>204</v>
      </c>
      <c r="V17" s="319" t="s">
        <v>281</v>
      </c>
      <c r="W17" t="b">
        <f ca="1">EXACT(config34Gy1F13[[#This Row],[Address]],VLOOKUP(config34Gy1F13[[#This Row],[Name]],Definitions34Gy1F14[],2,FALSE))</f>
        <v>1</v>
      </c>
      <c r="X17" s="319" t="b">
        <f ca="1">IF(EXACT(config34Gy1F13[[#This Row],[Extracted Format]],config34Gy1F13[[#This Row],[Expected Format]]),TRUE,IF(EXACT(config34Gy1F13[[#This Row],[Expected Format]],"@"),"Check",FALSE))</f>
        <v>1</v>
      </c>
      <c r="Y17" s="319" t="b">
        <f>IF(ISERROR(FIND(config34Gy1F13[[#This Row],[Units]],config34Gy1F13[[#This Row],[Label]])),"Check",TRUE)</f>
        <v>1</v>
      </c>
      <c r="AA17" t="s">
        <v>289</v>
      </c>
      <c r="AB17" t="s">
        <v>292</v>
      </c>
      <c r="AC17" s="318" t="s">
        <v>204</v>
      </c>
      <c r="AD17" s="318" t="s">
        <v>204</v>
      </c>
      <c r="AE17" t="s">
        <v>281</v>
      </c>
      <c r="AF17" t="s">
        <v>288</v>
      </c>
      <c r="AG17" t="s">
        <v>275</v>
      </c>
      <c r="AH17" t="s">
        <v>269</v>
      </c>
      <c r="AJ17" t="s">
        <v>443</v>
      </c>
    </row>
    <row r="18" spans="1:36" ht="13.5" thickBot="1" x14ac:dyDescent="0.25">
      <c r="B18" s="233" t="s">
        <v>173</v>
      </c>
      <c r="C18" s="79"/>
      <c r="D18" s="79"/>
      <c r="E18" s="80"/>
      <c r="F18" s="348" t="s">
        <v>46</v>
      </c>
      <c r="G18" s="281"/>
      <c r="H18" s="282" t="b">
        <f>AND((G18&gt;59.99%),(G18&lt;95.01%))</f>
        <v>0</v>
      </c>
      <c r="I18" s="79"/>
      <c r="J18" s="283" t="s">
        <v>169</v>
      </c>
      <c r="K18" s="8" t="str">
        <f>IF(F18="??","??",IF((AND((F18&gt;=111%),(F18&lt;=140%))),"Yes", "No"))</f>
        <v>??</v>
      </c>
      <c r="L18" s="173"/>
      <c r="M18" s="77"/>
      <c r="O18" s="316" t="s">
        <v>294</v>
      </c>
      <c r="P18" s="317" t="str">
        <f t="shared" ca="1" si="0"/>
        <v>??</v>
      </c>
      <c r="Q18" t="str">
        <f ca="1">CELL("address",F20)</f>
        <v>$F$20</v>
      </c>
      <c r="R18" t="s">
        <v>295</v>
      </c>
      <c r="S18" t="str">
        <f t="shared" ca="1" si="1"/>
        <v>F20</v>
      </c>
      <c r="T18" s="318" t="str">
        <f ca="1">VLOOKUP(CELL("format",INDIRECT(Q18)),FormatLookup[],2,FALSE)</f>
        <v>0.00</v>
      </c>
      <c r="U18" s="318" t="s">
        <v>190</v>
      </c>
      <c r="V18" s="319" t="s">
        <v>267</v>
      </c>
      <c r="W18" t="b">
        <f ca="1">EXACT(config34Gy1F13[[#This Row],[Address]],VLOOKUP(config34Gy1F13[[#This Row],[Name]],Definitions34Gy1F14[],2,FALSE))</f>
        <v>1</v>
      </c>
      <c r="X18" s="319" t="b">
        <f ca="1">IF(EXACT(config34Gy1F13[[#This Row],[Extracted Format]],config34Gy1F13[[#This Row],[Expected Format]]),TRUE,IF(EXACT(config34Gy1F13[[#This Row],[Expected Format]],"@"),"Check",FALSE))</f>
        <v>1</v>
      </c>
      <c r="Y18" s="319" t="b">
        <f>IF(ISERROR(FIND(config34Gy1F13[[#This Row],[Units]],config34Gy1F13[[#This Row],[Label]])),"Check",TRUE)</f>
        <v>1</v>
      </c>
      <c r="AA18" t="s">
        <v>295</v>
      </c>
      <c r="AB18" t="s">
        <v>296</v>
      </c>
      <c r="AC18" s="318" t="s">
        <v>190</v>
      </c>
      <c r="AD18" s="318" t="s">
        <v>190</v>
      </c>
      <c r="AE18" t="s">
        <v>267</v>
      </c>
      <c r="AF18" t="s">
        <v>297</v>
      </c>
      <c r="AG18" t="s">
        <v>298</v>
      </c>
      <c r="AH18" t="s">
        <v>269</v>
      </c>
      <c r="AJ18" t="s">
        <v>29</v>
      </c>
    </row>
    <row r="19" spans="1:36" x14ac:dyDescent="0.2">
      <c r="B19" s="89" t="s">
        <v>177</v>
      </c>
      <c r="C19" s="219"/>
      <c r="D19" s="219"/>
      <c r="E19" s="291"/>
      <c r="F19" s="291"/>
      <c r="G19" s="294"/>
      <c r="H19" s="219"/>
      <c r="I19" s="219"/>
      <c r="J19" s="277"/>
      <c r="K19" s="293"/>
      <c r="L19" s="76"/>
      <c r="M19" s="77"/>
      <c r="O19" s="316" t="s">
        <v>299</v>
      </c>
      <c r="P19" s="317" t="str">
        <f t="shared" ca="1" si="0"/>
        <v>??</v>
      </c>
      <c r="Q19" t="str">
        <f ca="1">CELL("address",F21)</f>
        <v>$F$21</v>
      </c>
      <c r="R19" t="s">
        <v>300</v>
      </c>
      <c r="S19" t="str">
        <f t="shared" ca="1" si="1"/>
        <v>F21</v>
      </c>
      <c r="T19" s="318" t="str">
        <f ca="1">VLOOKUP(CELL("format",INDIRECT(Q19)),FormatLookup[],2,FALSE)</f>
        <v>0.00</v>
      </c>
      <c r="U19" s="318" t="s">
        <v>190</v>
      </c>
      <c r="V19" s="319" t="s">
        <v>267</v>
      </c>
      <c r="W19" t="b">
        <f ca="1">EXACT(config34Gy1F13[[#This Row],[Address]],VLOOKUP(config34Gy1F13[[#This Row],[Name]],Definitions34Gy1F14[],2,FALSE))</f>
        <v>1</v>
      </c>
      <c r="X19" s="319" t="b">
        <f ca="1">IF(EXACT(config34Gy1F13[[#This Row],[Extracted Format]],config34Gy1F13[[#This Row],[Expected Format]]),TRUE,IF(EXACT(config34Gy1F13[[#This Row],[Expected Format]],"@"),"Check",FALSE))</f>
        <v>1</v>
      </c>
      <c r="Y19" s="319" t="b">
        <f>IF(ISERROR(FIND(config34Gy1F13[[#This Row],[Units]],config34Gy1F13[[#This Row],[Label]])),"Check",TRUE)</f>
        <v>1</v>
      </c>
      <c r="AA19" t="s">
        <v>300</v>
      </c>
      <c r="AB19" t="s">
        <v>301</v>
      </c>
      <c r="AC19" s="318" t="s">
        <v>190</v>
      </c>
      <c r="AD19" s="318" t="s">
        <v>190</v>
      </c>
      <c r="AE19" t="s">
        <v>267</v>
      </c>
      <c r="AF19" t="s">
        <v>302</v>
      </c>
      <c r="AG19" t="s">
        <v>303</v>
      </c>
      <c r="AH19" t="s">
        <v>269</v>
      </c>
      <c r="AJ19" t="s">
        <v>29</v>
      </c>
    </row>
    <row r="20" spans="1:36" ht="15.75" x14ac:dyDescent="0.3">
      <c r="B20" s="252" t="s">
        <v>27</v>
      </c>
      <c r="C20" s="102" t="s">
        <v>87</v>
      </c>
      <c r="D20" s="102"/>
      <c r="E20" s="104"/>
      <c r="F20" s="349" t="s">
        <v>46</v>
      </c>
      <c r="G20" s="139" t="e">
        <f>F20/F8</f>
        <v>#VALUE!</v>
      </c>
      <c r="H20" s="102"/>
      <c r="I20" s="102"/>
      <c r="J20" s="9" t="s">
        <v>10</v>
      </c>
      <c r="K20" s="7" t="e">
        <f>IF(G20&lt;=15%,"Yes","No")</f>
        <v>#VALUE!</v>
      </c>
      <c r="L20" s="112" t="s">
        <v>151</v>
      </c>
      <c r="M20" s="77"/>
      <c r="O20" s="316" t="s">
        <v>304</v>
      </c>
      <c r="P20" s="317" t="str">
        <f t="shared" ca="1" si="0"/>
        <v>??</v>
      </c>
      <c r="Q20" t="str">
        <f ca="1">CELL("address",F23)</f>
        <v>$F$23</v>
      </c>
      <c r="R20" t="s">
        <v>305</v>
      </c>
      <c r="S20" t="str">
        <f t="shared" ca="1" si="1"/>
        <v>F23</v>
      </c>
      <c r="T20" s="318" t="str">
        <f ca="1">VLOOKUP(CELL("format",INDIRECT(Q20)),FormatLookup[],2,FALSE)</f>
        <v>0.0%</v>
      </c>
      <c r="U20" s="318" t="s">
        <v>204</v>
      </c>
      <c r="V20" s="319" t="str">
        <f>IF(ISBLANK(VLOOKUP(R20,Definitions34Gy1F14[],5,FALSE)),"",VLOOKUP(R20,Definitions34Gy1F14[],5,FALSE))</f>
        <v>%</v>
      </c>
      <c r="W20" t="b">
        <f ca="1">EXACT(config34Gy1F13[[#This Row],[Address]],VLOOKUP(config34Gy1F13[[#This Row],[Name]],Definitions34Gy1F14[],2,FALSE))</f>
        <v>1</v>
      </c>
      <c r="X20" s="319" t="b">
        <f ca="1">IF(EXACT(config34Gy1F13[[#This Row],[Extracted Format]],config34Gy1F13[[#This Row],[Expected Format]]),TRUE,IF(EXACT(config34Gy1F13[[#This Row],[Expected Format]],"@"),"Check",FALSE))</f>
        <v>1</v>
      </c>
      <c r="Y20" s="319" t="b">
        <f>IF(ISERROR(FIND(config34Gy1F13[[#This Row],[Units]],config34Gy1F13[[#This Row],[Label]])),"Check",TRUE)</f>
        <v>1</v>
      </c>
      <c r="AA20" t="s">
        <v>305</v>
      </c>
      <c r="AB20" t="s">
        <v>306</v>
      </c>
      <c r="AC20" s="318" t="s">
        <v>204</v>
      </c>
      <c r="AD20" s="318" t="s">
        <v>204</v>
      </c>
      <c r="AE20" t="s">
        <v>281</v>
      </c>
      <c r="AF20" t="s">
        <v>307</v>
      </c>
      <c r="AG20" t="s">
        <v>308</v>
      </c>
      <c r="AH20" t="s">
        <v>269</v>
      </c>
      <c r="AJ20" t="s">
        <v>287</v>
      </c>
    </row>
    <row r="21" spans="1:36" ht="16.5" thickBot="1" x14ac:dyDescent="0.35">
      <c r="B21" s="105" t="s">
        <v>29</v>
      </c>
      <c r="C21" s="79" t="s">
        <v>86</v>
      </c>
      <c r="D21" s="79"/>
      <c r="E21" s="80"/>
      <c r="F21" s="350" t="s">
        <v>46</v>
      </c>
      <c r="G21" s="140" t="e">
        <f>'Calculations 34Gy 1F'!J31</f>
        <v>#VALUE!</v>
      </c>
      <c r="H21" s="106" t="s">
        <v>26</v>
      </c>
      <c r="I21" s="79"/>
      <c r="J21" s="107" t="s">
        <v>12</v>
      </c>
      <c r="K21" s="71" t="e">
        <f ca="1">'Calculations 34Gy 1F'!K31</f>
        <v>#VALUE!</v>
      </c>
      <c r="L21" s="76" t="s">
        <v>37</v>
      </c>
      <c r="M21" s="77"/>
      <c r="O21" s="316" t="s">
        <v>309</v>
      </c>
      <c r="P21" s="317" t="str">
        <f t="shared" ca="1" si="0"/>
        <v>??</v>
      </c>
      <c r="Q21" t="str">
        <f ca="1">CELL("address",F24)</f>
        <v>$F$24</v>
      </c>
      <c r="R21" t="s">
        <v>310</v>
      </c>
      <c r="S21" t="str">
        <f t="shared" ca="1" si="1"/>
        <v>F24</v>
      </c>
      <c r="T21" s="318" t="str">
        <f ca="1">VLOOKUP(CELL("format",INDIRECT(Q21)),FormatLookup[],2,FALSE)</f>
        <v>0.00</v>
      </c>
      <c r="U21" s="318" t="str">
        <f>VLOOKUP(R21,Definitions34Gy1F14[],3,FALSE)</f>
        <v>0.00</v>
      </c>
      <c r="V21" s="319" t="str">
        <f>IF(ISBLANK(VLOOKUP(R21,Definitions34Gy1F14[],5,FALSE)),"",VLOOKUP(R21,Definitions34Gy1F14[],5,FALSE))</f>
        <v>cc</v>
      </c>
      <c r="W21" t="b">
        <f ca="1">EXACT(config34Gy1F13[[#This Row],[Address]],VLOOKUP(config34Gy1F13[[#This Row],[Name]],Definitions34Gy1F14[],2,FALSE))</f>
        <v>1</v>
      </c>
      <c r="X21" s="319" t="b">
        <f ca="1">IF(EXACT(config34Gy1F13[[#This Row],[Extracted Format]],config34Gy1F13[[#This Row],[Expected Format]]),TRUE,IF(EXACT(config34Gy1F13[[#This Row],[Expected Format]],"@"),"Check",FALSE))</f>
        <v>1</v>
      </c>
      <c r="Y21" s="319" t="b">
        <f>IF(ISERROR(FIND(config34Gy1F13[[#This Row],[Units]],config34Gy1F13[[#This Row],[Label]])),"Check",TRUE)</f>
        <v>1</v>
      </c>
      <c r="AA21" t="s">
        <v>310</v>
      </c>
      <c r="AB21" t="s">
        <v>311</v>
      </c>
      <c r="AC21" s="318" t="s">
        <v>190</v>
      </c>
      <c r="AD21" s="318" t="s">
        <v>190</v>
      </c>
      <c r="AE21" t="s">
        <v>267</v>
      </c>
      <c r="AF21" t="s">
        <v>312</v>
      </c>
      <c r="AG21" t="s">
        <v>313</v>
      </c>
      <c r="AH21" t="s">
        <v>269</v>
      </c>
      <c r="AJ21" t="s">
        <v>29</v>
      </c>
    </row>
    <row r="22" spans="1:36" x14ac:dyDescent="0.2">
      <c r="B22" s="87" t="s">
        <v>178</v>
      </c>
      <c r="C22" s="72"/>
      <c r="D22" s="72"/>
      <c r="E22" s="73"/>
      <c r="F22" s="101"/>
      <c r="G22" s="192"/>
      <c r="H22" s="72"/>
      <c r="I22" s="72"/>
      <c r="J22" s="101"/>
      <c r="K22" s="6"/>
      <c r="L22" s="76"/>
      <c r="M22" s="77"/>
      <c r="O22" s="316" t="s">
        <v>314</v>
      </c>
      <c r="P22" s="317" t="str">
        <f t="shared" ca="1" si="0"/>
        <v>??</v>
      </c>
      <c r="Q22" t="str">
        <f t="shared" ref="Q22:Q43" ca="1" si="2">CELL("address",F27)</f>
        <v>$F$27</v>
      </c>
      <c r="R22" t="s">
        <v>315</v>
      </c>
      <c r="S22" t="str">
        <f t="shared" ca="1" si="1"/>
        <v>F27</v>
      </c>
      <c r="T22" s="318" t="str">
        <f ca="1">VLOOKUP(CELL("format",INDIRECT(Q22)),FormatLookup[],2,FALSE)</f>
        <v>0.00%</v>
      </c>
      <c r="U22" s="369" t="s">
        <v>206</v>
      </c>
      <c r="V22" s="319" t="str">
        <f>IF(ISBLANK(VLOOKUP(R22,Definitions34Gy1F14[],5,FALSE)),"",VLOOKUP(R22,Definitions34Gy1F14[],5,FALSE))</f>
        <v>%</v>
      </c>
      <c r="W22" t="b">
        <f ca="1">EXACT(config34Gy1F13[[#This Row],[Address]],VLOOKUP(config34Gy1F13[[#This Row],[Name]],Definitions34Gy1F14[],2,FALSE))</f>
        <v>1</v>
      </c>
      <c r="X22" s="319" t="b">
        <f ca="1">IF(EXACT(config34Gy1F13[[#This Row],[Extracted Format]],config34Gy1F13[[#This Row],[Expected Format]]),TRUE,IF(EXACT(config34Gy1F13[[#This Row],[Expected Format]],"@"),"Check",FALSE))</f>
        <v>1</v>
      </c>
      <c r="Y22" s="319" t="b">
        <f>IF(ISERROR(FIND(config34Gy1F13[[#This Row],[Units]],config34Gy1F13[[#This Row],[Label]])),"Check",TRUE)</f>
        <v>1</v>
      </c>
      <c r="AA22" t="s">
        <v>315</v>
      </c>
      <c r="AB22" t="s">
        <v>316</v>
      </c>
      <c r="AC22" s="318" t="s">
        <v>206</v>
      </c>
      <c r="AD22" s="318" t="s">
        <v>206</v>
      </c>
      <c r="AE22" t="s">
        <v>281</v>
      </c>
      <c r="AF22" t="s">
        <v>317</v>
      </c>
      <c r="AG22" t="s">
        <v>141</v>
      </c>
      <c r="AH22" t="s">
        <v>269</v>
      </c>
      <c r="AI22" t="s">
        <v>278</v>
      </c>
      <c r="AJ22" t="s">
        <v>318</v>
      </c>
    </row>
    <row r="23" spans="1:36" ht="14.25" x14ac:dyDescent="0.25">
      <c r="B23" s="252" t="s">
        <v>110</v>
      </c>
      <c r="C23" s="108" t="s">
        <v>35</v>
      </c>
      <c r="D23" s="102"/>
      <c r="E23" s="104"/>
      <c r="F23" s="344" t="s">
        <v>46</v>
      </c>
      <c r="G23" s="139"/>
      <c r="H23" s="111"/>
      <c r="I23" s="102"/>
      <c r="J23" s="133" t="e">
        <f ca="1">'Calculations 34Gy 1F'!L27/100</f>
        <v>#N/A</v>
      </c>
      <c r="K23" s="70" t="str">
        <f>'Calculations 34Gy 1F'!K33</f>
        <v>??</v>
      </c>
      <c r="L23" s="112" t="s">
        <v>39</v>
      </c>
      <c r="M23" s="113"/>
      <c r="N23" s="3"/>
      <c r="O23" s="316" t="s">
        <v>319</v>
      </c>
      <c r="P23" s="317" t="str">
        <f t="shared" ca="1" si="0"/>
        <v>??</v>
      </c>
      <c r="Q23" t="str">
        <f t="shared" ca="1" si="2"/>
        <v>$F$28</v>
      </c>
      <c r="R23" t="s">
        <v>494</v>
      </c>
      <c r="S23" t="str">
        <f t="shared" ca="1" si="1"/>
        <v>F28</v>
      </c>
      <c r="T23" s="318" t="str">
        <f ca="1">VLOOKUP(CELL("format",INDIRECT(Q23)),FormatLookup[],2,FALSE)</f>
        <v>0.00</v>
      </c>
      <c r="U23" s="318" t="s">
        <v>190</v>
      </c>
      <c r="V23" s="319" t="s">
        <v>267</v>
      </c>
      <c r="W23" t="b">
        <f ca="1">EXACT(config34Gy1F13[[#This Row],[Address]],VLOOKUP(config34Gy1F13[[#This Row],[Name]],Definitions34Gy1F14[],2,FALSE))</f>
        <v>1</v>
      </c>
      <c r="X23" s="319" t="b">
        <f ca="1">IF(EXACT(config34Gy1F13[[#This Row],[Extracted Format]],config34Gy1F13[[#This Row],[Expected Format]]),TRUE,IF(EXACT(config34Gy1F13[[#This Row],[Expected Format]],"@"),"Check",FALSE))</f>
        <v>1</v>
      </c>
      <c r="Y23" s="319" t="str">
        <f>IF(ISERROR(FIND(config34Gy1F13[[#This Row],[Units]],config34Gy1F13[[#This Row],[Label]])),"Check",TRUE)</f>
        <v>Check</v>
      </c>
      <c r="AA23" t="s">
        <v>494</v>
      </c>
      <c r="AB23" t="s">
        <v>321</v>
      </c>
      <c r="AC23" s="318" t="s">
        <v>190</v>
      </c>
      <c r="AD23" s="318" t="s">
        <v>190</v>
      </c>
      <c r="AE23" t="s">
        <v>267</v>
      </c>
      <c r="AF23" t="s">
        <v>44</v>
      </c>
      <c r="AG23" t="s">
        <v>141</v>
      </c>
      <c r="AH23" t="s">
        <v>269</v>
      </c>
      <c r="AI23" t="s">
        <v>278</v>
      </c>
      <c r="AJ23" t="s">
        <v>495</v>
      </c>
    </row>
    <row r="24" spans="1:36" ht="16.5" thickBot="1" x14ac:dyDescent="0.35">
      <c r="B24" s="105" t="s">
        <v>29</v>
      </c>
      <c r="C24" s="167" t="s">
        <v>179</v>
      </c>
      <c r="D24" s="79"/>
      <c r="E24" s="145"/>
      <c r="F24" s="350" t="s">
        <v>46</v>
      </c>
      <c r="G24" s="193" t="e">
        <f>'Calculations 34Gy 1F'!J32</f>
        <v>#VALUE!</v>
      </c>
      <c r="H24" s="115" t="s">
        <v>26</v>
      </c>
      <c r="I24" s="79"/>
      <c r="J24" s="134" t="e">
        <f ca="1">'Calculations 34Gy 1F'!I27</f>
        <v>#N/A</v>
      </c>
      <c r="K24" s="211" t="e">
        <f ca="1">'Calculations 34Gy 1F'!K32</f>
        <v>#VALUE!</v>
      </c>
      <c r="L24" s="76" t="s">
        <v>38</v>
      </c>
      <c r="M24" s="77"/>
      <c r="O24" s="316" t="s">
        <v>323</v>
      </c>
      <c r="P24" s="317" t="str">
        <f t="shared" ca="1" si="0"/>
        <v>??</v>
      </c>
      <c r="Q24" t="str">
        <f t="shared" ca="1" si="2"/>
        <v>$F$29</v>
      </c>
      <c r="R24" t="s">
        <v>496</v>
      </c>
      <c r="S24" t="str">
        <f t="shared" ca="1" si="1"/>
        <v>F29</v>
      </c>
      <c r="T24" s="318" t="str">
        <f ca="1">VLOOKUP(CELL("format",INDIRECT(Q24)),FormatLookup[],2,FALSE)</f>
        <v>0.00</v>
      </c>
      <c r="U24" s="318" t="s">
        <v>190</v>
      </c>
      <c r="V24" s="319" t="s">
        <v>267</v>
      </c>
      <c r="W24" t="b">
        <f ca="1">EXACT(config34Gy1F13[[#This Row],[Address]],VLOOKUP(config34Gy1F13[[#This Row],[Name]],Definitions34Gy1F14[],2,FALSE))</f>
        <v>1</v>
      </c>
      <c r="X24" s="319" t="b">
        <f ca="1">IF(EXACT(config34Gy1F13[[#This Row],[Extracted Format]],config34Gy1F13[[#This Row],[Expected Format]]),TRUE,IF(EXACT(config34Gy1F13[[#This Row],[Expected Format]],"@"),"Check",FALSE))</f>
        <v>1</v>
      </c>
      <c r="Y24" s="319" t="str">
        <f>IF(ISERROR(FIND(config34Gy1F13[[#This Row],[Units]],config34Gy1F13[[#This Row],[Label]])),"Check",TRUE)</f>
        <v>Check</v>
      </c>
      <c r="AA24" t="s">
        <v>496</v>
      </c>
      <c r="AB24" t="s">
        <v>325</v>
      </c>
      <c r="AC24" s="318" t="s">
        <v>190</v>
      </c>
      <c r="AD24" s="318" t="s">
        <v>190</v>
      </c>
      <c r="AE24" t="s">
        <v>267</v>
      </c>
      <c r="AF24" t="s">
        <v>45</v>
      </c>
      <c r="AG24" t="s">
        <v>141</v>
      </c>
      <c r="AH24" t="s">
        <v>269</v>
      </c>
      <c r="AI24" t="s">
        <v>278</v>
      </c>
      <c r="AJ24" t="s">
        <v>497</v>
      </c>
    </row>
    <row r="25" spans="1:36" x14ac:dyDescent="0.2">
      <c r="B25" s="89" t="s">
        <v>170</v>
      </c>
      <c r="C25" s="84"/>
      <c r="D25" s="84"/>
      <c r="E25" s="85"/>
      <c r="F25" s="97" t="s">
        <v>122</v>
      </c>
      <c r="G25" s="90" t="s">
        <v>33</v>
      </c>
      <c r="H25" s="116"/>
      <c r="I25" s="116"/>
      <c r="J25" s="117" t="s">
        <v>24</v>
      </c>
      <c r="K25" s="118"/>
      <c r="L25" s="76"/>
      <c r="M25" s="77"/>
      <c r="O25" s="316" t="s">
        <v>478</v>
      </c>
      <c r="P25" s="317" t="str">
        <f t="shared" ca="1" si="0"/>
        <v>??</v>
      </c>
      <c r="Q25" t="str">
        <f t="shared" ca="1" si="2"/>
        <v>$F$30</v>
      </c>
      <c r="R25" t="s">
        <v>328</v>
      </c>
      <c r="S25" t="str">
        <f t="shared" ca="1" si="1"/>
        <v>F30</v>
      </c>
      <c r="T25" s="318" t="str">
        <f ca="1">VLOOKUP(CELL("format",INDIRECT(Q25)),FormatLookup[],2,FALSE)</f>
        <v>0.0</v>
      </c>
      <c r="U25" s="318" t="str">
        <f>VLOOKUP(R25,Definitions34Gy1F14[],3,FALSE)</f>
        <v>0.0</v>
      </c>
      <c r="V25" s="319" t="str">
        <f>IF(ISBLANK(VLOOKUP(R25,Definitions34Gy1F14[],5,FALSE)),"",VLOOKUP(R25,Definitions34Gy1F14[],5,FALSE))</f>
        <v>cGy</v>
      </c>
      <c r="W25" t="b">
        <f ca="1">EXACT(config34Gy1F13[[#This Row],[Address]],VLOOKUP(config34Gy1F13[[#This Row],[Name]],Definitions34Gy1F14[],2,FALSE))</f>
        <v>1</v>
      </c>
      <c r="X25" s="319" t="b">
        <f ca="1">IF(EXACT(config34Gy1F13[[#This Row],[Extracted Format]],config34Gy1F13[[#This Row],[Expected Format]]),TRUE,IF(EXACT(config34Gy1F13[[#This Row],[Expected Format]],"@"),"Check",FALSE))</f>
        <v>1</v>
      </c>
      <c r="Y25" s="319" t="b">
        <f>IF(ISERROR(FIND(config34Gy1F13[[#This Row],[Units]],config34Gy1F13[[#This Row],[Label]])),"Check",TRUE)</f>
        <v>1</v>
      </c>
      <c r="AA25" t="s">
        <v>328</v>
      </c>
      <c r="AB25" t="s">
        <v>329</v>
      </c>
      <c r="AC25" s="318" t="s">
        <v>188</v>
      </c>
      <c r="AD25" s="318" t="s">
        <v>188</v>
      </c>
      <c r="AE25" t="s">
        <v>260</v>
      </c>
      <c r="AF25" t="s">
        <v>445</v>
      </c>
      <c r="AG25" t="s">
        <v>331</v>
      </c>
      <c r="AH25" t="s">
        <v>269</v>
      </c>
      <c r="AJ25" t="s">
        <v>287</v>
      </c>
    </row>
    <row r="26" spans="1:36" ht="13.5" thickBot="1" x14ac:dyDescent="0.25">
      <c r="A26" s="4"/>
      <c r="B26" s="82"/>
      <c r="C26" s="84"/>
      <c r="D26" s="84"/>
      <c r="E26" s="85"/>
      <c r="F26" s="97" t="s">
        <v>123</v>
      </c>
      <c r="G26" s="191"/>
      <c r="H26" s="116"/>
      <c r="I26" s="116"/>
      <c r="J26" s="153" t="s">
        <v>121</v>
      </c>
      <c r="K26" s="118"/>
      <c r="L26" s="76"/>
      <c r="M26" s="77"/>
      <c r="O26" s="316" t="s">
        <v>498</v>
      </c>
      <c r="P26" s="317" t="str">
        <f t="shared" ca="1" si="0"/>
        <v>??</v>
      </c>
      <c r="Q26" t="str">
        <f t="shared" ca="1" si="2"/>
        <v>$F$31</v>
      </c>
      <c r="R26" t="s">
        <v>499</v>
      </c>
      <c r="S26" t="str">
        <f t="shared" ca="1" si="1"/>
        <v>F31</v>
      </c>
      <c r="T26" s="318" t="str">
        <f ca="1">VLOOKUP(CELL("format",INDIRECT(Q26)),FormatLookup[],2,FALSE)</f>
        <v>0.00</v>
      </c>
      <c r="U26" s="318" t="s">
        <v>190</v>
      </c>
      <c r="V26" s="319" t="s">
        <v>267</v>
      </c>
      <c r="W26" t="b">
        <f ca="1">EXACT(config34Gy1F13[[#This Row],[Address]],VLOOKUP(config34Gy1F13[[#This Row],[Name]],Definitions34Gy1F14[],2,FALSE))</f>
        <v>1</v>
      </c>
      <c r="X26" s="319" t="b">
        <f ca="1">IF(EXACT(config34Gy1F13[[#This Row],[Extracted Format]],config34Gy1F13[[#This Row],[Expected Format]]),TRUE,IF(EXACT(config34Gy1F13[[#This Row],[Expected Format]],"@"),"Check",FALSE))</f>
        <v>1</v>
      </c>
      <c r="Y26" s="319" t="b">
        <f>IF(ISERROR(FIND(config34Gy1F13[[#This Row],[Units]],config34Gy1F13[[#This Row],[Label]])),"Check",TRUE)</f>
        <v>1</v>
      </c>
      <c r="AA26" t="s">
        <v>499</v>
      </c>
      <c r="AB26" t="s">
        <v>334</v>
      </c>
      <c r="AC26" s="318" t="s">
        <v>190</v>
      </c>
      <c r="AD26" s="318" t="s">
        <v>190</v>
      </c>
      <c r="AE26" t="s">
        <v>267</v>
      </c>
      <c r="AF26" t="s">
        <v>500</v>
      </c>
      <c r="AG26" t="s">
        <v>331</v>
      </c>
      <c r="AH26" t="s">
        <v>269</v>
      </c>
      <c r="AJ26" t="s">
        <v>501</v>
      </c>
    </row>
    <row r="27" spans="1:36" ht="14.25" x14ac:dyDescent="0.25">
      <c r="A27" s="4"/>
      <c r="B27" s="216" t="s">
        <v>141</v>
      </c>
      <c r="C27" s="72"/>
      <c r="D27" s="374" t="s">
        <v>118</v>
      </c>
      <c r="E27" s="375"/>
      <c r="F27" s="362" t="s">
        <v>46</v>
      </c>
      <c r="G27" s="225" t="s">
        <v>26</v>
      </c>
      <c r="H27" s="219"/>
      <c r="I27" s="219"/>
      <c r="J27" s="222" t="s">
        <v>47</v>
      </c>
      <c r="K27" s="224" t="str">
        <f>'Calculations 34Gy 1F'!K34</f>
        <v>??</v>
      </c>
      <c r="L27" s="76" t="s">
        <v>36</v>
      </c>
      <c r="M27" s="77"/>
      <c r="O27" s="316" t="s">
        <v>479</v>
      </c>
      <c r="P27" s="317" t="str">
        <f t="shared" ca="1" si="0"/>
        <v>??</v>
      </c>
      <c r="Q27" t="str">
        <f t="shared" ca="1" si="2"/>
        <v>$F$32</v>
      </c>
      <c r="R27" t="s">
        <v>338</v>
      </c>
      <c r="S27" t="str">
        <f t="shared" ca="1" si="1"/>
        <v>F32</v>
      </c>
      <c r="T27" s="318" t="str">
        <f ca="1">VLOOKUP(CELL("format",INDIRECT(Q27)),FormatLookup[],2,FALSE)</f>
        <v>0.0</v>
      </c>
      <c r="U27" s="318" t="str">
        <f>VLOOKUP(R27,Definitions34Gy1F14[],3,FALSE)</f>
        <v>0.0</v>
      </c>
      <c r="V27" s="319" t="str">
        <f>IF(ISBLANK(VLOOKUP(R27,Definitions34Gy1F14[],5,FALSE)),"",VLOOKUP(R27,Definitions34Gy1F14[],5,FALSE))</f>
        <v>cGy</v>
      </c>
      <c r="W27" t="b">
        <f ca="1">EXACT(config34Gy1F13[[#This Row],[Address]],VLOOKUP(config34Gy1F13[[#This Row],[Name]],Definitions34Gy1F14[],2,FALSE))</f>
        <v>1</v>
      </c>
      <c r="X27" s="319" t="b">
        <f ca="1">IF(EXACT(config34Gy1F13[[#This Row],[Extracted Format]],config34Gy1F13[[#This Row],[Expected Format]]),TRUE,IF(EXACT(config34Gy1F13[[#This Row],[Expected Format]],"@"),"Check",FALSE))</f>
        <v>1</v>
      </c>
      <c r="Y27" s="319" t="b">
        <f>IF(ISERROR(FIND(config34Gy1F13[[#This Row],[Units]],config34Gy1F13[[#This Row],[Label]])),"Check",TRUE)</f>
        <v>1</v>
      </c>
      <c r="AA27" t="s">
        <v>338</v>
      </c>
      <c r="AB27" t="s">
        <v>339</v>
      </c>
      <c r="AC27" s="318" t="s">
        <v>188</v>
      </c>
      <c r="AD27" s="318" t="s">
        <v>188</v>
      </c>
      <c r="AE27" t="s">
        <v>260</v>
      </c>
      <c r="AF27" t="s">
        <v>340</v>
      </c>
      <c r="AG27" t="s">
        <v>341</v>
      </c>
      <c r="AH27" t="s">
        <v>269</v>
      </c>
      <c r="AJ27" t="s">
        <v>287</v>
      </c>
    </row>
    <row r="28" spans="1:36" ht="14.25" x14ac:dyDescent="0.25">
      <c r="A28" s="4"/>
      <c r="B28" s="82" t="s">
        <v>44</v>
      </c>
      <c r="C28" s="84"/>
      <c r="D28" s="372" t="s">
        <v>145</v>
      </c>
      <c r="E28" s="373"/>
      <c r="F28" s="363" t="s">
        <v>46</v>
      </c>
      <c r="G28" s="170"/>
      <c r="H28" s="102"/>
      <c r="I28" s="102"/>
      <c r="J28" s="194">
        <v>1500</v>
      </c>
      <c r="K28" s="149" t="str">
        <f>IF(F28="??","??",IF(F28&lt;=J28,"Yes","No"))</f>
        <v>??</v>
      </c>
      <c r="L28" s="112" t="s">
        <v>155</v>
      </c>
      <c r="M28" s="173"/>
      <c r="N28" s="4"/>
      <c r="O28" s="316" t="s">
        <v>502</v>
      </c>
      <c r="P28" s="317" t="str">
        <f t="shared" ca="1" si="0"/>
        <v>??</v>
      </c>
      <c r="Q28" t="str">
        <f t="shared" ca="1" si="2"/>
        <v>$F$33</v>
      </c>
      <c r="R28" t="s">
        <v>503</v>
      </c>
      <c r="S28" t="str">
        <f t="shared" ca="1" si="1"/>
        <v>F33</v>
      </c>
      <c r="T28" s="318" t="str">
        <f ca="1">VLOOKUP(CELL("format",INDIRECT(Q28)),FormatLookup[],2,FALSE)</f>
        <v>0.00</v>
      </c>
      <c r="U28" s="318" t="s">
        <v>190</v>
      </c>
      <c r="V28" s="319" t="s">
        <v>267</v>
      </c>
      <c r="W28" t="b">
        <f ca="1">EXACT(config34Gy1F13[[#This Row],[Address]],VLOOKUP(config34Gy1F13[[#This Row],[Name]],Definitions34Gy1F14[],2,FALSE))</f>
        <v>1</v>
      </c>
      <c r="X28" s="319" t="b">
        <f ca="1">IF(EXACT(config34Gy1F13[[#This Row],[Extracted Format]],config34Gy1F13[[#This Row],[Expected Format]]),TRUE,IF(EXACT(config34Gy1F13[[#This Row],[Expected Format]],"@"),"Check",FALSE))</f>
        <v>1</v>
      </c>
      <c r="Y28" s="319" t="b">
        <f>IF(ISERROR(FIND(config34Gy1F13[[#This Row],[Units]],config34Gy1F13[[#This Row],[Label]])),"Check",TRUE)</f>
        <v>1</v>
      </c>
      <c r="AA28" t="s">
        <v>503</v>
      </c>
      <c r="AB28" t="s">
        <v>344</v>
      </c>
      <c r="AC28" s="318" t="s">
        <v>190</v>
      </c>
      <c r="AD28" s="318" t="s">
        <v>190</v>
      </c>
      <c r="AE28" t="s">
        <v>267</v>
      </c>
      <c r="AF28" t="s">
        <v>504</v>
      </c>
      <c r="AG28" t="s">
        <v>341</v>
      </c>
      <c r="AH28" t="s">
        <v>269</v>
      </c>
      <c r="AJ28" t="s">
        <v>501</v>
      </c>
    </row>
    <row r="29" spans="1:36" ht="14.25" x14ac:dyDescent="0.25">
      <c r="A29" s="4"/>
      <c r="B29" s="148" t="s">
        <v>45</v>
      </c>
      <c r="C29" s="84"/>
      <c r="D29" s="376" t="s">
        <v>146</v>
      </c>
      <c r="E29" s="377"/>
      <c r="F29" s="364" t="s">
        <v>46</v>
      </c>
      <c r="G29" s="170"/>
      <c r="H29" s="84"/>
      <c r="I29" s="84"/>
      <c r="J29" s="117">
        <v>1000</v>
      </c>
      <c r="K29" s="149" t="str">
        <f>IF(F29="??","??",IF(F29&lt;=J29,"Yes","No"))</f>
        <v>??</v>
      </c>
      <c r="L29" s="112" t="s">
        <v>156</v>
      </c>
      <c r="M29" s="173"/>
      <c r="N29" s="4"/>
      <c r="O29" s="316" t="s">
        <v>480</v>
      </c>
      <c r="P29" s="317" t="str">
        <f t="shared" ca="1" si="0"/>
        <v>??</v>
      </c>
      <c r="Q29" t="str">
        <f t="shared" ca="1" si="2"/>
        <v>$F$34</v>
      </c>
      <c r="R29" t="s">
        <v>347</v>
      </c>
      <c r="S29" t="str">
        <f t="shared" ca="1" si="1"/>
        <v>F34</v>
      </c>
      <c r="T29" s="318" t="str">
        <f ca="1">VLOOKUP(CELL("format",INDIRECT(Q29)),FormatLookup[],2,FALSE)</f>
        <v>0.0</v>
      </c>
      <c r="U29" s="318" t="str">
        <f>VLOOKUP(R29,Definitions34Gy1F14[],3,FALSE)</f>
        <v>0.0</v>
      </c>
      <c r="V29" s="319" t="str">
        <f>IF(ISBLANK(VLOOKUP(R29,Definitions34Gy1F14[],5,FALSE)),"",VLOOKUP(R29,Definitions34Gy1F14[],5,FALSE))</f>
        <v>cGy</v>
      </c>
      <c r="W29" t="b">
        <f ca="1">EXACT(config34Gy1F13[[#This Row],[Address]],VLOOKUP(config34Gy1F13[[#This Row],[Name]],Definitions34Gy1F14[],2,FALSE))</f>
        <v>1</v>
      </c>
      <c r="X29" s="319" t="b">
        <f ca="1">IF(EXACT(config34Gy1F13[[#This Row],[Extracted Format]],config34Gy1F13[[#This Row],[Expected Format]]),TRUE,IF(EXACT(config34Gy1F13[[#This Row],[Expected Format]],"@"),"Check",FALSE))</f>
        <v>1</v>
      </c>
      <c r="Y29" s="319" t="b">
        <f>IF(ISERROR(FIND(config34Gy1F13[[#This Row],[Units]],config34Gy1F13[[#This Row],[Label]])),"Check",TRUE)</f>
        <v>1</v>
      </c>
      <c r="AA29" t="s">
        <v>347</v>
      </c>
      <c r="AB29" t="s">
        <v>348</v>
      </c>
      <c r="AC29" s="318" t="s">
        <v>188</v>
      </c>
      <c r="AD29" s="318" t="s">
        <v>188</v>
      </c>
      <c r="AE29" t="s">
        <v>260</v>
      </c>
      <c r="AF29" t="s">
        <v>349</v>
      </c>
      <c r="AG29" t="s">
        <v>15</v>
      </c>
      <c r="AH29" t="s">
        <v>269</v>
      </c>
      <c r="AJ29" t="s">
        <v>287</v>
      </c>
    </row>
    <row r="30" spans="1:36" x14ac:dyDescent="0.2">
      <c r="A30" s="4"/>
      <c r="B30" s="154" t="s">
        <v>98</v>
      </c>
      <c r="C30" s="91" t="s">
        <v>26</v>
      </c>
      <c r="D30" s="91"/>
      <c r="E30" s="264" t="s">
        <v>40</v>
      </c>
      <c r="F30" s="334" t="s">
        <v>46</v>
      </c>
      <c r="G30" s="98"/>
      <c r="H30" s="91"/>
      <c r="I30" s="91"/>
      <c r="J30" s="92">
        <v>3700</v>
      </c>
      <c r="K30" s="149" t="str">
        <f>IF(F30="??","??",IF(F30&lt;=J30,"Yes","No"))</f>
        <v>??</v>
      </c>
      <c r="L30" s="76" t="s">
        <v>41</v>
      </c>
      <c r="M30" s="77"/>
      <c r="O30" s="316" t="s">
        <v>505</v>
      </c>
      <c r="P30" s="317" t="str">
        <f t="shared" ca="1" si="0"/>
        <v>??</v>
      </c>
      <c r="Q30" t="str">
        <f t="shared" ca="1" si="2"/>
        <v>$F$35</v>
      </c>
      <c r="R30" t="s">
        <v>506</v>
      </c>
      <c r="S30" t="str">
        <f t="shared" ca="1" si="1"/>
        <v>F35</v>
      </c>
      <c r="T30" s="318" t="str">
        <f ca="1">VLOOKUP(CELL("format",INDIRECT(Q30)),FormatLookup[],2,FALSE)</f>
        <v>0.00</v>
      </c>
      <c r="U30" s="318" t="s">
        <v>190</v>
      </c>
      <c r="V30" s="319" t="s">
        <v>267</v>
      </c>
      <c r="W30" t="b">
        <f ca="1">EXACT(config34Gy1F13[[#This Row],[Address]],VLOOKUP(config34Gy1F13[[#This Row],[Name]],Definitions34Gy1F14[],2,FALSE))</f>
        <v>1</v>
      </c>
      <c r="X30" s="319" t="b">
        <f ca="1">IF(EXACT(config34Gy1F13[[#This Row],[Extracted Format]],config34Gy1F13[[#This Row],[Expected Format]]),TRUE,IF(EXACT(config34Gy1F13[[#This Row],[Expected Format]],"@"),"Check",FALSE))</f>
        <v>1</v>
      </c>
      <c r="Y30" s="319" t="b">
        <f>IF(ISERROR(FIND(config34Gy1F13[[#This Row],[Units]],config34Gy1F13[[#This Row],[Label]])),"Check",TRUE)</f>
        <v>1</v>
      </c>
      <c r="AA30" t="s">
        <v>506</v>
      </c>
      <c r="AB30" t="s">
        <v>352</v>
      </c>
      <c r="AC30" s="318" t="s">
        <v>190</v>
      </c>
      <c r="AD30" s="318" t="s">
        <v>190</v>
      </c>
      <c r="AE30" t="s">
        <v>267</v>
      </c>
      <c r="AF30" t="s">
        <v>507</v>
      </c>
      <c r="AG30" t="s">
        <v>15</v>
      </c>
      <c r="AH30" t="s">
        <v>269</v>
      </c>
      <c r="AJ30" t="s">
        <v>508</v>
      </c>
    </row>
    <row r="31" spans="1:36" ht="14.25" x14ac:dyDescent="0.2">
      <c r="A31" s="4"/>
      <c r="B31" s="174"/>
      <c r="C31" s="175"/>
      <c r="D31" s="120"/>
      <c r="E31" s="176" t="s">
        <v>164</v>
      </c>
      <c r="F31" s="331" t="str">
        <f>IF(F30&lt;=1190,"OK","??")</f>
        <v>??</v>
      </c>
      <c r="G31" s="104" t="s">
        <v>26</v>
      </c>
      <c r="H31" s="102"/>
      <c r="I31" s="102"/>
      <c r="J31" s="177">
        <v>3</v>
      </c>
      <c r="K31" s="202" t="str">
        <f>IF(F31="??","??",IF(F31&lt;=3,"Yes",IF(F31="OK","Yes","No")))</f>
        <v>??</v>
      </c>
      <c r="L31" s="76" t="s">
        <v>41</v>
      </c>
      <c r="M31" s="77"/>
      <c r="O31" s="316" t="s">
        <v>509</v>
      </c>
      <c r="P31" s="317" t="str">
        <f t="shared" ca="1" si="0"/>
        <v>??</v>
      </c>
      <c r="Q31" t="str">
        <f t="shared" ca="1" si="2"/>
        <v>$F$36</v>
      </c>
      <c r="R31" t="s">
        <v>510</v>
      </c>
      <c r="S31" t="str">
        <f t="shared" ca="1" si="1"/>
        <v>F36</v>
      </c>
      <c r="T31" s="318" t="str">
        <f ca="1">VLOOKUP(CELL("format",INDIRECT(Q31)),FormatLookup[],2,FALSE)</f>
        <v>0.00</v>
      </c>
      <c r="U31" s="318" t="s">
        <v>190</v>
      </c>
      <c r="V31" s="319" t="s">
        <v>267</v>
      </c>
      <c r="W31" t="b">
        <f ca="1">EXACT(config34Gy1F13[[#This Row],[Address]],VLOOKUP(config34Gy1F13[[#This Row],[Name]],Definitions34Gy1F14[],2,FALSE))</f>
        <v>1</v>
      </c>
      <c r="X31" s="319" t="b">
        <f ca="1">IF(EXACT(config34Gy1F13[[#This Row],[Extracted Format]],config34Gy1F13[[#This Row],[Expected Format]]),TRUE,IF(EXACT(config34Gy1F13[[#This Row],[Expected Format]],"@"),"Check",FALSE))</f>
        <v>1</v>
      </c>
      <c r="Y31" s="319" t="b">
        <f>IF(ISERROR(FIND(config34Gy1F13[[#This Row],[Units]],config34Gy1F13[[#This Row],[Label]])),"Check",TRUE)</f>
        <v>1</v>
      </c>
      <c r="AA31" t="s">
        <v>510</v>
      </c>
      <c r="AB31" t="s">
        <v>357</v>
      </c>
      <c r="AC31" s="318" t="s">
        <v>190</v>
      </c>
      <c r="AD31" s="318" t="s">
        <v>190</v>
      </c>
      <c r="AE31" t="s">
        <v>267</v>
      </c>
      <c r="AF31" t="s">
        <v>511</v>
      </c>
      <c r="AG31" t="s">
        <v>15</v>
      </c>
      <c r="AH31" t="s">
        <v>269</v>
      </c>
      <c r="AJ31" t="s">
        <v>495</v>
      </c>
    </row>
    <row r="32" spans="1:36" x14ac:dyDescent="0.2">
      <c r="A32" s="4"/>
      <c r="B32" s="148" t="s">
        <v>163</v>
      </c>
      <c r="C32" s="84"/>
      <c r="D32" s="265"/>
      <c r="E32" s="264" t="s">
        <v>40</v>
      </c>
      <c r="F32" s="335" t="s">
        <v>46</v>
      </c>
      <c r="G32" s="144" t="s">
        <v>26</v>
      </c>
      <c r="H32" s="102"/>
      <c r="I32" s="102"/>
      <c r="J32" s="177">
        <v>3700</v>
      </c>
      <c r="K32" s="149" t="str">
        <f>IF(F32="??","??",IF(F32&lt;=J32,"Yes","No"))</f>
        <v>??</v>
      </c>
      <c r="L32" s="76" t="s">
        <v>41</v>
      </c>
      <c r="M32" s="77"/>
      <c r="O32" s="316" t="s">
        <v>481</v>
      </c>
      <c r="P32" s="317" t="str">
        <f t="shared" ca="1" si="0"/>
        <v>??</v>
      </c>
      <c r="Q32" t="str">
        <f t="shared" ca="1" si="2"/>
        <v>$F$37</v>
      </c>
      <c r="R32" t="s">
        <v>361</v>
      </c>
      <c r="S32" t="str">
        <f t="shared" ca="1" si="1"/>
        <v>F37</v>
      </c>
      <c r="T32" s="318" t="str">
        <f ca="1">VLOOKUP(CELL("format",INDIRECT(Q32)),FormatLookup[],2,FALSE)</f>
        <v>0.0</v>
      </c>
      <c r="U32" s="318" t="s">
        <v>188</v>
      </c>
      <c r="V32" s="319" t="s">
        <v>260</v>
      </c>
      <c r="W32" t="b">
        <f ca="1">EXACT(config34Gy1F13[[#This Row],[Address]],VLOOKUP(config34Gy1F13[[#This Row],[Name]],Definitions34Gy1F14[],2,FALSE))</f>
        <v>1</v>
      </c>
      <c r="X32" s="319" t="b">
        <f ca="1">IF(EXACT(config34Gy1F13[[#This Row],[Extracted Format]],config34Gy1F13[[#This Row],[Expected Format]]),TRUE,IF(EXACT(config34Gy1F13[[#This Row],[Expected Format]],"@"),"Check",FALSE))</f>
        <v>1</v>
      </c>
      <c r="Y32" s="319" t="b">
        <f>IF(ISERROR(FIND(config34Gy1F13[[#This Row],[Units]],config34Gy1F13[[#This Row],[Label]])),"Check",TRUE)</f>
        <v>1</v>
      </c>
      <c r="AA32" t="s">
        <v>361</v>
      </c>
      <c r="AB32" t="s">
        <v>362</v>
      </c>
      <c r="AC32" s="318" t="s">
        <v>188</v>
      </c>
      <c r="AD32" s="318" t="s">
        <v>188</v>
      </c>
      <c r="AE32" t="s">
        <v>260</v>
      </c>
      <c r="AF32" t="s">
        <v>363</v>
      </c>
      <c r="AG32" t="s">
        <v>364</v>
      </c>
      <c r="AH32" t="s">
        <v>269</v>
      </c>
      <c r="AJ32" t="s">
        <v>287</v>
      </c>
    </row>
    <row r="33" spans="1:36" ht="14.25" x14ac:dyDescent="0.2">
      <c r="A33" s="4"/>
      <c r="B33" s="174"/>
      <c r="C33" s="175"/>
      <c r="D33" s="120"/>
      <c r="E33" s="176" t="s">
        <v>164</v>
      </c>
      <c r="F33" s="331" t="str">
        <f>IF(F32&lt;=1190,"OK","??")</f>
        <v>??</v>
      </c>
      <c r="G33" s="104"/>
      <c r="H33" s="102"/>
      <c r="I33" s="102"/>
      <c r="J33" s="177">
        <v>3</v>
      </c>
      <c r="K33" s="202" t="str">
        <f>IF(F33="??","??",IF(F33&lt;=3,"Yes",IF(F33="OK","Yes","No")))</f>
        <v>??</v>
      </c>
      <c r="L33" s="76" t="s">
        <v>41</v>
      </c>
      <c r="M33" s="77"/>
      <c r="O33" s="316" t="s">
        <v>482</v>
      </c>
      <c r="P33" s="317" t="str">
        <f t="shared" ca="1" si="0"/>
        <v>??</v>
      </c>
      <c r="Q33" t="str">
        <f t="shared" ca="1" si="2"/>
        <v>$F$38</v>
      </c>
      <c r="R33" t="s">
        <v>366</v>
      </c>
      <c r="S33" t="str">
        <f t="shared" ca="1" si="1"/>
        <v>F38</v>
      </c>
      <c r="T33" s="318" t="str">
        <f ca="1">VLOOKUP(CELL("format",INDIRECT(Q33)),FormatLookup[],2,FALSE)</f>
        <v>0.0</v>
      </c>
      <c r="U33" s="318" t="str">
        <f>VLOOKUP(R33,Definitions34Gy1F14[],3,FALSE)</f>
        <v>0.0</v>
      </c>
      <c r="V33" s="319" t="str">
        <f>IF(ISBLANK(VLOOKUP(R33,Definitions34Gy1F14[],5,FALSE)),"",VLOOKUP(R33,Definitions34Gy1F14[],5,FALSE))</f>
        <v>cGy</v>
      </c>
      <c r="W33" t="b">
        <f ca="1">EXACT(config34Gy1F13[[#This Row],[Address]],VLOOKUP(config34Gy1F13[[#This Row],[Name]],Definitions34Gy1F14[],2,FALSE))</f>
        <v>1</v>
      </c>
      <c r="X33" s="319" t="b">
        <f ca="1">IF(EXACT(config34Gy1F13[[#This Row],[Extracted Format]],config34Gy1F13[[#This Row],[Expected Format]]),TRUE,IF(EXACT(config34Gy1F13[[#This Row],[Expected Format]],"@"),"Check",FALSE))</f>
        <v>1</v>
      </c>
      <c r="Y33" s="319" t="b">
        <f>IF(ISERROR(FIND(config34Gy1F13[[#This Row],[Units]],config34Gy1F13[[#This Row],[Label]])),"Check",TRUE)</f>
        <v>1</v>
      </c>
      <c r="AA33" t="s">
        <v>366</v>
      </c>
      <c r="AB33" t="s">
        <v>367</v>
      </c>
      <c r="AC33" s="318" t="s">
        <v>188</v>
      </c>
      <c r="AD33" s="318" t="s">
        <v>188</v>
      </c>
      <c r="AE33" t="s">
        <v>260</v>
      </c>
      <c r="AF33" t="s">
        <v>368</v>
      </c>
      <c r="AG33" t="s">
        <v>129</v>
      </c>
      <c r="AH33" t="s">
        <v>269</v>
      </c>
      <c r="AI33" t="s">
        <v>369</v>
      </c>
      <c r="AJ33" t="s">
        <v>287</v>
      </c>
    </row>
    <row r="34" spans="1:36" x14ac:dyDescent="0.2">
      <c r="A34" s="4"/>
      <c r="B34" s="124" t="s">
        <v>15</v>
      </c>
      <c r="C34" s="91"/>
      <c r="D34" s="91"/>
      <c r="E34" s="261" t="s">
        <v>40</v>
      </c>
      <c r="F34" s="354" t="s">
        <v>46</v>
      </c>
      <c r="G34" s="195" t="s">
        <v>26</v>
      </c>
      <c r="H34" s="91"/>
      <c r="I34" s="91"/>
      <c r="J34" s="99">
        <v>1400</v>
      </c>
      <c r="K34" s="149" t="str">
        <f>IF(F34="??","??",IF(F34&lt;=J34,"Yes","No"))</f>
        <v>??</v>
      </c>
      <c r="L34" s="76" t="s">
        <v>41</v>
      </c>
      <c r="M34" s="77"/>
      <c r="O34" s="316" t="s">
        <v>512</v>
      </c>
      <c r="P34" s="317" t="str">
        <f t="shared" ca="1" si="0"/>
        <v>??</v>
      </c>
      <c r="Q34" t="str">
        <f t="shared" ca="1" si="2"/>
        <v>$F$39</v>
      </c>
      <c r="R34" t="s">
        <v>513</v>
      </c>
      <c r="S34" t="str">
        <f t="shared" ca="1" si="1"/>
        <v>F39</v>
      </c>
      <c r="T34" s="318" t="str">
        <f ca="1">VLOOKUP(CELL("format",INDIRECT(Q34)),FormatLookup[],2,FALSE)</f>
        <v>0.00</v>
      </c>
      <c r="U34" s="318" t="s">
        <v>190</v>
      </c>
      <c r="V34" s="319" t="s">
        <v>267</v>
      </c>
      <c r="W34" t="b">
        <f ca="1">EXACT(config34Gy1F13[[#This Row],[Address]],VLOOKUP(config34Gy1F13[[#This Row],[Name]],Definitions34Gy1F14[],2,FALSE))</f>
        <v>1</v>
      </c>
      <c r="X34" s="319" t="b">
        <f ca="1">IF(EXACT(config34Gy1F13[[#This Row],[Extracted Format]],config34Gy1F13[[#This Row],[Expected Format]]),TRUE,IF(EXACT(config34Gy1F13[[#This Row],[Expected Format]],"@"),"Check",FALSE))</f>
        <v>1</v>
      </c>
      <c r="Y34" s="319" t="b">
        <f>IF(ISERROR(FIND(config34Gy1F13[[#This Row],[Units]],config34Gy1F13[[#This Row],[Label]])),"Check",TRUE)</f>
        <v>1</v>
      </c>
      <c r="AA34" t="s">
        <v>513</v>
      </c>
      <c r="AB34" t="s">
        <v>372</v>
      </c>
      <c r="AC34" s="318" t="s">
        <v>190</v>
      </c>
      <c r="AD34" s="318" t="s">
        <v>190</v>
      </c>
      <c r="AE34" t="s">
        <v>267</v>
      </c>
      <c r="AF34" t="s">
        <v>514</v>
      </c>
      <c r="AG34" t="s">
        <v>129</v>
      </c>
      <c r="AH34" t="s">
        <v>269</v>
      </c>
      <c r="AI34" t="s">
        <v>369</v>
      </c>
      <c r="AJ34" t="s">
        <v>515</v>
      </c>
    </row>
    <row r="35" spans="1:36" ht="14.25" x14ac:dyDescent="0.25">
      <c r="A35" s="4"/>
      <c r="B35" s="82"/>
      <c r="C35" s="84"/>
      <c r="D35" s="84"/>
      <c r="E35" s="207" t="s">
        <v>162</v>
      </c>
      <c r="F35" s="331" t="str">
        <f>IF(F34&lt;=1000,"OK","??")</f>
        <v>??</v>
      </c>
      <c r="G35" s="195"/>
      <c r="H35" s="91"/>
      <c r="I35" s="91"/>
      <c r="J35" s="99">
        <v>1.2</v>
      </c>
      <c r="K35" s="202" t="str">
        <f>IF(F35="??","??",IF(F35&lt;=1.2,"Yes",IF(F35="OK","Yes","No")))</f>
        <v>??</v>
      </c>
      <c r="L35" s="76" t="s">
        <v>41</v>
      </c>
      <c r="M35" s="77"/>
      <c r="O35" s="316" t="s">
        <v>516</v>
      </c>
      <c r="P35" s="317" t="str">
        <f t="shared" ca="1" si="0"/>
        <v>??</v>
      </c>
      <c r="Q35" t="str">
        <f t="shared" ca="1" si="2"/>
        <v>$F$40</v>
      </c>
      <c r="R35" t="s">
        <v>517</v>
      </c>
      <c r="S35" t="str">
        <f t="shared" ca="1" si="1"/>
        <v>F40</v>
      </c>
      <c r="T35" s="318" t="str">
        <f ca="1">VLOOKUP(CELL("format",INDIRECT(Q35)),FormatLookup[],2,FALSE)</f>
        <v>0.00</v>
      </c>
      <c r="U35" s="318" t="s">
        <v>190</v>
      </c>
      <c r="V35" s="319" t="s">
        <v>267</v>
      </c>
      <c r="W35" t="b">
        <f ca="1">EXACT(config34Gy1F13[[#This Row],[Address]],VLOOKUP(config34Gy1F13[[#This Row],[Name]],Definitions34Gy1F14[],2,FALSE))</f>
        <v>1</v>
      </c>
      <c r="X35" s="319" t="b">
        <f ca="1">IF(EXACT(config34Gy1F13[[#This Row],[Extracted Format]],config34Gy1F13[[#This Row],[Expected Format]]),TRUE,IF(EXACT(config34Gy1F13[[#This Row],[Expected Format]],"@"),"Check",FALSE))</f>
        <v>1</v>
      </c>
      <c r="Y35" s="319" t="b">
        <f>IF(ISERROR(FIND(config34Gy1F13[[#This Row],[Units]],config34Gy1F13[[#This Row],[Label]])),"Check",TRUE)</f>
        <v>1</v>
      </c>
      <c r="AA35" t="s">
        <v>517</v>
      </c>
      <c r="AB35" t="s">
        <v>377</v>
      </c>
      <c r="AC35" s="318" t="s">
        <v>190</v>
      </c>
      <c r="AD35" s="318" t="s">
        <v>190</v>
      </c>
      <c r="AE35" t="s">
        <v>267</v>
      </c>
      <c r="AF35" t="s">
        <v>518</v>
      </c>
      <c r="AG35" t="s">
        <v>14</v>
      </c>
      <c r="AH35" t="s">
        <v>269</v>
      </c>
      <c r="AJ35" t="s">
        <v>519</v>
      </c>
    </row>
    <row r="36" spans="1:36" ht="14.25" x14ac:dyDescent="0.25">
      <c r="B36" s="143"/>
      <c r="C36" s="120"/>
      <c r="D36" s="120"/>
      <c r="E36" s="189" t="s">
        <v>161</v>
      </c>
      <c r="F36" s="331" t="s">
        <v>46</v>
      </c>
      <c r="G36" s="195"/>
      <c r="H36" s="91"/>
      <c r="I36" s="91"/>
      <c r="J36" s="99">
        <v>0.35</v>
      </c>
      <c r="K36" s="202" t="str">
        <f>IF(F36="??","??",IF(F36&lt;=0.35,"Yes",IF(F36="OK","Yes","No")))</f>
        <v>??</v>
      </c>
      <c r="L36" s="76" t="s">
        <v>41</v>
      </c>
      <c r="M36" s="77"/>
      <c r="O36" s="316" t="s">
        <v>520</v>
      </c>
      <c r="P36" s="317" t="str">
        <f t="shared" ca="1" si="0"/>
        <v>??</v>
      </c>
      <c r="Q36" t="str">
        <f t="shared" ca="1" si="2"/>
        <v>$F$41</v>
      </c>
      <c r="R36" t="s">
        <v>521</v>
      </c>
      <c r="S36" t="str">
        <f t="shared" ca="1" si="1"/>
        <v>F41</v>
      </c>
      <c r="T36" s="318" t="str">
        <f ca="1">VLOOKUP(CELL("format",INDIRECT(Q36)),FormatLookup[],2,FALSE)</f>
        <v>0.00</v>
      </c>
      <c r="U36" s="318" t="s">
        <v>190</v>
      </c>
      <c r="V36" s="319" t="s">
        <v>267</v>
      </c>
      <c r="W36" t="b">
        <f ca="1">EXACT(config34Gy1F13[[#This Row],[Address]],VLOOKUP(config34Gy1F13[[#This Row],[Name]],Definitions34Gy1F14[],2,FALSE))</f>
        <v>1</v>
      </c>
      <c r="X36" s="319" t="b">
        <f ca="1">IF(EXACT(config34Gy1F13[[#This Row],[Extracted Format]],config34Gy1F13[[#This Row],[Expected Format]]),TRUE,IF(EXACT(config34Gy1F13[[#This Row],[Expected Format]],"@"),"Check",FALSE))</f>
        <v>1</v>
      </c>
      <c r="Y36" s="319" t="b">
        <f>IF(ISERROR(FIND(config34Gy1F13[[#This Row],[Units]],config34Gy1F13[[#This Row],[Label]])),"Check",TRUE)</f>
        <v>1</v>
      </c>
      <c r="AA36" t="s">
        <v>521</v>
      </c>
      <c r="AB36" t="s">
        <v>382</v>
      </c>
      <c r="AC36" s="318" t="s">
        <v>190</v>
      </c>
      <c r="AD36" s="318" t="s">
        <v>190</v>
      </c>
      <c r="AE36" t="s">
        <v>267</v>
      </c>
      <c r="AF36" t="s">
        <v>522</v>
      </c>
      <c r="AG36" t="s">
        <v>14</v>
      </c>
      <c r="AH36" t="s">
        <v>269</v>
      </c>
      <c r="AJ36" t="s">
        <v>523</v>
      </c>
    </row>
    <row r="37" spans="1:36" x14ac:dyDescent="0.2">
      <c r="A37" s="4"/>
      <c r="B37" s="180" t="s">
        <v>25</v>
      </c>
      <c r="C37" s="102"/>
      <c r="D37" s="102"/>
      <c r="E37" s="104"/>
      <c r="F37" s="355" t="s">
        <v>46</v>
      </c>
      <c r="G37" s="104"/>
      <c r="H37" s="102"/>
      <c r="I37" s="102"/>
      <c r="J37" s="194" t="s">
        <v>157</v>
      </c>
      <c r="K37" s="149" t="str">
        <f>IF(F37="??","??",IF(F37&lt;=J37,"Yes","No"))</f>
        <v>??</v>
      </c>
      <c r="L37" s="76" t="s">
        <v>41</v>
      </c>
      <c r="M37" s="77"/>
      <c r="O37" s="316" t="s">
        <v>484</v>
      </c>
      <c r="P37" s="317" t="str">
        <f t="shared" ca="1" si="0"/>
        <v>??</v>
      </c>
      <c r="Q37" t="str">
        <f t="shared" ca="1" si="2"/>
        <v>$F$42</v>
      </c>
      <c r="R37" t="s">
        <v>381</v>
      </c>
      <c r="S37" t="str">
        <f t="shared" ca="1" si="1"/>
        <v>F42</v>
      </c>
      <c r="T37" s="318" t="str">
        <f ca="1">VLOOKUP(CELL("format",INDIRECT(Q37)),FormatLookup[],2,FALSE)</f>
        <v>0.0</v>
      </c>
      <c r="U37" s="318" t="str">
        <f>VLOOKUP(R37,Definitions34Gy1F14[],3,FALSE)</f>
        <v>0.0</v>
      </c>
      <c r="V37" s="319" t="str">
        <f>IF(ISBLANK(VLOOKUP(R37,Definitions34Gy1F14[],5,FALSE)),"",VLOOKUP(R37,Definitions34Gy1F14[],5,FALSE))</f>
        <v>cGy</v>
      </c>
      <c r="W37" t="b">
        <f ca="1">EXACT(config34Gy1F13[[#This Row],[Address]],VLOOKUP(config34Gy1F13[[#This Row],[Name]],Definitions34Gy1F14[],2,FALSE))</f>
        <v>1</v>
      </c>
      <c r="X37" s="319" t="b">
        <f ca="1">IF(EXACT(config34Gy1F13[[#This Row],[Extracted Format]],config34Gy1F13[[#This Row],[Expected Format]]),TRUE,IF(EXACT(config34Gy1F13[[#This Row],[Expected Format]],"@"),"Check",FALSE))</f>
        <v>1</v>
      </c>
      <c r="Y37" s="319" t="b">
        <f>IF(ISERROR(FIND(config34Gy1F13[[#This Row],[Units]],config34Gy1F13[[#This Row],[Label]])),"Check",TRUE)</f>
        <v>1</v>
      </c>
      <c r="AA37" t="s">
        <v>381</v>
      </c>
      <c r="AB37" t="s">
        <v>386</v>
      </c>
      <c r="AC37" s="318" t="s">
        <v>188</v>
      </c>
      <c r="AD37" s="318" t="s">
        <v>188</v>
      </c>
      <c r="AE37" t="s">
        <v>260</v>
      </c>
      <c r="AF37" t="s">
        <v>383</v>
      </c>
      <c r="AG37" t="s">
        <v>16</v>
      </c>
      <c r="AH37" t="s">
        <v>269</v>
      </c>
      <c r="AJ37" t="s">
        <v>287</v>
      </c>
    </row>
    <row r="38" spans="1:36" x14ac:dyDescent="0.2">
      <c r="A38" s="4"/>
      <c r="B38" s="124" t="s">
        <v>42</v>
      </c>
      <c r="C38" s="91"/>
      <c r="D38" s="91"/>
      <c r="E38" s="196" t="s">
        <v>40</v>
      </c>
      <c r="F38" s="354" t="s">
        <v>46</v>
      </c>
      <c r="G38" s="98"/>
      <c r="H38" s="91"/>
      <c r="I38" s="91"/>
      <c r="J38" s="99">
        <v>1750</v>
      </c>
      <c r="K38" s="149" t="str">
        <f>IF(F38="??","??",IF(F38&lt;=J38,"Yes","No"))</f>
        <v>??</v>
      </c>
      <c r="L38" s="76" t="s">
        <v>41</v>
      </c>
      <c r="M38" s="77"/>
      <c r="O38" s="316" t="s">
        <v>485</v>
      </c>
      <c r="P38" s="317" t="str">
        <f t="shared" ca="1" si="0"/>
        <v>??</v>
      </c>
      <c r="Q38" t="str">
        <f t="shared" ca="1" si="2"/>
        <v>$F$43</v>
      </c>
      <c r="R38" t="s">
        <v>390</v>
      </c>
      <c r="S38" t="str">
        <f t="shared" ca="1" si="1"/>
        <v>F43</v>
      </c>
      <c r="T38" s="318" t="str">
        <f ca="1">VLOOKUP(CELL("format",INDIRECT(Q38)),FormatLookup[],2,FALSE)</f>
        <v>0.0</v>
      </c>
      <c r="U38" s="318" t="str">
        <f>VLOOKUP(R38,Definitions34Gy1F14[],3,FALSE)</f>
        <v>0.0</v>
      </c>
      <c r="V38" s="319" t="str">
        <f>IF(ISBLANK(VLOOKUP(R38,Definitions34Gy1F14[],5,FALSE)),"",VLOOKUP(R38,Definitions34Gy1F14[],5,FALSE))</f>
        <v>cGy</v>
      </c>
      <c r="W38" t="b">
        <f ca="1">EXACT(config34Gy1F13[[#This Row],[Address]],VLOOKUP(config34Gy1F13[[#This Row],[Name]],Definitions34Gy1F14[],2,FALSE))</f>
        <v>1</v>
      </c>
      <c r="X38" s="319" t="b">
        <f ca="1">IF(EXACT(config34Gy1F13[[#This Row],[Extracted Format]],config34Gy1F13[[#This Row],[Expected Format]]),TRUE,IF(EXACT(config34Gy1F13[[#This Row],[Expected Format]],"@"),"Check",FALSE))</f>
        <v>1</v>
      </c>
      <c r="Y38" s="319" t="b">
        <f>IF(ISERROR(FIND(config34Gy1F13[[#This Row],[Units]],config34Gy1F13[[#This Row],[Label]])),"Check",TRUE)</f>
        <v>1</v>
      </c>
      <c r="AA38" t="s">
        <v>390</v>
      </c>
      <c r="AB38" t="s">
        <v>391</v>
      </c>
      <c r="AC38" s="318" t="s">
        <v>188</v>
      </c>
      <c r="AD38" s="318" t="s">
        <v>188</v>
      </c>
      <c r="AE38" t="s">
        <v>260</v>
      </c>
      <c r="AF38" t="s">
        <v>392</v>
      </c>
      <c r="AG38" t="s">
        <v>13</v>
      </c>
      <c r="AH38" t="s">
        <v>269</v>
      </c>
      <c r="AJ38" t="s">
        <v>287</v>
      </c>
    </row>
    <row r="39" spans="1:36" ht="14.25" x14ac:dyDescent="0.25">
      <c r="A39" s="4"/>
      <c r="B39" s="143"/>
      <c r="C39" s="120"/>
      <c r="D39" s="120"/>
      <c r="E39" s="189" t="s">
        <v>158</v>
      </c>
      <c r="F39" s="331" t="str">
        <f>IF(F38&lt;=1400,"OK","??")</f>
        <v>??</v>
      </c>
      <c r="G39" s="98"/>
      <c r="H39" s="91"/>
      <c r="I39" s="91"/>
      <c r="J39" s="99">
        <v>3</v>
      </c>
      <c r="K39" s="202" t="str">
        <f>IF(F39="??","??",IF(F39&lt;=3,"Yes",IF(F39="OK","Yes","No")))</f>
        <v>??</v>
      </c>
      <c r="L39" s="76" t="s">
        <v>41</v>
      </c>
      <c r="M39" s="77"/>
      <c r="O39" s="316" t="s">
        <v>524</v>
      </c>
      <c r="P39" s="317" t="str">
        <f t="shared" ca="1" si="0"/>
        <v>??</v>
      </c>
      <c r="Q39" t="str">
        <f t="shared" ca="1" si="2"/>
        <v>$F$44</v>
      </c>
      <c r="R39" t="s">
        <v>525</v>
      </c>
      <c r="S39" t="str">
        <f t="shared" ca="1" si="1"/>
        <v>F44</v>
      </c>
      <c r="T39" s="318" t="str">
        <f ca="1">VLOOKUP(CELL("format",INDIRECT(Q39)),FormatLookup[],2,FALSE)</f>
        <v>0.00</v>
      </c>
      <c r="U39" s="318" t="s">
        <v>190</v>
      </c>
      <c r="V39" s="319" t="s">
        <v>267</v>
      </c>
      <c r="W39" t="b">
        <f ca="1">EXACT(config34Gy1F13[[#This Row],[Address]],VLOOKUP(config34Gy1F13[[#This Row],[Name]],Definitions34Gy1F14[],2,FALSE))</f>
        <v>1</v>
      </c>
      <c r="X39" s="319" t="b">
        <f ca="1">IF(EXACT(config34Gy1F13[[#This Row],[Extracted Format]],config34Gy1F13[[#This Row],[Expected Format]]),TRUE,IF(EXACT(config34Gy1F13[[#This Row],[Expected Format]],"@"),"Check",FALSE))</f>
        <v>1</v>
      </c>
      <c r="Y39" s="319" t="b">
        <f>IF(ISERROR(FIND(config34Gy1F13[[#This Row],[Units]],config34Gy1F13[[#This Row],[Label]])),"Check",TRUE)</f>
        <v>1</v>
      </c>
      <c r="AA39" t="s">
        <v>525</v>
      </c>
      <c r="AB39" t="s">
        <v>395</v>
      </c>
      <c r="AC39" s="318" t="s">
        <v>190</v>
      </c>
      <c r="AD39" s="318" t="s">
        <v>190</v>
      </c>
      <c r="AE39" t="s">
        <v>267</v>
      </c>
      <c r="AF39" t="s">
        <v>526</v>
      </c>
      <c r="AG39" t="s">
        <v>13</v>
      </c>
      <c r="AH39" t="s">
        <v>269</v>
      </c>
      <c r="AJ39" t="s">
        <v>527</v>
      </c>
    </row>
    <row r="40" spans="1:36" ht="14.25" x14ac:dyDescent="0.25">
      <c r="A40" s="4"/>
      <c r="B40" s="197" t="s">
        <v>14</v>
      </c>
      <c r="C40" s="199"/>
      <c r="D40" s="199"/>
      <c r="E40" s="260" t="s">
        <v>168</v>
      </c>
      <c r="F40" s="365" t="s">
        <v>46</v>
      </c>
      <c r="G40" s="200" t="s">
        <v>26</v>
      </c>
      <c r="H40" s="201"/>
      <c r="I40" s="201"/>
      <c r="J40" s="209">
        <v>2600</v>
      </c>
      <c r="K40" s="149" t="str">
        <f>IF(F40="??","??",IF(F40&lt;=J40,"Yes","No"))</f>
        <v>??</v>
      </c>
      <c r="L40" s="76" t="s">
        <v>41</v>
      </c>
      <c r="M40" s="77"/>
      <c r="O40" s="316" t="s">
        <v>486</v>
      </c>
      <c r="P40" s="317" t="str">
        <f t="shared" ca="1" si="0"/>
        <v>??</v>
      </c>
      <c r="Q40" t="str">
        <f t="shared" ca="1" si="2"/>
        <v>$F$45</v>
      </c>
      <c r="R40" t="s">
        <v>399</v>
      </c>
      <c r="S40" t="str">
        <f t="shared" ca="1" si="1"/>
        <v>F45</v>
      </c>
      <c r="T40" s="318" t="str">
        <f ca="1">VLOOKUP(CELL("format",INDIRECT(Q40)),FormatLookup[],2,FALSE)</f>
        <v>0.0</v>
      </c>
      <c r="U40" s="318" t="str">
        <f>VLOOKUP(R40,Definitions34Gy1F14[],3,FALSE)</f>
        <v>0.0</v>
      </c>
      <c r="V40" s="319" t="str">
        <f>IF(ISBLANK(VLOOKUP(R40,Definitions34Gy1F14[],5,FALSE)),"",VLOOKUP(R40,Definitions34Gy1F14[],5,FALSE))</f>
        <v>cGy</v>
      </c>
      <c r="W40" t="b">
        <f ca="1">EXACT(config34Gy1F13[[#This Row],[Address]],VLOOKUP(config34Gy1F13[[#This Row],[Name]],Definitions34Gy1F14[],2,FALSE))</f>
        <v>1</v>
      </c>
      <c r="X40" s="319" t="b">
        <f ca="1">IF(EXACT(config34Gy1F13[[#This Row],[Extracted Format]],config34Gy1F13[[#This Row],[Expected Format]]),TRUE,IF(EXACT(config34Gy1F13[[#This Row],[Expected Format]],"@"),"Check",FALSE))</f>
        <v>1</v>
      </c>
      <c r="Y40" s="319" t="b">
        <f>IF(ISERROR(FIND(config34Gy1F13[[#This Row],[Units]],config34Gy1F13[[#This Row],[Label]])),"Check",TRUE)</f>
        <v>1</v>
      </c>
      <c r="AA40" t="s">
        <v>399</v>
      </c>
      <c r="AB40" t="s">
        <v>400</v>
      </c>
      <c r="AC40" s="318" t="s">
        <v>188</v>
      </c>
      <c r="AD40" s="318" t="s">
        <v>188</v>
      </c>
      <c r="AE40" t="s">
        <v>260</v>
      </c>
      <c r="AF40" t="s">
        <v>401</v>
      </c>
      <c r="AG40" t="s">
        <v>402</v>
      </c>
      <c r="AH40" t="s">
        <v>269</v>
      </c>
      <c r="AJ40" t="s">
        <v>287</v>
      </c>
    </row>
    <row r="41" spans="1:36" ht="14.25" x14ac:dyDescent="0.25">
      <c r="B41" s="257"/>
      <c r="C41" s="258"/>
      <c r="D41" s="258"/>
      <c r="E41" s="262" t="s">
        <v>159</v>
      </c>
      <c r="F41" s="331" t="str">
        <f>IF(F40&lt;=2300,"OK","??")</f>
        <v>??</v>
      </c>
      <c r="G41" s="254"/>
      <c r="H41" s="255"/>
      <c r="I41" s="255"/>
      <c r="J41" s="256">
        <v>10</v>
      </c>
      <c r="K41" s="202" t="str">
        <f>IF(F41="??","??",IF(F41&lt;=10,"Yes",IF(F41="OK","Yes","No")))</f>
        <v>??</v>
      </c>
      <c r="L41" s="76" t="s">
        <v>41</v>
      </c>
      <c r="M41" s="77"/>
      <c r="O41" s="316" t="s">
        <v>528</v>
      </c>
      <c r="P41" s="317" t="str">
        <f t="shared" ca="1" si="0"/>
        <v>??</v>
      </c>
      <c r="Q41" t="str">
        <f t="shared" ca="1" si="2"/>
        <v>$F$46</v>
      </c>
      <c r="R41" t="s">
        <v>529</v>
      </c>
      <c r="S41" t="str">
        <f t="shared" ca="1" si="1"/>
        <v>F46</v>
      </c>
      <c r="T41" s="318" t="str">
        <f ca="1">VLOOKUP(CELL("format",INDIRECT(Q41)),FormatLookup[],2,FALSE)</f>
        <v>0.00</v>
      </c>
      <c r="U41" s="318" t="s">
        <v>190</v>
      </c>
      <c r="V41" s="319" t="s">
        <v>267</v>
      </c>
      <c r="W41" t="b">
        <f ca="1">EXACT(config34Gy1F13[[#This Row],[Address]],VLOOKUP(config34Gy1F13[[#This Row],[Name]],Definitions34Gy1F14[],2,FALSE))</f>
        <v>1</v>
      </c>
      <c r="X41" s="319" t="b">
        <f ca="1">IF(EXACT(config34Gy1F13[[#This Row],[Extracted Format]],config34Gy1F13[[#This Row],[Expected Format]]),TRUE,IF(EXACT(config34Gy1F13[[#This Row],[Expected Format]],"@"),"Check",FALSE))</f>
        <v>1</v>
      </c>
      <c r="Y41" s="319" t="b">
        <f>IF(ISERROR(FIND(config34Gy1F13[[#This Row],[Units]],config34Gy1F13[[#This Row],[Label]])),"Check",TRUE)</f>
        <v>1</v>
      </c>
      <c r="AA41" t="s">
        <v>529</v>
      </c>
      <c r="AB41" t="s">
        <v>405</v>
      </c>
      <c r="AC41" s="318" t="s">
        <v>190</v>
      </c>
      <c r="AD41" s="318" t="s">
        <v>190</v>
      </c>
      <c r="AE41" t="s">
        <v>267</v>
      </c>
      <c r="AF41" t="s">
        <v>530</v>
      </c>
      <c r="AG41" t="s">
        <v>402</v>
      </c>
      <c r="AH41" t="s">
        <v>269</v>
      </c>
      <c r="AJ41" t="s">
        <v>531</v>
      </c>
    </row>
    <row r="42" spans="1:36" x14ac:dyDescent="0.2">
      <c r="A42" s="4"/>
      <c r="B42" s="124" t="s">
        <v>16</v>
      </c>
      <c r="C42" s="91"/>
      <c r="D42" s="91"/>
      <c r="E42" s="122" t="s">
        <v>40</v>
      </c>
      <c r="F42" s="366" t="s">
        <v>46</v>
      </c>
      <c r="G42" s="195" t="s">
        <v>26</v>
      </c>
      <c r="H42" s="91"/>
      <c r="I42" s="91"/>
      <c r="J42" s="99">
        <v>1750</v>
      </c>
      <c r="K42" s="149" t="str">
        <f>IF(F42="??","??",IF(F42&lt;=J42,"Yes","No"))</f>
        <v>??</v>
      </c>
      <c r="L42" s="76" t="s">
        <v>41</v>
      </c>
      <c r="M42" s="77"/>
      <c r="O42" s="316" t="s">
        <v>492</v>
      </c>
      <c r="P42" s="317" t="str">
        <f t="shared" ca="1" si="0"/>
        <v>??</v>
      </c>
      <c r="Q42" t="str">
        <f t="shared" ca="1" si="2"/>
        <v>$F$47</v>
      </c>
      <c r="R42" t="s">
        <v>412</v>
      </c>
      <c r="S42" t="str">
        <f t="shared" ca="1" si="1"/>
        <v>F47</v>
      </c>
      <c r="T42" s="318" t="str">
        <f ca="1">VLOOKUP(CELL("format",INDIRECT(Q42)),FormatLookup[],2,FALSE)</f>
        <v>0.0</v>
      </c>
      <c r="U42" s="318" t="str">
        <f>VLOOKUP(R42,Definitions34Gy1F14[],3,FALSE)</f>
        <v>0.0</v>
      </c>
      <c r="V42" s="319" t="str">
        <f>IF(ISBLANK(VLOOKUP(R42,Definitions34Gy1F14[],5,FALSE)),"",VLOOKUP(R42,Definitions34Gy1F14[],5,FALSE))</f>
        <v>cGy</v>
      </c>
      <c r="W42" t="b">
        <f ca="1">EXACT(config34Gy1F13[[#This Row],[Address]],VLOOKUP(config34Gy1F13[[#This Row],[Name]],Definitions34Gy1F14[],2,FALSE))</f>
        <v>1</v>
      </c>
      <c r="X42" s="319" t="b">
        <f ca="1">IF(EXACT(config34Gy1F13[[#This Row],[Extracted Format]],config34Gy1F13[[#This Row],[Expected Format]]),TRUE,IF(EXACT(config34Gy1F13[[#This Row],[Expected Format]],"@"),"Check",FALSE))</f>
        <v>1</v>
      </c>
      <c r="Y42" s="319" t="b">
        <f>IF(ISERROR(FIND(config34Gy1F13[[#This Row],[Units]],config34Gy1F13[[#This Row],[Label]])),"Check",TRUE)</f>
        <v>1</v>
      </c>
      <c r="AA42" t="s">
        <v>412</v>
      </c>
      <c r="AB42" t="s">
        <v>409</v>
      </c>
      <c r="AC42" s="318" t="s">
        <v>188</v>
      </c>
      <c r="AD42" s="318" t="s">
        <v>188</v>
      </c>
      <c r="AE42" t="s">
        <v>260</v>
      </c>
      <c r="AF42" t="s">
        <v>414</v>
      </c>
      <c r="AG42" t="s">
        <v>136</v>
      </c>
      <c r="AH42" t="s">
        <v>269</v>
      </c>
      <c r="AJ42" t="s">
        <v>287</v>
      </c>
    </row>
    <row r="43" spans="1:36" x14ac:dyDescent="0.2">
      <c r="A43" s="4"/>
      <c r="B43" s="124" t="s">
        <v>13</v>
      </c>
      <c r="C43" s="91"/>
      <c r="D43" s="91"/>
      <c r="E43" s="261" t="s">
        <v>40</v>
      </c>
      <c r="F43" s="366" t="s">
        <v>46</v>
      </c>
      <c r="G43" s="98"/>
      <c r="H43" s="91"/>
      <c r="I43" s="91"/>
      <c r="J43" s="99">
        <v>1540</v>
      </c>
      <c r="K43" s="149" t="str">
        <f>IF(F43="??","??",IF(F43&lt;=J43,"Yes","No"))</f>
        <v>??</v>
      </c>
      <c r="L43" s="76" t="s">
        <v>41</v>
      </c>
      <c r="M43" s="77"/>
      <c r="O43" s="316" t="s">
        <v>493</v>
      </c>
      <c r="P43" s="317" t="str">
        <f t="shared" ca="1" si="0"/>
        <v>??</v>
      </c>
      <c r="Q43" t="str">
        <f t="shared" ca="1" si="2"/>
        <v>$F$48</v>
      </c>
      <c r="R43" t="s">
        <v>416</v>
      </c>
      <c r="S43" t="str">
        <f t="shared" ca="1" si="1"/>
        <v>F48</v>
      </c>
      <c r="T43" s="318" t="str">
        <f ca="1">VLOOKUP(CELL("format",INDIRECT(Q43)),FormatLookup[],2,FALSE)</f>
        <v>0.0</v>
      </c>
      <c r="U43" s="318" t="str">
        <f>VLOOKUP(R43,Definitions34Gy1F14[],3,FALSE)</f>
        <v>0.0</v>
      </c>
      <c r="V43" s="319" t="str">
        <f>IF(ISBLANK(VLOOKUP(R43,Definitions34Gy1F14[],5,FALSE)),"",VLOOKUP(R43,Definitions34Gy1F14[],5,FALSE))</f>
        <v>cGy</v>
      </c>
      <c r="W43" t="b">
        <f ca="1">EXACT(config34Gy1F13[[#This Row],[Address]],VLOOKUP(config34Gy1F13[[#This Row],[Name]],Definitions34Gy1F14[],2,FALSE))</f>
        <v>1</v>
      </c>
      <c r="X43" s="319" t="b">
        <f ca="1">IF(EXACT(config34Gy1F13[[#This Row],[Extracted Format]],config34Gy1F13[[#This Row],[Expected Format]]),TRUE,IF(EXACT(config34Gy1F13[[#This Row],[Expected Format]],"@"),"Check",FALSE))</f>
        <v>1</v>
      </c>
      <c r="Y43" s="319" t="b">
        <f>IF(ISERROR(FIND(config34Gy1F13[[#This Row],[Units]],config34Gy1F13[[#This Row],[Label]])),"Check",TRUE)</f>
        <v>1</v>
      </c>
      <c r="AA43" t="s">
        <v>416</v>
      </c>
      <c r="AB43" t="s">
        <v>413</v>
      </c>
      <c r="AC43" s="318" t="s">
        <v>188</v>
      </c>
      <c r="AD43" s="318" t="s">
        <v>188</v>
      </c>
      <c r="AE43" t="s">
        <v>260</v>
      </c>
      <c r="AF43" t="s">
        <v>418</v>
      </c>
      <c r="AG43" t="s">
        <v>419</v>
      </c>
      <c r="AH43" t="s">
        <v>269</v>
      </c>
      <c r="AI43" t="s">
        <v>369</v>
      </c>
      <c r="AJ43" t="s">
        <v>287</v>
      </c>
    </row>
    <row r="44" spans="1:36" ht="14.25" x14ac:dyDescent="0.25">
      <c r="B44" s="82"/>
      <c r="C44" s="84"/>
      <c r="D44" s="84"/>
      <c r="E44" s="259" t="s">
        <v>160</v>
      </c>
      <c r="F44" s="331" t="str">
        <f>IF(F43&lt;=1190,"OK","??")</f>
        <v>??</v>
      </c>
      <c r="G44" s="98"/>
      <c r="H44" s="91"/>
      <c r="I44" s="91"/>
      <c r="J44" s="99">
        <v>5</v>
      </c>
      <c r="K44" s="202" t="str">
        <f>IF(F44="??","??",IF(F44&lt;=5,"Yes",IF(F44="OK","Yes","No")))</f>
        <v>??</v>
      </c>
      <c r="L44" s="76" t="s">
        <v>41</v>
      </c>
      <c r="M44" s="77"/>
      <c r="O44" s="316" t="s">
        <v>532</v>
      </c>
      <c r="P44" s="317">
        <f t="shared" ca="1" si="0"/>
        <v>0</v>
      </c>
      <c r="Q44" t="str">
        <f ca="1">CELL("address",B49)</f>
        <v>$B$49</v>
      </c>
      <c r="R44" t="s">
        <v>533</v>
      </c>
      <c r="S44" t="str">
        <f t="shared" ca="1" si="1"/>
        <v>B49</v>
      </c>
      <c r="T44" s="318" t="str">
        <f ca="1">VLOOKUP(CELL("format",INDIRECT(Q44)),FormatLookup[],2,FALSE)</f>
        <v>0.00</v>
      </c>
      <c r="U44" s="318" t="s">
        <v>190</v>
      </c>
      <c r="V44" s="319" t="s">
        <v>267</v>
      </c>
      <c r="W44" t="b">
        <f ca="1">EXACT(config34Gy1F13[[#This Row],[Address]],VLOOKUP(config34Gy1F13[[#This Row],[Name]],Definitions34Gy1F14[],2,FALSE))</f>
        <v>1</v>
      </c>
      <c r="X44" s="319" t="b">
        <f ca="1">IF(EXACT(config34Gy1F13[[#This Row],[Extracted Format]],config34Gy1F13[[#This Row],[Expected Format]]),TRUE,IF(EXACT(config34Gy1F13[[#This Row],[Expected Format]],"@"),"Check",FALSE))</f>
        <v>1</v>
      </c>
      <c r="Y44" s="319" t="b">
        <f>IF(ISERROR(FIND(config34Gy1F13[[#This Row],[Units]],config34Gy1F13[[#This Row],[Label]])),"Check",TRUE)</f>
        <v>1</v>
      </c>
      <c r="AA44" t="s">
        <v>533</v>
      </c>
      <c r="AB44" t="s">
        <v>534</v>
      </c>
      <c r="AC44" s="318" t="s">
        <v>190</v>
      </c>
      <c r="AD44" s="318" t="s">
        <v>190</v>
      </c>
      <c r="AE44" t="s">
        <v>267</v>
      </c>
      <c r="AF44" t="s">
        <v>535</v>
      </c>
      <c r="AG44" t="s">
        <v>136</v>
      </c>
      <c r="AH44" t="s">
        <v>269</v>
      </c>
      <c r="AJ44" t="s">
        <v>536</v>
      </c>
    </row>
    <row r="45" spans="1:36" x14ac:dyDescent="0.2">
      <c r="B45" s="124" t="s">
        <v>95</v>
      </c>
      <c r="C45" s="91"/>
      <c r="D45" s="91"/>
      <c r="E45" s="122" t="s">
        <v>40</v>
      </c>
      <c r="F45" s="354" t="s">
        <v>46</v>
      </c>
      <c r="G45" s="9"/>
      <c r="H45" s="270"/>
      <c r="I45" s="270"/>
      <c r="J45" s="9">
        <v>3000</v>
      </c>
      <c r="K45" s="149" t="str">
        <f>IF(F45="??","??",IF(F45&lt;=J45,"Yes","No"))</f>
        <v>??</v>
      </c>
      <c r="L45" s="76" t="s">
        <v>41</v>
      </c>
      <c r="M45" s="77"/>
      <c r="O45" s="316" t="s">
        <v>537</v>
      </c>
      <c r="P45" s="317">
        <f t="shared" ca="1" si="0"/>
        <v>0</v>
      </c>
      <c r="Q45" t="str">
        <f ca="1">CELL("address",C49)</f>
        <v>$C$49</v>
      </c>
      <c r="R45" t="s">
        <v>538</v>
      </c>
      <c r="S45" t="str">
        <f t="shared" ca="1" si="1"/>
        <v>C49</v>
      </c>
      <c r="T45" s="318" t="str">
        <f ca="1">VLOOKUP(CELL("format",INDIRECT(Q45)),FormatLookup[],2,FALSE)</f>
        <v>0.00</v>
      </c>
      <c r="U45" s="318" t="s">
        <v>190</v>
      </c>
      <c r="V45" s="319" t="s">
        <v>267</v>
      </c>
      <c r="W45" t="b">
        <f ca="1">EXACT(config34Gy1F13[[#This Row],[Address]],VLOOKUP(config34Gy1F13[[#This Row],[Name]],Definitions34Gy1F14[],2,FALSE))</f>
        <v>1</v>
      </c>
      <c r="X45" s="319" t="b">
        <f ca="1">IF(EXACT(config34Gy1F13[[#This Row],[Extracted Format]],config34Gy1F13[[#This Row],[Expected Format]]),TRUE,IF(EXACT(config34Gy1F13[[#This Row],[Expected Format]],"@"),"Check",FALSE))</f>
        <v>1</v>
      </c>
      <c r="Y45" s="319" t="b">
        <f>IF(ISERROR(FIND(config34Gy1F13[[#This Row],[Units]],config34Gy1F13[[#This Row],[Label]])),"Check",TRUE)</f>
        <v>1</v>
      </c>
      <c r="AA45" t="s">
        <v>538</v>
      </c>
      <c r="AB45" t="s">
        <v>539</v>
      </c>
      <c r="AC45" s="318" t="s">
        <v>190</v>
      </c>
      <c r="AD45" s="318" t="s">
        <v>190</v>
      </c>
      <c r="AE45" t="s">
        <v>267</v>
      </c>
      <c r="AF45" t="s">
        <v>540</v>
      </c>
      <c r="AG45" t="s">
        <v>429</v>
      </c>
      <c r="AH45" t="s">
        <v>269</v>
      </c>
      <c r="AJ45" t="s">
        <v>536</v>
      </c>
    </row>
    <row r="46" spans="1:36" ht="14.25" x14ac:dyDescent="0.25">
      <c r="B46" s="82"/>
      <c r="C46" s="116"/>
      <c r="D46" s="84"/>
      <c r="E46" s="207" t="s">
        <v>165</v>
      </c>
      <c r="F46" s="331" t="str">
        <f>IF(F45&lt;=3000,"OK","??")</f>
        <v>??</v>
      </c>
      <c r="G46" s="9"/>
      <c r="H46" s="270"/>
      <c r="I46" s="270"/>
      <c r="J46" s="9">
        <v>1</v>
      </c>
      <c r="K46" s="271" t="str">
        <f>IF(F46="??","??",IF(F46&lt;=J46,"Yes",IF(F46="OK","Yes","No")))</f>
        <v>??</v>
      </c>
      <c r="L46" s="76" t="s">
        <v>41</v>
      </c>
      <c r="M46" s="77"/>
      <c r="O46" s="316" t="s">
        <v>541</v>
      </c>
      <c r="P46" s="317" t="str">
        <f t="shared" ca="1" si="0"/>
        <v>??</v>
      </c>
      <c r="Q46" t="str">
        <f ca="1">CELL("address",F50)</f>
        <v>$F$50</v>
      </c>
      <c r="R46" t="s">
        <v>431</v>
      </c>
      <c r="S46" t="str">
        <f t="shared" ca="1" si="1"/>
        <v>F50</v>
      </c>
      <c r="T46" s="318" t="str">
        <f ca="1">VLOOKUP(CELL("format",INDIRECT(Q46)),FormatLookup[],2,FALSE)</f>
        <v>0.0</v>
      </c>
      <c r="U46" s="318" t="str">
        <f>VLOOKUP(R46,Definitions34Gy1F14[],3,FALSE)</f>
        <v>0.0</v>
      </c>
      <c r="V46" s="319" t="str">
        <f>IF(ISBLANK(VLOOKUP(R46,Definitions34Gy1F14[],5,FALSE)),"",VLOOKUP(R46,Definitions34Gy1F14[],5,FALSE))</f>
        <v>cGy</v>
      </c>
      <c r="W46" t="b">
        <f ca="1">EXACT(config34Gy1F13[[#This Row],[Address]],VLOOKUP(config34Gy1F13[[#This Row],[Name]],Definitions34Gy1F14[],2,FALSE))</f>
        <v>1</v>
      </c>
      <c r="X46" s="319" t="b">
        <f ca="1">IF(EXACT(config34Gy1F13[[#This Row],[Extracted Format]],config34Gy1F13[[#This Row],[Expected Format]]),TRUE,IF(EXACT(config34Gy1F13[[#This Row],[Expected Format]],"@"),"Check",FALSE))</f>
        <v>1</v>
      </c>
      <c r="Y46" s="319" t="b">
        <f>IF(ISERROR(FIND(config34Gy1F13[[#This Row],[Units]],config34Gy1F13[[#This Row],[Label]])),"Check",TRUE)</f>
        <v>1</v>
      </c>
      <c r="AA46" t="s">
        <v>431</v>
      </c>
      <c r="AB46" t="s">
        <v>542</v>
      </c>
      <c r="AC46" s="318" t="s">
        <v>188</v>
      </c>
      <c r="AD46" s="318" t="s">
        <v>188</v>
      </c>
      <c r="AE46" t="s">
        <v>260</v>
      </c>
      <c r="AF46" t="s">
        <v>433</v>
      </c>
      <c r="AG46" t="s">
        <v>434</v>
      </c>
      <c r="AH46" t="s">
        <v>269</v>
      </c>
      <c r="AJ46" t="s">
        <v>287</v>
      </c>
    </row>
    <row r="47" spans="1:36" x14ac:dyDescent="0.2">
      <c r="B47" s="154" t="s">
        <v>136</v>
      </c>
      <c r="C47" s="203"/>
      <c r="D47" s="91"/>
      <c r="E47" s="261" t="s">
        <v>40</v>
      </c>
      <c r="F47" s="355" t="s">
        <v>46</v>
      </c>
      <c r="G47" s="272" t="s">
        <v>26</v>
      </c>
      <c r="H47" s="270"/>
      <c r="I47" s="270"/>
      <c r="J47" s="9">
        <v>2020</v>
      </c>
      <c r="K47" s="149" t="str">
        <f>IF(F47="??","??",IF(F47&lt;=2020,"Yes","No"))</f>
        <v>??</v>
      </c>
      <c r="L47" s="76" t="s">
        <v>41</v>
      </c>
      <c r="M47" s="77"/>
      <c r="O47" s="316" t="s">
        <v>543</v>
      </c>
      <c r="P47" s="317" t="str">
        <f t="shared" ca="1" si="0"/>
        <v>??</v>
      </c>
      <c r="Q47" t="str">
        <f ca="1">CELL("address",F51)</f>
        <v>$F$51</v>
      </c>
      <c r="R47" t="s">
        <v>544</v>
      </c>
      <c r="S47" t="str">
        <f t="shared" ca="1" si="1"/>
        <v>F51</v>
      </c>
      <c r="T47" s="318" t="str">
        <f ca="1">VLOOKUP(CELL("format",INDIRECT(Q47)),FormatLookup[],2,FALSE)</f>
        <v>0.00</v>
      </c>
      <c r="U47" s="318" t="s">
        <v>190</v>
      </c>
      <c r="V47" s="319" t="s">
        <v>267</v>
      </c>
      <c r="W47" t="b">
        <f ca="1">EXACT(config34Gy1F13[[#This Row],[Address]],VLOOKUP(config34Gy1F13[[#This Row],[Name]],Definitions34Gy1F14[],2,FALSE))</f>
        <v>1</v>
      </c>
      <c r="X47" s="319" t="b">
        <f ca="1">IF(EXACT(config34Gy1F13[[#This Row],[Extracted Format]],config34Gy1F13[[#This Row],[Expected Format]]),TRUE,IF(EXACT(config34Gy1F13[[#This Row],[Expected Format]],"@"),"Check",FALSE))</f>
        <v>1</v>
      </c>
      <c r="Y47" s="319" t="b">
        <f>IF(ISERROR(FIND(config34Gy1F13[[#This Row],[Units]],config34Gy1F13[[#This Row],[Label]])),"Check",TRUE)</f>
        <v>1</v>
      </c>
      <c r="AA47" t="s">
        <v>544</v>
      </c>
      <c r="AB47" t="s">
        <v>432</v>
      </c>
      <c r="AC47" s="318" t="s">
        <v>190</v>
      </c>
      <c r="AD47" s="318" t="s">
        <v>190</v>
      </c>
      <c r="AE47" t="s">
        <v>267</v>
      </c>
      <c r="AF47" t="s">
        <v>545</v>
      </c>
      <c r="AG47" t="s">
        <v>434</v>
      </c>
      <c r="AH47" t="s">
        <v>269</v>
      </c>
      <c r="AJ47" t="s">
        <v>546</v>
      </c>
    </row>
    <row r="48" spans="1:36" x14ac:dyDescent="0.2">
      <c r="B48" s="148" t="s">
        <v>138</v>
      </c>
      <c r="C48" s="204"/>
      <c r="D48" s="84"/>
      <c r="E48" s="123" t="s">
        <v>40</v>
      </c>
      <c r="F48" s="355" t="s">
        <v>46</v>
      </c>
      <c r="G48" s="272"/>
      <c r="H48" s="270"/>
      <c r="I48" s="270"/>
      <c r="J48" s="9">
        <v>2020</v>
      </c>
      <c r="K48" s="149" t="str">
        <f>IF(F48="??","??",IF(F48&lt;=2020,"Yes","No"))</f>
        <v>??</v>
      </c>
      <c r="L48" s="76" t="s">
        <v>41</v>
      </c>
      <c r="M48" s="77"/>
      <c r="O48"/>
      <c r="P48"/>
    </row>
    <row r="49" spans="2:13" ht="14.25" x14ac:dyDescent="0.25">
      <c r="B49" s="357"/>
      <c r="C49" s="358"/>
      <c r="D49" s="84"/>
      <c r="E49" s="276" t="s">
        <v>167</v>
      </c>
      <c r="F49" s="349" t="str">
        <f>IF(MAX(A48:A48)&gt;0,MAX(A48:A48),"??")</f>
        <v>??</v>
      </c>
      <c r="G49" s="273" t="s">
        <v>26</v>
      </c>
      <c r="H49" s="270"/>
      <c r="I49" s="270"/>
      <c r="J49" s="9">
        <v>4</v>
      </c>
      <c r="K49" s="149" t="str">
        <f>IF(F49="??","??",IF(F49&lt;=4,"Yes",IF(F49="OK","Yes","No")))</f>
        <v>??</v>
      </c>
      <c r="L49" s="76" t="s">
        <v>41</v>
      </c>
      <c r="M49" s="77"/>
    </row>
    <row r="50" spans="2:13" x14ac:dyDescent="0.2">
      <c r="B50" s="124" t="s">
        <v>96</v>
      </c>
      <c r="C50" s="91"/>
      <c r="D50" s="91"/>
      <c r="E50" s="266" t="s">
        <v>40</v>
      </c>
      <c r="F50" s="370" t="s">
        <v>46</v>
      </c>
      <c r="G50" s="9"/>
      <c r="H50" s="270"/>
      <c r="I50" s="270"/>
      <c r="J50" s="9">
        <v>1240</v>
      </c>
      <c r="K50" s="149" t="str">
        <f>IF(F50="??","??",IF(F50&lt;=1240,"Yes","No"))</f>
        <v>??</v>
      </c>
      <c r="L50" s="76" t="s">
        <v>41</v>
      </c>
      <c r="M50" s="77"/>
    </row>
    <row r="51" spans="2:13" ht="15" thickBot="1" x14ac:dyDescent="0.25">
      <c r="B51" s="229" t="s">
        <v>101</v>
      </c>
      <c r="C51" s="230"/>
      <c r="D51" s="79"/>
      <c r="E51" s="231" t="s">
        <v>166</v>
      </c>
      <c r="F51" s="333" t="str">
        <f>IF(F50&lt;=1120,"OK","??")</f>
        <v>??</v>
      </c>
      <c r="G51" s="274" t="s">
        <v>26</v>
      </c>
      <c r="H51" s="275"/>
      <c r="I51" s="275"/>
      <c r="J51" s="274">
        <v>1</v>
      </c>
      <c r="K51" s="150" t="str">
        <f>IF(F51="??","??",IF(F51&lt;=1,"Yes",IF(F51="OK","Yes","No")))</f>
        <v>??</v>
      </c>
      <c r="L51" s="76" t="s">
        <v>41</v>
      </c>
      <c r="M51" s="77"/>
    </row>
    <row r="53" spans="2:13" x14ac:dyDescent="0.2">
      <c r="E53" s="137"/>
      <c r="F53" s="135"/>
      <c r="G53" s="146"/>
      <c r="H53" s="136"/>
      <c r="I53" s="136"/>
      <c r="J53" s="135"/>
      <c r="K53" s="135"/>
    </row>
  </sheetData>
  <sheetProtection formatCells="0"/>
  <mergeCells count="3">
    <mergeCell ref="D27:E27"/>
    <mergeCell ref="D28:E28"/>
    <mergeCell ref="D29:E29"/>
  </mergeCells>
  <conditionalFormatting sqref="K46 K19:K27 K41 K15">
    <cfRule type="containsText" dxfId="56" priority="56" stopIfTrue="1" operator="containsText" text="No">
      <formula>NOT(ISERROR(SEARCH("No",K15)))</formula>
    </cfRule>
  </conditionalFormatting>
  <conditionalFormatting sqref="K42">
    <cfRule type="containsText" dxfId="55" priority="50" stopIfTrue="1" operator="containsText" text="No">
      <formula>NOT(ISERROR(SEARCH("No",K42)))</formula>
    </cfRule>
  </conditionalFormatting>
  <conditionalFormatting sqref="K43">
    <cfRule type="containsText" dxfId="54" priority="49" stopIfTrue="1" operator="containsText" text="No">
      <formula>NOT(ISERROR(SEARCH("No",K43)))</formula>
    </cfRule>
  </conditionalFormatting>
  <conditionalFormatting sqref="K34">
    <cfRule type="containsText" dxfId="53" priority="53" stopIfTrue="1" operator="containsText" text="No">
      <formula>NOT(ISERROR(SEARCH("No",K34)))</formula>
    </cfRule>
  </conditionalFormatting>
  <conditionalFormatting sqref="K37">
    <cfRule type="containsText" dxfId="52" priority="52" stopIfTrue="1" operator="containsText" text="No">
      <formula>NOT(ISERROR(SEARCH("No",K37)))</formula>
    </cfRule>
  </conditionalFormatting>
  <conditionalFormatting sqref="K38">
    <cfRule type="containsText" dxfId="51" priority="51" stopIfTrue="1" operator="containsText" text="No">
      <formula>NOT(ISERROR(SEARCH("No",K38)))</formula>
    </cfRule>
  </conditionalFormatting>
  <conditionalFormatting sqref="K45">
    <cfRule type="containsText" dxfId="50" priority="48" stopIfTrue="1" operator="containsText" text="No">
      <formula>NOT(ISERROR(SEARCH("No",K45)))</formula>
    </cfRule>
  </conditionalFormatting>
  <conditionalFormatting sqref="K16">
    <cfRule type="containsText" dxfId="49" priority="38" stopIfTrue="1" operator="containsText" text="Minor">
      <formula>NOT(ISERROR(SEARCH("Minor",K16)))</formula>
    </cfRule>
    <cfRule type="containsText" dxfId="48" priority="39" stopIfTrue="1" operator="containsText" text="No">
      <formula>NOT(ISERROR(SEARCH("No",K16)))</formula>
    </cfRule>
    <cfRule type="containsText" dxfId="47" priority="40" stopIfTrue="1" operator="containsText" text="Major">
      <formula>NOT(ISERROR(SEARCH("Major",K16)))</formula>
    </cfRule>
  </conditionalFormatting>
  <conditionalFormatting sqref="K17">
    <cfRule type="containsText" dxfId="46" priority="35" stopIfTrue="1" operator="containsText" text="Minor">
      <formula>NOT(ISERROR(SEARCH("Minor",K17)))</formula>
    </cfRule>
    <cfRule type="containsText" dxfId="45" priority="36" stopIfTrue="1" operator="containsText" text="No">
      <formula>NOT(ISERROR(SEARCH("No",K17)))</formula>
    </cfRule>
    <cfRule type="containsText" dxfId="44" priority="37" stopIfTrue="1" operator="containsText" text="Major">
      <formula>NOT(ISERROR(SEARCH("Major",K17)))</formula>
    </cfRule>
  </conditionalFormatting>
  <conditionalFormatting sqref="K28">
    <cfRule type="containsText" dxfId="43" priority="31" stopIfTrue="1" operator="containsText" text="Minor">
      <formula>NOT(ISERROR(SEARCH("Minor",K28)))</formula>
    </cfRule>
    <cfRule type="containsText" dxfId="42" priority="32" stopIfTrue="1" operator="containsText" text="No">
      <formula>NOT(ISERROR(SEARCH("No",K28)))</formula>
    </cfRule>
    <cfRule type="containsText" dxfId="41" priority="33" stopIfTrue="1" operator="containsText" text="Major">
      <formula>NOT(ISERROR(SEARCH("Major",K28)))</formula>
    </cfRule>
  </conditionalFormatting>
  <conditionalFormatting sqref="K29">
    <cfRule type="containsText" dxfId="40" priority="28" stopIfTrue="1" operator="containsText" text="Minor">
      <formula>NOT(ISERROR(SEARCH("Minor",K29)))</formula>
    </cfRule>
    <cfRule type="containsText" dxfId="39" priority="29" stopIfTrue="1" operator="containsText" text="No">
      <formula>NOT(ISERROR(SEARCH("No",K29)))</formula>
    </cfRule>
    <cfRule type="containsText" dxfId="38" priority="30" stopIfTrue="1" operator="containsText" text="Major">
      <formula>NOT(ISERROR(SEARCH("Major",K29)))</formula>
    </cfRule>
  </conditionalFormatting>
  <conditionalFormatting sqref="K20:K27">
    <cfRule type="containsText" dxfId="37" priority="27" stopIfTrue="1" operator="containsText" text="Minor">
      <formula>NOT(ISERROR(SEARCH("Minor",K20)))</formula>
    </cfRule>
    <cfRule type="containsText" dxfId="36" priority="34" stopIfTrue="1" operator="containsText" text="MAJOR">
      <formula>NOT(ISERROR(SEARCH("MAJOR",K20)))</formula>
    </cfRule>
  </conditionalFormatting>
  <conditionalFormatting sqref="K39">
    <cfRule type="containsText" dxfId="35" priority="25" stopIfTrue="1" operator="containsText" text="No">
      <formula>NOT(ISERROR(SEARCH("No",K39)))</formula>
    </cfRule>
  </conditionalFormatting>
  <conditionalFormatting sqref="K40">
    <cfRule type="containsText" dxfId="34" priority="24" stopIfTrue="1" operator="containsText" text="No">
      <formula>NOT(ISERROR(SEARCH("No",K40)))</formula>
    </cfRule>
  </conditionalFormatting>
  <conditionalFormatting sqref="K44">
    <cfRule type="containsText" dxfId="33" priority="23" stopIfTrue="1" operator="containsText" text="No">
      <formula>NOT(ISERROR(SEARCH("No",K44)))</formula>
    </cfRule>
  </conditionalFormatting>
  <conditionalFormatting sqref="K35">
    <cfRule type="containsText" dxfId="32" priority="22" stopIfTrue="1" operator="containsText" text="No">
      <formula>NOT(ISERROR(SEARCH("No",K35)))</formula>
    </cfRule>
  </conditionalFormatting>
  <conditionalFormatting sqref="K36">
    <cfRule type="containsText" dxfId="31" priority="21" stopIfTrue="1" operator="containsText" text="No">
      <formula>NOT(ISERROR(SEARCH("No",K36)))</formula>
    </cfRule>
  </conditionalFormatting>
  <conditionalFormatting sqref="K30">
    <cfRule type="containsText" dxfId="30" priority="19" stopIfTrue="1" operator="containsText" text="No">
      <formula>NOT(ISERROR(SEARCH("No",K30)))</formula>
    </cfRule>
  </conditionalFormatting>
  <conditionalFormatting sqref="K32">
    <cfRule type="containsText" dxfId="29" priority="18" stopIfTrue="1" operator="containsText" text="No">
      <formula>NOT(ISERROR(SEARCH("No",K32)))</formula>
    </cfRule>
  </conditionalFormatting>
  <conditionalFormatting sqref="K31">
    <cfRule type="containsText" dxfId="28" priority="17" stopIfTrue="1" operator="containsText" text="No">
      <formula>NOT(ISERROR(SEARCH("No",K31)))</formula>
    </cfRule>
  </conditionalFormatting>
  <conditionalFormatting sqref="K33">
    <cfRule type="containsText" dxfId="27" priority="16" stopIfTrue="1" operator="containsText" text="No">
      <formula>NOT(ISERROR(SEARCH("No",K33)))</formula>
    </cfRule>
  </conditionalFormatting>
  <conditionalFormatting sqref="K50:K51">
    <cfRule type="containsText" dxfId="26" priority="15" stopIfTrue="1" operator="containsText" text="No">
      <formula>NOT(ISERROR(SEARCH("No",K50)))</formula>
    </cfRule>
  </conditionalFormatting>
  <conditionalFormatting sqref="K47:K49">
    <cfRule type="containsText" dxfId="25" priority="14" stopIfTrue="1" operator="containsText" text="No">
      <formula>NOT(ISERROR(SEARCH("No",K47)))</formula>
    </cfRule>
  </conditionalFormatting>
  <conditionalFormatting sqref="K18">
    <cfRule type="containsText" dxfId="24" priority="11" stopIfTrue="1" operator="containsText" text="Minor">
      <formula>NOT(ISERROR(SEARCH("Minor",K18)))</formula>
    </cfRule>
    <cfRule type="containsText" dxfId="23" priority="12" stopIfTrue="1" operator="containsText" text="No">
      <formula>NOT(ISERROR(SEARCH("No",K18)))</formula>
    </cfRule>
    <cfRule type="containsText" dxfId="22" priority="13" stopIfTrue="1" operator="containsText" text="Major">
      <formula>NOT(ISERROR(SEARCH("Major",K18)))</formula>
    </cfRule>
  </conditionalFormatting>
  <conditionalFormatting sqref="K13">
    <cfRule type="containsText" dxfId="21" priority="5" stopIfTrue="1" operator="containsText" text="Minor">
      <formula>NOT(ISERROR(SEARCH("Minor",K13)))</formula>
    </cfRule>
    <cfRule type="containsText" dxfId="20" priority="6" stopIfTrue="1" operator="containsText" text="No">
      <formula>NOT(ISERROR(SEARCH("No",K13)))</formula>
    </cfRule>
    <cfRule type="containsText" dxfId="19" priority="7" stopIfTrue="1" operator="containsText" text="Major">
      <formula>NOT(ISERROR(SEARCH("Major",K13)))</formula>
    </cfRule>
  </conditionalFormatting>
  <conditionalFormatting sqref="K14">
    <cfRule type="containsText" dxfId="18" priority="4" stopIfTrue="1" operator="containsText" text="No">
      <formula>NOT(ISERROR(SEARCH("No",K14)))</formula>
    </cfRule>
  </conditionalFormatting>
  <conditionalFormatting sqref="W4:Y47">
    <cfRule type="expression" dxfId="17" priority="1" stopIfTrue="1">
      <formula>W4</formula>
    </cfRule>
    <cfRule type="expression" dxfId="16" priority="2" stopIfTrue="1">
      <formula>EXACT(W4,"Check")</formula>
    </cfRule>
    <cfRule type="expression" dxfId="15" priority="3">
      <formula>W4=FALSE</formula>
    </cfRule>
  </conditionalFormatting>
  <pageMargins left="0.75" right="0.75" top="1" bottom="1" header="0.5" footer="0.5"/>
  <pageSetup scale="84" orientation="portrait" r:id="rId1"/>
  <headerFooter alignWithMargins="0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C1:Q43"/>
  <sheetViews>
    <sheetView workbookViewId="0">
      <selection activeCell="B2" sqref="B2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17" ht="26.25" x14ac:dyDescent="0.4">
      <c r="C1" s="14"/>
      <c r="D1" s="15"/>
      <c r="E1" s="15"/>
      <c r="F1" s="15"/>
      <c r="G1" s="15"/>
      <c r="H1" s="15"/>
      <c r="I1" s="16" t="s">
        <v>85</v>
      </c>
      <c r="J1" s="15"/>
      <c r="K1" s="15"/>
      <c r="L1" s="15"/>
      <c r="M1" s="15"/>
      <c r="N1" s="15"/>
      <c r="O1" s="15"/>
      <c r="P1" s="15"/>
      <c r="Q1" s="17"/>
    </row>
    <row r="2" spans="3:17" ht="15.75" thickBot="1" x14ac:dyDescent="0.3">
      <c r="C2" s="18"/>
      <c r="D2" s="19"/>
      <c r="E2" s="20" t="s">
        <v>53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21"/>
    </row>
    <row r="3" spans="3:17" ht="15" x14ac:dyDescent="0.25">
      <c r="C3" s="14"/>
      <c r="D3" s="22"/>
      <c r="E3" s="15"/>
      <c r="F3" s="14"/>
      <c r="G3" s="15"/>
      <c r="H3" s="17"/>
      <c r="I3" s="15"/>
      <c r="J3" s="15"/>
      <c r="K3" s="15"/>
      <c r="L3" s="14" t="s">
        <v>54</v>
      </c>
      <c r="M3" s="15"/>
      <c r="N3" s="17"/>
      <c r="O3" s="15" t="s">
        <v>55</v>
      </c>
      <c r="P3" s="15"/>
      <c r="Q3" s="17"/>
    </row>
    <row r="4" spans="3:17" ht="15" x14ac:dyDescent="0.25">
      <c r="C4" s="18"/>
      <c r="D4" s="23"/>
      <c r="E4" s="19"/>
      <c r="F4" s="24" t="s">
        <v>56</v>
      </c>
      <c r="G4" s="19"/>
      <c r="H4" s="21"/>
      <c r="I4" s="19" t="s">
        <v>57</v>
      </c>
      <c r="J4" s="19"/>
      <c r="K4" s="19"/>
      <c r="L4" s="18" t="s">
        <v>58</v>
      </c>
      <c r="M4" s="19"/>
      <c r="N4" s="21"/>
      <c r="O4" s="19" t="s">
        <v>59</v>
      </c>
      <c r="P4" s="19"/>
      <c r="Q4" s="21"/>
    </row>
    <row r="5" spans="3:17" x14ac:dyDescent="0.2">
      <c r="C5" s="18"/>
      <c r="D5" s="19"/>
      <c r="E5" s="19"/>
      <c r="F5" s="24" t="s">
        <v>60</v>
      </c>
      <c r="G5" s="19"/>
      <c r="H5" s="21"/>
      <c r="I5" s="25" t="s">
        <v>61</v>
      </c>
      <c r="J5" s="19"/>
      <c r="K5" s="19"/>
      <c r="L5" s="18" t="s">
        <v>62</v>
      </c>
      <c r="M5" s="19"/>
      <c r="N5" s="21"/>
      <c r="O5" s="19"/>
      <c r="P5" s="19"/>
      <c r="Q5" s="21"/>
    </row>
    <row r="6" spans="3:17" ht="13.5" thickBot="1" x14ac:dyDescent="0.25">
      <c r="C6" s="18"/>
      <c r="D6" s="26" t="s">
        <v>48</v>
      </c>
      <c r="E6" s="19"/>
      <c r="F6" s="24" t="s">
        <v>63</v>
      </c>
      <c r="G6" s="19"/>
      <c r="H6" s="21"/>
      <c r="I6" s="25"/>
      <c r="J6" s="19"/>
      <c r="K6" s="19"/>
      <c r="L6" s="18"/>
      <c r="M6" s="19"/>
      <c r="N6" s="21"/>
      <c r="O6" s="19"/>
      <c r="P6" s="19"/>
      <c r="Q6" s="21"/>
    </row>
    <row r="7" spans="3:17" x14ac:dyDescent="0.2">
      <c r="C7" s="18"/>
      <c r="D7" s="26" t="s">
        <v>64</v>
      </c>
      <c r="E7" s="19"/>
      <c r="F7" s="27" t="s">
        <v>65</v>
      </c>
      <c r="G7" s="15"/>
      <c r="H7" s="17"/>
      <c r="I7" s="15"/>
      <c r="J7" s="15" t="s">
        <v>66</v>
      </c>
      <c r="K7" s="15"/>
      <c r="L7" s="28" t="s">
        <v>67</v>
      </c>
      <c r="M7" s="15"/>
      <c r="N7" s="17"/>
      <c r="O7" s="29" t="s">
        <v>68</v>
      </c>
      <c r="P7" s="15"/>
      <c r="Q7" s="17"/>
    </row>
    <row r="8" spans="3:17" ht="13.5" thickBot="1" x14ac:dyDescent="0.25">
      <c r="C8" s="30"/>
      <c r="D8" s="31" t="s">
        <v>49</v>
      </c>
      <c r="E8" s="31"/>
      <c r="F8" s="32" t="s">
        <v>50</v>
      </c>
      <c r="G8" s="31" t="s">
        <v>69</v>
      </c>
      <c r="H8" s="33"/>
      <c r="I8" s="31" t="s">
        <v>50</v>
      </c>
      <c r="J8" s="31" t="s">
        <v>69</v>
      </c>
      <c r="K8" s="31"/>
      <c r="L8" s="32" t="s">
        <v>50</v>
      </c>
      <c r="M8" s="31" t="s">
        <v>69</v>
      </c>
      <c r="N8" s="33"/>
      <c r="O8" s="31" t="s">
        <v>50</v>
      </c>
      <c r="P8" s="34" t="s">
        <v>69</v>
      </c>
      <c r="Q8" s="33"/>
    </row>
    <row r="9" spans="3:17" ht="15" x14ac:dyDescent="0.25">
      <c r="C9" s="18"/>
      <c r="D9" s="35">
        <v>1.8</v>
      </c>
      <c r="E9" s="26"/>
      <c r="F9" s="36">
        <v>1.2</v>
      </c>
      <c r="G9" s="37">
        <v>1.5</v>
      </c>
      <c r="H9" s="38"/>
      <c r="I9" s="39">
        <v>5.9</v>
      </c>
      <c r="J9" s="39">
        <v>7.5</v>
      </c>
      <c r="K9" s="26"/>
      <c r="L9" s="36">
        <v>50</v>
      </c>
      <c r="M9" s="37">
        <v>57</v>
      </c>
      <c r="N9" s="38"/>
      <c r="O9" s="26">
        <v>10</v>
      </c>
      <c r="P9" s="26">
        <v>15</v>
      </c>
      <c r="Q9" s="38"/>
    </row>
    <row r="10" spans="3:17" ht="15" x14ac:dyDescent="0.25">
      <c r="C10" s="18"/>
      <c r="D10" s="35">
        <v>3.8</v>
      </c>
      <c r="E10" s="26"/>
      <c r="F10" s="36">
        <v>1.2</v>
      </c>
      <c r="G10" s="37">
        <v>1.5</v>
      </c>
      <c r="H10" s="38"/>
      <c r="I10" s="39">
        <v>5.5</v>
      </c>
      <c r="J10" s="39">
        <v>6.5</v>
      </c>
      <c r="K10" s="26"/>
      <c r="L10" s="36">
        <v>50</v>
      </c>
      <c r="M10" s="37">
        <v>57</v>
      </c>
      <c r="N10" s="38"/>
      <c r="O10" s="26">
        <v>10</v>
      </c>
      <c r="P10" s="26">
        <v>15</v>
      </c>
      <c r="Q10" s="38"/>
    </row>
    <row r="11" spans="3:17" ht="15" x14ac:dyDescent="0.25">
      <c r="C11" s="18"/>
      <c r="D11" s="35">
        <v>7.4</v>
      </c>
      <c r="E11" s="26"/>
      <c r="F11" s="36">
        <v>1.2</v>
      </c>
      <c r="G11" s="37">
        <v>1.5</v>
      </c>
      <c r="H11" s="38"/>
      <c r="I11" s="39">
        <v>5.0999999999999996</v>
      </c>
      <c r="J11" s="39">
        <v>6</v>
      </c>
      <c r="K11" s="26"/>
      <c r="L11" s="36">
        <v>50</v>
      </c>
      <c r="M11" s="37">
        <v>58</v>
      </c>
      <c r="N11" s="38"/>
      <c r="O11" s="26">
        <v>10</v>
      </c>
      <c r="P11" s="26">
        <v>15</v>
      </c>
      <c r="Q11" s="38"/>
    </row>
    <row r="12" spans="3:17" ht="15" x14ac:dyDescent="0.25">
      <c r="C12" s="18"/>
      <c r="D12" s="35">
        <v>13.2</v>
      </c>
      <c r="E12" s="26"/>
      <c r="F12" s="36">
        <v>1.2</v>
      </c>
      <c r="G12" s="37">
        <v>1.5</v>
      </c>
      <c r="H12" s="38"/>
      <c r="I12" s="39">
        <v>4.7</v>
      </c>
      <c r="J12" s="39">
        <v>5.8</v>
      </c>
      <c r="K12" s="26"/>
      <c r="L12" s="36">
        <v>50</v>
      </c>
      <c r="M12" s="37">
        <v>58</v>
      </c>
      <c r="N12" s="38"/>
      <c r="O12" s="26">
        <v>10</v>
      </c>
      <c r="P12" s="26">
        <v>15</v>
      </c>
      <c r="Q12" s="38"/>
    </row>
    <row r="13" spans="3:17" ht="15" x14ac:dyDescent="0.25">
      <c r="C13" s="18"/>
      <c r="D13" s="35">
        <v>22</v>
      </c>
      <c r="E13" s="26"/>
      <c r="F13" s="36">
        <v>1.2</v>
      </c>
      <c r="G13" s="37">
        <v>1.5</v>
      </c>
      <c r="H13" s="38"/>
      <c r="I13" s="39">
        <v>4.5</v>
      </c>
      <c r="J13" s="39">
        <v>5.5</v>
      </c>
      <c r="K13" s="26"/>
      <c r="L13" s="36">
        <v>54</v>
      </c>
      <c r="M13" s="37">
        <v>63</v>
      </c>
      <c r="N13" s="38"/>
      <c r="O13" s="26">
        <v>10</v>
      </c>
      <c r="P13" s="26">
        <v>15</v>
      </c>
      <c r="Q13" s="38"/>
    </row>
    <row r="14" spans="3:17" ht="15" x14ac:dyDescent="0.25">
      <c r="C14" s="18"/>
      <c r="D14" s="35">
        <v>34</v>
      </c>
      <c r="E14" s="26"/>
      <c r="F14" s="36">
        <v>1.2</v>
      </c>
      <c r="G14" s="37">
        <v>1.5</v>
      </c>
      <c r="H14" s="38"/>
      <c r="I14" s="39">
        <v>4.3</v>
      </c>
      <c r="J14" s="39">
        <v>5.3</v>
      </c>
      <c r="K14" s="26"/>
      <c r="L14" s="36">
        <v>58</v>
      </c>
      <c r="M14" s="37">
        <v>68</v>
      </c>
      <c r="N14" s="38"/>
      <c r="O14" s="26">
        <v>10</v>
      </c>
      <c r="P14" s="26">
        <v>15</v>
      </c>
      <c r="Q14" s="38"/>
    </row>
    <row r="15" spans="3:17" ht="15" x14ac:dyDescent="0.25">
      <c r="C15" s="18"/>
      <c r="D15" s="35">
        <v>50</v>
      </c>
      <c r="E15" s="26"/>
      <c r="F15" s="36">
        <v>1.2</v>
      </c>
      <c r="G15" s="37">
        <v>1.5</v>
      </c>
      <c r="H15" s="38"/>
      <c r="I15" s="39">
        <v>4</v>
      </c>
      <c r="J15" s="39">
        <v>5</v>
      </c>
      <c r="K15" s="26"/>
      <c r="L15" s="36">
        <v>62</v>
      </c>
      <c r="M15" s="37">
        <v>77</v>
      </c>
      <c r="N15" s="38"/>
      <c r="O15" s="26">
        <v>10</v>
      </c>
      <c r="P15" s="26">
        <v>15</v>
      </c>
      <c r="Q15" s="38"/>
    </row>
    <row r="16" spans="3:17" ht="15" x14ac:dyDescent="0.25">
      <c r="C16" s="18"/>
      <c r="D16" s="35">
        <v>70</v>
      </c>
      <c r="E16" s="26"/>
      <c r="F16" s="36">
        <v>1.2</v>
      </c>
      <c r="G16" s="37">
        <v>1.5</v>
      </c>
      <c r="H16" s="38"/>
      <c r="I16" s="39">
        <v>3.5</v>
      </c>
      <c r="J16" s="39">
        <v>4.8</v>
      </c>
      <c r="K16" s="26"/>
      <c r="L16" s="36">
        <v>66</v>
      </c>
      <c r="M16" s="37">
        <v>86</v>
      </c>
      <c r="N16" s="38"/>
      <c r="O16" s="26">
        <v>10</v>
      </c>
      <c r="P16" s="26">
        <v>15</v>
      </c>
      <c r="Q16" s="38"/>
    </row>
    <row r="17" spans="3:17" ht="15" x14ac:dyDescent="0.25">
      <c r="C17" s="18"/>
      <c r="D17" s="35">
        <v>95</v>
      </c>
      <c r="E17" s="26"/>
      <c r="F17" s="36">
        <v>1.2</v>
      </c>
      <c r="G17" s="37">
        <v>1.5</v>
      </c>
      <c r="H17" s="38"/>
      <c r="I17" s="39">
        <v>3.3</v>
      </c>
      <c r="J17" s="39">
        <v>4.4000000000000004</v>
      </c>
      <c r="K17" s="26"/>
      <c r="L17" s="36">
        <v>70</v>
      </c>
      <c r="M17" s="37">
        <v>89</v>
      </c>
      <c r="N17" s="38"/>
      <c r="O17" s="26">
        <v>10</v>
      </c>
      <c r="P17" s="26">
        <v>15</v>
      </c>
      <c r="Q17" s="38"/>
    </row>
    <row r="18" spans="3:17" ht="15" x14ac:dyDescent="0.25">
      <c r="C18" s="18"/>
      <c r="D18" s="35">
        <v>126</v>
      </c>
      <c r="E18" s="26"/>
      <c r="F18" s="36">
        <v>1.2</v>
      </c>
      <c r="G18" s="37">
        <v>1.5</v>
      </c>
      <c r="H18" s="38"/>
      <c r="I18" s="39">
        <v>3.1</v>
      </c>
      <c r="J18" s="39">
        <v>4</v>
      </c>
      <c r="K18" s="26"/>
      <c r="L18" s="36">
        <v>73</v>
      </c>
      <c r="M18" s="37">
        <v>91</v>
      </c>
      <c r="N18" s="38"/>
      <c r="O18" s="26">
        <v>10</v>
      </c>
      <c r="P18" s="26">
        <v>15</v>
      </c>
      <c r="Q18" s="38"/>
    </row>
    <row r="19" spans="3:17" ht="15.75" thickBot="1" x14ac:dyDescent="0.3">
      <c r="C19" s="30"/>
      <c r="D19" s="40">
        <v>163</v>
      </c>
      <c r="E19" s="31"/>
      <c r="F19" s="41">
        <v>1.2</v>
      </c>
      <c r="G19" s="42">
        <v>1.5</v>
      </c>
      <c r="H19" s="33"/>
      <c r="I19" s="43">
        <v>2.9</v>
      </c>
      <c r="J19" s="43">
        <v>3.7</v>
      </c>
      <c r="K19" s="31"/>
      <c r="L19" s="41">
        <v>77</v>
      </c>
      <c r="M19" s="42">
        <v>94</v>
      </c>
      <c r="N19" s="33"/>
      <c r="O19" s="31">
        <v>10</v>
      </c>
      <c r="P19" s="31">
        <v>15</v>
      </c>
      <c r="Q19" s="33"/>
    </row>
    <row r="20" spans="3:17" ht="15" x14ac:dyDescent="0.25">
      <c r="C20" s="18"/>
      <c r="D20" s="35"/>
      <c r="E20" s="26"/>
      <c r="F20" s="37"/>
      <c r="G20" s="37"/>
      <c r="H20" s="26"/>
      <c r="I20" s="39"/>
      <c r="J20" s="39"/>
      <c r="K20" s="26"/>
      <c r="L20" s="37"/>
      <c r="M20" s="37"/>
      <c r="N20" s="26"/>
      <c r="O20" s="26"/>
      <c r="P20" s="26"/>
      <c r="Q20" s="38"/>
    </row>
    <row r="21" spans="3:17" ht="15" x14ac:dyDescent="0.25">
      <c r="C21" s="18" t="s">
        <v>51</v>
      </c>
      <c r="D21" s="35"/>
      <c r="E21" s="26"/>
      <c r="F21" s="37"/>
      <c r="G21" s="37"/>
      <c r="H21" s="26"/>
      <c r="I21" s="39"/>
      <c r="J21" s="39"/>
      <c r="K21" s="26"/>
      <c r="L21" s="37"/>
      <c r="M21" s="37"/>
      <c r="N21" s="26"/>
      <c r="O21" s="26"/>
      <c r="P21" s="26"/>
      <c r="Q21" s="38"/>
    </row>
    <row r="22" spans="3:17" x14ac:dyDescent="0.2">
      <c r="C22" s="18" t="s">
        <v>70</v>
      </c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38"/>
    </row>
    <row r="23" spans="3:17" ht="13.5" thickBot="1" x14ac:dyDescent="0.25">
      <c r="C23" s="30" t="s">
        <v>26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5"/>
    </row>
    <row r="24" spans="3:17" ht="18.75" x14ac:dyDescent="0.3">
      <c r="C24" s="46" t="s">
        <v>71</v>
      </c>
      <c r="D24" s="47"/>
      <c r="E24" s="47"/>
      <c r="F24" s="47"/>
      <c r="G24" s="47"/>
      <c r="H24" s="47"/>
      <c r="I24" s="47"/>
      <c r="J24" s="48" t="s">
        <v>26</v>
      </c>
      <c r="K24" s="47"/>
      <c r="L24" s="47"/>
      <c r="M24" s="47"/>
      <c r="N24" s="47"/>
      <c r="O24" s="47"/>
      <c r="P24" s="47"/>
      <c r="Q24" s="49"/>
    </row>
    <row r="25" spans="3:17" ht="18" x14ac:dyDescent="0.35">
      <c r="C25" s="50"/>
      <c r="D25" s="51"/>
      <c r="E25" s="51"/>
      <c r="F25" s="52" t="s">
        <v>72</v>
      </c>
      <c r="G25" s="53"/>
      <c r="H25" s="54"/>
      <c r="I25" s="52" t="s">
        <v>72</v>
      </c>
      <c r="J25" s="53"/>
      <c r="K25" s="54"/>
      <c r="L25" s="52" t="s">
        <v>73</v>
      </c>
      <c r="M25" s="53"/>
      <c r="N25" s="54"/>
      <c r="O25" s="52" t="s">
        <v>99</v>
      </c>
      <c r="P25" s="53"/>
      <c r="Q25" s="55"/>
    </row>
    <row r="26" spans="3:17" ht="15" x14ac:dyDescent="0.25">
      <c r="C26" s="50"/>
      <c r="D26" s="51"/>
      <c r="E26" s="51"/>
      <c r="F26" s="53" t="s">
        <v>74</v>
      </c>
      <c r="G26" s="56" t="s">
        <v>69</v>
      </c>
      <c r="H26" s="132" t="s">
        <v>75</v>
      </c>
      <c r="I26" s="53" t="s">
        <v>74</v>
      </c>
      <c r="J26" s="56" t="s">
        <v>69</v>
      </c>
      <c r="K26" s="57" t="s">
        <v>75</v>
      </c>
      <c r="L26" s="53" t="s">
        <v>74</v>
      </c>
      <c r="M26" s="56" t="s">
        <v>69</v>
      </c>
      <c r="N26" s="57" t="s">
        <v>75</v>
      </c>
      <c r="O26" s="53" t="s">
        <v>74</v>
      </c>
      <c r="P26" s="56" t="s">
        <v>69</v>
      </c>
      <c r="Q26" s="58" t="s">
        <v>75</v>
      </c>
    </row>
    <row r="27" spans="3:17" ht="13.5" thickBot="1" x14ac:dyDescent="0.25">
      <c r="C27" s="59"/>
      <c r="D27" s="60"/>
      <c r="E27" s="61"/>
      <c r="F27" s="60" t="e">
        <f ca="1">FORECAST(I30,OFFSET(F9:F19,MATCH(I30,D9:D19,1)-1,0,2),OFFSET(D9:D19,MATCH(I30,D9:D19,1)-1,0,2))</f>
        <v>#N/A</v>
      </c>
      <c r="G27" s="60" t="e">
        <f ca="1">FORECAST(I30,OFFSET(G9:G19,MATCH(I30,D9:D19,1)-1,0,2),OFFSET(D9:D19,MATCH(I30,D9:D19,1)-1,0,2))</f>
        <v>#N/A</v>
      </c>
      <c r="H27" s="61"/>
      <c r="I27" s="60" t="e">
        <f ca="1">FORECAST(I30,OFFSET(I9:I19,MATCH(I30,D9:D19,1)-1,0,2),OFFSET(D9:D19,MATCH(I30,D9:D19,1)-1,0,2))</f>
        <v>#N/A</v>
      </c>
      <c r="J27" s="60" t="e">
        <f ca="1">FORECAST(I30,OFFSET(J9:J19,MATCH(I30,D9:D19,1)-1,0,2),OFFSET(D9:D19,MATCH(I30,D9:D19,1)-1,0,2))</f>
        <v>#N/A</v>
      </c>
      <c r="K27" s="61"/>
      <c r="L27" s="60" t="e">
        <f ca="1">FORECAST(I30,OFFSET(L9:L19,MATCH(I30,D9:D19,1)-1,0,2),OFFSET(D9:D19,MATCH(I30,D9:D19,1)-1,0,2))</f>
        <v>#N/A</v>
      </c>
      <c r="M27" s="60" t="e">
        <f ca="1">FORECAST(I30,OFFSET(M9:M19,MATCH(I30,D9:D19,1)-1,0,2),OFFSET(D9:D19,MATCH(I30,D9:D19,1)-1,0,2))</f>
        <v>#N/A</v>
      </c>
      <c r="N27" s="61"/>
      <c r="O27" s="60" t="e">
        <f ca="1">FORECAST(I30,OFFSET(O9:O19,MATCH(I30,D9:D19,1)-1,0,2),OFFSET(D9:D19,MATCH(I30,D9:D19,1)-1,0,2))</f>
        <v>#N/A</v>
      </c>
      <c r="P27" s="60" t="e">
        <f ca="1">FORECAST(I30,OFFSET(P9:P19,MATCH(I30,D9:D19,1)-1,0,2),OFFSET(D9:D19,MATCH(I30,D9:D19,1)-1,0,2))</f>
        <v>#N/A</v>
      </c>
      <c r="Q27" s="62"/>
    </row>
    <row r="28" spans="3:17" ht="18.75" x14ac:dyDescent="0.3">
      <c r="C28" s="63" t="s">
        <v>76</v>
      </c>
      <c r="D28" s="64"/>
      <c r="E28" s="51"/>
      <c r="F28" s="64"/>
      <c r="G28" s="64"/>
      <c r="H28" s="51"/>
      <c r="I28" s="64"/>
      <c r="J28" s="64"/>
      <c r="K28" s="51"/>
      <c r="L28" s="64"/>
      <c r="M28" s="64"/>
      <c r="N28" s="51"/>
      <c r="O28" s="64"/>
      <c r="P28" s="64"/>
      <c r="Q28" s="55"/>
    </row>
    <row r="29" spans="3:17" ht="18.75" x14ac:dyDescent="0.3">
      <c r="C29" s="50"/>
      <c r="D29" s="51"/>
      <c r="E29" s="51"/>
      <c r="F29" s="51"/>
      <c r="G29" s="51"/>
      <c r="H29" s="64"/>
      <c r="I29" s="53" t="s">
        <v>77</v>
      </c>
      <c r="J29" s="53" t="s">
        <v>78</v>
      </c>
      <c r="K29" s="65" t="s">
        <v>79</v>
      </c>
      <c r="L29" s="51"/>
      <c r="M29" s="51"/>
      <c r="N29" s="51"/>
      <c r="O29" s="51"/>
      <c r="P29" s="51"/>
      <c r="Q29" s="55"/>
    </row>
    <row r="30" spans="3:17" ht="18.75" x14ac:dyDescent="0.3">
      <c r="C30" s="50"/>
      <c r="D30" s="51"/>
      <c r="E30" s="51"/>
      <c r="F30" s="51"/>
      <c r="G30" s="51"/>
      <c r="H30" s="131" t="s">
        <v>80</v>
      </c>
      <c r="I30" s="64">
        <f>'EvalutionSheet 48Gy4F or 60Gy5F'!F8</f>
        <v>0</v>
      </c>
      <c r="J30" s="64"/>
      <c r="K30" s="51" t="s">
        <v>26</v>
      </c>
      <c r="L30" s="51"/>
      <c r="M30" s="51"/>
      <c r="N30" s="51"/>
      <c r="O30" s="51"/>
      <c r="P30" s="51"/>
      <c r="Q30" s="55"/>
    </row>
    <row r="31" spans="3:17" ht="20.25" x14ac:dyDescent="0.35">
      <c r="C31" s="50"/>
      <c r="D31" s="51"/>
      <c r="E31" s="51"/>
      <c r="F31" s="51"/>
      <c r="G31" s="51"/>
      <c r="H31" s="67" t="s">
        <v>88</v>
      </c>
      <c r="I31" s="64" t="str">
        <f>'EvalutionSheet 48Gy4F or 60Gy5F'!F21</f>
        <v>??</v>
      </c>
      <c r="J31" s="66" t="e">
        <f>I31/I30</f>
        <v>#VALUE!</v>
      </c>
      <c r="K31" s="64" t="str">
        <f>IF(I31="??","??",IF(J31&lt;F27,F26,IF(J31&lt;=G27,G26,H26)))</f>
        <v>??</v>
      </c>
      <c r="L31" s="51"/>
      <c r="M31" s="51"/>
      <c r="N31" s="51"/>
      <c r="O31" s="51"/>
      <c r="P31" s="51"/>
      <c r="Q31" s="55"/>
    </row>
    <row r="32" spans="3:17" ht="20.25" x14ac:dyDescent="0.35">
      <c r="C32" s="50"/>
      <c r="D32" s="51"/>
      <c r="E32" s="51"/>
      <c r="F32" s="51"/>
      <c r="G32" s="51"/>
      <c r="H32" s="67" t="s">
        <v>89</v>
      </c>
      <c r="I32" s="64" t="str">
        <f>'EvalutionSheet 48Gy4F or 60Gy5F'!F24</f>
        <v>??</v>
      </c>
      <c r="J32" s="66" t="e">
        <f>I32/I30</f>
        <v>#VALUE!</v>
      </c>
      <c r="K32" s="64" t="str">
        <f>IF(I32="??","??",IF(J32&lt;=I27,I26,IF(J32&lt;=J27,J26,K26)))</f>
        <v>??</v>
      </c>
      <c r="L32" s="51"/>
      <c r="M32" s="51"/>
      <c r="N32" s="51"/>
      <c r="O32" s="51"/>
      <c r="P32" s="51"/>
      <c r="Q32" s="55"/>
    </row>
    <row r="33" spans="3:17" ht="20.25" x14ac:dyDescent="0.35">
      <c r="C33" s="50"/>
      <c r="D33" s="51"/>
      <c r="E33" s="51"/>
      <c r="F33" s="51"/>
      <c r="G33" s="51"/>
      <c r="H33" s="67" t="s">
        <v>90</v>
      </c>
      <c r="I33" s="64" t="str">
        <f>'EvalutionSheet 48Gy4F or 60Gy5F'!F23</f>
        <v>??</v>
      </c>
      <c r="J33" s="66" t="str">
        <f>I33</f>
        <v>??</v>
      </c>
      <c r="K33" s="64" t="str">
        <f>IF(I33="??","??",IF(J33&lt;=L27,L26,IF(J33&lt;=M27,M26,N26)))</f>
        <v>??</v>
      </c>
      <c r="L33" s="51"/>
      <c r="M33" s="51"/>
      <c r="N33" s="51"/>
      <c r="O33" s="51"/>
      <c r="P33" s="51"/>
      <c r="Q33" s="55"/>
    </row>
    <row r="34" spans="3:17" ht="20.25" x14ac:dyDescent="0.35">
      <c r="C34" s="50"/>
      <c r="D34" s="51"/>
      <c r="E34" s="51"/>
      <c r="F34" s="51"/>
      <c r="G34" s="51"/>
      <c r="H34" s="67" t="s">
        <v>91</v>
      </c>
      <c r="I34" s="66" t="str">
        <f>'EvalutionSheet 48Gy4F or 60Gy5F'!F27</f>
        <v>??</v>
      </c>
      <c r="J34" s="64"/>
      <c r="K34" s="64" t="str">
        <f>IF(I34="??","??",IF(I34&lt;=0.1,O26,IF(I34&lt;=0.15,P26,Q26)))</f>
        <v>??</v>
      </c>
      <c r="L34" s="51"/>
      <c r="M34" s="51"/>
      <c r="N34" s="51"/>
      <c r="O34" s="51"/>
      <c r="P34" s="51"/>
      <c r="Q34" s="55"/>
    </row>
    <row r="35" spans="3:17" ht="13.5" thickBot="1" x14ac:dyDescent="0.25">
      <c r="C35" s="59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2"/>
    </row>
    <row r="43" spans="3:17" x14ac:dyDescent="0.2">
      <c r="C43" s="126" t="s">
        <v>111</v>
      </c>
    </row>
  </sheetData>
  <sheetProtection sheet="1" selectLockedCells="1" selectUnlockedCells="1"/>
  <phoneticPr fontId="2" type="noConversion"/>
  <pageMargins left="0.75" right="0.75" top="1" bottom="1" header="0.5" footer="0.5"/>
  <pageSetup orientation="portrait" horizontalDpi="4294967295" verticalDpi="4294967295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C1:Q46"/>
  <sheetViews>
    <sheetView workbookViewId="0">
      <selection activeCell="I33" sqref="I33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17" ht="26.25" x14ac:dyDescent="0.4">
      <c r="C1" s="14"/>
      <c r="D1" s="15"/>
      <c r="E1" s="15"/>
      <c r="F1" s="15"/>
      <c r="G1" s="15"/>
      <c r="H1" s="15"/>
      <c r="I1" s="16" t="s">
        <v>85</v>
      </c>
      <c r="J1" s="15"/>
      <c r="K1" s="15"/>
      <c r="L1" s="15"/>
      <c r="M1" s="15"/>
      <c r="N1" s="15"/>
      <c r="O1" s="15"/>
      <c r="P1" s="15"/>
      <c r="Q1" s="17"/>
    </row>
    <row r="2" spans="3:17" ht="15.75" thickBot="1" x14ac:dyDescent="0.3">
      <c r="C2" s="18"/>
      <c r="D2" s="19"/>
      <c r="E2" s="20" t="s">
        <v>53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21"/>
    </row>
    <row r="3" spans="3:17" ht="15" x14ac:dyDescent="0.25">
      <c r="C3" s="14"/>
      <c r="D3" s="22"/>
      <c r="E3" s="15"/>
      <c r="F3" s="14"/>
      <c r="G3" s="15"/>
      <c r="H3" s="17"/>
      <c r="I3" s="15"/>
      <c r="J3" s="15"/>
      <c r="K3" s="15"/>
      <c r="L3" s="14" t="s">
        <v>54</v>
      </c>
      <c r="M3" s="15"/>
      <c r="N3" s="17"/>
      <c r="O3" s="15" t="s">
        <v>55</v>
      </c>
      <c r="P3" s="15"/>
      <c r="Q3" s="17"/>
    </row>
    <row r="4" spans="3:17" ht="15" x14ac:dyDescent="0.25">
      <c r="C4" s="18"/>
      <c r="D4" s="23"/>
      <c r="E4" s="19"/>
      <c r="F4" s="24" t="s">
        <v>56</v>
      </c>
      <c r="G4" s="19"/>
      <c r="H4" s="21"/>
      <c r="I4" s="19" t="s">
        <v>57</v>
      </c>
      <c r="J4" s="19"/>
      <c r="K4" s="19"/>
      <c r="L4" s="18" t="s">
        <v>58</v>
      </c>
      <c r="M4" s="19"/>
      <c r="N4" s="21"/>
      <c r="O4" s="19" t="s">
        <v>59</v>
      </c>
      <c r="P4" s="19"/>
      <c r="Q4" s="21"/>
    </row>
    <row r="5" spans="3:17" x14ac:dyDescent="0.2">
      <c r="C5" s="18"/>
      <c r="D5" s="19"/>
      <c r="E5" s="19"/>
      <c r="F5" s="24" t="s">
        <v>60</v>
      </c>
      <c r="G5" s="19"/>
      <c r="H5" s="21"/>
      <c r="I5" s="25" t="s">
        <v>61</v>
      </c>
      <c r="J5" s="19"/>
      <c r="K5" s="19"/>
      <c r="L5" s="18" t="s">
        <v>62</v>
      </c>
      <c r="M5" s="19"/>
      <c r="N5" s="21"/>
      <c r="O5" s="19"/>
      <c r="P5" s="19"/>
      <c r="Q5" s="21"/>
    </row>
    <row r="6" spans="3:17" ht="13.5" thickBot="1" x14ac:dyDescent="0.25">
      <c r="C6" s="18"/>
      <c r="D6" s="26" t="s">
        <v>48</v>
      </c>
      <c r="E6" s="19"/>
      <c r="F6" s="24" t="s">
        <v>63</v>
      </c>
      <c r="G6" s="19"/>
      <c r="H6" s="21"/>
      <c r="I6" s="25"/>
      <c r="J6" s="19"/>
      <c r="K6" s="19"/>
      <c r="L6" s="18"/>
      <c r="M6" s="19"/>
      <c r="N6" s="21"/>
      <c r="O6" s="19"/>
      <c r="P6" s="19"/>
      <c r="Q6" s="21"/>
    </row>
    <row r="7" spans="3:17" x14ac:dyDescent="0.2">
      <c r="C7" s="18"/>
      <c r="D7" s="26" t="s">
        <v>64</v>
      </c>
      <c r="E7" s="19"/>
      <c r="F7" s="27" t="s">
        <v>65</v>
      </c>
      <c r="G7" s="15"/>
      <c r="H7" s="17"/>
      <c r="I7" s="15"/>
      <c r="J7" s="15" t="s">
        <v>66</v>
      </c>
      <c r="K7" s="15"/>
      <c r="L7" s="28" t="s">
        <v>67</v>
      </c>
      <c r="M7" s="15"/>
      <c r="N7" s="17"/>
      <c r="O7" s="29" t="s">
        <v>68</v>
      </c>
      <c r="P7" s="15"/>
      <c r="Q7" s="17"/>
    </row>
    <row r="8" spans="3:17" ht="13.5" thickBot="1" x14ac:dyDescent="0.25">
      <c r="C8" s="30"/>
      <c r="D8" s="31" t="s">
        <v>49</v>
      </c>
      <c r="E8" s="31"/>
      <c r="F8" s="32" t="s">
        <v>50</v>
      </c>
      <c r="G8" s="31" t="s">
        <v>69</v>
      </c>
      <c r="H8" s="33"/>
      <c r="I8" s="31" t="s">
        <v>50</v>
      </c>
      <c r="J8" s="31" t="s">
        <v>69</v>
      </c>
      <c r="K8" s="31"/>
      <c r="L8" s="32" t="s">
        <v>50</v>
      </c>
      <c r="M8" s="31" t="s">
        <v>69</v>
      </c>
      <c r="N8" s="33"/>
      <c r="O8" s="31" t="s">
        <v>50</v>
      </c>
      <c r="P8" s="34" t="s">
        <v>69</v>
      </c>
      <c r="Q8" s="33"/>
    </row>
    <row r="9" spans="3:17" ht="15" x14ac:dyDescent="0.25">
      <c r="C9" s="18"/>
      <c r="D9" s="35">
        <v>1.8</v>
      </c>
      <c r="E9" s="26"/>
      <c r="F9" s="36">
        <v>1.2</v>
      </c>
      <c r="G9" s="37">
        <v>1.5</v>
      </c>
      <c r="H9" s="38"/>
      <c r="I9" s="39">
        <v>5.9</v>
      </c>
      <c r="J9" s="39">
        <v>7.5</v>
      </c>
      <c r="K9" s="26"/>
      <c r="L9" s="36">
        <v>50</v>
      </c>
      <c r="M9" s="37">
        <v>57</v>
      </c>
      <c r="N9" s="38"/>
      <c r="O9" s="26">
        <v>10</v>
      </c>
      <c r="P9" s="26">
        <v>15</v>
      </c>
      <c r="Q9" s="38"/>
    </row>
    <row r="10" spans="3:17" ht="15" x14ac:dyDescent="0.25">
      <c r="C10" s="18"/>
      <c r="D10" s="35">
        <v>3.8</v>
      </c>
      <c r="E10" s="26"/>
      <c r="F10" s="36">
        <v>1.2</v>
      </c>
      <c r="G10" s="37">
        <v>1.5</v>
      </c>
      <c r="H10" s="38"/>
      <c r="I10" s="39">
        <v>5.5</v>
      </c>
      <c r="J10" s="39">
        <v>6.5</v>
      </c>
      <c r="K10" s="26"/>
      <c r="L10" s="36">
        <v>50</v>
      </c>
      <c r="M10" s="37">
        <v>57</v>
      </c>
      <c r="N10" s="38"/>
      <c r="O10" s="26">
        <v>10</v>
      </c>
      <c r="P10" s="26">
        <v>15</v>
      </c>
      <c r="Q10" s="38"/>
    </row>
    <row r="11" spans="3:17" ht="15" x14ac:dyDescent="0.25">
      <c r="C11" s="18"/>
      <c r="D11" s="35">
        <v>7.4</v>
      </c>
      <c r="E11" s="26"/>
      <c r="F11" s="36">
        <v>1.2</v>
      </c>
      <c r="G11" s="37">
        <v>1.5</v>
      </c>
      <c r="H11" s="38"/>
      <c r="I11" s="39">
        <v>5.0999999999999996</v>
      </c>
      <c r="J11" s="39">
        <v>6</v>
      </c>
      <c r="K11" s="26"/>
      <c r="L11" s="36">
        <v>50</v>
      </c>
      <c r="M11" s="37">
        <v>58</v>
      </c>
      <c r="N11" s="38"/>
      <c r="O11" s="26">
        <v>10</v>
      </c>
      <c r="P11" s="26">
        <v>15</v>
      </c>
      <c r="Q11" s="38"/>
    </row>
    <row r="12" spans="3:17" ht="15" x14ac:dyDescent="0.25">
      <c r="C12" s="18"/>
      <c r="D12" s="35">
        <v>13.2</v>
      </c>
      <c r="E12" s="26"/>
      <c r="F12" s="36">
        <v>1.2</v>
      </c>
      <c r="G12" s="37">
        <v>1.5</v>
      </c>
      <c r="H12" s="38"/>
      <c r="I12" s="39">
        <v>4.7</v>
      </c>
      <c r="J12" s="39">
        <v>5.8</v>
      </c>
      <c r="K12" s="26"/>
      <c r="L12" s="36">
        <v>50</v>
      </c>
      <c r="M12" s="37">
        <v>58</v>
      </c>
      <c r="N12" s="38"/>
      <c r="O12" s="26">
        <v>10</v>
      </c>
      <c r="P12" s="26">
        <v>15</v>
      </c>
      <c r="Q12" s="38"/>
    </row>
    <row r="13" spans="3:17" ht="15" x14ac:dyDescent="0.25">
      <c r="C13" s="18"/>
      <c r="D13" s="35">
        <v>22</v>
      </c>
      <c r="E13" s="26"/>
      <c r="F13" s="36">
        <v>1.2</v>
      </c>
      <c r="G13" s="37">
        <v>1.5</v>
      </c>
      <c r="H13" s="38"/>
      <c r="I13" s="39">
        <v>4.5</v>
      </c>
      <c r="J13" s="39">
        <v>5.5</v>
      </c>
      <c r="K13" s="26"/>
      <c r="L13" s="36">
        <v>54</v>
      </c>
      <c r="M13" s="37">
        <v>63</v>
      </c>
      <c r="N13" s="38"/>
      <c r="O13" s="26">
        <v>10</v>
      </c>
      <c r="P13" s="26">
        <v>15</v>
      </c>
      <c r="Q13" s="38"/>
    </row>
    <row r="14" spans="3:17" ht="15" x14ac:dyDescent="0.25">
      <c r="C14" s="18"/>
      <c r="D14" s="35">
        <v>34</v>
      </c>
      <c r="E14" s="26"/>
      <c r="F14" s="36">
        <v>1.2</v>
      </c>
      <c r="G14" s="37">
        <v>1.5</v>
      </c>
      <c r="H14" s="38"/>
      <c r="I14" s="39">
        <v>4.3</v>
      </c>
      <c r="J14" s="39">
        <v>5.3</v>
      </c>
      <c r="K14" s="26"/>
      <c r="L14" s="36">
        <v>58</v>
      </c>
      <c r="M14" s="37">
        <v>68</v>
      </c>
      <c r="N14" s="38"/>
      <c r="O14" s="26">
        <v>10</v>
      </c>
      <c r="P14" s="26">
        <v>15</v>
      </c>
      <c r="Q14" s="38"/>
    </row>
    <row r="15" spans="3:17" ht="15" x14ac:dyDescent="0.25">
      <c r="C15" s="18"/>
      <c r="D15" s="35">
        <v>50</v>
      </c>
      <c r="E15" s="26"/>
      <c r="F15" s="36">
        <v>1.2</v>
      </c>
      <c r="G15" s="37">
        <v>1.5</v>
      </c>
      <c r="H15" s="38"/>
      <c r="I15" s="39">
        <v>4</v>
      </c>
      <c r="J15" s="39">
        <v>5</v>
      </c>
      <c r="K15" s="26"/>
      <c r="L15" s="36">
        <v>62</v>
      </c>
      <c r="M15" s="37">
        <v>77</v>
      </c>
      <c r="N15" s="38"/>
      <c r="O15" s="26">
        <v>10</v>
      </c>
      <c r="P15" s="26">
        <v>15</v>
      </c>
      <c r="Q15" s="38"/>
    </row>
    <row r="16" spans="3:17" ht="15" x14ac:dyDescent="0.25">
      <c r="C16" s="18"/>
      <c r="D16" s="35">
        <v>70</v>
      </c>
      <c r="E16" s="26"/>
      <c r="F16" s="36">
        <v>1.2</v>
      </c>
      <c r="G16" s="37">
        <v>1.5</v>
      </c>
      <c r="H16" s="38"/>
      <c r="I16" s="39">
        <v>3.5</v>
      </c>
      <c r="J16" s="39">
        <v>4.8</v>
      </c>
      <c r="K16" s="26"/>
      <c r="L16" s="36">
        <v>66</v>
      </c>
      <c r="M16" s="37">
        <v>86</v>
      </c>
      <c r="N16" s="38"/>
      <c r="O16" s="26">
        <v>10</v>
      </c>
      <c r="P16" s="26">
        <v>15</v>
      </c>
      <c r="Q16" s="38"/>
    </row>
    <row r="17" spans="3:17" ht="15" x14ac:dyDescent="0.25">
      <c r="C17" s="18"/>
      <c r="D17" s="35">
        <v>95</v>
      </c>
      <c r="E17" s="26"/>
      <c r="F17" s="36">
        <v>1.2</v>
      </c>
      <c r="G17" s="37">
        <v>1.5</v>
      </c>
      <c r="H17" s="38"/>
      <c r="I17" s="39">
        <v>3.3</v>
      </c>
      <c r="J17" s="39">
        <v>4.4000000000000004</v>
      </c>
      <c r="K17" s="26"/>
      <c r="L17" s="36">
        <v>70</v>
      </c>
      <c r="M17" s="37">
        <v>89</v>
      </c>
      <c r="N17" s="38"/>
      <c r="O17" s="26">
        <v>10</v>
      </c>
      <c r="P17" s="26">
        <v>15</v>
      </c>
      <c r="Q17" s="38"/>
    </row>
    <row r="18" spans="3:17" ht="15" x14ac:dyDescent="0.25">
      <c r="C18" s="18"/>
      <c r="D18" s="35">
        <v>126</v>
      </c>
      <c r="E18" s="26"/>
      <c r="F18" s="36">
        <v>1.2</v>
      </c>
      <c r="G18" s="37">
        <v>1.5</v>
      </c>
      <c r="H18" s="38"/>
      <c r="I18" s="39">
        <v>3.1</v>
      </c>
      <c r="J18" s="39">
        <v>4</v>
      </c>
      <c r="K18" s="26"/>
      <c r="L18" s="36">
        <v>73</v>
      </c>
      <c r="M18" s="37">
        <v>91</v>
      </c>
      <c r="N18" s="38"/>
      <c r="O18" s="26">
        <v>10</v>
      </c>
      <c r="P18" s="26">
        <v>15</v>
      </c>
      <c r="Q18" s="38"/>
    </row>
    <row r="19" spans="3:17" ht="15.75" thickBot="1" x14ac:dyDescent="0.3">
      <c r="C19" s="30"/>
      <c r="D19" s="40">
        <v>163</v>
      </c>
      <c r="E19" s="31"/>
      <c r="F19" s="41">
        <v>1.2</v>
      </c>
      <c r="G19" s="42">
        <v>1.5</v>
      </c>
      <c r="H19" s="33"/>
      <c r="I19" s="43">
        <v>2.9</v>
      </c>
      <c r="J19" s="43">
        <v>3.7</v>
      </c>
      <c r="K19" s="31"/>
      <c r="L19" s="41">
        <v>77</v>
      </c>
      <c r="M19" s="42">
        <v>94</v>
      </c>
      <c r="N19" s="33"/>
      <c r="O19" s="31">
        <v>10</v>
      </c>
      <c r="P19" s="31">
        <v>15</v>
      </c>
      <c r="Q19" s="33"/>
    </row>
    <row r="20" spans="3:17" ht="15" x14ac:dyDescent="0.25">
      <c r="C20" s="18"/>
      <c r="D20" s="35"/>
      <c r="E20" s="26"/>
      <c r="F20" s="37"/>
      <c r="G20" s="37"/>
      <c r="H20" s="26"/>
      <c r="I20" s="39"/>
      <c r="J20" s="39"/>
      <c r="K20" s="26"/>
      <c r="L20" s="37"/>
      <c r="M20" s="37"/>
      <c r="N20" s="26"/>
      <c r="O20" s="26"/>
      <c r="P20" s="26"/>
      <c r="Q20" s="38"/>
    </row>
    <row r="21" spans="3:17" ht="15" x14ac:dyDescent="0.25">
      <c r="C21" s="18" t="s">
        <v>51</v>
      </c>
      <c r="D21" s="35"/>
      <c r="E21" s="26"/>
      <c r="F21" s="37"/>
      <c r="G21" s="37"/>
      <c r="H21" s="26"/>
      <c r="I21" s="39"/>
      <c r="J21" s="39"/>
      <c r="K21" s="26"/>
      <c r="L21" s="37"/>
      <c r="M21" s="37"/>
      <c r="N21" s="26"/>
      <c r="O21" s="26"/>
      <c r="P21" s="26"/>
      <c r="Q21" s="38"/>
    </row>
    <row r="22" spans="3:17" x14ac:dyDescent="0.2">
      <c r="C22" s="18" t="s">
        <v>70</v>
      </c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38"/>
    </row>
    <row r="23" spans="3:17" ht="13.5" thickBot="1" x14ac:dyDescent="0.25">
      <c r="C23" s="30" t="s">
        <v>26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5"/>
    </row>
    <row r="24" spans="3:17" ht="18.75" x14ac:dyDescent="0.3">
      <c r="C24" s="46" t="s">
        <v>71</v>
      </c>
      <c r="D24" s="47"/>
      <c r="E24" s="47"/>
      <c r="F24" s="47"/>
      <c r="G24" s="47"/>
      <c r="H24" s="47"/>
      <c r="I24" s="47"/>
      <c r="J24" s="48" t="s">
        <v>26</v>
      </c>
      <c r="K24" s="47"/>
      <c r="L24" s="47"/>
      <c r="M24" s="47"/>
      <c r="N24" s="47"/>
      <c r="O24" s="47"/>
      <c r="P24" s="47"/>
      <c r="Q24" s="49"/>
    </row>
    <row r="25" spans="3:17" ht="15" x14ac:dyDescent="0.25">
      <c r="C25" s="50"/>
      <c r="D25" s="51"/>
      <c r="E25" s="51"/>
      <c r="F25" s="52" t="s">
        <v>72</v>
      </c>
      <c r="G25" s="53"/>
      <c r="H25" s="54"/>
      <c r="I25" s="52" t="s">
        <v>72</v>
      </c>
      <c r="J25" s="53"/>
      <c r="K25" s="54"/>
      <c r="L25" s="52" t="s">
        <v>73</v>
      </c>
      <c r="M25" s="53"/>
      <c r="N25" s="54"/>
      <c r="O25" s="52" t="s">
        <v>73</v>
      </c>
      <c r="P25" s="53"/>
      <c r="Q25" s="55"/>
    </row>
    <row r="26" spans="3:17" ht="15" x14ac:dyDescent="0.25">
      <c r="C26" s="50"/>
      <c r="D26" s="51"/>
      <c r="E26" s="51"/>
      <c r="F26" s="53" t="s">
        <v>74</v>
      </c>
      <c r="G26" s="56" t="s">
        <v>69</v>
      </c>
      <c r="H26" s="57" t="s">
        <v>75</v>
      </c>
      <c r="I26" s="53" t="s">
        <v>74</v>
      </c>
      <c r="J26" s="56" t="s">
        <v>69</v>
      </c>
      <c r="K26" s="57" t="s">
        <v>75</v>
      </c>
      <c r="L26" s="53" t="s">
        <v>74</v>
      </c>
      <c r="M26" s="56" t="s">
        <v>69</v>
      </c>
      <c r="N26" s="57" t="s">
        <v>75</v>
      </c>
      <c r="O26" s="53" t="s">
        <v>74</v>
      </c>
      <c r="P26" s="56" t="s">
        <v>69</v>
      </c>
      <c r="Q26" s="58" t="s">
        <v>75</v>
      </c>
    </row>
    <row r="27" spans="3:17" ht="13.5" thickBot="1" x14ac:dyDescent="0.25">
      <c r="C27" s="59"/>
      <c r="D27" s="60"/>
      <c r="E27" s="61"/>
      <c r="F27" s="60" t="e">
        <f ca="1">FORECAST(I30,OFFSET(F9:F19,MATCH(I30,D9:D19,1)-1,0,2),OFFSET(D9:D19,MATCH(I30,D9:D19,1)-1,0,2))</f>
        <v>#N/A</v>
      </c>
      <c r="G27" s="60" t="e">
        <f ca="1">FORECAST(I30,OFFSET(G9:G19,MATCH(I30,D9:D19,1)-1,0,2),OFFSET(D9:D19,MATCH(I30,D9:D19,1)-1,0,2))</f>
        <v>#N/A</v>
      </c>
      <c r="H27" s="61"/>
      <c r="I27" s="60" t="e">
        <f ca="1">FORECAST(I30,OFFSET(I9:I19,MATCH(I30,D9:D19,1)-1,0,2),OFFSET(D9:D19,MATCH(I30,D9:D19,1)-1,0,2))</f>
        <v>#N/A</v>
      </c>
      <c r="J27" s="60" t="e">
        <f ca="1">FORECAST(I30,OFFSET(J9:J19,MATCH(I30,D9:D19,1)-1,0,2),OFFSET(D9:D19,MATCH(I30,D9:D19,1)-1,0,2))</f>
        <v>#N/A</v>
      </c>
      <c r="K27" s="61"/>
      <c r="L27" s="60" t="e">
        <f ca="1">FORECAST(I30,OFFSET(L9:L19,MATCH(I30,D9:D19,1)-1,0,2),OFFSET(D9:D19,MATCH(I30,D9:D19,1)-1,0,2))</f>
        <v>#N/A</v>
      </c>
      <c r="M27" s="60" t="e">
        <f ca="1">FORECAST(I30,OFFSET(M9:M19,MATCH(I30,D9:D19,1)-1,0,2),OFFSET(D9:D19,MATCH(I30,D9:D19,1)-1,0,2))</f>
        <v>#N/A</v>
      </c>
      <c r="N27" s="61"/>
      <c r="O27" s="60" t="e">
        <f ca="1">FORECAST(I30,OFFSET(O9:O19,MATCH(I30,D9:D19,1)-1,0,2),OFFSET(D9:D19,MATCH(I30,D9:D19,1)-1,0,2))</f>
        <v>#N/A</v>
      </c>
      <c r="P27" s="60" t="e">
        <f ca="1">FORECAST(I30,OFFSET(P9:P19,MATCH(I30,D9:D19,1)-1,0,2),OFFSET(D9:D19,MATCH(I30,D9:D19,1)-1,0,2))</f>
        <v>#N/A</v>
      </c>
      <c r="Q27" s="62"/>
    </row>
    <row r="28" spans="3:17" ht="18.75" x14ac:dyDescent="0.3">
      <c r="C28" s="63" t="s">
        <v>76</v>
      </c>
      <c r="D28" s="64"/>
      <c r="E28" s="51"/>
      <c r="F28" s="64"/>
      <c r="G28" s="64"/>
      <c r="H28" s="51"/>
      <c r="I28" s="64"/>
      <c r="J28" s="64"/>
      <c r="K28" s="51"/>
      <c r="L28" s="64"/>
      <c r="M28" s="64"/>
      <c r="N28" s="51"/>
      <c r="O28" s="64"/>
      <c r="P28" s="64"/>
      <c r="Q28" s="55"/>
    </row>
    <row r="29" spans="3:17" ht="18.75" x14ac:dyDescent="0.3">
      <c r="C29" s="50"/>
      <c r="D29" s="51"/>
      <c r="E29" s="51"/>
      <c r="F29" s="51"/>
      <c r="G29" s="51"/>
      <c r="H29" s="64"/>
      <c r="I29" s="53" t="s">
        <v>77</v>
      </c>
      <c r="J29" s="53" t="s">
        <v>78</v>
      </c>
      <c r="K29" s="65" t="s">
        <v>79</v>
      </c>
      <c r="L29" s="51"/>
      <c r="M29" s="51"/>
      <c r="N29" s="51"/>
      <c r="O29" s="51"/>
      <c r="P29" s="51"/>
      <c r="Q29" s="55"/>
    </row>
    <row r="30" spans="3:17" ht="18.75" x14ac:dyDescent="0.3">
      <c r="C30" s="50"/>
      <c r="D30" s="51"/>
      <c r="E30" s="51"/>
      <c r="F30" s="51"/>
      <c r="G30" s="51"/>
      <c r="H30" s="131" t="s">
        <v>80</v>
      </c>
      <c r="I30" s="64">
        <f>'Evalution Sheet 60Gy 8F'!F8</f>
        <v>0</v>
      </c>
      <c r="J30" s="64"/>
      <c r="K30" s="51" t="s">
        <v>26</v>
      </c>
      <c r="L30" s="51"/>
      <c r="M30" s="51"/>
      <c r="N30" s="51"/>
      <c r="O30" s="51"/>
      <c r="P30" s="51"/>
      <c r="Q30" s="55"/>
    </row>
    <row r="31" spans="3:17" ht="20.25" x14ac:dyDescent="0.35">
      <c r="C31" s="50"/>
      <c r="D31" s="51"/>
      <c r="E31" s="51"/>
      <c r="F31" s="51"/>
      <c r="G31" s="51"/>
      <c r="H31" s="67" t="s">
        <v>88</v>
      </c>
      <c r="I31" s="64" t="str">
        <f>'Evalution Sheet 60Gy 8F'!F21</f>
        <v>??</v>
      </c>
      <c r="J31" s="66" t="e">
        <f>I31/I30</f>
        <v>#VALUE!</v>
      </c>
      <c r="K31" s="64" t="str">
        <f>IF(I31="??","??",IF(J31&lt;F27,F26,IF(J31&lt;=G27,G26,H26)))</f>
        <v>??</v>
      </c>
      <c r="L31" s="51"/>
      <c r="M31" s="51"/>
      <c r="N31" s="51"/>
      <c r="O31" s="51"/>
      <c r="P31" s="51"/>
      <c r="Q31" s="55"/>
    </row>
    <row r="32" spans="3:17" ht="20.25" x14ac:dyDescent="0.35">
      <c r="C32" s="50"/>
      <c r="D32" s="51"/>
      <c r="E32" s="51"/>
      <c r="F32" s="51"/>
      <c r="G32" s="51"/>
      <c r="H32" s="67" t="s">
        <v>89</v>
      </c>
      <c r="I32" s="64" t="str">
        <f>'Evalution Sheet 60Gy 8F'!F24</f>
        <v>??</v>
      </c>
      <c r="J32" s="66" t="e">
        <f>I32/I30</f>
        <v>#VALUE!</v>
      </c>
      <c r="K32" s="64" t="str">
        <f>IF(I32="??", "??",IF(J32&lt;=I27,I26,IF(J32&lt;=J27,J26,K26)))</f>
        <v>??</v>
      </c>
      <c r="L32" s="51"/>
      <c r="M32" s="51"/>
      <c r="N32" s="51"/>
      <c r="O32" s="51"/>
      <c r="P32" s="51"/>
      <c r="Q32" s="55"/>
    </row>
    <row r="33" spans="3:17" ht="20.25" x14ac:dyDescent="0.35">
      <c r="C33" s="50"/>
      <c r="D33" s="51"/>
      <c r="E33" s="51"/>
      <c r="F33" s="51"/>
      <c r="G33" s="51"/>
      <c r="H33" s="67" t="s">
        <v>90</v>
      </c>
      <c r="I33" s="64" t="str">
        <f>'Evalution Sheet 60Gy 8F'!F23</f>
        <v>??</v>
      </c>
      <c r="J33" s="66" t="str">
        <f>I33</f>
        <v>??</v>
      </c>
      <c r="K33" s="64" t="str">
        <f>IF(I33="??","??",IF(J33&lt;=L27,L26,IF(J33&lt;=M27,M26,N26)))</f>
        <v>??</v>
      </c>
      <c r="L33" s="51"/>
      <c r="M33" s="51"/>
      <c r="N33" s="51"/>
      <c r="O33" s="51"/>
      <c r="P33" s="51"/>
      <c r="Q33" s="55"/>
    </row>
    <row r="34" spans="3:17" ht="20.25" x14ac:dyDescent="0.35">
      <c r="C34" s="50"/>
      <c r="D34" s="51"/>
      <c r="E34" s="51"/>
      <c r="F34" s="51"/>
      <c r="G34" s="51"/>
      <c r="H34" s="67" t="s">
        <v>91</v>
      </c>
      <c r="I34" s="66" t="str">
        <f>'Evalution Sheet 60Gy 8F'!F27</f>
        <v>??</v>
      </c>
      <c r="J34" s="64"/>
      <c r="K34" s="64" t="str">
        <f>IF(I34="??","??",IF(I34&lt;=0.1,O26,IF(I34&lt;=0.15,P26,Q26)))</f>
        <v>??</v>
      </c>
      <c r="L34" s="51"/>
      <c r="M34" s="51"/>
      <c r="N34" s="51"/>
      <c r="O34" s="51"/>
      <c r="P34" s="51"/>
      <c r="Q34" s="55"/>
    </row>
    <row r="35" spans="3:17" ht="13.5" thickBot="1" x14ac:dyDescent="0.25">
      <c r="C35" s="59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2"/>
    </row>
    <row r="46" spans="3:17" x14ac:dyDescent="0.2">
      <c r="C46" s="126" t="s">
        <v>111</v>
      </c>
    </row>
  </sheetData>
  <sheetProtection sheet="1" selectLockedCells="1" selectUnlockedCells="1"/>
  <phoneticPr fontId="2" type="noConversion"/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C1:Q43"/>
  <sheetViews>
    <sheetView workbookViewId="0">
      <selection activeCell="I33" sqref="I33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17" ht="26.25" x14ac:dyDescent="0.4">
      <c r="C1" s="14"/>
      <c r="D1" s="15"/>
      <c r="E1" s="15"/>
      <c r="F1" s="15"/>
      <c r="G1" s="15"/>
      <c r="H1" s="15"/>
      <c r="I1" s="16" t="s">
        <v>85</v>
      </c>
      <c r="J1" s="15"/>
      <c r="K1" s="15"/>
      <c r="L1" s="15"/>
      <c r="M1" s="15"/>
      <c r="N1" s="15"/>
      <c r="O1" s="15"/>
      <c r="P1" s="15"/>
      <c r="Q1" s="17"/>
    </row>
    <row r="2" spans="3:17" ht="15.75" thickBot="1" x14ac:dyDescent="0.3">
      <c r="C2" s="18"/>
      <c r="D2" s="19"/>
      <c r="E2" s="20" t="s">
        <v>53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21"/>
    </row>
    <row r="3" spans="3:17" ht="15" x14ac:dyDescent="0.25">
      <c r="C3" s="14"/>
      <c r="D3" s="22"/>
      <c r="E3" s="15"/>
      <c r="F3" s="14"/>
      <c r="G3" s="15"/>
      <c r="H3" s="17"/>
      <c r="I3" s="15"/>
      <c r="J3" s="15"/>
      <c r="K3" s="15"/>
      <c r="L3" s="14" t="s">
        <v>54</v>
      </c>
      <c r="M3" s="15"/>
      <c r="N3" s="17"/>
      <c r="O3" s="15" t="s">
        <v>55</v>
      </c>
      <c r="P3" s="15"/>
      <c r="Q3" s="17"/>
    </row>
    <row r="4" spans="3:17" ht="15" x14ac:dyDescent="0.25">
      <c r="C4" s="18"/>
      <c r="D4" s="23"/>
      <c r="E4" s="19"/>
      <c r="F4" s="24" t="s">
        <v>56</v>
      </c>
      <c r="G4" s="19"/>
      <c r="H4" s="21"/>
      <c r="I4" s="19" t="s">
        <v>57</v>
      </c>
      <c r="J4" s="19"/>
      <c r="K4" s="19"/>
      <c r="L4" s="18" t="s">
        <v>58</v>
      </c>
      <c r="M4" s="19"/>
      <c r="N4" s="21"/>
      <c r="O4" s="19" t="s">
        <v>59</v>
      </c>
      <c r="P4" s="19"/>
      <c r="Q4" s="21"/>
    </row>
    <row r="5" spans="3:17" x14ac:dyDescent="0.2">
      <c r="C5" s="18"/>
      <c r="D5" s="19"/>
      <c r="E5" s="19"/>
      <c r="F5" s="24" t="s">
        <v>60</v>
      </c>
      <c r="G5" s="19"/>
      <c r="H5" s="21"/>
      <c r="I5" s="25" t="s">
        <v>61</v>
      </c>
      <c r="J5" s="19"/>
      <c r="K5" s="19"/>
      <c r="L5" s="18" t="s">
        <v>62</v>
      </c>
      <c r="M5" s="19"/>
      <c r="N5" s="21"/>
      <c r="O5" s="19"/>
      <c r="P5" s="19"/>
      <c r="Q5" s="21"/>
    </row>
    <row r="6" spans="3:17" ht="13.5" thickBot="1" x14ac:dyDescent="0.25">
      <c r="C6" s="18"/>
      <c r="D6" s="26" t="s">
        <v>48</v>
      </c>
      <c r="E6" s="19"/>
      <c r="F6" s="24" t="s">
        <v>63</v>
      </c>
      <c r="G6" s="19"/>
      <c r="H6" s="21"/>
      <c r="I6" s="25"/>
      <c r="J6" s="19"/>
      <c r="K6" s="19"/>
      <c r="L6" s="18"/>
      <c r="M6" s="19"/>
      <c r="N6" s="21"/>
      <c r="O6" s="19"/>
      <c r="P6" s="19"/>
      <c r="Q6" s="21"/>
    </row>
    <row r="7" spans="3:17" x14ac:dyDescent="0.2">
      <c r="C7" s="18"/>
      <c r="D7" s="26" t="s">
        <v>64</v>
      </c>
      <c r="E7" s="19"/>
      <c r="F7" s="27" t="s">
        <v>65</v>
      </c>
      <c r="G7" s="15"/>
      <c r="H7" s="17"/>
      <c r="I7" s="15"/>
      <c r="J7" s="15" t="s">
        <v>66</v>
      </c>
      <c r="K7" s="15"/>
      <c r="L7" s="28" t="s">
        <v>67</v>
      </c>
      <c r="M7" s="15"/>
      <c r="N7" s="17"/>
      <c r="O7" s="29" t="s">
        <v>68</v>
      </c>
      <c r="P7" s="15"/>
      <c r="Q7" s="17"/>
    </row>
    <row r="8" spans="3:17" ht="13.5" thickBot="1" x14ac:dyDescent="0.25">
      <c r="C8" s="30"/>
      <c r="D8" s="31" t="s">
        <v>49</v>
      </c>
      <c r="E8" s="31"/>
      <c r="F8" s="32" t="s">
        <v>50</v>
      </c>
      <c r="G8" s="31" t="s">
        <v>69</v>
      </c>
      <c r="H8" s="33"/>
      <c r="I8" s="31" t="s">
        <v>50</v>
      </c>
      <c r="J8" s="31" t="s">
        <v>69</v>
      </c>
      <c r="K8" s="31"/>
      <c r="L8" s="32" t="s">
        <v>50</v>
      </c>
      <c r="M8" s="31" t="s">
        <v>69</v>
      </c>
      <c r="N8" s="33"/>
      <c r="O8" s="31" t="s">
        <v>50</v>
      </c>
      <c r="P8" s="34" t="s">
        <v>69</v>
      </c>
      <c r="Q8" s="33"/>
    </row>
    <row r="9" spans="3:17" ht="15" x14ac:dyDescent="0.25">
      <c r="C9" s="18"/>
      <c r="D9" s="35">
        <v>1.8</v>
      </c>
      <c r="E9" s="26"/>
      <c r="F9" s="36">
        <v>1.2</v>
      </c>
      <c r="G9" s="37">
        <v>1.5</v>
      </c>
      <c r="H9" s="38"/>
      <c r="I9" s="39">
        <v>5.9</v>
      </c>
      <c r="J9" s="39">
        <v>7.5</v>
      </c>
      <c r="K9" s="26"/>
      <c r="L9" s="36">
        <v>50</v>
      </c>
      <c r="M9" s="37">
        <v>57</v>
      </c>
      <c r="N9" s="38"/>
      <c r="O9" s="26">
        <v>10</v>
      </c>
      <c r="P9" s="26">
        <v>15</v>
      </c>
      <c r="Q9" s="38"/>
    </row>
    <row r="10" spans="3:17" ht="15" x14ac:dyDescent="0.25">
      <c r="C10" s="18"/>
      <c r="D10" s="35">
        <v>3.8</v>
      </c>
      <c r="E10" s="26"/>
      <c r="F10" s="36">
        <v>1.2</v>
      </c>
      <c r="G10" s="37">
        <v>1.5</v>
      </c>
      <c r="H10" s="38"/>
      <c r="I10" s="39">
        <v>5.5</v>
      </c>
      <c r="J10" s="39">
        <v>6.5</v>
      </c>
      <c r="K10" s="26"/>
      <c r="L10" s="36">
        <v>50</v>
      </c>
      <c r="M10" s="37">
        <v>57</v>
      </c>
      <c r="N10" s="38"/>
      <c r="O10" s="26">
        <v>10</v>
      </c>
      <c r="P10" s="26">
        <v>15</v>
      </c>
      <c r="Q10" s="38"/>
    </row>
    <row r="11" spans="3:17" ht="15" x14ac:dyDescent="0.25">
      <c r="C11" s="18"/>
      <c r="D11" s="35">
        <v>7.4</v>
      </c>
      <c r="E11" s="26"/>
      <c r="F11" s="36">
        <v>1.2</v>
      </c>
      <c r="G11" s="37">
        <v>1.5</v>
      </c>
      <c r="H11" s="38"/>
      <c r="I11" s="39">
        <v>5.0999999999999996</v>
      </c>
      <c r="J11" s="39">
        <v>6</v>
      </c>
      <c r="K11" s="26"/>
      <c r="L11" s="36">
        <v>50</v>
      </c>
      <c r="M11" s="37">
        <v>58</v>
      </c>
      <c r="N11" s="38"/>
      <c r="O11" s="26">
        <v>10</v>
      </c>
      <c r="P11" s="26">
        <v>15</v>
      </c>
      <c r="Q11" s="38"/>
    </row>
    <row r="12" spans="3:17" ht="15" x14ac:dyDescent="0.25">
      <c r="C12" s="18"/>
      <c r="D12" s="35">
        <v>13.2</v>
      </c>
      <c r="E12" s="26"/>
      <c r="F12" s="36">
        <v>1.2</v>
      </c>
      <c r="G12" s="37">
        <v>1.5</v>
      </c>
      <c r="H12" s="38"/>
      <c r="I12" s="39">
        <v>4.7</v>
      </c>
      <c r="J12" s="39">
        <v>5.8</v>
      </c>
      <c r="K12" s="26"/>
      <c r="L12" s="36">
        <v>50</v>
      </c>
      <c r="M12" s="37">
        <v>58</v>
      </c>
      <c r="N12" s="38"/>
      <c r="O12" s="26">
        <v>10</v>
      </c>
      <c r="P12" s="26">
        <v>15</v>
      </c>
      <c r="Q12" s="38"/>
    </row>
    <row r="13" spans="3:17" ht="15" x14ac:dyDescent="0.25">
      <c r="C13" s="18"/>
      <c r="D13" s="35">
        <v>22</v>
      </c>
      <c r="E13" s="26"/>
      <c r="F13" s="36">
        <v>1.2</v>
      </c>
      <c r="G13" s="37">
        <v>1.5</v>
      </c>
      <c r="H13" s="38"/>
      <c r="I13" s="39">
        <v>4.5</v>
      </c>
      <c r="J13" s="39">
        <v>5.5</v>
      </c>
      <c r="K13" s="26"/>
      <c r="L13" s="36">
        <v>54</v>
      </c>
      <c r="M13" s="37">
        <v>63</v>
      </c>
      <c r="N13" s="38"/>
      <c r="O13" s="26">
        <v>10</v>
      </c>
      <c r="P13" s="26">
        <v>15</v>
      </c>
      <c r="Q13" s="38"/>
    </row>
    <row r="14" spans="3:17" ht="15" x14ac:dyDescent="0.25">
      <c r="C14" s="18"/>
      <c r="D14" s="35">
        <v>34</v>
      </c>
      <c r="E14" s="26"/>
      <c r="F14" s="36">
        <v>1.2</v>
      </c>
      <c r="G14" s="37">
        <v>1.5</v>
      </c>
      <c r="H14" s="38"/>
      <c r="I14" s="39">
        <v>4.3</v>
      </c>
      <c r="J14" s="39">
        <v>5.3</v>
      </c>
      <c r="K14" s="26"/>
      <c r="L14" s="36">
        <v>58</v>
      </c>
      <c r="M14" s="37">
        <v>68</v>
      </c>
      <c r="N14" s="38"/>
      <c r="O14" s="26">
        <v>10</v>
      </c>
      <c r="P14" s="26">
        <v>15</v>
      </c>
      <c r="Q14" s="38"/>
    </row>
    <row r="15" spans="3:17" ht="15" x14ac:dyDescent="0.25">
      <c r="C15" s="18"/>
      <c r="D15" s="35">
        <v>50</v>
      </c>
      <c r="E15" s="26"/>
      <c r="F15" s="36">
        <v>1.2</v>
      </c>
      <c r="G15" s="37">
        <v>1.5</v>
      </c>
      <c r="H15" s="38"/>
      <c r="I15" s="39">
        <v>4</v>
      </c>
      <c r="J15" s="39">
        <v>5</v>
      </c>
      <c r="K15" s="26"/>
      <c r="L15" s="36">
        <v>62</v>
      </c>
      <c r="M15" s="37">
        <v>77</v>
      </c>
      <c r="N15" s="38"/>
      <c r="O15" s="26">
        <v>10</v>
      </c>
      <c r="P15" s="26">
        <v>15</v>
      </c>
      <c r="Q15" s="38"/>
    </row>
    <row r="16" spans="3:17" ht="15" x14ac:dyDescent="0.25">
      <c r="C16" s="18"/>
      <c r="D16" s="35">
        <v>70</v>
      </c>
      <c r="E16" s="26"/>
      <c r="F16" s="36">
        <v>1.2</v>
      </c>
      <c r="G16" s="37">
        <v>1.5</v>
      </c>
      <c r="H16" s="38"/>
      <c r="I16" s="39">
        <v>3.5</v>
      </c>
      <c r="J16" s="39">
        <v>4.8</v>
      </c>
      <c r="K16" s="26"/>
      <c r="L16" s="36">
        <v>66</v>
      </c>
      <c r="M16" s="37">
        <v>86</v>
      </c>
      <c r="N16" s="38"/>
      <c r="O16" s="26">
        <v>10</v>
      </c>
      <c r="P16" s="26">
        <v>15</v>
      </c>
      <c r="Q16" s="38"/>
    </row>
    <row r="17" spans="3:17" ht="15" x14ac:dyDescent="0.25">
      <c r="C17" s="18"/>
      <c r="D17" s="35">
        <v>95</v>
      </c>
      <c r="E17" s="26"/>
      <c r="F17" s="36">
        <v>1.2</v>
      </c>
      <c r="G17" s="37">
        <v>1.5</v>
      </c>
      <c r="H17" s="38"/>
      <c r="I17" s="39">
        <v>3.3</v>
      </c>
      <c r="J17" s="39">
        <v>4.4000000000000004</v>
      </c>
      <c r="K17" s="26"/>
      <c r="L17" s="36">
        <v>70</v>
      </c>
      <c r="M17" s="37">
        <v>89</v>
      </c>
      <c r="N17" s="38"/>
      <c r="O17" s="26">
        <v>10</v>
      </c>
      <c r="P17" s="26">
        <v>15</v>
      </c>
      <c r="Q17" s="38"/>
    </row>
    <row r="18" spans="3:17" ht="15" x14ac:dyDescent="0.25">
      <c r="C18" s="18"/>
      <c r="D18" s="35">
        <v>126</v>
      </c>
      <c r="E18" s="26"/>
      <c r="F18" s="36">
        <v>1.2</v>
      </c>
      <c r="G18" s="37">
        <v>1.5</v>
      </c>
      <c r="H18" s="38"/>
      <c r="I18" s="39">
        <v>3.1</v>
      </c>
      <c r="J18" s="39">
        <v>4</v>
      </c>
      <c r="K18" s="26"/>
      <c r="L18" s="36">
        <v>73</v>
      </c>
      <c r="M18" s="37">
        <v>91</v>
      </c>
      <c r="N18" s="38"/>
      <c r="O18" s="26">
        <v>10</v>
      </c>
      <c r="P18" s="26">
        <v>15</v>
      </c>
      <c r="Q18" s="38"/>
    </row>
    <row r="19" spans="3:17" ht="15.75" thickBot="1" x14ac:dyDescent="0.3">
      <c r="C19" s="30"/>
      <c r="D19" s="40">
        <v>163</v>
      </c>
      <c r="E19" s="31"/>
      <c r="F19" s="41">
        <v>1.2</v>
      </c>
      <c r="G19" s="42">
        <v>1.5</v>
      </c>
      <c r="H19" s="33"/>
      <c r="I19" s="43">
        <v>2.9</v>
      </c>
      <c r="J19" s="43">
        <v>3.7</v>
      </c>
      <c r="K19" s="31"/>
      <c r="L19" s="41">
        <v>77</v>
      </c>
      <c r="M19" s="42">
        <v>94</v>
      </c>
      <c r="N19" s="33"/>
      <c r="O19" s="31">
        <v>10</v>
      </c>
      <c r="P19" s="31">
        <v>15</v>
      </c>
      <c r="Q19" s="33"/>
    </row>
    <row r="20" spans="3:17" ht="15" x14ac:dyDescent="0.25">
      <c r="C20" s="18"/>
      <c r="D20" s="35"/>
      <c r="E20" s="26"/>
      <c r="F20" s="37"/>
      <c r="G20" s="37"/>
      <c r="H20" s="26"/>
      <c r="I20" s="39"/>
      <c r="J20" s="39"/>
      <c r="K20" s="26"/>
      <c r="L20" s="37"/>
      <c r="M20" s="37"/>
      <c r="N20" s="26"/>
      <c r="O20" s="26"/>
      <c r="P20" s="26"/>
      <c r="Q20" s="38"/>
    </row>
    <row r="21" spans="3:17" ht="15" x14ac:dyDescent="0.25">
      <c r="C21" s="18" t="s">
        <v>51</v>
      </c>
      <c r="D21" s="35"/>
      <c r="E21" s="26"/>
      <c r="F21" s="37"/>
      <c r="G21" s="37"/>
      <c r="H21" s="26"/>
      <c r="I21" s="39"/>
      <c r="J21" s="39"/>
      <c r="K21" s="26"/>
      <c r="L21" s="37"/>
      <c r="M21" s="37"/>
      <c r="N21" s="26"/>
      <c r="O21" s="26"/>
      <c r="P21" s="26"/>
      <c r="Q21" s="38"/>
    </row>
    <row r="22" spans="3:17" x14ac:dyDescent="0.2">
      <c r="C22" s="18" t="s">
        <v>70</v>
      </c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38"/>
    </row>
    <row r="23" spans="3:17" ht="13.5" thickBot="1" x14ac:dyDescent="0.25">
      <c r="C23" s="30" t="s">
        <v>26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5"/>
    </row>
    <row r="24" spans="3:17" ht="18.75" x14ac:dyDescent="0.3">
      <c r="C24" s="46" t="s">
        <v>71</v>
      </c>
      <c r="D24" s="47"/>
      <c r="E24" s="47"/>
      <c r="F24" s="47"/>
      <c r="G24" s="47"/>
      <c r="H24" s="47"/>
      <c r="I24" s="47"/>
      <c r="J24" s="48" t="s">
        <v>26</v>
      </c>
      <c r="K24" s="47"/>
      <c r="L24" s="47"/>
      <c r="M24" s="47"/>
      <c r="N24" s="47"/>
      <c r="O24" s="47"/>
      <c r="P24" s="47"/>
      <c r="Q24" s="49"/>
    </row>
    <row r="25" spans="3:17" ht="15" x14ac:dyDescent="0.25">
      <c r="C25" s="50"/>
      <c r="D25" s="51"/>
      <c r="E25" s="51"/>
      <c r="F25" s="52" t="s">
        <v>72</v>
      </c>
      <c r="G25" s="53"/>
      <c r="H25" s="54"/>
      <c r="I25" s="52" t="s">
        <v>72</v>
      </c>
      <c r="J25" s="53"/>
      <c r="K25" s="54"/>
      <c r="L25" s="52" t="s">
        <v>73</v>
      </c>
      <c r="M25" s="53"/>
      <c r="N25" s="54"/>
      <c r="O25" s="52" t="s">
        <v>73</v>
      </c>
      <c r="P25" s="53"/>
      <c r="Q25" s="55"/>
    </row>
    <row r="26" spans="3:17" ht="15" x14ac:dyDescent="0.25">
      <c r="C26" s="50"/>
      <c r="D26" s="51"/>
      <c r="E26" s="51"/>
      <c r="F26" s="53" t="s">
        <v>74</v>
      </c>
      <c r="G26" s="56" t="s">
        <v>69</v>
      </c>
      <c r="H26" s="57" t="s">
        <v>75</v>
      </c>
      <c r="I26" s="53" t="s">
        <v>74</v>
      </c>
      <c r="J26" s="56" t="s">
        <v>69</v>
      </c>
      <c r="K26" s="57" t="s">
        <v>75</v>
      </c>
      <c r="L26" s="53" t="s">
        <v>74</v>
      </c>
      <c r="M26" s="56" t="s">
        <v>69</v>
      </c>
      <c r="N26" s="57" t="s">
        <v>75</v>
      </c>
      <c r="O26" s="53" t="s">
        <v>74</v>
      </c>
      <c r="P26" s="56" t="s">
        <v>69</v>
      </c>
      <c r="Q26" s="58" t="s">
        <v>75</v>
      </c>
    </row>
    <row r="27" spans="3:17" ht="13.5" thickBot="1" x14ac:dyDescent="0.25">
      <c r="C27" s="59"/>
      <c r="D27" s="60"/>
      <c r="E27" s="61"/>
      <c r="F27" s="60" t="e">
        <f ca="1">FORECAST(I30,OFFSET(F9:F19,MATCH(I30,D9:D19,1)-1,0,2),OFFSET(D9:D19,MATCH(I30,D9:D19,1)-1,0,2))</f>
        <v>#N/A</v>
      </c>
      <c r="G27" s="60" t="e">
        <f ca="1">FORECAST(I30,OFFSET(G9:G19,MATCH(I30,D9:D19,1)-1,0,2),OFFSET(D9:D19,MATCH(I30,D9:D19,1)-1,0,2))</f>
        <v>#N/A</v>
      </c>
      <c r="H27" s="61"/>
      <c r="I27" s="60" t="e">
        <f ca="1">FORECAST(I30,OFFSET(I9:I19,MATCH(I30,D9:D19,1)-1,0,2),OFFSET(D9:D19,MATCH(I30,D9:D19,1)-1,0,2))</f>
        <v>#N/A</v>
      </c>
      <c r="J27" s="60" t="e">
        <f ca="1">FORECAST(I30,OFFSET(J9:J19,MATCH(I30,D9:D19,1)-1,0,2),OFFSET(D9:D19,MATCH(I30,D9:D19,1)-1,0,2))</f>
        <v>#N/A</v>
      </c>
      <c r="K27" s="61"/>
      <c r="L27" s="60" t="e">
        <f ca="1">FORECAST(I30,OFFSET(L9:L19,MATCH(I30,D9:D19,1)-1,0,2),OFFSET(D9:D19,MATCH(I30,D9:D19,1)-1,0,2))</f>
        <v>#N/A</v>
      </c>
      <c r="M27" s="60" t="e">
        <f ca="1">FORECAST(I30,OFFSET(M9:M19,MATCH(I30,D9:D19,1)-1,0,2),OFFSET(D9:D19,MATCH(I30,D9:D19,1)-1,0,2))</f>
        <v>#N/A</v>
      </c>
      <c r="N27" s="61"/>
      <c r="O27" s="60" t="e">
        <f ca="1">FORECAST(I30,OFFSET(O9:O19,MATCH(I30,D9:D19,1)-1,0,2),OFFSET(D9:D19,MATCH(I30,D9:D19,1)-1,0,2))</f>
        <v>#N/A</v>
      </c>
      <c r="P27" s="60" t="e">
        <f ca="1">FORECAST(I30,OFFSET(P9:P19,MATCH(I30,D9:D19,1)-1,0,2),OFFSET(D9:D19,MATCH(I30,D9:D19,1)-1,0,2))</f>
        <v>#N/A</v>
      </c>
      <c r="Q27" s="62"/>
    </row>
    <row r="28" spans="3:17" ht="18.75" x14ac:dyDescent="0.3">
      <c r="C28" s="63" t="s">
        <v>76</v>
      </c>
      <c r="D28" s="64"/>
      <c r="E28" s="51"/>
      <c r="F28" s="64"/>
      <c r="G28" s="64"/>
      <c r="H28" s="51"/>
      <c r="I28" s="64"/>
      <c r="J28" s="64"/>
      <c r="K28" s="51"/>
      <c r="L28" s="64"/>
      <c r="M28" s="64"/>
      <c r="N28" s="51"/>
      <c r="O28" s="64"/>
      <c r="P28" s="64"/>
      <c r="Q28" s="55"/>
    </row>
    <row r="29" spans="3:17" ht="18.75" x14ac:dyDescent="0.3">
      <c r="C29" s="50"/>
      <c r="D29" s="51"/>
      <c r="E29" s="51"/>
      <c r="F29" s="51"/>
      <c r="G29" s="51"/>
      <c r="H29" s="64"/>
      <c r="I29" s="53" t="s">
        <v>77</v>
      </c>
      <c r="J29" s="53" t="s">
        <v>78</v>
      </c>
      <c r="K29" s="65" t="s">
        <v>79</v>
      </c>
      <c r="L29" s="51"/>
      <c r="M29" s="51"/>
      <c r="N29" s="51"/>
      <c r="O29" s="51"/>
      <c r="P29" s="51"/>
      <c r="Q29" s="55"/>
    </row>
    <row r="30" spans="3:17" ht="18.75" x14ac:dyDescent="0.3">
      <c r="C30" s="50"/>
      <c r="D30" s="51"/>
      <c r="E30" s="51"/>
      <c r="F30" s="51"/>
      <c r="G30" s="51"/>
      <c r="H30" s="131" t="s">
        <v>80</v>
      </c>
      <c r="I30" s="64">
        <f>'EvalutionSheet 54Gy 3F'!F8</f>
        <v>0</v>
      </c>
      <c r="J30" s="64"/>
      <c r="K30" s="51" t="s">
        <v>26</v>
      </c>
      <c r="L30" s="51"/>
      <c r="M30" s="51"/>
      <c r="N30" s="51"/>
      <c r="O30" s="51"/>
      <c r="P30" s="51"/>
      <c r="Q30" s="55"/>
    </row>
    <row r="31" spans="3:17" ht="20.25" x14ac:dyDescent="0.35">
      <c r="C31" s="50"/>
      <c r="D31" s="51"/>
      <c r="E31" s="51"/>
      <c r="F31" s="51"/>
      <c r="G31" s="51"/>
      <c r="H31" s="67" t="s">
        <v>88</v>
      </c>
      <c r="I31" s="64" t="str">
        <f>'EvalutionSheet 54Gy 3F'!F21</f>
        <v>??</v>
      </c>
      <c r="J31" s="66" t="e">
        <f>I31/I30</f>
        <v>#VALUE!</v>
      </c>
      <c r="K31" s="51" t="e">
        <f ca="1">IF(J31&lt;=F27,F26,IF(J31&lt;=G27,G26,H26))</f>
        <v>#VALUE!</v>
      </c>
      <c r="L31" s="51"/>
      <c r="M31" s="51"/>
      <c r="N31" s="51"/>
      <c r="O31" s="51"/>
      <c r="P31" s="51"/>
      <c r="Q31" s="55"/>
    </row>
    <row r="32" spans="3:17" ht="20.25" x14ac:dyDescent="0.35">
      <c r="C32" s="50"/>
      <c r="D32" s="51"/>
      <c r="E32" s="51"/>
      <c r="F32" s="51"/>
      <c r="G32" s="51"/>
      <c r="H32" s="67" t="s">
        <v>89</v>
      </c>
      <c r="I32" s="64" t="str">
        <f>'EvalutionSheet 54Gy 3F'!F24</f>
        <v>??</v>
      </c>
      <c r="J32" s="66" t="e">
        <f>I32/I30</f>
        <v>#VALUE!</v>
      </c>
      <c r="K32" s="51" t="e">
        <f ca="1">IF(J32&lt;=I27,I26,IF(J32&lt;=J27,J26,K26))</f>
        <v>#VALUE!</v>
      </c>
      <c r="L32" s="51"/>
      <c r="M32" s="51"/>
      <c r="N32" s="51"/>
      <c r="O32" s="51"/>
      <c r="P32" s="51"/>
      <c r="Q32" s="55"/>
    </row>
    <row r="33" spans="3:17" ht="20.25" x14ac:dyDescent="0.35">
      <c r="C33" s="50"/>
      <c r="D33" s="51"/>
      <c r="E33" s="51"/>
      <c r="F33" s="51"/>
      <c r="G33" s="51"/>
      <c r="H33" s="67" t="s">
        <v>90</v>
      </c>
      <c r="I33" s="64" t="str">
        <f>'EvalutionSheet 54Gy 3F'!F23</f>
        <v>??</v>
      </c>
      <c r="J33" s="66" t="str">
        <f>I33</f>
        <v>??</v>
      </c>
      <c r="K33" s="51" t="str">
        <f>IF(I33="??","??",IF(J33&lt;=L27,L26,IF(J33&lt;=M27,M26,N26)))</f>
        <v>??</v>
      </c>
      <c r="L33" s="51"/>
      <c r="M33" s="51"/>
      <c r="N33" s="51"/>
      <c r="O33" s="51"/>
      <c r="P33" s="51"/>
      <c r="Q33" s="55"/>
    </row>
    <row r="34" spans="3:17" ht="20.25" x14ac:dyDescent="0.35">
      <c r="C34" s="50"/>
      <c r="D34" s="51"/>
      <c r="E34" s="51"/>
      <c r="F34" s="51"/>
      <c r="G34" s="51"/>
      <c r="H34" s="67" t="s">
        <v>91</v>
      </c>
      <c r="I34" s="66" t="str">
        <f>'EvalutionSheet 54Gy 3F'!F27</f>
        <v>??</v>
      </c>
      <c r="J34" s="64"/>
      <c r="K34" s="64" t="str">
        <f>IF(I34="??","??",IF(I34&lt;=0.1,O26,IF(I34&lt;=0.15,P26,Q26)))</f>
        <v>??</v>
      </c>
      <c r="L34" s="51"/>
      <c r="M34" s="51"/>
      <c r="N34" s="51"/>
      <c r="O34" s="51"/>
      <c r="P34" s="51"/>
      <c r="Q34" s="55"/>
    </row>
    <row r="35" spans="3:17" ht="13.5" thickBot="1" x14ac:dyDescent="0.25">
      <c r="C35" s="59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2"/>
    </row>
    <row r="43" spans="3:17" x14ac:dyDescent="0.2">
      <c r="C43" s="126" t="s">
        <v>111</v>
      </c>
    </row>
  </sheetData>
  <sheetProtection selectLockedCells="1" selectUnlockedCells="1"/>
  <phoneticPr fontId="2" type="noConversion"/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43"/>
  <sheetViews>
    <sheetView workbookViewId="0">
      <selection activeCell="K34" sqref="K34"/>
    </sheetView>
  </sheetViews>
  <sheetFormatPr defaultRowHeight="12.75" x14ac:dyDescent="0.2"/>
  <cols>
    <col min="2" max="2" width="16.7109375" customWidth="1"/>
    <col min="3" max="3" width="6.140625" customWidth="1"/>
    <col min="7" max="7" width="14.140625" customWidth="1"/>
    <col min="8" max="8" width="12.5703125" customWidth="1"/>
    <col min="10" max="10" width="13.85546875" customWidth="1"/>
    <col min="11" max="11" width="16.5703125" customWidth="1"/>
    <col min="12" max="12" width="11" customWidth="1"/>
    <col min="13" max="13" width="13.140625" customWidth="1"/>
    <col min="14" max="14" width="16.42578125" customWidth="1"/>
    <col min="15" max="15" width="11.28515625" customWidth="1"/>
    <col min="16" max="16" width="13.140625" customWidth="1"/>
    <col min="17" max="17" width="17.140625" customWidth="1"/>
  </cols>
  <sheetData>
    <row r="1" spans="3:17" ht="26.25" x14ac:dyDescent="0.4">
      <c r="C1" s="14"/>
      <c r="D1" s="15"/>
      <c r="E1" s="15"/>
      <c r="F1" s="15"/>
      <c r="G1" s="15"/>
      <c r="H1" s="15"/>
      <c r="I1" s="16" t="s">
        <v>85</v>
      </c>
      <c r="J1" s="15"/>
      <c r="K1" s="15"/>
      <c r="L1" s="15"/>
      <c r="M1" s="15"/>
      <c r="N1" s="15"/>
      <c r="O1" s="15"/>
      <c r="P1" s="15"/>
      <c r="Q1" s="17"/>
    </row>
    <row r="2" spans="3:17" ht="15.75" thickBot="1" x14ac:dyDescent="0.3">
      <c r="C2" s="18"/>
      <c r="D2" s="19"/>
      <c r="E2" s="20" t="s">
        <v>53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21"/>
    </row>
    <row r="3" spans="3:17" ht="15" x14ac:dyDescent="0.25">
      <c r="C3" s="14"/>
      <c r="D3" s="22"/>
      <c r="E3" s="15"/>
      <c r="F3" s="14"/>
      <c r="G3" s="15"/>
      <c r="H3" s="17"/>
      <c r="I3" s="15"/>
      <c r="J3" s="15"/>
      <c r="K3" s="15"/>
      <c r="L3" s="14" t="s">
        <v>54</v>
      </c>
      <c r="M3" s="15"/>
      <c r="N3" s="17"/>
      <c r="O3" s="15" t="s">
        <v>55</v>
      </c>
      <c r="P3" s="15"/>
      <c r="Q3" s="17"/>
    </row>
    <row r="4" spans="3:17" ht="15" x14ac:dyDescent="0.25">
      <c r="C4" s="18"/>
      <c r="D4" s="23"/>
      <c r="E4" s="19"/>
      <c r="F4" s="24" t="s">
        <v>56</v>
      </c>
      <c r="G4" s="19"/>
      <c r="H4" s="21"/>
      <c r="I4" s="19" t="s">
        <v>57</v>
      </c>
      <c r="J4" s="19"/>
      <c r="K4" s="19"/>
      <c r="L4" s="18" t="s">
        <v>58</v>
      </c>
      <c r="M4" s="19"/>
      <c r="N4" s="21"/>
      <c r="O4" s="19" t="s">
        <v>59</v>
      </c>
      <c r="P4" s="19"/>
      <c r="Q4" s="21"/>
    </row>
    <row r="5" spans="3:17" x14ac:dyDescent="0.2">
      <c r="C5" s="18"/>
      <c r="D5" s="19"/>
      <c r="E5" s="19"/>
      <c r="F5" s="24" t="s">
        <v>60</v>
      </c>
      <c r="G5" s="19"/>
      <c r="H5" s="21"/>
      <c r="I5" s="25" t="s">
        <v>61</v>
      </c>
      <c r="J5" s="19"/>
      <c r="K5" s="19"/>
      <c r="L5" s="18" t="s">
        <v>62</v>
      </c>
      <c r="M5" s="19"/>
      <c r="N5" s="21"/>
      <c r="O5" s="19"/>
      <c r="P5" s="19"/>
      <c r="Q5" s="21"/>
    </row>
    <row r="6" spans="3:17" ht="13.5" thickBot="1" x14ac:dyDescent="0.25">
      <c r="C6" s="18"/>
      <c r="D6" s="26" t="s">
        <v>48</v>
      </c>
      <c r="E6" s="19"/>
      <c r="F6" s="24" t="s">
        <v>63</v>
      </c>
      <c r="G6" s="19"/>
      <c r="H6" s="21"/>
      <c r="I6" s="25"/>
      <c r="J6" s="19"/>
      <c r="K6" s="19"/>
      <c r="L6" s="18"/>
      <c r="M6" s="19"/>
      <c r="N6" s="21"/>
      <c r="O6" s="19"/>
      <c r="P6" s="19"/>
      <c r="Q6" s="21"/>
    </row>
    <row r="7" spans="3:17" x14ac:dyDescent="0.2">
      <c r="C7" s="18"/>
      <c r="D7" s="26" t="s">
        <v>64</v>
      </c>
      <c r="E7" s="19"/>
      <c r="F7" s="27" t="s">
        <v>65</v>
      </c>
      <c r="G7" s="15"/>
      <c r="H7" s="17"/>
      <c r="I7" s="15"/>
      <c r="J7" s="15" t="s">
        <v>66</v>
      </c>
      <c r="K7" s="15"/>
      <c r="L7" s="28" t="s">
        <v>67</v>
      </c>
      <c r="M7" s="15"/>
      <c r="N7" s="17"/>
      <c r="O7" s="29" t="s">
        <v>68</v>
      </c>
      <c r="P7" s="15"/>
      <c r="Q7" s="17"/>
    </row>
    <row r="8" spans="3:17" ht="13.5" thickBot="1" x14ac:dyDescent="0.25">
      <c r="C8" s="30"/>
      <c r="D8" s="31" t="s">
        <v>49</v>
      </c>
      <c r="E8" s="31"/>
      <c r="F8" s="32" t="s">
        <v>50</v>
      </c>
      <c r="G8" s="31" t="s">
        <v>69</v>
      </c>
      <c r="H8" s="33"/>
      <c r="I8" s="31" t="s">
        <v>50</v>
      </c>
      <c r="J8" s="31" t="s">
        <v>69</v>
      </c>
      <c r="K8" s="31"/>
      <c r="L8" s="32" t="s">
        <v>50</v>
      </c>
      <c r="M8" s="31" t="s">
        <v>69</v>
      </c>
      <c r="N8" s="33"/>
      <c r="O8" s="31" t="s">
        <v>50</v>
      </c>
      <c r="P8" s="34" t="s">
        <v>69</v>
      </c>
      <c r="Q8" s="33"/>
    </row>
    <row r="9" spans="3:17" ht="15" x14ac:dyDescent="0.25">
      <c r="C9" s="18"/>
      <c r="D9" s="35">
        <v>1.8</v>
      </c>
      <c r="E9" s="26"/>
      <c r="F9" s="36">
        <v>1.2</v>
      </c>
      <c r="G9" s="37">
        <v>1.5</v>
      </c>
      <c r="H9" s="38"/>
      <c r="I9" s="39">
        <v>5.9</v>
      </c>
      <c r="J9" s="39">
        <v>7.5</v>
      </c>
      <c r="K9" s="26"/>
      <c r="L9" s="36">
        <v>50</v>
      </c>
      <c r="M9" s="37">
        <v>57</v>
      </c>
      <c r="N9" s="38"/>
      <c r="O9" s="26">
        <v>10</v>
      </c>
      <c r="P9" s="26">
        <v>15</v>
      </c>
      <c r="Q9" s="38"/>
    </row>
    <row r="10" spans="3:17" ht="15" x14ac:dyDescent="0.25">
      <c r="C10" s="18"/>
      <c r="D10" s="35">
        <v>3.8</v>
      </c>
      <c r="E10" s="26"/>
      <c r="F10" s="36">
        <v>1.2</v>
      </c>
      <c r="G10" s="37">
        <v>1.5</v>
      </c>
      <c r="H10" s="38"/>
      <c r="I10" s="39">
        <v>5.5</v>
      </c>
      <c r="J10" s="39">
        <v>6.5</v>
      </c>
      <c r="K10" s="26"/>
      <c r="L10" s="36">
        <v>50</v>
      </c>
      <c r="M10" s="37">
        <v>57</v>
      </c>
      <c r="N10" s="38"/>
      <c r="O10" s="26">
        <v>10</v>
      </c>
      <c r="P10" s="26">
        <v>15</v>
      </c>
      <c r="Q10" s="38"/>
    </row>
    <row r="11" spans="3:17" ht="15" x14ac:dyDescent="0.25">
      <c r="C11" s="18"/>
      <c r="D11" s="35">
        <v>7.4</v>
      </c>
      <c r="E11" s="26"/>
      <c r="F11" s="36">
        <v>1.2</v>
      </c>
      <c r="G11" s="37">
        <v>1.5</v>
      </c>
      <c r="H11" s="38"/>
      <c r="I11" s="39">
        <v>5.0999999999999996</v>
      </c>
      <c r="J11" s="39">
        <v>6</v>
      </c>
      <c r="K11" s="26"/>
      <c r="L11" s="36">
        <v>50</v>
      </c>
      <c r="M11" s="37">
        <v>58</v>
      </c>
      <c r="N11" s="38"/>
      <c r="O11" s="26">
        <v>10</v>
      </c>
      <c r="P11" s="26">
        <v>15</v>
      </c>
      <c r="Q11" s="38"/>
    </row>
    <row r="12" spans="3:17" ht="15" x14ac:dyDescent="0.25">
      <c r="C12" s="18"/>
      <c r="D12" s="35">
        <v>13.2</v>
      </c>
      <c r="E12" s="26"/>
      <c r="F12" s="36">
        <v>1.2</v>
      </c>
      <c r="G12" s="37">
        <v>1.5</v>
      </c>
      <c r="H12" s="38"/>
      <c r="I12" s="39">
        <v>4.7</v>
      </c>
      <c r="J12" s="39">
        <v>5.8</v>
      </c>
      <c r="K12" s="26"/>
      <c r="L12" s="36">
        <v>50</v>
      </c>
      <c r="M12" s="37">
        <v>58</v>
      </c>
      <c r="N12" s="38"/>
      <c r="O12" s="26">
        <v>10</v>
      </c>
      <c r="P12" s="26">
        <v>15</v>
      </c>
      <c r="Q12" s="38"/>
    </row>
    <row r="13" spans="3:17" ht="15" x14ac:dyDescent="0.25">
      <c r="C13" s="18"/>
      <c r="D13" s="35">
        <v>22</v>
      </c>
      <c r="E13" s="26"/>
      <c r="F13" s="36">
        <v>1.2</v>
      </c>
      <c r="G13" s="37">
        <v>1.5</v>
      </c>
      <c r="H13" s="38"/>
      <c r="I13" s="39">
        <v>4.5</v>
      </c>
      <c r="J13" s="39">
        <v>5.5</v>
      </c>
      <c r="K13" s="26"/>
      <c r="L13" s="36">
        <v>54</v>
      </c>
      <c r="M13" s="37">
        <v>63</v>
      </c>
      <c r="N13" s="38"/>
      <c r="O13" s="26">
        <v>10</v>
      </c>
      <c r="P13" s="26">
        <v>15</v>
      </c>
      <c r="Q13" s="38"/>
    </row>
    <row r="14" spans="3:17" ht="15" x14ac:dyDescent="0.25">
      <c r="C14" s="18"/>
      <c r="D14" s="35">
        <v>34</v>
      </c>
      <c r="E14" s="26"/>
      <c r="F14" s="36">
        <v>1.2</v>
      </c>
      <c r="G14" s="37">
        <v>1.5</v>
      </c>
      <c r="H14" s="38"/>
      <c r="I14" s="39">
        <v>4.3</v>
      </c>
      <c r="J14" s="39">
        <v>5.3</v>
      </c>
      <c r="K14" s="26"/>
      <c r="L14" s="36">
        <v>58</v>
      </c>
      <c r="M14" s="37">
        <v>68</v>
      </c>
      <c r="N14" s="38"/>
      <c r="O14" s="26">
        <v>10</v>
      </c>
      <c r="P14" s="26">
        <v>15</v>
      </c>
      <c r="Q14" s="38"/>
    </row>
    <row r="15" spans="3:17" ht="15" x14ac:dyDescent="0.25">
      <c r="C15" s="18"/>
      <c r="D15" s="35">
        <v>50</v>
      </c>
      <c r="E15" s="26"/>
      <c r="F15" s="36">
        <v>1.2</v>
      </c>
      <c r="G15" s="37">
        <v>1.5</v>
      </c>
      <c r="H15" s="38"/>
      <c r="I15" s="39">
        <v>4</v>
      </c>
      <c r="J15" s="39">
        <v>5</v>
      </c>
      <c r="K15" s="26"/>
      <c r="L15" s="36">
        <v>62</v>
      </c>
      <c r="M15" s="37">
        <v>77</v>
      </c>
      <c r="N15" s="38"/>
      <c r="O15" s="26">
        <v>10</v>
      </c>
      <c r="P15" s="26">
        <v>15</v>
      </c>
      <c r="Q15" s="38"/>
    </row>
    <row r="16" spans="3:17" ht="15" x14ac:dyDescent="0.25">
      <c r="C16" s="18"/>
      <c r="D16" s="35">
        <v>70</v>
      </c>
      <c r="E16" s="26"/>
      <c r="F16" s="36">
        <v>1.2</v>
      </c>
      <c r="G16" s="37">
        <v>1.5</v>
      </c>
      <c r="H16" s="38"/>
      <c r="I16" s="39">
        <v>3.5</v>
      </c>
      <c r="J16" s="39">
        <v>4.8</v>
      </c>
      <c r="K16" s="26"/>
      <c r="L16" s="36">
        <v>66</v>
      </c>
      <c r="M16" s="37">
        <v>86</v>
      </c>
      <c r="N16" s="38"/>
      <c r="O16" s="26">
        <v>10</v>
      </c>
      <c r="P16" s="26">
        <v>15</v>
      </c>
      <c r="Q16" s="38"/>
    </row>
    <row r="17" spans="3:17" ht="15" x14ac:dyDescent="0.25">
      <c r="C17" s="18"/>
      <c r="D17" s="35">
        <v>95</v>
      </c>
      <c r="E17" s="26"/>
      <c r="F17" s="36">
        <v>1.2</v>
      </c>
      <c r="G17" s="37">
        <v>1.5</v>
      </c>
      <c r="H17" s="38"/>
      <c r="I17" s="39">
        <v>3.3</v>
      </c>
      <c r="J17" s="39">
        <v>4.4000000000000004</v>
      </c>
      <c r="K17" s="26"/>
      <c r="L17" s="36">
        <v>70</v>
      </c>
      <c r="M17" s="37">
        <v>89</v>
      </c>
      <c r="N17" s="38"/>
      <c r="O17" s="26">
        <v>10</v>
      </c>
      <c r="P17" s="26">
        <v>15</v>
      </c>
      <c r="Q17" s="38"/>
    </row>
    <row r="18" spans="3:17" ht="15" x14ac:dyDescent="0.25">
      <c r="C18" s="18"/>
      <c r="D18" s="35">
        <v>126</v>
      </c>
      <c r="E18" s="26"/>
      <c r="F18" s="36">
        <v>1.2</v>
      </c>
      <c r="G18" s="37">
        <v>1.5</v>
      </c>
      <c r="H18" s="38"/>
      <c r="I18" s="39">
        <v>3.1</v>
      </c>
      <c r="J18" s="39">
        <v>4</v>
      </c>
      <c r="K18" s="26"/>
      <c r="L18" s="36">
        <v>73</v>
      </c>
      <c r="M18" s="37">
        <v>91</v>
      </c>
      <c r="N18" s="38"/>
      <c r="O18" s="26">
        <v>10</v>
      </c>
      <c r="P18" s="26">
        <v>15</v>
      </c>
      <c r="Q18" s="38"/>
    </row>
    <row r="19" spans="3:17" ht="15.75" thickBot="1" x14ac:dyDescent="0.3">
      <c r="C19" s="30"/>
      <c r="D19" s="40">
        <v>163</v>
      </c>
      <c r="E19" s="31"/>
      <c r="F19" s="41">
        <v>1.2</v>
      </c>
      <c r="G19" s="42">
        <v>1.5</v>
      </c>
      <c r="H19" s="33"/>
      <c r="I19" s="43">
        <v>2.9</v>
      </c>
      <c r="J19" s="43">
        <v>3.7</v>
      </c>
      <c r="K19" s="31"/>
      <c r="L19" s="41">
        <v>77</v>
      </c>
      <c r="M19" s="42">
        <v>94</v>
      </c>
      <c r="N19" s="33"/>
      <c r="O19" s="31">
        <v>10</v>
      </c>
      <c r="P19" s="31">
        <v>15</v>
      </c>
      <c r="Q19" s="33"/>
    </row>
    <row r="20" spans="3:17" ht="15" x14ac:dyDescent="0.25">
      <c r="C20" s="18"/>
      <c r="D20" s="35"/>
      <c r="E20" s="26"/>
      <c r="F20" s="37"/>
      <c r="G20" s="37"/>
      <c r="H20" s="26"/>
      <c r="I20" s="39"/>
      <c r="J20" s="39"/>
      <c r="K20" s="26"/>
      <c r="L20" s="37"/>
      <c r="M20" s="37"/>
      <c r="N20" s="26"/>
      <c r="O20" s="26"/>
      <c r="P20" s="26"/>
      <c r="Q20" s="38"/>
    </row>
    <row r="21" spans="3:17" ht="15" x14ac:dyDescent="0.25">
      <c r="C21" s="18" t="s">
        <v>51</v>
      </c>
      <c r="D21" s="35"/>
      <c r="E21" s="26"/>
      <c r="F21" s="37"/>
      <c r="G21" s="37"/>
      <c r="H21" s="26"/>
      <c r="I21" s="39"/>
      <c r="J21" s="39"/>
      <c r="K21" s="26"/>
      <c r="L21" s="37"/>
      <c r="M21" s="37"/>
      <c r="N21" s="26"/>
      <c r="O21" s="26"/>
      <c r="P21" s="26"/>
      <c r="Q21" s="38"/>
    </row>
    <row r="22" spans="3:17" x14ac:dyDescent="0.2">
      <c r="C22" s="18" t="s">
        <v>70</v>
      </c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38"/>
    </row>
    <row r="23" spans="3:17" ht="13.5" thickBot="1" x14ac:dyDescent="0.25">
      <c r="C23" s="30" t="s">
        <v>26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5"/>
    </row>
    <row r="24" spans="3:17" ht="18.75" x14ac:dyDescent="0.3">
      <c r="C24" s="46" t="s">
        <v>71</v>
      </c>
      <c r="D24" s="47"/>
      <c r="E24" s="47"/>
      <c r="F24" s="47"/>
      <c r="G24" s="47"/>
      <c r="H24" s="47"/>
      <c r="I24" s="47"/>
      <c r="J24" s="48" t="s">
        <v>26</v>
      </c>
      <c r="K24" s="47"/>
      <c r="L24" s="47"/>
      <c r="M24" s="47"/>
      <c r="N24" s="47"/>
      <c r="O24" s="47"/>
      <c r="P24" s="47"/>
      <c r="Q24" s="49"/>
    </row>
    <row r="25" spans="3:17" ht="15" x14ac:dyDescent="0.25">
      <c r="C25" s="50"/>
      <c r="D25" s="51"/>
      <c r="E25" s="51"/>
      <c r="F25" s="52" t="s">
        <v>72</v>
      </c>
      <c r="G25" s="53"/>
      <c r="H25" s="54"/>
      <c r="I25" s="52" t="s">
        <v>72</v>
      </c>
      <c r="J25" s="53"/>
      <c r="K25" s="54"/>
      <c r="L25" s="52" t="s">
        <v>73</v>
      </c>
      <c r="M25" s="53"/>
      <c r="N25" s="54"/>
      <c r="O25" s="52" t="s">
        <v>73</v>
      </c>
      <c r="P25" s="53"/>
      <c r="Q25" s="55"/>
    </row>
    <row r="26" spans="3:17" ht="15" x14ac:dyDescent="0.25">
      <c r="C26" s="50"/>
      <c r="D26" s="51"/>
      <c r="E26" s="51"/>
      <c r="F26" s="53" t="s">
        <v>74</v>
      </c>
      <c r="G26" s="56" t="s">
        <v>69</v>
      </c>
      <c r="H26" s="57" t="s">
        <v>75</v>
      </c>
      <c r="I26" s="53" t="s">
        <v>74</v>
      </c>
      <c r="J26" s="56" t="s">
        <v>69</v>
      </c>
      <c r="K26" s="57" t="s">
        <v>75</v>
      </c>
      <c r="L26" s="53" t="s">
        <v>74</v>
      </c>
      <c r="M26" s="56" t="s">
        <v>69</v>
      </c>
      <c r="N26" s="57" t="s">
        <v>75</v>
      </c>
      <c r="O26" s="53" t="s">
        <v>74</v>
      </c>
      <c r="P26" s="56" t="s">
        <v>69</v>
      </c>
      <c r="Q26" s="58" t="s">
        <v>75</v>
      </c>
    </row>
    <row r="27" spans="3:17" ht="13.5" thickBot="1" x14ac:dyDescent="0.25">
      <c r="C27" s="59"/>
      <c r="D27" s="60"/>
      <c r="E27" s="61"/>
      <c r="F27" s="60" t="e">
        <f ca="1">FORECAST(I30,OFFSET(F9:F19,MATCH(I30,D9:D19,1)-1,0,2),OFFSET(D9:D19,MATCH(I30,D9:D19,1)-1,0,2))</f>
        <v>#N/A</v>
      </c>
      <c r="G27" s="60" t="e">
        <f ca="1">FORECAST(I30,OFFSET(G9:G19,MATCH(I30,D9:D19,1)-1,0,2),OFFSET(D9:D19,MATCH(I30,D9:D19,1)-1,0,2))</f>
        <v>#N/A</v>
      </c>
      <c r="H27" s="61"/>
      <c r="I27" s="60" t="e">
        <f ca="1">FORECAST(I30,OFFSET(I9:I19,MATCH(I30,D9:D19,1)-1,0,2),OFFSET(D9:D19,MATCH(I30,D9:D19,1)-1,0,2))</f>
        <v>#N/A</v>
      </c>
      <c r="J27" s="60" t="e">
        <f ca="1">FORECAST(I30,OFFSET(J9:J19,MATCH(I30,D9:D19,1)-1,0,2),OFFSET(D9:D19,MATCH(I30,D9:D19,1)-1,0,2))</f>
        <v>#N/A</v>
      </c>
      <c r="K27" s="61"/>
      <c r="L27" s="60" t="e">
        <f ca="1">FORECAST(I30,OFFSET(L9:L19,MATCH(I30,D9:D19,1)-1,0,2),OFFSET(D9:D19,MATCH(I30,D9:D19,1)-1,0,2))</f>
        <v>#N/A</v>
      </c>
      <c r="M27" s="60" t="e">
        <f ca="1">FORECAST(I30,OFFSET(M9:M19,MATCH(I30,D9:D19,1)-1,0,2),OFFSET(D9:D19,MATCH(I30,D9:D19,1)-1,0,2))</f>
        <v>#N/A</v>
      </c>
      <c r="N27" s="61"/>
      <c r="O27" s="60" t="e">
        <f ca="1">FORECAST(I30,OFFSET(O9:O19,MATCH(I30,D9:D19,1)-1,0,2),OFFSET(D9:D19,MATCH(I30,D9:D19,1)-1,0,2))</f>
        <v>#N/A</v>
      </c>
      <c r="P27" s="60" t="e">
        <f ca="1">FORECAST(I30,OFFSET(P9:P19,MATCH(I30,D9:D19,1)-1,0,2),OFFSET(D9:D19,MATCH(I30,D9:D19,1)-1,0,2))</f>
        <v>#N/A</v>
      </c>
      <c r="Q27" s="62"/>
    </row>
    <row r="28" spans="3:17" ht="18.75" x14ac:dyDescent="0.3">
      <c r="C28" s="63" t="s">
        <v>76</v>
      </c>
      <c r="D28" s="64"/>
      <c r="E28" s="51"/>
      <c r="F28" s="64"/>
      <c r="G28" s="64"/>
      <c r="H28" s="51"/>
      <c r="I28" s="64"/>
      <c r="J28" s="64"/>
      <c r="K28" s="51"/>
      <c r="L28" s="64"/>
      <c r="M28" s="64"/>
      <c r="N28" s="51"/>
      <c r="O28" s="64"/>
      <c r="P28" s="64"/>
      <c r="Q28" s="55"/>
    </row>
    <row r="29" spans="3:17" ht="18.75" x14ac:dyDescent="0.3">
      <c r="C29" s="50"/>
      <c r="D29" s="51"/>
      <c r="E29" s="51"/>
      <c r="F29" s="51"/>
      <c r="G29" s="51"/>
      <c r="H29" s="64"/>
      <c r="I29" s="53" t="s">
        <v>77</v>
      </c>
      <c r="J29" s="53" t="s">
        <v>78</v>
      </c>
      <c r="K29" s="65" t="s">
        <v>79</v>
      </c>
      <c r="L29" s="51"/>
      <c r="M29" s="51"/>
      <c r="N29" s="51"/>
      <c r="O29" s="51"/>
      <c r="P29" s="51"/>
      <c r="Q29" s="55"/>
    </row>
    <row r="30" spans="3:17" ht="18.75" x14ac:dyDescent="0.3">
      <c r="C30" s="50"/>
      <c r="D30" s="51"/>
      <c r="E30" s="51"/>
      <c r="F30" s="51"/>
      <c r="G30" s="51"/>
      <c r="H30" s="131" t="s">
        <v>80</v>
      </c>
      <c r="I30" s="64">
        <f>'EvalutionSheet 34Gy 1F'!F8</f>
        <v>0</v>
      </c>
      <c r="J30" s="64"/>
      <c r="K30" s="51" t="s">
        <v>26</v>
      </c>
      <c r="L30" s="51"/>
      <c r="M30" s="51"/>
      <c r="N30" s="51"/>
      <c r="O30" s="51"/>
      <c r="P30" s="51"/>
      <c r="Q30" s="55"/>
    </row>
    <row r="31" spans="3:17" ht="20.25" x14ac:dyDescent="0.35">
      <c r="C31" s="50"/>
      <c r="D31" s="51"/>
      <c r="E31" s="51"/>
      <c r="F31" s="51"/>
      <c r="G31" s="51"/>
      <c r="H31" s="67" t="s">
        <v>88</v>
      </c>
      <c r="I31" s="64" t="str">
        <f>'EvalutionSheet 34Gy 1F'!F21</f>
        <v>??</v>
      </c>
      <c r="J31" s="66" t="e">
        <f>I31/I30</f>
        <v>#VALUE!</v>
      </c>
      <c r="K31" s="51" t="e">
        <f ca="1">IF(J31&lt;=F27,F26,IF(J31&lt;=G27,G26,H26))</f>
        <v>#VALUE!</v>
      </c>
      <c r="L31" s="51"/>
      <c r="M31" s="51"/>
      <c r="N31" s="51"/>
      <c r="O31" s="51"/>
      <c r="P31" s="51"/>
      <c r="Q31" s="55"/>
    </row>
    <row r="32" spans="3:17" ht="20.25" x14ac:dyDescent="0.35">
      <c r="C32" s="50"/>
      <c r="D32" s="51"/>
      <c r="E32" s="51"/>
      <c r="F32" s="51"/>
      <c r="G32" s="51"/>
      <c r="H32" s="67" t="s">
        <v>89</v>
      </c>
      <c r="I32" s="64" t="str">
        <f>'EvalutionSheet 34Gy 1F'!F24</f>
        <v>??</v>
      </c>
      <c r="J32" s="66" t="e">
        <f>I32/I30</f>
        <v>#VALUE!</v>
      </c>
      <c r="K32" s="51" t="e">
        <f ca="1">IF(J32&lt;=I27,I26,IF(J32&lt;=J27,J26,K26))</f>
        <v>#VALUE!</v>
      </c>
      <c r="L32" s="51"/>
      <c r="M32" s="51"/>
      <c r="N32" s="51"/>
      <c r="O32" s="51"/>
      <c r="P32" s="51"/>
      <c r="Q32" s="55"/>
    </row>
    <row r="33" spans="3:17" ht="20.25" x14ac:dyDescent="0.35">
      <c r="C33" s="50"/>
      <c r="D33" s="51"/>
      <c r="E33" s="51"/>
      <c r="F33" s="51"/>
      <c r="G33" s="51"/>
      <c r="H33" s="67" t="s">
        <v>90</v>
      </c>
      <c r="I33" s="64" t="str">
        <f>'EvalutionSheet 34Gy 1F'!F23</f>
        <v>??</v>
      </c>
      <c r="J33" s="66" t="str">
        <f>I33</f>
        <v>??</v>
      </c>
      <c r="K33" s="51" t="str">
        <f>IF(I33="??","??",IF(J33&lt;=L27,L26,IF(J33&lt;=M27,M26,N26)))</f>
        <v>??</v>
      </c>
      <c r="L33" s="51"/>
      <c r="M33" s="51"/>
      <c r="N33" s="51"/>
      <c r="O33" s="51"/>
      <c r="P33" s="51"/>
      <c r="Q33" s="55"/>
    </row>
    <row r="34" spans="3:17" ht="20.25" x14ac:dyDescent="0.35">
      <c r="C34" s="50"/>
      <c r="D34" s="51"/>
      <c r="E34" s="51"/>
      <c r="F34" s="51"/>
      <c r="G34" s="51"/>
      <c r="H34" s="67" t="s">
        <v>91</v>
      </c>
      <c r="I34" s="66" t="str">
        <f>'EvalutionSheet 34Gy 1F'!F27</f>
        <v>??</v>
      </c>
      <c r="J34" s="64"/>
      <c r="K34" s="64" t="str">
        <f>IF(I34="??","??",IF(I34&lt;=0.1,O26,IF(I34&lt;=0.15,P26,Q26)))</f>
        <v>??</v>
      </c>
      <c r="L34" s="51"/>
      <c r="M34" s="51"/>
      <c r="N34" s="51"/>
      <c r="O34" s="51"/>
      <c r="P34" s="51"/>
      <c r="Q34" s="55"/>
    </row>
    <row r="35" spans="3:17" ht="13.5" thickBot="1" x14ac:dyDescent="0.25">
      <c r="C35" s="59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2"/>
    </row>
    <row r="43" spans="3:17" x14ac:dyDescent="0.2">
      <c r="C43" s="126" t="s">
        <v>111</v>
      </c>
    </row>
  </sheetData>
  <sheetProtection sheet="1" selectLockedCells="1" selectUnlockedCells="1"/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P16"/>
  <sheetViews>
    <sheetView workbookViewId="0">
      <selection activeCell="M47" sqref="M47"/>
    </sheetView>
  </sheetViews>
  <sheetFormatPr defaultRowHeight="12.75" x14ac:dyDescent="0.2"/>
  <cols>
    <col min="12" max="12" width="13.42578125" customWidth="1"/>
    <col min="13" max="13" width="14.28515625" customWidth="1"/>
    <col min="14" max="14" width="11" customWidth="1"/>
    <col min="15" max="15" width="12.28515625" customWidth="1"/>
    <col min="16" max="16" width="14.140625" customWidth="1"/>
  </cols>
  <sheetData>
    <row r="2" spans="8:16" ht="26.25" x14ac:dyDescent="0.4">
      <c r="H2" s="68" t="s">
        <v>52</v>
      </c>
      <c r="P2" t="s">
        <v>81</v>
      </c>
    </row>
    <row r="3" spans="8:16" x14ac:dyDescent="0.2">
      <c r="O3" t="s">
        <v>82</v>
      </c>
    </row>
    <row r="5" spans="8:16" ht="15.75" x14ac:dyDescent="0.3">
      <c r="O5" s="69" t="s">
        <v>83</v>
      </c>
    </row>
    <row r="6" spans="8:16" ht="15.75" x14ac:dyDescent="0.3">
      <c r="O6" s="69" t="s">
        <v>84</v>
      </c>
    </row>
    <row r="8" spans="8:16" x14ac:dyDescent="0.2">
      <c r="L8" s="1"/>
      <c r="O8" s="1"/>
      <c r="P8" s="1"/>
    </row>
    <row r="9" spans="8:16" x14ac:dyDescent="0.2">
      <c r="O9" s="1"/>
      <c r="P9" s="1"/>
    </row>
    <row r="10" spans="8:16" x14ac:dyDescent="0.2">
      <c r="K10" s="1"/>
      <c r="L10" s="1"/>
      <c r="O10" s="1"/>
      <c r="P10" s="1"/>
    </row>
    <row r="11" spans="8:16" x14ac:dyDescent="0.2">
      <c r="K11" s="1"/>
      <c r="L11" s="1"/>
      <c r="M11" s="1"/>
    </row>
    <row r="12" spans="8:16" x14ac:dyDescent="0.2">
      <c r="K12" s="1"/>
      <c r="L12" s="1"/>
      <c r="M12" s="1"/>
    </row>
    <row r="13" spans="8:16" x14ac:dyDescent="0.2">
      <c r="K13" s="1"/>
      <c r="L13" s="1"/>
      <c r="M13" s="1"/>
    </row>
    <row r="14" spans="8:16" x14ac:dyDescent="0.2">
      <c r="K14" s="1"/>
      <c r="L14" s="1"/>
      <c r="M14" s="1"/>
    </row>
    <row r="15" spans="8:16" x14ac:dyDescent="0.2">
      <c r="K15" s="1"/>
      <c r="L15" s="1"/>
      <c r="M15" s="1"/>
    </row>
    <row r="16" spans="8:16" x14ac:dyDescent="0.2">
      <c r="K16" s="1"/>
      <c r="L16" s="1"/>
      <c r="M16" s="1"/>
    </row>
  </sheetData>
  <sheetProtection sheet="1"/>
  <phoneticPr fontId="2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EvalutionSheet 48Gy4F or 60Gy5F</vt:lpstr>
      <vt:lpstr>Evalution Sheet 60Gy 8F</vt:lpstr>
      <vt:lpstr>EvalutionSheet 54Gy 3F</vt:lpstr>
      <vt:lpstr>EvalutionSheet 34Gy 1F</vt:lpstr>
      <vt:lpstr>Calculations 48Gy4F_ or_ 60Gy5F</vt:lpstr>
      <vt:lpstr>Calculations 60Gy_8F</vt:lpstr>
      <vt:lpstr>Calculations 54Gy 3F</vt:lpstr>
      <vt:lpstr>Calculations 34Gy 1F</vt:lpstr>
      <vt:lpstr>RTOG Conformality Table</vt:lpstr>
      <vt:lpstr>Format Conversion</vt:lpstr>
      <vt:lpstr>'Evalution Sheet 60Gy 8F'!Print_Area</vt:lpstr>
      <vt:lpstr>'EvalutionSheet 34Gy 1F'!Print_Area</vt:lpstr>
      <vt:lpstr>'EvalutionSheet 48Gy4F or 60Gy5F'!Print_Area</vt:lpstr>
      <vt:lpstr>'EvalutionSheet 54Gy 3F'!Print_Area</vt:lpstr>
    </vt:vector>
  </TitlesOfParts>
  <Company>Kingston General Hospital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cjoshi</dc:creator>
  <cp:lastModifiedBy>"gsalomon"</cp:lastModifiedBy>
  <cp:lastPrinted>2021-10-01T14:35:17Z</cp:lastPrinted>
  <dcterms:created xsi:type="dcterms:W3CDTF">2011-04-07T21:30:19Z</dcterms:created>
  <dcterms:modified xsi:type="dcterms:W3CDTF">2021-10-20T16:22:19Z</dcterms:modified>
</cp:coreProperties>
</file>