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kphysicspv1\e$\Gregs_Work\Plan Checking\PlanEvaluation\Data\"/>
    </mc:Choice>
  </mc:AlternateContent>
  <bookViews>
    <workbookView xWindow="11055" yWindow="-225" windowWidth="12900" windowHeight="13650" tabRatio="89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</sheets>
  <definedNames>
    <definedName name="B">#REF!</definedName>
    <definedName name="_xlnm.Print_Area" localSheetId="1">'Evalution Sheet 60Gy 8F'!$B$3:$K$45</definedName>
    <definedName name="_xlnm.Print_Area" localSheetId="3">'EvalutionSheet 34Gy 1F'!$B$3:$K$50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</workbook>
</file>

<file path=xl/calcChain.xml><?xml version="1.0" encoding="utf-8"?>
<calcChain xmlns="http://schemas.openxmlformats.org/spreadsheetml/2006/main">
  <c r="Q49" i="16" l="1"/>
  <c r="S49" i="16" s="1"/>
  <c r="Q48" i="16"/>
  <c r="S48" i="16" s="1"/>
  <c r="F50" i="16"/>
  <c r="Q47" i="16"/>
  <c r="S47" i="16" s="1"/>
  <c r="Q46" i="16"/>
  <c r="S46" i="16" s="1"/>
  <c r="Q45" i="16"/>
  <c r="S45" i="16" s="1"/>
  <c r="Q44" i="16"/>
  <c r="S44" i="16" s="1"/>
  <c r="Q43" i="16"/>
  <c r="S43" i="16" s="1"/>
  <c r="Q42" i="16"/>
  <c r="S42" i="16" s="1"/>
  <c r="Q41" i="16"/>
  <c r="S41" i="16" s="1"/>
  <c r="Q40" i="16"/>
  <c r="S40" i="16" s="1"/>
  <c r="Q39" i="16"/>
  <c r="Q38" i="16"/>
  <c r="S38" i="16" s="1"/>
  <c r="Q37" i="16"/>
  <c r="S37" i="16" s="1"/>
  <c r="Q36" i="16"/>
  <c r="S36" i="16" s="1"/>
  <c r="Q35" i="16"/>
  <c r="S35" i="16" s="1"/>
  <c r="Q34" i="16"/>
  <c r="S34" i="16" s="1"/>
  <c r="Q33" i="16"/>
  <c r="S33" i="16" s="1"/>
  <c r="Q32" i="16"/>
  <c r="S32" i="16" s="1"/>
  <c r="Q31" i="16"/>
  <c r="S31" i="16" s="1"/>
  <c r="Q30" i="16"/>
  <c r="S30" i="16" s="1"/>
  <c r="Q29" i="16"/>
  <c r="S29" i="16" s="1"/>
  <c r="Q28" i="16"/>
  <c r="S28" i="16" s="1"/>
  <c r="Q27" i="16"/>
  <c r="S27" i="16" s="1"/>
  <c r="Q26" i="16"/>
  <c r="S26" i="16" s="1"/>
  <c r="Q25" i="16"/>
  <c r="S25" i="16" s="1"/>
  <c r="Q24" i="16"/>
  <c r="S24" i="16" s="1"/>
  <c r="Q23" i="16"/>
  <c r="Q22" i="16"/>
  <c r="S22" i="16" s="1"/>
  <c r="Q21" i="16"/>
  <c r="S21" i="16" s="1"/>
  <c r="Q20" i="16"/>
  <c r="S20" i="16" s="1"/>
  <c r="Q19" i="16"/>
  <c r="S19" i="16" s="1"/>
  <c r="Q16" i="16"/>
  <c r="S16" i="16" s="1"/>
  <c r="Q18" i="16"/>
  <c r="S18" i="16" s="1"/>
  <c r="Q17" i="16"/>
  <c r="S17" i="16" s="1"/>
  <c r="Q14" i="16"/>
  <c r="S14" i="16" s="1"/>
  <c r="Q13" i="16"/>
  <c r="S13" i="16" s="1"/>
  <c r="Q12" i="16"/>
  <c r="S12" i="16" s="1"/>
  <c r="Q11" i="16"/>
  <c r="S11" i="16" s="1"/>
  <c r="Q10" i="16"/>
  <c r="S10" i="16" s="1"/>
  <c r="Q9" i="16"/>
  <c r="S9" i="16" s="1"/>
  <c r="Q8" i="16"/>
  <c r="S8" i="16" s="1"/>
  <c r="Q7" i="16"/>
  <c r="S7" i="16" s="1"/>
  <c r="Q6" i="16"/>
  <c r="S6" i="16" s="1"/>
  <c r="Q5" i="16"/>
  <c r="Q4" i="16"/>
  <c r="S4" i="16" s="1"/>
  <c r="S15" i="16"/>
  <c r="P8" i="16"/>
  <c r="P46" i="16"/>
  <c r="P21" i="16"/>
  <c r="P14" i="16"/>
  <c r="P41" i="16"/>
  <c r="P25" i="16"/>
  <c r="P4" i="16"/>
  <c r="P44" i="16"/>
  <c r="P28" i="16"/>
  <c r="P7" i="16"/>
  <c r="P22" i="16"/>
  <c r="P34" i="16"/>
  <c r="P20" i="16"/>
  <c r="P13" i="16"/>
  <c r="P36" i="16"/>
  <c r="P37" i="16"/>
  <c r="P33" i="16"/>
  <c r="P19" i="16"/>
  <c r="P12" i="16"/>
  <c r="P6" i="16"/>
  <c r="P39" i="16"/>
  <c r="P26" i="16"/>
  <c r="P23" i="16"/>
  <c r="P5" i="16"/>
  <c r="S39" i="16" l="1"/>
  <c r="S5" i="16"/>
  <c r="S23" i="16"/>
  <c r="P9" i="16"/>
  <c r="P18" i="16"/>
  <c r="P30" i="16"/>
  <c r="P16" i="16"/>
  <c r="P17" i="16"/>
  <c r="P45" i="16"/>
  <c r="P24" i="16"/>
  <c r="P10" i="16"/>
  <c r="P48" i="16"/>
  <c r="P47" i="16"/>
  <c r="P11" i="16"/>
  <c r="K18" i="16" l="1"/>
  <c r="H18" i="16"/>
  <c r="K17" i="16"/>
  <c r="K16" i="16"/>
  <c r="K18" i="18"/>
  <c r="H18" i="18"/>
  <c r="K17" i="18"/>
  <c r="K16" i="18"/>
  <c r="K18" i="26"/>
  <c r="H18" i="26"/>
  <c r="K17" i="26"/>
  <c r="K16" i="26"/>
  <c r="K18" i="27"/>
  <c r="H18" i="27"/>
  <c r="K41" i="18"/>
  <c r="K48" i="27"/>
  <c r="K47" i="27"/>
  <c r="F49" i="27"/>
  <c r="K49" i="27"/>
  <c r="F31" i="16"/>
  <c r="K31" i="16" s="1"/>
  <c r="F33" i="16"/>
  <c r="K33" i="16" s="1"/>
  <c r="F35" i="16"/>
  <c r="K35" i="16" s="1"/>
  <c r="F36" i="16"/>
  <c r="F39" i="16"/>
  <c r="K39" i="16" s="1"/>
  <c r="F42" i="16"/>
  <c r="K42" i="16" s="1"/>
  <c r="F44" i="16"/>
  <c r="K44" i="16" s="1"/>
  <c r="F46" i="16"/>
  <c r="K46" i="16" s="1"/>
  <c r="F47" i="16"/>
  <c r="K47" i="16" s="1"/>
  <c r="F52" i="16"/>
  <c r="K50" i="27"/>
  <c r="F51" i="27"/>
  <c r="K51" i="27"/>
  <c r="K41" i="16"/>
  <c r="F33" i="27"/>
  <c r="K33" i="27"/>
  <c r="F31" i="27"/>
  <c r="K31" i="27"/>
  <c r="K32" i="27"/>
  <c r="K30" i="27"/>
  <c r="K36" i="27"/>
  <c r="F35" i="27"/>
  <c r="K35" i="27"/>
  <c r="F44" i="27"/>
  <c r="K44" i="27"/>
  <c r="K40" i="27"/>
  <c r="F41" i="27"/>
  <c r="K41" i="27"/>
  <c r="F39" i="27"/>
  <c r="K39" i="27"/>
  <c r="I34" i="28"/>
  <c r="K34" i="28"/>
  <c r="I33" i="28"/>
  <c r="K33" i="28"/>
  <c r="K23" i="27"/>
  <c r="I32" i="28"/>
  <c r="I31" i="28"/>
  <c r="I30" i="28"/>
  <c r="J27" i="28"/>
  <c r="L27" i="28"/>
  <c r="F46" i="27"/>
  <c r="K46" i="27"/>
  <c r="K45" i="27"/>
  <c r="K43" i="27"/>
  <c r="K42" i="27"/>
  <c r="K38" i="27"/>
  <c r="K37" i="27"/>
  <c r="K34" i="27"/>
  <c r="K29" i="27"/>
  <c r="K28" i="27"/>
  <c r="G20" i="27"/>
  <c r="K20" i="27"/>
  <c r="K17" i="27"/>
  <c r="K16" i="27"/>
  <c r="K13" i="27"/>
  <c r="H13" i="27"/>
  <c r="K42" i="26"/>
  <c r="K50" i="16"/>
  <c r="K49" i="16"/>
  <c r="I34" i="25"/>
  <c r="K34" i="25"/>
  <c r="F40" i="26"/>
  <c r="K40" i="26"/>
  <c r="F39" i="26"/>
  <c r="K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/>
  <c r="F40" i="18"/>
  <c r="K40" i="18"/>
  <c r="F44" i="18"/>
  <c r="K44" i="18"/>
  <c r="F39" i="18"/>
  <c r="K39" i="18"/>
  <c r="F36" i="18"/>
  <c r="K36" i="18"/>
  <c r="F34" i="18"/>
  <c r="K34" i="18"/>
  <c r="F31" i="18"/>
  <c r="K31" i="18"/>
  <c r="K43" i="18"/>
  <c r="F29" i="18"/>
  <c r="K29" i="18"/>
  <c r="I34" i="24"/>
  <c r="K34" i="24" s="1"/>
  <c r="K27" i="16" s="1"/>
  <c r="I34" i="21"/>
  <c r="K34" i="21"/>
  <c r="K27" i="18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/>
  <c r="K23" i="26"/>
  <c r="I32" i="25"/>
  <c r="I31" i="25"/>
  <c r="I30" i="25"/>
  <c r="G27" i="25"/>
  <c r="I30" i="24"/>
  <c r="G27" i="24" s="1"/>
  <c r="I33" i="24"/>
  <c r="K33" i="24" s="1"/>
  <c r="K23" i="16" s="1"/>
  <c r="G20" i="26"/>
  <c r="K20" i="26"/>
  <c r="I31" i="24"/>
  <c r="K31" i="24" s="1"/>
  <c r="K21" i="16" s="1"/>
  <c r="I32" i="24"/>
  <c r="K32" i="24" s="1"/>
  <c r="K24" i="16" s="1"/>
  <c r="I30" i="21"/>
  <c r="F27" i="21"/>
  <c r="I31" i="21"/>
  <c r="K31" i="21"/>
  <c r="K21" i="18"/>
  <c r="I33" i="21"/>
  <c r="J33" i="21"/>
  <c r="I32" i="21"/>
  <c r="K32" i="21"/>
  <c r="K24" i="18"/>
  <c r="G20" i="18"/>
  <c r="K20" i="18"/>
  <c r="G21" i="18"/>
  <c r="G24" i="18"/>
  <c r="G20" i="16"/>
  <c r="K20" i="16"/>
  <c r="K37" i="16"/>
  <c r="K38" i="16"/>
  <c r="K40" i="16"/>
  <c r="K43" i="16"/>
  <c r="J31" i="28"/>
  <c r="J32" i="28"/>
  <c r="M27" i="28"/>
  <c r="O27" i="28"/>
  <c r="P27" i="28"/>
  <c r="F27" i="28"/>
  <c r="K31" i="28" s="1"/>
  <c r="K21" i="27" s="1"/>
  <c r="J33" i="28"/>
  <c r="G27" i="28"/>
  <c r="I27" i="28"/>
  <c r="K32" i="28" s="1"/>
  <c r="K24" i="27" s="1"/>
  <c r="O27" i="25"/>
  <c r="J32" i="25"/>
  <c r="G24" i="26"/>
  <c r="P27" i="25"/>
  <c r="L27" i="25"/>
  <c r="J23" i="27" s="1"/>
  <c r="J27" i="25"/>
  <c r="K27" i="26"/>
  <c r="K27" i="27"/>
  <c r="M27" i="25"/>
  <c r="J31" i="25"/>
  <c r="L27" i="21"/>
  <c r="J23" i="18" s="1"/>
  <c r="F27" i="25"/>
  <c r="K31" i="25" s="1"/>
  <c r="K21" i="26" s="1"/>
  <c r="I27" i="25"/>
  <c r="K32" i="25" s="1"/>
  <c r="K24" i="26" s="1"/>
  <c r="J33" i="25"/>
  <c r="J31" i="21"/>
  <c r="K33" i="21"/>
  <c r="K23" i="18"/>
  <c r="P27" i="21"/>
  <c r="O27" i="21"/>
  <c r="G27" i="21"/>
  <c r="M27" i="21"/>
  <c r="J27" i="21"/>
  <c r="I27" i="21"/>
  <c r="J24" i="18" s="1"/>
  <c r="J32" i="21"/>
  <c r="G24" i="27"/>
  <c r="G21" i="26"/>
  <c r="G21" i="27"/>
  <c r="P49" i="16"/>
  <c r="P35" i="16"/>
  <c r="P38" i="16"/>
  <c r="P40" i="16"/>
  <c r="P42" i="16"/>
  <c r="P27" i="16"/>
  <c r="P43" i="16"/>
  <c r="P32" i="16"/>
  <c r="P29" i="16"/>
  <c r="P31" i="16"/>
  <c r="J33" i="24" l="1"/>
  <c r="J31" i="24"/>
  <c r="G21" i="16" s="1"/>
  <c r="J32" i="24"/>
  <c r="G24" i="16" s="1"/>
  <c r="M27" i="24"/>
  <c r="J27" i="24"/>
  <c r="I27" i="24"/>
  <c r="J24" i="16" s="1"/>
  <c r="P27" i="24"/>
  <c r="F27" i="24"/>
  <c r="O27" i="24"/>
  <c r="L27" i="24"/>
  <c r="J23" i="16" s="1"/>
  <c r="K52" i="16"/>
  <c r="K36" i="16"/>
  <c r="J23" i="26"/>
  <c r="J24" i="26"/>
  <c r="J24" i="27"/>
</calcChain>
</file>

<file path=xl/sharedStrings.xml><?xml version="1.0" encoding="utf-8"?>
<sst xmlns="http://schemas.openxmlformats.org/spreadsheetml/2006/main" count="982" uniqueCount="269">
  <si>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</si>
  <si>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</si>
  <si>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</si>
  <si>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</si>
  <si>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</si>
  <si>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</si>
  <si>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</si>
  <si>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</si>
  <si>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</si>
  <si>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</si>
  <si>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</si>
  <si>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</si>
  <si>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</si>
  <si>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</si>
  <si>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</si>
  <si>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</si>
  <si>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</si>
  <si>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</si>
  <si>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</si>
  <si>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</si>
  <si>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</si>
  <si>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</si>
  <si>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</si>
  <si>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</si>
  <si>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</si>
  <si>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</si>
  <si>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</si>
  <si>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</si>
  <si>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</si>
  <si>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</si>
  <si>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</si>
  <si>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</si>
  <si>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</si>
  <si>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</si>
  <si>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</si>
  <si>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</si>
  <si>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</si>
  <si>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</si>
  <si>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</si>
  <si>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</si>
  <si>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</si>
  <si>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</si>
  <si>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</si>
  <si>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</si>
  <si>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</si>
  <si>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</si>
  <si>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</si>
  <si>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</si>
  <si>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</si>
  <si>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</si>
  <si>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</si>
  <si>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</si>
  <si>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</si>
  <si>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</si>
  <si>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</si>
  <si>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</si>
  <si>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</si>
  <si>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</si>
  <si>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</si>
  <si>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</si>
  <si>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</si>
  <si>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</si>
  <si>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</si>
  <si>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</si>
  <si>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</si>
  <si>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</si>
  <si>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</si>
  <si>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</si>
  <si>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</si>
  <si>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</si>
  <si>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</si>
  <si>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</si>
  <si>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</si>
  <si>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</si>
  <si>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</si>
  <si>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</si>
  <si>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</si>
  <si>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</si>
  <si>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</si>
  <si>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</si>
  <si>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</si>
  <si>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</si>
  <si>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</si>
  <si>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</si>
  <si>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</si>
  <si>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</si>
  <si>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</si>
  <si>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</si>
  <si>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</si>
  <si>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</si>
  <si>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</si>
  <si>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</si>
  <si>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</si>
  <si>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</si>
  <si>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</si>
  <si>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</si>
  <si>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</si>
  <si>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</si>
  <si>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</si>
  <si>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</si>
  <si>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</si>
  <si>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</si>
  <si>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</si>
  <si>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</si>
  <si>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</si>
  <si>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</si>
  <si>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</si>
  <si>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</si>
  <si>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</si>
  <si>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</si>
  <si>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</si>
  <si>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</si>
  <si>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</si>
  <si>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</si>
  <si>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</si>
  <si>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</si>
  <si>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</si>
  <si>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</si>
  <si>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</si>
  <si>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</si>
  <si>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</si>
  <si>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</si>
  <si>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</si>
  <si>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</si>
  <si>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</si>
  <si>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</si>
  <si>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</si>
  <si>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</si>
  <si>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</si>
  <si>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</si>
  <si>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</si>
  <si>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</si>
  <si>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</si>
  <si>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</si>
  <si>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</si>
  <si>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</si>
  <si>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</si>
  <si>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</si>
  <si>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</si>
  <si>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</si>
  <si>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</si>
  <si>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</si>
  <si>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</si>
  <si>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</si>
  <si>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</si>
  <si>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</si>
  <si>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</si>
  <si>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</si>
  <si>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</si>
  <si>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</si>
  <si>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</si>
  <si>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</si>
  <si>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</si>
  <si>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</si>
  <si>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</si>
  <si>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</si>
  <si>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</si>
  <si>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</si>
  <si>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</si>
  <si>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</si>
  <si>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</si>
  <si>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</si>
  <si>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</si>
  <si>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y</t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</si>
  <si>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</si>
  <si>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</si>
  <si>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</si>
  <si>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</si>
  <si>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</si>
  <si>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</si>
  <si>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</si>
  <si>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</si>
  <si>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</si>
  <si>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</si>
  <si>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</si>
  <si>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</si>
  <si>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</si>
  <si>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</si>
  <si>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</si>
  <si>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</si>
  <si>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</si>
  <si>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Name</t>
  </si>
  <si>
    <t>Address</t>
  </si>
  <si>
    <t>Format</t>
  </si>
  <si>
    <t>Units</t>
  </si>
  <si>
    <t>Patient</t>
  </si>
  <si>
    <t>General</t>
  </si>
  <si>
    <t>PatientID</t>
  </si>
  <si>
    <t>@</t>
  </si>
  <si>
    <t>Site</t>
  </si>
  <si>
    <t>PlanName</t>
  </si>
  <si>
    <t>Dose</t>
  </si>
  <si>
    <t>cGy</t>
  </si>
  <si>
    <t>Fractions</t>
  </si>
  <si>
    <t>GTV_Volume</t>
  </si>
  <si>
    <t>cc</t>
  </si>
  <si>
    <t>ITV_Volume</t>
  </si>
  <si>
    <t>PTV_Volume</t>
  </si>
  <si>
    <t>TotalLungVolume</t>
  </si>
  <si>
    <t>Normalization</t>
  </si>
  <si>
    <t>%</t>
  </si>
  <si>
    <t>PTV_V100</t>
  </si>
  <si>
    <t>PTV_V90</t>
  </si>
  <si>
    <t>HighDoseSpillage</t>
  </si>
  <si>
    <t>HighDoseSpillageVolume</t>
  </si>
  <si>
    <t>LowDoseSpillage</t>
  </si>
  <si>
    <t>LowDoseSpillageVolume</t>
  </si>
  <si>
    <t>LungV20</t>
  </si>
  <si>
    <t>LungV1160</t>
  </si>
  <si>
    <t>LungV1240</t>
  </si>
  <si>
    <t>AortaMaxDose</t>
  </si>
  <si>
    <t>AortaV40</t>
  </si>
  <si>
    <t>PulmonaryArteryMaxDose</t>
  </si>
  <si>
    <t>PulmonaryArteryV40</t>
  </si>
  <si>
    <t>SpineMaxDose</t>
  </si>
  <si>
    <t>SpineV2080</t>
  </si>
  <si>
    <t>SpineV1360</t>
  </si>
  <si>
    <t>SpinePRV5MaxDose</t>
  </si>
  <si>
    <t>IpsBrachPlexMaxDose</t>
  </si>
  <si>
    <t>IpsBrachPlexV2360</t>
  </si>
  <si>
    <t>SkinV30</t>
  </si>
  <si>
    <t>HeartMaxDose</t>
  </si>
  <si>
    <t>HeartV28</t>
  </si>
  <si>
    <t>EsoMaxDose</t>
  </si>
  <si>
    <t>EsoV1880</t>
  </si>
  <si>
    <t>ChestWallMaxDose</t>
  </si>
  <si>
    <t>ChestWallV40</t>
  </si>
  <si>
    <t>ChestWallV30</t>
  </si>
  <si>
    <t>ProxTrachMaxDose</t>
  </si>
  <si>
    <t>ProxTrachV1560</t>
  </si>
  <si>
    <t>ProxBronchMaxDose</t>
  </si>
  <si>
    <t>ProxBronchV1560</t>
  </si>
  <si>
    <t>StomachMaxDose</t>
  </si>
  <si>
    <t>StomachV21</t>
  </si>
  <si>
    <t>PTV - V100(%)</t>
  </si>
  <si>
    <t>PTV - V90 (%)</t>
  </si>
  <si>
    <t>Location V105% - PTV (cc) =</t>
  </si>
  <si>
    <t>Volume V100% (cc) =</t>
  </si>
  <si>
    <t>Location D³2cm (%) =</t>
  </si>
  <si>
    <t>Volume V50% (cc) =</t>
  </si>
  <si>
    <t>V20 (Total Lung) in %</t>
  </si>
  <si>
    <t xml:space="preserve">Lung-Basic Function </t>
  </si>
  <si>
    <t xml:space="preserve">Lung-Pneumonitis </t>
  </si>
  <si>
    <t>Aorta  (max point dose)</t>
  </si>
  <si>
    <t>Aorta  V40Gy=</t>
  </si>
  <si>
    <t>Artery-Pulmonary (max point dose)</t>
  </si>
  <si>
    <t>Artery-Pulmonary V40Gy=</t>
  </si>
  <si>
    <t>Spinal Canal (max point dose)</t>
  </si>
  <si>
    <t>Spinal Canal V20.8Gy=</t>
  </si>
  <si>
    <t>Spinal Canal V13.6Gy=</t>
  </si>
  <si>
    <t>Spinal Canal-PRV 5mm (max point dose)</t>
  </si>
  <si>
    <t>Ipsilat. Brach. Plex. (max point dose)</t>
  </si>
  <si>
    <t>Ipsilat. Brach. Plex. V23.6Gy=</t>
  </si>
  <si>
    <t>Skin V30Gy=</t>
  </si>
  <si>
    <t>Heart (max point dose)</t>
  </si>
  <si>
    <t>Heart V28Gy=</t>
  </si>
  <si>
    <t>Esophagus (max point dose)</t>
  </si>
  <si>
    <t>Esophagus V18.8Gy=</t>
  </si>
  <si>
    <t>*Chestwall (rib) (max point dose)</t>
  </si>
  <si>
    <t>*Chestwall (rib) V40Gy=</t>
  </si>
  <si>
    <t>*Chestwall (rib) V30Gy=</t>
  </si>
  <si>
    <t>Trachea (max point dose)</t>
  </si>
  <si>
    <t>Trachea V15.6Gy=</t>
  </si>
  <si>
    <t>Bronchus (max point dose)</t>
  </si>
  <si>
    <t>Bronchus V15.6Gy=</t>
  </si>
  <si>
    <t>Stomach and Intestines (max point dose)</t>
  </si>
  <si>
    <t>Stomach and Intestines V21Gy=</t>
  </si>
  <si>
    <t>PTV_Max</t>
  </si>
  <si>
    <t>PTV- Maximum Dose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</si>
</sst>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"/>
    <numFmt numFmtId="180" formatCode="0.0%"/>
  </numFmts>
  <fonts count="3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b/>
      <sz val="10"/>
      <color theme="8" tint="-0.249977111117893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77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77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80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80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0" fontId="5" fillId="2" borderId="16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10" fontId="5" fillId="0" borderId="18" xfId="1" applyNumberFormat="1" applyFont="1" applyBorder="1" applyAlignment="1" applyProtection="1">
      <alignment horizontal="center"/>
    </xf>
    <xf numFmtId="176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27" fillId="0" borderId="0" xfId="0" applyFont="1" applyBorder="1" applyProtection="1"/>
    <xf numFmtId="0" fontId="0" fillId="0" borderId="22" xfId="0" applyBorder="1" applyProtection="1"/>
    <xf numFmtId="0" fontId="3" fillId="2" borderId="2" xfId="0" applyFont="1" applyFill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0" fillId="2" borderId="25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180" fontId="5" fillId="2" borderId="1" xfId="0" applyNumberFormat="1" applyFont="1" applyFill="1" applyBorder="1" applyAlignment="1" applyProtection="1">
      <alignment horizontal="center"/>
      <protection locked="0"/>
    </xf>
    <xf numFmtId="180" fontId="1" fillId="0" borderId="2" xfId="1" applyNumberFormat="1" applyFill="1" applyBorder="1" applyAlignment="1" applyProtection="1">
      <alignment horizontal="center"/>
    </xf>
    <xf numFmtId="180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2" borderId="19" xfId="0" applyFont="1" applyFill="1" applyBorder="1" applyAlignment="1" applyProtection="1">
      <alignment horizontal="center"/>
      <protection locked="0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80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80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180" fontId="5" fillId="5" borderId="1" xfId="0" applyNumberFormat="1" applyFont="1" applyFill="1" applyBorder="1" applyAlignment="1" applyProtection="1">
      <alignment horizontal="center"/>
      <protection locked="0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80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77" fontId="0" fillId="5" borderId="1" xfId="0" applyNumberFormat="1" applyFill="1" applyBorder="1" applyAlignment="1" applyProtection="1">
      <alignment horizontal="center"/>
      <protection locked="0"/>
    </xf>
    <xf numFmtId="0" fontId="5" fillId="2" borderId="28" xfId="0" applyFont="1" applyFill="1" applyBorder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5" fillId="2" borderId="2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80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4" fillId="2" borderId="16" xfId="0" applyFont="1" applyFill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80" fontId="5" fillId="2" borderId="36" xfId="0" applyNumberFormat="1" applyFont="1" applyFill="1" applyBorder="1" applyAlignment="1" applyProtection="1">
      <alignment horizontal="center"/>
      <protection locked="0"/>
    </xf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2" borderId="36" xfId="0" applyNumberFormat="1" applyFont="1" applyFill="1" applyBorder="1" applyAlignment="1" applyProtection="1">
      <alignment horizontal="center"/>
      <protection locked="0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4" fillId="2" borderId="4" xfId="0" applyFont="1" applyFill="1" applyBorder="1" applyAlignment="1" applyProtection="1">
      <alignment horizontal="center"/>
      <protection locked="0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3" fillId="2" borderId="12" xfId="0" applyFont="1" applyFill="1" applyBorder="1" applyProtection="1">
      <protection locked="0"/>
    </xf>
    <xf numFmtId="0" fontId="3" fillId="2" borderId="12" xfId="0" applyFont="1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0" xfId="0" applyBorder="1" applyProtection="1"/>
    <xf numFmtId="0" fontId="0" fillId="0" borderId="41" xfId="0" applyBorder="1" applyProtection="1"/>
    <xf numFmtId="0" fontId="0" fillId="0" borderId="41" xfId="0" applyBorder="1" applyAlignment="1" applyProtection="1">
      <alignment horizontal="center"/>
    </xf>
    <xf numFmtId="0" fontId="0" fillId="0" borderId="42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3" xfId="0" applyFont="1" applyFill="1" applyBorder="1" applyAlignment="1" applyProtection="1">
      <alignment horizontal="center"/>
    </xf>
    <xf numFmtId="0" fontId="2" fillId="0" borderId="43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3" xfId="0" applyFont="1" applyBorder="1" applyAlignment="1" applyProtection="1">
      <alignment horizontal="right"/>
    </xf>
    <xf numFmtId="0" fontId="27" fillId="0" borderId="43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3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80" fontId="5" fillId="2" borderId="4" xfId="0" applyNumberFormat="1" applyFont="1" applyFill="1" applyBorder="1" applyAlignment="1" applyProtection="1">
      <alignment horizontal="center"/>
      <protection locked="0"/>
    </xf>
    <xf numFmtId="180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4" xfId="0" applyFont="1" applyBorder="1" applyAlignment="1" applyProtection="1">
      <alignment horizontal="center"/>
    </xf>
    <xf numFmtId="180" fontId="5" fillId="2" borderId="3" xfId="0" applyNumberFormat="1" applyFont="1" applyFill="1" applyBorder="1" applyAlignment="1" applyProtection="1">
      <alignment horizontal="center"/>
      <protection locked="0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77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1" xfId="0" applyFont="1" applyBorder="1" applyAlignment="1">
      <alignment horizontal="left"/>
    </xf>
    <xf numFmtId="0" fontId="3" fillId="0" borderId="41" xfId="0" applyFont="1" applyBorder="1" applyAlignment="1" applyProtection="1">
      <alignment horizontal="left"/>
    </xf>
    <xf numFmtId="180" fontId="5" fillId="2" borderId="2" xfId="0" applyNumberFormat="1" applyFont="1" applyFill="1" applyBorder="1" applyAlignment="1" applyProtection="1">
      <alignment horizontal="center"/>
      <protection locked="0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7" xfId="0" applyBorder="1" applyProtection="1"/>
    <xf numFmtId="180" fontId="5" fillId="2" borderId="25" xfId="0" applyNumberFormat="1" applyFont="1" applyFill="1" applyBorder="1" applyAlignment="1" applyProtection="1">
      <alignment horizontal="center"/>
      <protection locked="0"/>
    </xf>
    <xf numFmtId="180" fontId="5" fillId="5" borderId="47" xfId="0" applyNumberFormat="1" applyFont="1" applyFill="1" applyBorder="1" applyAlignment="1" applyProtection="1">
      <alignment horizontal="center"/>
    </xf>
    <xf numFmtId="0" fontId="7" fillId="0" borderId="47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5" fillId="0" borderId="29" xfId="0" applyFont="1" applyBorder="1" applyProtection="1"/>
    <xf numFmtId="0" fontId="2" fillId="0" borderId="19" xfId="0" applyFont="1" applyBorder="1" applyAlignment="1" applyProtection="1">
      <alignment horizontal="right"/>
    </xf>
    <xf numFmtId="0" fontId="2" fillId="0" borderId="10" xfId="0" applyFont="1" applyBorder="1" applyAlignment="1" applyProtection="1">
      <alignment horizontal="right"/>
    </xf>
    <xf numFmtId="0" fontId="5" fillId="0" borderId="3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5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6" xfId="0" applyFont="1" applyBorder="1" applyAlignment="1" applyProtection="1">
      <alignment horizontal="center"/>
    </xf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2" fillId="0" borderId="49" xfId="0" applyFont="1" applyBorder="1"/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10" fontId="0" fillId="0" borderId="0" xfId="0" applyNumberFormat="1"/>
    <xf numFmtId="0" fontId="0" fillId="0" borderId="0" xfId="0" applyFill="1" applyBorder="1"/>
    <xf numFmtId="0" fontId="0" fillId="8" borderId="0" xfId="0" applyFill="1"/>
  </cellXfs>
  <cellStyles count="2">
    <cellStyle name="Normal" xfId="0" builtinId="0"/>
    <cellStyle name="Percent" xfId="1" builtinId="5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50664"/>
        <c:axId val="613351448"/>
      </c:scatterChart>
      <c:valAx>
        <c:axId val="613350664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3351448"/>
        <c:crosses val="autoZero"/>
        <c:crossBetween val="midCat"/>
      </c:valAx>
      <c:valAx>
        <c:axId val="61335144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133506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54"/>
  <sheetViews>
    <sheetView tabSelected="1" topLeftCell="J22" zoomScaleNormal="100" workbookViewId="0">
      <selection activeCell="O50" sqref="O50:U50"/>
    </sheetView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hidden="1" customWidth="1"/>
    <col min="9" max="9" width="1" hidden="1" customWidth="1"/>
    <col min="10" max="10" width="14.42578125" style="1" customWidth="1"/>
    <col min="11" max="11" width="18.140625" style="1" customWidth="1"/>
    <col min="12" max="12" width="14" style="2" customWidth="1"/>
    <col min="15" max="15" width="38.85546875" style="356" bestFit="1" customWidth="1"/>
    <col min="16" max="16" width="13.5703125" style="351" bestFit="1" customWidth="1"/>
    <col min="18" max="18" width="24.7109375" bestFit="1" customWidth="1"/>
    <col min="20" max="20" width="9" customWidth="1"/>
  </cols>
  <sheetData>
    <row r="1" spans="1:21" ht="13.5" thickBot="1" x14ac:dyDescent="0.25">
      <c r="O1" s="350"/>
    </row>
    <row r="2" spans="1:21" ht="13.5" thickBot="1" x14ac:dyDescent="0.25">
      <c r="A2" s="274"/>
      <c r="B2" s="264"/>
      <c r="C2" s="264"/>
      <c r="D2" s="264"/>
      <c r="E2" s="323" t="s">
        <v>176</v>
      </c>
      <c r="F2" s="265"/>
      <c r="G2" s="265"/>
      <c r="H2" s="264"/>
      <c r="I2" s="264"/>
      <c r="J2" s="265"/>
      <c r="K2" s="266"/>
      <c r="O2" s="350"/>
    </row>
    <row r="3" spans="1:21" x14ac:dyDescent="0.2">
      <c r="A3" s="275"/>
      <c r="B3" s="109" t="s">
        <v>0</v>
      </c>
      <c r="C3" s="260"/>
      <c r="D3" s="81"/>
      <c r="E3" s="109" t="s">
        <v>117</v>
      </c>
      <c r="F3" s="82"/>
      <c r="G3" s="261"/>
      <c r="H3" s="81"/>
      <c r="I3" s="81"/>
      <c r="J3" s="109" t="s">
        <v>2</v>
      </c>
      <c r="K3" s="262"/>
      <c r="L3" s="85"/>
      <c r="M3" s="86"/>
      <c r="O3" s="350"/>
      <c r="R3" s="352" t="s">
        <v>181</v>
      </c>
      <c r="S3" s="352" t="s">
        <v>182</v>
      </c>
      <c r="T3" s="352" t="s">
        <v>183</v>
      </c>
      <c r="U3" s="352" t="s">
        <v>184</v>
      </c>
    </row>
    <row r="4" spans="1:21" ht="13.5" thickBot="1" x14ac:dyDescent="0.25">
      <c r="A4" s="275"/>
      <c r="B4" s="92" t="s">
        <v>1</v>
      </c>
      <c r="C4" s="20"/>
      <c r="D4" s="93"/>
      <c r="E4" s="92" t="s">
        <v>116</v>
      </c>
      <c r="F4" s="94"/>
      <c r="G4" s="144"/>
      <c r="H4" s="93"/>
      <c r="I4" s="93"/>
      <c r="J4" s="92" t="s">
        <v>3</v>
      </c>
      <c r="K4" s="18"/>
      <c r="L4" s="85"/>
      <c r="M4" s="86"/>
      <c r="O4" s="353" t="s">
        <v>0</v>
      </c>
      <c r="P4" s="354">
        <f ca="1">INDIRECT(Q4)</f>
        <v>0</v>
      </c>
      <c r="Q4" t="str">
        <f ca="1">CELL("address",C3)</f>
        <v>$C$3</v>
      </c>
      <c r="R4" t="s">
        <v>185</v>
      </c>
      <c r="S4" t="str">
        <f ca="1">SUBSTITUTE(Q4,"$","")</f>
        <v>C3</v>
      </c>
      <c r="T4" t="s">
        <v>186</v>
      </c>
    </row>
    <row r="5" spans="1:21" x14ac:dyDescent="0.2">
      <c r="A5" s="276"/>
      <c r="B5" s="109" t="s">
        <v>9</v>
      </c>
      <c r="C5" s="81"/>
      <c r="D5" s="81"/>
      <c r="E5" s="82"/>
      <c r="F5" s="82"/>
      <c r="G5" s="82"/>
      <c r="H5" s="81"/>
      <c r="I5" s="81"/>
      <c r="J5" s="82"/>
      <c r="K5" s="84"/>
      <c r="L5" s="85"/>
      <c r="M5" s="86"/>
      <c r="O5" s="353" t="s">
        <v>1</v>
      </c>
      <c r="P5" s="354">
        <f t="shared" ref="P5:P49" ca="1" si="0">INDIRECT(Q5)</f>
        <v>0</v>
      </c>
      <c r="Q5" t="str">
        <f ca="1">CELL("address",C4)</f>
        <v>$C$4</v>
      </c>
      <c r="R5" t="s">
        <v>187</v>
      </c>
      <c r="S5" t="str">
        <f t="shared" ref="S5:S49" ca="1" si="1">SUBSTITUTE(Q5,"$","")</f>
        <v>C4</v>
      </c>
      <c r="T5" t="s">
        <v>188</v>
      </c>
    </row>
    <row r="6" spans="1:21" x14ac:dyDescent="0.2">
      <c r="A6" s="275"/>
      <c r="B6" s="93" t="s">
        <v>4</v>
      </c>
      <c r="C6" s="93"/>
      <c r="D6" s="93"/>
      <c r="E6" s="94"/>
      <c r="F6" s="154"/>
      <c r="G6" s="94"/>
      <c r="H6" s="93"/>
      <c r="I6" s="93"/>
      <c r="J6" s="94"/>
      <c r="K6" s="97"/>
      <c r="L6" s="85"/>
      <c r="M6" s="251"/>
      <c r="N6" s="252"/>
      <c r="O6" s="353" t="s">
        <v>2</v>
      </c>
      <c r="P6" s="354">
        <f t="shared" ca="1" si="0"/>
        <v>0</v>
      </c>
      <c r="Q6" t="str">
        <f ca="1">CELL("address",K3)</f>
        <v>$K$3</v>
      </c>
      <c r="R6" t="s">
        <v>189</v>
      </c>
      <c r="S6" t="str">
        <f t="shared" ca="1" si="1"/>
        <v>K3</v>
      </c>
      <c r="T6" t="s">
        <v>188</v>
      </c>
    </row>
    <row r="7" spans="1:21" x14ac:dyDescent="0.2">
      <c r="A7" s="275"/>
      <c r="B7" s="93" t="s">
        <v>175</v>
      </c>
      <c r="C7" s="93"/>
      <c r="D7" s="93"/>
      <c r="E7" s="94"/>
      <c r="F7" s="154"/>
      <c r="G7" s="94"/>
      <c r="H7" s="93"/>
      <c r="I7" s="93"/>
      <c r="J7" s="94"/>
      <c r="K7" s="97"/>
      <c r="L7" s="85"/>
      <c r="M7" s="251"/>
      <c r="N7" s="252"/>
      <c r="O7" s="353" t="s">
        <v>3</v>
      </c>
      <c r="P7" s="354">
        <f t="shared" ca="1" si="0"/>
        <v>0</v>
      </c>
      <c r="Q7" t="str">
        <f ca="1">CELL("address",K4)</f>
        <v>$K$4</v>
      </c>
      <c r="R7" t="s">
        <v>190</v>
      </c>
      <c r="S7" t="str">
        <f t="shared" ca="1" si="1"/>
        <v>K4</v>
      </c>
      <c r="T7" t="s">
        <v>188</v>
      </c>
    </row>
    <row r="8" spans="1:21" x14ac:dyDescent="0.2">
      <c r="A8" s="275"/>
      <c r="B8" s="93" t="s">
        <v>6</v>
      </c>
      <c r="C8" s="93"/>
      <c r="D8" s="93"/>
      <c r="E8" s="94"/>
      <c r="F8" s="154"/>
      <c r="G8" s="94"/>
      <c r="H8" s="93"/>
      <c r="I8" s="93"/>
      <c r="J8" s="94"/>
      <c r="K8" s="97"/>
      <c r="L8" s="85"/>
      <c r="M8" s="251"/>
      <c r="N8" s="252"/>
      <c r="O8" s="353" t="s">
        <v>117</v>
      </c>
      <c r="P8" s="354">
        <f t="shared" ca="1" si="0"/>
        <v>0</v>
      </c>
      <c r="Q8" t="str">
        <f ca="1">CELL("address",G3)</f>
        <v>$G$3</v>
      </c>
      <c r="R8" t="s">
        <v>191</v>
      </c>
      <c r="S8" t="str">
        <f t="shared" ca="1" si="1"/>
        <v>G3</v>
      </c>
      <c r="T8" t="s">
        <v>186</v>
      </c>
      <c r="U8" t="s">
        <v>192</v>
      </c>
    </row>
    <row r="9" spans="1:21" ht="13.5" thickBot="1" x14ac:dyDescent="0.25">
      <c r="A9" s="275"/>
      <c r="B9" s="88" t="s">
        <v>7</v>
      </c>
      <c r="C9" s="88"/>
      <c r="D9" s="88"/>
      <c r="E9" s="89"/>
      <c r="F9" s="22"/>
      <c r="G9" s="89"/>
      <c r="H9" s="88"/>
      <c r="I9" s="88"/>
      <c r="J9" s="89"/>
      <c r="K9" s="90"/>
      <c r="L9" s="85"/>
      <c r="M9" s="86"/>
      <c r="O9" s="353" t="s">
        <v>116</v>
      </c>
      <c r="P9" s="354">
        <f t="shared" ca="1" si="0"/>
        <v>0</v>
      </c>
      <c r="Q9" t="str">
        <f ca="1">CELL("address",G4)</f>
        <v>$G$4</v>
      </c>
      <c r="R9" t="s">
        <v>193</v>
      </c>
      <c r="S9" t="str">
        <f t="shared" ca="1" si="1"/>
        <v>G4</v>
      </c>
      <c r="T9">
        <v>0</v>
      </c>
    </row>
    <row r="10" spans="1:21" x14ac:dyDescent="0.2">
      <c r="A10" s="274"/>
      <c r="B10" s="96" t="s">
        <v>8</v>
      </c>
      <c r="C10" s="81"/>
      <c r="E10" s="279"/>
      <c r="F10" s="174" t="s">
        <v>28</v>
      </c>
      <c r="G10" s="175"/>
      <c r="H10" s="109" t="s">
        <v>26</v>
      </c>
      <c r="I10" s="81"/>
      <c r="J10" s="176" t="s">
        <v>26</v>
      </c>
      <c r="K10" s="177" t="s">
        <v>26</v>
      </c>
      <c r="L10" s="85"/>
      <c r="M10" s="86"/>
      <c r="O10" s="353" t="s">
        <v>4</v>
      </c>
      <c r="P10" s="354">
        <f t="shared" ca="1" si="0"/>
        <v>0</v>
      </c>
      <c r="Q10" t="str">
        <f ca="1">CELL("address",F6)</f>
        <v>$F$6</v>
      </c>
      <c r="R10" t="s">
        <v>194</v>
      </c>
      <c r="S10" t="str">
        <f t="shared" ca="1" si="1"/>
        <v>F6</v>
      </c>
      <c r="T10">
        <v>0</v>
      </c>
      <c r="U10" t="s">
        <v>195</v>
      </c>
    </row>
    <row r="11" spans="1:21" x14ac:dyDescent="0.2">
      <c r="A11" s="276"/>
      <c r="B11" s="100"/>
      <c r="C11" s="100"/>
      <c r="D11" s="100"/>
      <c r="E11" s="100"/>
      <c r="F11" s="106" t="s">
        <v>124</v>
      </c>
      <c r="G11" s="102" t="s">
        <v>128</v>
      </c>
      <c r="H11" s="103"/>
      <c r="I11" s="100"/>
      <c r="J11" s="101" t="s">
        <v>18</v>
      </c>
      <c r="K11" s="104" t="s">
        <v>11</v>
      </c>
      <c r="L11" s="105" t="s">
        <v>30</v>
      </c>
      <c r="M11" s="86"/>
      <c r="O11" s="353" t="s">
        <v>5</v>
      </c>
      <c r="P11" s="354">
        <f t="shared" ca="1" si="0"/>
        <v>0</v>
      </c>
      <c r="Q11" t="str">
        <f ca="1">CELL("address",F7)</f>
        <v>$F$7</v>
      </c>
      <c r="R11" t="s">
        <v>196</v>
      </c>
      <c r="S11" t="str">
        <f t="shared" ca="1" si="1"/>
        <v>F7</v>
      </c>
      <c r="T11">
        <v>0</v>
      </c>
      <c r="U11" t="s">
        <v>195</v>
      </c>
    </row>
    <row r="12" spans="1:21" x14ac:dyDescent="0.2">
      <c r="A12" s="276"/>
      <c r="B12" s="93"/>
      <c r="C12" s="93"/>
      <c r="D12" s="93"/>
      <c r="E12" s="94"/>
      <c r="F12" s="106" t="s">
        <v>125</v>
      </c>
      <c r="G12" s="178"/>
      <c r="H12" s="179"/>
      <c r="I12" s="93"/>
      <c r="J12" s="106" t="s">
        <v>17</v>
      </c>
      <c r="K12" s="97"/>
      <c r="L12" s="85"/>
      <c r="M12" s="86"/>
      <c r="O12" s="353" t="s">
        <v>6</v>
      </c>
      <c r="P12" s="354">
        <f t="shared" ca="1" si="0"/>
        <v>0</v>
      </c>
      <c r="Q12" t="str">
        <f ca="1">CELL("address",F8)</f>
        <v>$F$8</v>
      </c>
      <c r="R12" t="s">
        <v>197</v>
      </c>
      <c r="S12" t="str">
        <f t="shared" ca="1" si="1"/>
        <v>F8</v>
      </c>
      <c r="T12">
        <v>0</v>
      </c>
      <c r="U12" t="s">
        <v>195</v>
      </c>
    </row>
    <row r="13" spans="1:21" x14ac:dyDescent="0.2">
      <c r="A13" s="276"/>
      <c r="B13" s="100" t="s">
        <v>31</v>
      </c>
      <c r="C13" s="100"/>
      <c r="D13" s="100"/>
      <c r="E13" s="107"/>
      <c r="F13" s="170" t="s">
        <v>46</v>
      </c>
      <c r="G13" s="94"/>
      <c r="H13" s="93"/>
      <c r="I13" s="100"/>
      <c r="J13" s="180" t="s">
        <v>112</v>
      </c>
      <c r="K13" s="11" t="str">
        <f>IF(F13="??","??",IF((AND((F13&gt;59.99%),(F13&lt;95.01%))),"Yes", "No"))</f>
        <v>??</v>
      </c>
      <c r="L13" s="121" t="s">
        <v>133</v>
      </c>
      <c r="M13" s="86"/>
      <c r="O13" s="353" t="s">
        <v>7</v>
      </c>
      <c r="P13" s="354">
        <f t="shared" ca="1" si="0"/>
        <v>0</v>
      </c>
      <c r="Q13" t="str">
        <f ca="1">CELL("address",F9)</f>
        <v>$F$9</v>
      </c>
      <c r="R13" t="s">
        <v>198</v>
      </c>
      <c r="S13" t="str">
        <f t="shared" ca="1" si="1"/>
        <v>F9</v>
      </c>
      <c r="T13">
        <v>0</v>
      </c>
      <c r="U13" t="s">
        <v>195</v>
      </c>
    </row>
    <row r="14" spans="1:21" ht="13.5" thickBot="1" x14ac:dyDescent="0.25">
      <c r="A14" s="275"/>
      <c r="B14" s="100"/>
      <c r="C14" s="100"/>
      <c r="D14" s="100"/>
      <c r="E14" s="107"/>
      <c r="F14" s="238"/>
      <c r="G14" s="181"/>
      <c r="H14" s="182"/>
      <c r="I14" s="100"/>
      <c r="J14" s="108"/>
      <c r="K14" s="11"/>
      <c r="L14" s="85"/>
      <c r="M14" s="86"/>
      <c r="O14" s="353" t="s">
        <v>31</v>
      </c>
      <c r="P14" s="354" t="str">
        <f t="shared" ca="1" si="0"/>
        <v>??</v>
      </c>
      <c r="Q14" t="str">
        <f ca="1">CELL("address",F13)</f>
        <v>$F$13</v>
      </c>
      <c r="R14" t="s">
        <v>199</v>
      </c>
      <c r="S14" t="str">
        <f t="shared" ca="1" si="1"/>
        <v>F13</v>
      </c>
      <c r="T14" s="355">
        <v>0</v>
      </c>
      <c r="U14" t="s">
        <v>200</v>
      </c>
    </row>
    <row r="15" spans="1:21" x14ac:dyDescent="0.2">
      <c r="A15" s="274"/>
      <c r="B15" s="315" t="s">
        <v>21</v>
      </c>
      <c r="C15" s="243"/>
      <c r="D15" s="243"/>
      <c r="E15" s="316"/>
      <c r="F15" s="317"/>
      <c r="G15" s="318"/>
      <c r="H15" s="319"/>
      <c r="I15" s="243"/>
      <c r="J15" s="318"/>
      <c r="K15" s="320"/>
      <c r="L15" s="85"/>
      <c r="M15" s="86"/>
      <c r="O15" s="353"/>
      <c r="P15" s="354"/>
      <c r="S15" t="str">
        <f t="shared" si="1"/>
        <v/>
      </c>
      <c r="T15" s="355"/>
    </row>
    <row r="16" spans="1:21" x14ac:dyDescent="0.2">
      <c r="A16" s="275"/>
      <c r="B16" s="162" t="s">
        <v>172</v>
      </c>
      <c r="C16" s="93"/>
      <c r="D16" s="93"/>
      <c r="E16" s="94"/>
      <c r="F16" s="312" t="s">
        <v>46</v>
      </c>
      <c r="G16" s="313"/>
      <c r="H16" s="129"/>
      <c r="I16" s="129"/>
      <c r="J16" s="314">
        <v>0.95</v>
      </c>
      <c r="K16" s="241" t="str">
        <f>IF(F16="??","??",(IF(F16&gt;=95%,"Yes","No")))</f>
        <v>??</v>
      </c>
      <c r="L16" s="85"/>
      <c r="M16" s="86"/>
      <c r="O16" s="353" t="s">
        <v>268</v>
      </c>
      <c r="P16" s="354" t="str">
        <f t="shared" ca="1" si="0"/>
        <v>??</v>
      </c>
      <c r="Q16" t="str">
        <f ca="1">CELL("address",F18)</f>
        <v>$F$18</v>
      </c>
      <c r="R16" s="357" t="s">
        <v>267</v>
      </c>
      <c r="S16" t="str">
        <f t="shared" ca="1" si="1"/>
        <v>F18</v>
      </c>
      <c r="T16" s="355">
        <v>0</v>
      </c>
      <c r="U16" t="s">
        <v>200</v>
      </c>
    </row>
    <row r="17" spans="1:21" x14ac:dyDescent="0.2">
      <c r="A17" s="275"/>
      <c r="B17" s="162" t="s">
        <v>173</v>
      </c>
      <c r="C17" s="93"/>
      <c r="D17" s="93"/>
      <c r="E17" s="94"/>
      <c r="F17" s="325" t="s">
        <v>46</v>
      </c>
      <c r="G17" s="335"/>
      <c r="H17" s="327"/>
      <c r="I17" s="111"/>
      <c r="J17" s="328">
        <v>0.99</v>
      </c>
      <c r="K17" s="163" t="str">
        <f>IF(F17="??","??",(IF(F17&gt;=99%,"Yes","No")))</f>
        <v>??</v>
      </c>
      <c r="L17" s="86" t="s">
        <v>22</v>
      </c>
      <c r="M17" s="86"/>
      <c r="O17" s="353" t="s">
        <v>234</v>
      </c>
      <c r="P17" s="354" t="str">
        <f t="shared" ca="1" si="0"/>
        <v>??</v>
      </c>
      <c r="Q17" t="str">
        <f ca="1">CELL("address",F16)</f>
        <v>$F$16</v>
      </c>
      <c r="R17" t="s">
        <v>201</v>
      </c>
      <c r="S17" t="str">
        <f t="shared" ca="1" si="1"/>
        <v>F16</v>
      </c>
      <c r="T17" s="355">
        <v>0</v>
      </c>
      <c r="U17" t="s">
        <v>200</v>
      </c>
    </row>
    <row r="18" spans="1:21" ht="13.5" thickBot="1" x14ac:dyDescent="0.25">
      <c r="A18" s="275"/>
      <c r="B18" s="259" t="s">
        <v>174</v>
      </c>
      <c r="C18" s="88"/>
      <c r="D18" s="88"/>
      <c r="E18" s="89"/>
      <c r="F18" s="307" t="s">
        <v>46</v>
      </c>
      <c r="G18" s="308"/>
      <c r="H18" s="309" t="b">
        <f>AND((G18&gt;59.99%),(G18&lt;95.01%))</f>
        <v>0</v>
      </c>
      <c r="I18" s="88"/>
      <c r="J18" s="310" t="s">
        <v>170</v>
      </c>
      <c r="K18" s="14" t="str">
        <f>IF(F18="??","??",IF((AND((F18&gt;=111%),(F18&lt;=140%))),"Yes", "No"))</f>
        <v>??</v>
      </c>
      <c r="L18" s="86" t="s">
        <v>23</v>
      </c>
      <c r="M18" s="86"/>
      <c r="O18" s="353" t="s">
        <v>235</v>
      </c>
      <c r="P18" s="354" t="str">
        <f t="shared" ca="1" si="0"/>
        <v>??</v>
      </c>
      <c r="Q18" t="str">
        <f ca="1">CELL("address",F17)</f>
        <v>$F$17</v>
      </c>
      <c r="R18" t="s">
        <v>202</v>
      </c>
      <c r="S18" t="str">
        <f t="shared" ca="1" si="1"/>
        <v>F17</v>
      </c>
      <c r="T18" s="355">
        <v>0</v>
      </c>
      <c r="U18" t="s">
        <v>200</v>
      </c>
    </row>
    <row r="19" spans="1:21" x14ac:dyDescent="0.2">
      <c r="A19" s="274"/>
      <c r="B19" s="92" t="s">
        <v>178</v>
      </c>
      <c r="C19" s="93"/>
      <c r="D19" s="93"/>
      <c r="E19" s="318"/>
      <c r="F19" s="318"/>
      <c r="G19" s="318"/>
      <c r="H19" s="243"/>
      <c r="I19" s="243"/>
      <c r="J19" s="303"/>
      <c r="K19" s="320"/>
      <c r="L19" s="85"/>
      <c r="M19" s="86"/>
      <c r="O19" s="353" t="s">
        <v>236</v>
      </c>
      <c r="P19" s="354" t="str">
        <f t="shared" ca="1" si="0"/>
        <v>??</v>
      </c>
      <c r="Q19" t="str">
        <f ca="1">CELL("address",F20)</f>
        <v>$F$20</v>
      </c>
      <c r="R19" t="s">
        <v>203</v>
      </c>
      <c r="S19" t="str">
        <f t="shared" ca="1" si="1"/>
        <v>F20</v>
      </c>
      <c r="T19">
        <v>0</v>
      </c>
      <c r="U19" t="s">
        <v>195</v>
      </c>
    </row>
    <row r="20" spans="1:21" ht="15.75" x14ac:dyDescent="0.3">
      <c r="A20" s="276" t="s">
        <v>26</v>
      </c>
      <c r="B20" s="117" t="s">
        <v>27</v>
      </c>
      <c r="C20" s="111" t="s">
        <v>87</v>
      </c>
      <c r="D20" s="111"/>
      <c r="E20" s="113"/>
      <c r="F20" s="166" t="s">
        <v>46</v>
      </c>
      <c r="G20" s="183" t="e">
        <f>F20/F8</f>
        <v>#VALUE!</v>
      </c>
      <c r="H20" s="111"/>
      <c r="I20" s="111"/>
      <c r="J20" s="16" t="s">
        <v>10</v>
      </c>
      <c r="K20" s="13" t="str">
        <f>IF(F20="??","??",IF(G20&lt;15%,"Yes","No"))</f>
        <v>??</v>
      </c>
      <c r="L20" s="121" t="s">
        <v>130</v>
      </c>
      <c r="M20" s="86"/>
      <c r="O20" s="353" t="s">
        <v>237</v>
      </c>
      <c r="P20" s="354" t="str">
        <f t="shared" ca="1" si="0"/>
        <v>??</v>
      </c>
      <c r="Q20" t="str">
        <f ca="1">CELL("address",F21)</f>
        <v>$F$21</v>
      </c>
      <c r="R20" t="s">
        <v>204</v>
      </c>
      <c r="S20" t="str">
        <f t="shared" ca="1" si="1"/>
        <v>F21</v>
      </c>
      <c r="T20">
        <v>0</v>
      </c>
      <c r="U20" t="s">
        <v>195</v>
      </c>
    </row>
    <row r="21" spans="1:21" ht="16.5" thickBot="1" x14ac:dyDescent="0.35">
      <c r="A21" s="276" t="s">
        <v>26</v>
      </c>
      <c r="B21" s="271" t="s">
        <v>29</v>
      </c>
      <c r="C21" s="88" t="s">
        <v>86</v>
      </c>
      <c r="D21" s="88"/>
      <c r="E21" s="89"/>
      <c r="F21" s="10" t="s">
        <v>46</v>
      </c>
      <c r="G21" s="152" t="e">
        <f>'Calculations 48Gy4F_ or_ 60Gy5F'!J31</f>
        <v>#VALUE!</v>
      </c>
      <c r="H21" s="115" t="s">
        <v>26</v>
      </c>
      <c r="I21" s="88"/>
      <c r="J21" s="116" t="s">
        <v>12</v>
      </c>
      <c r="K21" s="14" t="str">
        <f>'Calculations 48Gy4F_ or_ 60Gy5F'!K31</f>
        <v>??</v>
      </c>
      <c r="L21" s="85" t="s">
        <v>37</v>
      </c>
      <c r="M21" s="86"/>
      <c r="O21" s="353" t="s">
        <v>238</v>
      </c>
      <c r="P21" s="354" t="str">
        <f t="shared" ca="1" si="0"/>
        <v>??</v>
      </c>
      <c r="Q21" t="str">
        <f ca="1">CELL("address",F23)</f>
        <v>$F$23</v>
      </c>
      <c r="R21" t="s">
        <v>205</v>
      </c>
      <c r="S21" t="str">
        <f t="shared" ca="1" si="1"/>
        <v>F23</v>
      </c>
      <c r="T21">
        <v>0</v>
      </c>
      <c r="U21" t="s">
        <v>200</v>
      </c>
    </row>
    <row r="22" spans="1:21" x14ac:dyDescent="0.2">
      <c r="A22" s="274"/>
      <c r="B22" s="109" t="s">
        <v>179</v>
      </c>
      <c r="C22" s="81"/>
      <c r="D22" s="243"/>
      <c r="E22" s="318"/>
      <c r="F22" s="318"/>
      <c r="G22" s="318"/>
      <c r="H22" s="243"/>
      <c r="I22" s="243"/>
      <c r="J22" s="318"/>
      <c r="K22" s="320"/>
      <c r="L22" s="85"/>
      <c r="M22" s="86"/>
      <c r="O22" s="353" t="s">
        <v>239</v>
      </c>
      <c r="P22" s="354" t="str">
        <f t="shared" ca="1" si="0"/>
        <v>??</v>
      </c>
      <c r="Q22" t="str">
        <f ca="1">CELL("address",F24)</f>
        <v>$F$24</v>
      </c>
      <c r="R22" t="s">
        <v>206</v>
      </c>
      <c r="S22" t="str">
        <f t="shared" ca="1" si="1"/>
        <v>F24</v>
      </c>
      <c r="T22">
        <v>0</v>
      </c>
      <c r="U22" t="s">
        <v>195</v>
      </c>
    </row>
    <row r="23" spans="1:21" ht="15.75" x14ac:dyDescent="0.3">
      <c r="A23" s="276" t="s">
        <v>26</v>
      </c>
      <c r="B23" s="117" t="s">
        <v>27</v>
      </c>
      <c r="C23" s="184" t="s">
        <v>127</v>
      </c>
      <c r="D23" s="111"/>
      <c r="E23" s="113"/>
      <c r="F23" s="166" t="s">
        <v>46</v>
      </c>
      <c r="G23" s="185"/>
      <c r="H23" s="120"/>
      <c r="I23" s="111"/>
      <c r="J23" s="169" t="e">
        <f ca="1">'Calculations 48Gy4F_ or_ 60Gy5F'!L27/100</f>
        <v>#N/A</v>
      </c>
      <c r="K23" s="13" t="str">
        <f>'Calculations 48Gy4F_ or_ 60Gy5F'!K33</f>
        <v>??</v>
      </c>
      <c r="L23" s="121" t="s">
        <v>131</v>
      </c>
      <c r="M23" s="122"/>
      <c r="N23" s="3"/>
      <c r="O23" s="353" t="s">
        <v>240</v>
      </c>
      <c r="P23" s="354" t="str">
        <f t="shared" ca="1" si="0"/>
        <v>??</v>
      </c>
      <c r="Q23" t="str">
        <f ca="1">CELL("address",F27)</f>
        <v>$F$27</v>
      </c>
      <c r="R23" t="s">
        <v>207</v>
      </c>
      <c r="S23" t="str">
        <f t="shared" ca="1" si="1"/>
        <v>F27</v>
      </c>
      <c r="T23" s="355">
        <v>0</v>
      </c>
      <c r="U23" t="s">
        <v>200</v>
      </c>
    </row>
    <row r="24" spans="1:21" ht="16.5" thickBot="1" x14ac:dyDescent="0.35">
      <c r="A24" s="276" t="s">
        <v>26</v>
      </c>
      <c r="B24" s="271" t="s">
        <v>29</v>
      </c>
      <c r="C24" s="186" t="s">
        <v>126</v>
      </c>
      <c r="D24" s="88"/>
      <c r="E24" s="187"/>
      <c r="F24" s="167" t="s">
        <v>46</v>
      </c>
      <c r="G24" s="123" t="e">
        <f>'Calculations 48Gy4F_ or_ 60Gy5F'!J32</f>
        <v>#VALUE!</v>
      </c>
      <c r="H24" s="124" t="s">
        <v>26</v>
      </c>
      <c r="I24" s="88"/>
      <c r="J24" s="143" t="e">
        <f ca="1">'Calculations 48Gy4F_ or_ 60Gy5F'!I27</f>
        <v>#N/A</v>
      </c>
      <c r="K24" s="80" t="str">
        <f>'Calculations 48Gy4F_ or_ 60Gy5F'!K32</f>
        <v>??</v>
      </c>
      <c r="L24" s="121" t="s">
        <v>132</v>
      </c>
      <c r="M24" s="86"/>
      <c r="O24" s="353" t="s">
        <v>241</v>
      </c>
      <c r="P24" s="354" t="str">
        <f t="shared" ca="1" si="0"/>
        <v>??</v>
      </c>
      <c r="Q24" t="str">
        <f ca="1">CELL("address",F28)</f>
        <v>$F$28</v>
      </c>
      <c r="R24" t="s">
        <v>208</v>
      </c>
      <c r="S24" t="str">
        <f t="shared" ca="1" si="1"/>
        <v>F28</v>
      </c>
      <c r="T24">
        <v>0</v>
      </c>
      <c r="U24" t="s">
        <v>195</v>
      </c>
    </row>
    <row r="25" spans="1:21" x14ac:dyDescent="0.2">
      <c r="A25" s="274"/>
      <c r="B25" s="98" t="s">
        <v>171</v>
      </c>
      <c r="C25" s="93"/>
      <c r="D25" s="93"/>
      <c r="E25" s="94"/>
      <c r="F25" s="106" t="s">
        <v>122</v>
      </c>
      <c r="G25" s="99" t="s">
        <v>128</v>
      </c>
      <c r="H25" s="125"/>
      <c r="I25" s="125"/>
      <c r="J25" s="126" t="s">
        <v>24</v>
      </c>
      <c r="K25" s="127"/>
      <c r="L25" s="85"/>
      <c r="M25" s="86"/>
      <c r="O25" s="353" t="s">
        <v>242</v>
      </c>
      <c r="P25" s="354" t="str">
        <f t="shared" ca="1" si="0"/>
        <v>??</v>
      </c>
      <c r="Q25" t="str">
        <f ca="1">CELL("address",F29)</f>
        <v>$F$29</v>
      </c>
      <c r="R25" t="s">
        <v>209</v>
      </c>
      <c r="S25" t="str">
        <f t="shared" ca="1" si="1"/>
        <v>F29</v>
      </c>
      <c r="T25">
        <v>0</v>
      </c>
      <c r="U25" t="s">
        <v>195</v>
      </c>
    </row>
    <row r="26" spans="1:21" ht="13.5" thickBot="1" x14ac:dyDescent="0.25">
      <c r="A26" s="276" t="s">
        <v>26</v>
      </c>
      <c r="B26" s="93"/>
      <c r="C26" s="93"/>
      <c r="D26" s="93"/>
      <c r="E26" s="94"/>
      <c r="F26" s="106" t="s">
        <v>123</v>
      </c>
      <c r="G26" s="99"/>
      <c r="H26" s="125"/>
      <c r="I26" s="125"/>
      <c r="J26" s="171" t="s">
        <v>121</v>
      </c>
      <c r="K26" s="127"/>
      <c r="L26" s="85"/>
      <c r="M26" s="86"/>
      <c r="O26" s="353" t="s">
        <v>243</v>
      </c>
      <c r="P26" s="354" t="str">
        <f t="shared" ca="1" si="0"/>
        <v>??</v>
      </c>
      <c r="Q26" t="str">
        <f ca="1">CELL("address",F30)</f>
        <v>$F$30</v>
      </c>
      <c r="R26" t="s">
        <v>210</v>
      </c>
      <c r="S26" t="str">
        <f t="shared" ca="1" si="1"/>
        <v>F30</v>
      </c>
      <c r="T26">
        <v>0</v>
      </c>
      <c r="U26" t="s">
        <v>192</v>
      </c>
    </row>
    <row r="27" spans="1:21" ht="14.25" x14ac:dyDescent="0.25">
      <c r="A27" s="275"/>
      <c r="B27" s="272" t="s">
        <v>141</v>
      </c>
      <c r="C27" s="81"/>
      <c r="D27" s="342" t="s">
        <v>118</v>
      </c>
      <c r="E27" s="343"/>
      <c r="F27" s="244" t="s">
        <v>46</v>
      </c>
      <c r="G27" s="245" t="s">
        <v>26</v>
      </c>
      <c r="H27" s="243"/>
      <c r="I27" s="243"/>
      <c r="J27" s="246" t="s">
        <v>47</v>
      </c>
      <c r="K27" s="248" t="str">
        <f>'Calculations 48Gy4F_ or_ 60Gy5F'!K34</f>
        <v>??</v>
      </c>
      <c r="L27" s="188" t="s">
        <v>36</v>
      </c>
      <c r="M27" s="86"/>
      <c r="O27" s="353" t="s">
        <v>244</v>
      </c>
      <c r="P27" s="354" t="str">
        <f t="shared" ca="1" si="0"/>
        <v>??</v>
      </c>
      <c r="Q27" t="str">
        <f ca="1">CELL("address",F31)</f>
        <v>$F$31</v>
      </c>
      <c r="R27" t="s">
        <v>211</v>
      </c>
      <c r="S27" t="str">
        <f t="shared" ca="1" si="1"/>
        <v>F31</v>
      </c>
      <c r="T27">
        <v>0</v>
      </c>
      <c r="U27" t="s">
        <v>195</v>
      </c>
    </row>
    <row r="28" spans="1:21" ht="14.25" x14ac:dyDescent="0.25">
      <c r="A28" s="275"/>
      <c r="B28" s="93" t="s">
        <v>44</v>
      </c>
      <c r="C28" s="93"/>
      <c r="D28" s="340" t="s">
        <v>120</v>
      </c>
      <c r="E28" s="341"/>
      <c r="F28" s="166" t="s">
        <v>46</v>
      </c>
      <c r="G28" s="189"/>
      <c r="H28" s="111"/>
      <c r="I28" s="111"/>
      <c r="J28" s="190">
        <v>1500</v>
      </c>
      <c r="K28" s="163" t="str">
        <f>IF(F28="??","??",IF(F28&lt;=J28,"Yes","No"))</f>
        <v>??</v>
      </c>
      <c r="L28" s="191" t="s">
        <v>134</v>
      </c>
      <c r="M28" s="192"/>
      <c r="N28" s="4"/>
      <c r="O28" s="353" t="s">
        <v>245</v>
      </c>
      <c r="P28" s="354" t="str">
        <f t="shared" ca="1" si="0"/>
        <v>??</v>
      </c>
      <c r="Q28" t="str">
        <f ca="1">CELL("address",F32)</f>
        <v>$F$32</v>
      </c>
      <c r="R28" t="s">
        <v>212</v>
      </c>
      <c r="S28" t="str">
        <f t="shared" ca="1" si="1"/>
        <v>F32</v>
      </c>
      <c r="T28">
        <v>0</v>
      </c>
      <c r="U28" t="s">
        <v>192</v>
      </c>
    </row>
    <row r="29" spans="1:21" ht="14.25" x14ac:dyDescent="0.25">
      <c r="A29" s="275"/>
      <c r="B29" s="125" t="s">
        <v>45</v>
      </c>
      <c r="C29" s="93"/>
      <c r="D29" s="344" t="s">
        <v>119</v>
      </c>
      <c r="E29" s="345"/>
      <c r="F29" s="149" t="s">
        <v>46</v>
      </c>
      <c r="G29" s="189"/>
      <c r="H29" s="93"/>
      <c r="I29" s="93"/>
      <c r="J29" s="126">
        <v>1000</v>
      </c>
      <c r="K29" s="163" t="str">
        <f>IF(F29="??","??",IF(F29&lt;=J29,"Yes","No"))</f>
        <v>??</v>
      </c>
      <c r="L29" s="191" t="s">
        <v>152</v>
      </c>
      <c r="M29" s="192"/>
      <c r="N29" s="4"/>
      <c r="O29" s="353" t="s">
        <v>246</v>
      </c>
      <c r="P29" s="354" t="str">
        <f t="shared" ca="1" si="0"/>
        <v>??</v>
      </c>
      <c r="Q29" t="str">
        <f ca="1">CELL("address",F33)</f>
        <v>$F$33</v>
      </c>
      <c r="R29" t="s">
        <v>213</v>
      </c>
      <c r="S29" t="str">
        <f t="shared" ca="1" si="1"/>
        <v>F33</v>
      </c>
      <c r="T29">
        <v>0</v>
      </c>
      <c r="U29" t="s">
        <v>195</v>
      </c>
    </row>
    <row r="30" spans="1:21" x14ac:dyDescent="0.2">
      <c r="A30" s="275"/>
      <c r="B30" s="273" t="s">
        <v>98</v>
      </c>
      <c r="C30" s="100" t="s">
        <v>26</v>
      </c>
      <c r="D30" s="100"/>
      <c r="E30" s="290" t="s">
        <v>40</v>
      </c>
      <c r="F30" s="5" t="s">
        <v>46</v>
      </c>
      <c r="G30" s="107"/>
      <c r="H30" s="100"/>
      <c r="I30" s="100"/>
      <c r="J30" s="101">
        <v>4800</v>
      </c>
      <c r="K30" s="13" t="str">
        <f>IF(F30="??","??",IF(F30&lt;=4800,"Yes","No"))</f>
        <v>??</v>
      </c>
      <c r="L30" s="121" t="s">
        <v>114</v>
      </c>
      <c r="M30" s="86"/>
      <c r="O30" s="353" t="s">
        <v>247</v>
      </c>
      <c r="P30" s="354" t="str">
        <f t="shared" ca="1" si="0"/>
        <v>??</v>
      </c>
      <c r="Q30" t="str">
        <f ca="1">CELL("address",F34)</f>
        <v>$F$34</v>
      </c>
      <c r="R30" t="s">
        <v>214</v>
      </c>
      <c r="S30" t="str">
        <f t="shared" ca="1" si="1"/>
        <v>F34</v>
      </c>
      <c r="T30">
        <v>0</v>
      </c>
      <c r="U30" t="s">
        <v>192</v>
      </c>
    </row>
    <row r="31" spans="1:21" ht="14.25" x14ac:dyDescent="0.2">
      <c r="A31" s="275"/>
      <c r="B31" s="194"/>
      <c r="C31" s="194"/>
      <c r="D31" s="129"/>
      <c r="E31" s="195" t="s">
        <v>102</v>
      </c>
      <c r="F31" s="6" t="str">
        <f>IF(F30&lt;=4000,"OK","??")</f>
        <v>??</v>
      </c>
      <c r="G31" s="113" t="s">
        <v>26</v>
      </c>
      <c r="H31" s="111"/>
      <c r="I31" s="111"/>
      <c r="J31" s="196">
        <v>10</v>
      </c>
      <c r="K31" s="13" t="str">
        <f>IF(F31="??","??",IF(F31&lt;=10,"Yes",IF(F31="OK","Yes","No")))</f>
        <v>??</v>
      </c>
      <c r="L31" s="85" t="s">
        <v>114</v>
      </c>
      <c r="M31" s="86"/>
      <c r="N31" s="148" t="s">
        <v>26</v>
      </c>
      <c r="O31" s="353" t="s">
        <v>248</v>
      </c>
      <c r="P31" s="354" t="str">
        <f t="shared" ca="1" si="0"/>
        <v>??</v>
      </c>
      <c r="Q31" t="str">
        <f ca="1">CELL("address",F35)</f>
        <v>$F$35</v>
      </c>
      <c r="R31" t="s">
        <v>215</v>
      </c>
      <c r="S31" t="str">
        <f t="shared" ca="1" si="1"/>
        <v>F35</v>
      </c>
      <c r="T31">
        <v>0</v>
      </c>
      <c r="U31" t="s">
        <v>195</v>
      </c>
    </row>
    <row r="32" spans="1:21" x14ac:dyDescent="0.2">
      <c r="A32" s="275"/>
      <c r="B32" s="125" t="s">
        <v>164</v>
      </c>
      <c r="C32" s="93"/>
      <c r="D32" s="291"/>
      <c r="E32" s="290" t="s">
        <v>40</v>
      </c>
      <c r="F32" s="6" t="s">
        <v>46</v>
      </c>
      <c r="G32" s="158" t="s">
        <v>26</v>
      </c>
      <c r="H32" s="111"/>
      <c r="I32" s="111"/>
      <c r="J32" s="196">
        <v>4800</v>
      </c>
      <c r="K32" s="13" t="str">
        <f>IF(F32="??","??",IF(F32&lt;=4800,"Yes","No"))</f>
        <v>??</v>
      </c>
      <c r="L32" s="85" t="s">
        <v>114</v>
      </c>
      <c r="M32" s="86"/>
      <c r="O32" s="353" t="s">
        <v>249</v>
      </c>
      <c r="P32" s="354" t="str">
        <f t="shared" ca="1" si="0"/>
        <v>??</v>
      </c>
      <c r="Q32" t="str">
        <f ca="1">CELL("address",F36)</f>
        <v>$F$36</v>
      </c>
      <c r="R32" t="s">
        <v>216</v>
      </c>
      <c r="S32" t="str">
        <f t="shared" ca="1" si="1"/>
        <v>F36</v>
      </c>
      <c r="T32">
        <v>0</v>
      </c>
      <c r="U32" t="s">
        <v>195</v>
      </c>
    </row>
    <row r="33" spans="1:21" ht="14.25" x14ac:dyDescent="0.2">
      <c r="A33" s="275"/>
      <c r="B33" s="194"/>
      <c r="C33" s="194"/>
      <c r="D33" s="129"/>
      <c r="E33" s="195" t="s">
        <v>102</v>
      </c>
      <c r="F33" s="6" t="str">
        <f>IF(F32&lt;=4000,"OK","??")</f>
        <v>??</v>
      </c>
      <c r="G33" s="113"/>
      <c r="H33" s="111"/>
      <c r="I33" s="111"/>
      <c r="J33" s="196">
        <v>10</v>
      </c>
      <c r="K33" s="13" t="str">
        <f>IF(F33="??","??",IF(F33&lt;=10,"Yes",IF(F33="OK","Yes","No")))</f>
        <v>??</v>
      </c>
      <c r="L33" s="121" t="s">
        <v>114</v>
      </c>
      <c r="M33" s="86"/>
      <c r="O33" s="353" t="s">
        <v>250</v>
      </c>
      <c r="P33" s="354" t="str">
        <f t="shared" ca="1" si="0"/>
        <v>??</v>
      </c>
      <c r="Q33" t="str">
        <f ca="1">CELL("address",F37)</f>
        <v>$F$37</v>
      </c>
      <c r="R33" t="s">
        <v>217</v>
      </c>
      <c r="S33" t="str">
        <f t="shared" ca="1" si="1"/>
        <v>F37</v>
      </c>
      <c r="T33">
        <v>0</v>
      </c>
      <c r="U33" t="s">
        <v>192</v>
      </c>
    </row>
    <row r="34" spans="1:21" x14ac:dyDescent="0.2">
      <c r="A34" s="275"/>
      <c r="B34" s="93" t="s">
        <v>15</v>
      </c>
      <c r="C34" s="93"/>
      <c r="D34" s="100"/>
      <c r="E34" s="292" t="s">
        <v>40</v>
      </c>
      <c r="F34" s="149" t="s">
        <v>46</v>
      </c>
      <c r="G34" s="94"/>
      <c r="H34" s="125" t="s">
        <v>26</v>
      </c>
      <c r="I34" s="93"/>
      <c r="J34" s="112">
        <v>2600</v>
      </c>
      <c r="K34" s="13" t="str">
        <f>IF(F34="??","??",IF(F34&lt;=2600,"Yes","No"))</f>
        <v>??</v>
      </c>
      <c r="L34" s="85" t="s">
        <v>41</v>
      </c>
      <c r="M34" s="86"/>
      <c r="O34" s="353" t="s">
        <v>251</v>
      </c>
      <c r="P34" s="354" t="str">
        <f t="shared" ca="1" si="0"/>
        <v>??</v>
      </c>
      <c r="Q34" t="str">
        <f ca="1">CELL("address",F38)</f>
        <v>$F$38</v>
      </c>
      <c r="R34" t="s">
        <v>218</v>
      </c>
      <c r="S34" t="str">
        <f t="shared" ca="1" si="1"/>
        <v>F38</v>
      </c>
      <c r="T34">
        <v>0</v>
      </c>
      <c r="U34" t="s">
        <v>192</v>
      </c>
    </row>
    <row r="35" spans="1:21" ht="14.25" x14ac:dyDescent="0.2">
      <c r="A35" s="275"/>
      <c r="B35" s="93"/>
      <c r="C35" s="346"/>
      <c r="D35" s="347"/>
      <c r="E35" s="295" t="s">
        <v>104</v>
      </c>
      <c r="F35" s="6" t="str">
        <f>IF(F34&lt;=2080,"OK","??")</f>
        <v>??</v>
      </c>
      <c r="G35" s="113"/>
      <c r="H35" s="111"/>
      <c r="I35" s="111"/>
      <c r="J35" s="16">
        <v>0.35</v>
      </c>
      <c r="K35" s="13" t="str">
        <f>IF(F35="??","??",IF(F35&lt;=0.35,"Yes",IF(F35="OK","Yes","No")))</f>
        <v>??</v>
      </c>
      <c r="L35" s="85" t="s">
        <v>41</v>
      </c>
      <c r="M35" s="86"/>
      <c r="O35" s="353" t="s">
        <v>252</v>
      </c>
      <c r="P35" s="354" t="str">
        <f t="shared" ca="1" si="0"/>
        <v>??</v>
      </c>
      <c r="Q35" t="str">
        <f ca="1">CELL("address",F39)</f>
        <v>$F$39</v>
      </c>
      <c r="R35" t="s">
        <v>219</v>
      </c>
      <c r="S35" t="str">
        <f t="shared" ca="1" si="1"/>
        <v>F39</v>
      </c>
      <c r="T35">
        <v>0</v>
      </c>
      <c r="U35" t="s">
        <v>195</v>
      </c>
    </row>
    <row r="36" spans="1:21" ht="14.25" x14ac:dyDescent="0.2">
      <c r="A36" s="275"/>
      <c r="B36" s="129"/>
      <c r="C36" s="125"/>
      <c r="D36" s="129"/>
      <c r="E36" s="198" t="s">
        <v>105</v>
      </c>
      <c r="F36" s="6" t="str">
        <f>IF(F34&lt;=1360,"OK","??")</f>
        <v>??</v>
      </c>
      <c r="G36" s="128"/>
      <c r="H36" s="129"/>
      <c r="I36" s="129"/>
      <c r="J36" s="130">
        <v>1.2</v>
      </c>
      <c r="K36" s="13" t="str">
        <f>IF(F36="??","??",IF(F36&lt;=1.2,"Yes",IF(F36="OK","Yes","No")))</f>
        <v>??</v>
      </c>
      <c r="L36" s="85" t="s">
        <v>41</v>
      </c>
      <c r="M36" s="86"/>
      <c r="O36" s="353" t="s">
        <v>253</v>
      </c>
      <c r="P36" s="354" t="str">
        <f t="shared" ca="1" si="0"/>
        <v>??</v>
      </c>
      <c r="Q36" t="str">
        <f ca="1">CELL("address",F40)</f>
        <v>$F$40</v>
      </c>
      <c r="R36" t="s">
        <v>220</v>
      </c>
      <c r="S36" t="str">
        <f t="shared" ca="1" si="1"/>
        <v>F40</v>
      </c>
      <c r="T36">
        <v>0</v>
      </c>
      <c r="U36" t="s">
        <v>195</v>
      </c>
    </row>
    <row r="37" spans="1:21" x14ac:dyDescent="0.2">
      <c r="A37" s="275"/>
      <c r="B37" s="111" t="s">
        <v>25</v>
      </c>
      <c r="C37" s="111"/>
      <c r="D37" s="111"/>
      <c r="E37" s="200" t="s">
        <v>40</v>
      </c>
      <c r="F37" s="166" t="s">
        <v>46</v>
      </c>
      <c r="G37" s="113"/>
      <c r="H37" s="111"/>
      <c r="I37" s="111"/>
      <c r="J37" s="16">
        <v>2900</v>
      </c>
      <c r="K37" s="13" t="str">
        <f>IF(F37="??","??",IF(F37&lt;=2900,"Yes","No"))</f>
        <v>??</v>
      </c>
      <c r="L37" s="85"/>
      <c r="M37" s="86"/>
      <c r="O37" s="353" t="s">
        <v>254</v>
      </c>
      <c r="P37" s="354" t="str">
        <f t="shared" ca="1" si="0"/>
        <v>??</v>
      </c>
      <c r="Q37" t="str">
        <f ca="1">CELL("address",F41)</f>
        <v>$F$41</v>
      </c>
      <c r="R37" t="s">
        <v>221</v>
      </c>
      <c r="S37" t="str">
        <f t="shared" ca="1" si="1"/>
        <v>F41</v>
      </c>
      <c r="T37">
        <v>0</v>
      </c>
      <c r="U37" t="s">
        <v>192</v>
      </c>
    </row>
    <row r="38" spans="1:21" x14ac:dyDescent="0.2">
      <c r="A38" s="275"/>
      <c r="B38" s="273" t="s">
        <v>129</v>
      </c>
      <c r="C38" s="100"/>
      <c r="D38" s="100"/>
      <c r="E38" s="290" t="s">
        <v>40</v>
      </c>
      <c r="F38" s="150" t="s">
        <v>46</v>
      </c>
      <c r="G38" s="107"/>
      <c r="H38" s="100"/>
      <c r="I38" s="100"/>
      <c r="J38" s="108">
        <v>2700</v>
      </c>
      <c r="K38" s="13" t="str">
        <f>IF(F38="??","??",IF(F38&lt;=2700,"Yes","No"))</f>
        <v>??</v>
      </c>
      <c r="L38" s="121" t="s">
        <v>114</v>
      </c>
      <c r="M38" s="86"/>
      <c r="O38" s="353" t="s">
        <v>255</v>
      </c>
      <c r="P38" s="354" t="str">
        <f t="shared" ca="1" si="0"/>
        <v>??</v>
      </c>
      <c r="Q38" t="str">
        <f ca="1">CELL("address",F42)</f>
        <v>$F$42</v>
      </c>
      <c r="R38" t="s">
        <v>222</v>
      </c>
      <c r="S38" t="str">
        <f t="shared" ca="1" si="1"/>
        <v>F42</v>
      </c>
      <c r="T38">
        <v>0</v>
      </c>
      <c r="U38" t="s">
        <v>195</v>
      </c>
    </row>
    <row r="39" spans="1:21" ht="14.25" customHeight="1" x14ac:dyDescent="0.2">
      <c r="A39" s="275"/>
      <c r="B39" s="93"/>
      <c r="C39" s="125"/>
      <c r="D39" s="134" t="s">
        <v>26</v>
      </c>
      <c r="E39" s="198" t="s">
        <v>106</v>
      </c>
      <c r="F39" s="6" t="str">
        <f>IF(F38&lt;=2360,"OK","??")</f>
        <v>??</v>
      </c>
      <c r="G39" s="113"/>
      <c r="H39" s="111"/>
      <c r="I39" s="111"/>
      <c r="J39" s="16">
        <v>3</v>
      </c>
      <c r="K39" s="13" t="str">
        <f>IF(F39="??","??",IF(F39&lt;=3,"Yes",IF(F39="OK","Yes","No")))</f>
        <v>??</v>
      </c>
      <c r="L39" s="121" t="s">
        <v>135</v>
      </c>
      <c r="M39" s="86"/>
      <c r="O39" s="353" t="s">
        <v>256</v>
      </c>
      <c r="P39" s="354" t="str">
        <f t="shared" ca="1" si="0"/>
        <v>??</v>
      </c>
      <c r="Q39" t="str">
        <f ca="1">CELL("address",F43)</f>
        <v>$F$43</v>
      </c>
      <c r="R39" t="s">
        <v>223</v>
      </c>
      <c r="S39" t="str">
        <f t="shared" ca="1" si="1"/>
        <v>F43</v>
      </c>
      <c r="T39">
        <v>0</v>
      </c>
      <c r="U39" t="s">
        <v>192</v>
      </c>
    </row>
    <row r="40" spans="1:21" ht="14.25" x14ac:dyDescent="0.2">
      <c r="A40" s="275"/>
      <c r="B40" s="111" t="s">
        <v>14</v>
      </c>
      <c r="C40" s="184"/>
      <c r="D40" s="111"/>
      <c r="E40" s="197" t="s">
        <v>92</v>
      </c>
      <c r="F40" s="166" t="s">
        <v>46</v>
      </c>
      <c r="G40" s="113" t="s">
        <v>26</v>
      </c>
      <c r="H40" s="111"/>
      <c r="I40" s="111"/>
      <c r="J40" s="16">
        <v>10</v>
      </c>
      <c r="K40" s="13" t="str">
        <f>IF(F40="??","??",IF(F40&lt;=10,"Yes",IF(F40="OK","Yes","No")))</f>
        <v>??</v>
      </c>
      <c r="L40" s="121" t="s">
        <v>135</v>
      </c>
      <c r="M40" s="86"/>
      <c r="O40" s="353" t="s">
        <v>257</v>
      </c>
      <c r="P40" s="354" t="str">
        <f t="shared" ca="1" si="0"/>
        <v>??</v>
      </c>
      <c r="Q40" t="str">
        <f ca="1">CELL("address",F44)</f>
        <v>$F$44</v>
      </c>
      <c r="R40" t="s">
        <v>224</v>
      </c>
      <c r="S40" t="str">
        <f t="shared" ca="1" si="1"/>
        <v>F44</v>
      </c>
      <c r="T40">
        <v>0</v>
      </c>
      <c r="U40" t="s">
        <v>195</v>
      </c>
    </row>
    <row r="41" spans="1:21" x14ac:dyDescent="0.2">
      <c r="A41" s="275"/>
      <c r="B41" s="100" t="s">
        <v>16</v>
      </c>
      <c r="C41" s="100"/>
      <c r="D41" s="100"/>
      <c r="E41" s="292" t="s">
        <v>40</v>
      </c>
      <c r="F41" s="150" t="s">
        <v>46</v>
      </c>
      <c r="G41" s="107"/>
      <c r="H41" s="100"/>
      <c r="I41" s="100"/>
      <c r="J41" s="108">
        <v>3400</v>
      </c>
      <c r="K41" s="13" t="str">
        <f>IF(F41="??","??",IF(F41&lt;=3400,"Yes","No"))</f>
        <v>??</v>
      </c>
      <c r="L41" s="85" t="s">
        <v>41</v>
      </c>
      <c r="M41" s="86"/>
      <c r="O41" s="353" t="s">
        <v>258</v>
      </c>
      <c r="P41" s="354" t="str">
        <f t="shared" ca="1" si="0"/>
        <v>??</v>
      </c>
      <c r="Q41" t="str">
        <f ca="1">CELL("address",F45)</f>
        <v>$F$45</v>
      </c>
      <c r="R41" t="s">
        <v>225</v>
      </c>
      <c r="S41" t="str">
        <f t="shared" ca="1" si="1"/>
        <v>F45</v>
      </c>
      <c r="T41">
        <v>0</v>
      </c>
      <c r="U41" t="s">
        <v>192</v>
      </c>
    </row>
    <row r="42" spans="1:21" ht="14.25" x14ac:dyDescent="0.2">
      <c r="A42" s="275"/>
      <c r="B42" s="194" t="s">
        <v>26</v>
      </c>
      <c r="C42" s="194"/>
      <c r="D42" s="129"/>
      <c r="E42" s="201" t="s">
        <v>93</v>
      </c>
      <c r="F42" s="6" t="str">
        <f>IF(F41&lt;=2800,"OK","??")</f>
        <v>??</v>
      </c>
      <c r="G42" s="113"/>
      <c r="H42" s="111"/>
      <c r="I42" s="111"/>
      <c r="J42" s="16">
        <v>15</v>
      </c>
      <c r="K42" s="13" t="str">
        <f>IF(F42="??","??",IF(F42&lt;=15,"Yes",IF(F42="OK","Yes","No")))</f>
        <v>??</v>
      </c>
      <c r="L42" s="85" t="s">
        <v>41</v>
      </c>
      <c r="M42" s="86"/>
      <c r="O42" s="353" t="s">
        <v>259</v>
      </c>
      <c r="P42" s="354" t="str">
        <f t="shared" ca="1" si="0"/>
        <v>??</v>
      </c>
      <c r="Q42" t="str">
        <f ca="1">CELL("address",F46)</f>
        <v>$F$46</v>
      </c>
      <c r="R42" t="s">
        <v>226</v>
      </c>
      <c r="S42" t="str">
        <f t="shared" ca="1" si="1"/>
        <v>F46</v>
      </c>
      <c r="T42">
        <v>0</v>
      </c>
      <c r="U42" t="s">
        <v>195</v>
      </c>
    </row>
    <row r="43" spans="1:21" x14ac:dyDescent="0.2">
      <c r="A43" s="275"/>
      <c r="B43" s="93" t="s">
        <v>13</v>
      </c>
      <c r="C43" s="93"/>
      <c r="D43" s="100"/>
      <c r="E43" s="292" t="s">
        <v>40</v>
      </c>
      <c r="F43" s="150" t="s">
        <v>46</v>
      </c>
      <c r="G43" s="107"/>
      <c r="H43" s="100"/>
      <c r="I43" s="100"/>
      <c r="J43" s="108">
        <v>3000</v>
      </c>
      <c r="K43" s="13" t="str">
        <f>IF(F43="??","??",IF(F43&lt;=3000,"Yes","No"))</f>
        <v>??</v>
      </c>
      <c r="L43" s="121" t="s">
        <v>135</v>
      </c>
      <c r="M43" s="86"/>
      <c r="O43" s="353" t="s">
        <v>260</v>
      </c>
      <c r="P43" s="354" t="str">
        <f t="shared" ca="1" si="0"/>
        <v>??</v>
      </c>
      <c r="Q43" t="str">
        <f ca="1">CELL("address",F47)</f>
        <v>$F$47</v>
      </c>
      <c r="R43" t="s">
        <v>227</v>
      </c>
      <c r="S43" t="str">
        <f t="shared" ca="1" si="1"/>
        <v>F47</v>
      </c>
      <c r="T43">
        <v>0</v>
      </c>
      <c r="U43" t="s">
        <v>195</v>
      </c>
    </row>
    <row r="44" spans="1:21" ht="14.25" x14ac:dyDescent="0.2">
      <c r="A44" s="275"/>
      <c r="B44" s="129"/>
      <c r="C44" s="202"/>
      <c r="D44" s="129"/>
      <c r="E44" s="201" t="s">
        <v>94</v>
      </c>
      <c r="F44" s="6" t="str">
        <f>IF(F43&lt;=1880,"OK","??")</f>
        <v>??</v>
      </c>
      <c r="G44" s="113"/>
      <c r="H44" s="111"/>
      <c r="I44" s="111"/>
      <c r="J44" s="16">
        <v>5</v>
      </c>
      <c r="K44" s="13" t="str">
        <f>IF(F44="??","??",IF(F44&lt;=5,"Yes",IF(F44="OK","Yes","No")))</f>
        <v>??</v>
      </c>
      <c r="L44" s="85"/>
      <c r="M44" s="86"/>
      <c r="O44" s="353" t="s">
        <v>261</v>
      </c>
      <c r="P44" s="354" t="str">
        <f t="shared" ca="1" si="0"/>
        <v>??</v>
      </c>
      <c r="Q44" t="str">
        <f ca="1">CELL("address",F48)</f>
        <v>$F$48</v>
      </c>
      <c r="R44" t="s">
        <v>228</v>
      </c>
      <c r="S44" t="str">
        <f t="shared" ca="1" si="1"/>
        <v>F48</v>
      </c>
      <c r="T44">
        <v>0</v>
      </c>
      <c r="U44" t="s">
        <v>192</v>
      </c>
    </row>
    <row r="45" spans="1:21" x14ac:dyDescent="0.2">
      <c r="A45" s="275"/>
      <c r="B45" s="273" t="s">
        <v>177</v>
      </c>
      <c r="C45" s="100"/>
      <c r="D45" s="100"/>
      <c r="E45" s="292" t="s">
        <v>40</v>
      </c>
      <c r="F45" s="150" t="s">
        <v>46</v>
      </c>
      <c r="G45" s="107"/>
      <c r="H45" s="100"/>
      <c r="I45" s="100"/>
      <c r="J45" s="108">
        <v>5000</v>
      </c>
      <c r="K45" s="13" t="str">
        <f>IF(F45="??","??",IF(F45&lt;=5000,"Yes","No"))</f>
        <v>??</v>
      </c>
      <c r="L45" s="121" t="s">
        <v>114</v>
      </c>
      <c r="M45" s="86"/>
      <c r="O45" s="353" t="s">
        <v>263</v>
      </c>
      <c r="P45" s="354" t="str">
        <f ca="1">INDIRECT(Q45)</f>
        <v>??</v>
      </c>
      <c r="Q45" t="str">
        <f ca="1">CELL("address",F49)</f>
        <v>$F$49</v>
      </c>
      <c r="R45" t="s">
        <v>230</v>
      </c>
      <c r="S45" t="str">
        <f ca="1">SUBSTITUTE(Q45,"$","")</f>
        <v>F49</v>
      </c>
      <c r="T45">
        <v>0</v>
      </c>
      <c r="U45" t="s">
        <v>192</v>
      </c>
    </row>
    <row r="46" spans="1:21" ht="14.25" x14ac:dyDescent="0.2">
      <c r="A46" s="275"/>
      <c r="B46" s="93"/>
      <c r="C46" s="125"/>
      <c r="D46" s="93"/>
      <c r="E46" s="295" t="s">
        <v>102</v>
      </c>
      <c r="F46" s="6" t="str">
        <f>IF(F45&lt;=4000,"OK","??")</f>
        <v>??</v>
      </c>
      <c r="G46" s="113"/>
      <c r="H46" s="111"/>
      <c r="I46" s="111"/>
      <c r="J46" s="16">
        <v>5</v>
      </c>
      <c r="K46" s="13" t="str">
        <f>IF(F46="??","??",IF(F46&lt;=5,"Yes",IF(F46="OK","Yes","No")))</f>
        <v>??</v>
      </c>
      <c r="L46" s="85" t="s">
        <v>114</v>
      </c>
      <c r="M46" s="86"/>
      <c r="O46" s="353" t="s">
        <v>262</v>
      </c>
      <c r="P46" s="354">
        <f t="shared" ca="1" si="0"/>
        <v>0</v>
      </c>
      <c r="Q46" t="str">
        <f ca="1">CELL("address",B50)</f>
        <v>$B$50</v>
      </c>
      <c r="R46" t="s">
        <v>229</v>
      </c>
      <c r="S46" t="str">
        <f t="shared" ca="1" si="1"/>
        <v>B50</v>
      </c>
      <c r="T46">
        <v>0</v>
      </c>
      <c r="U46" t="s">
        <v>195</v>
      </c>
    </row>
    <row r="47" spans="1:21" ht="14.25" x14ac:dyDescent="0.2">
      <c r="A47" s="275"/>
      <c r="B47" s="93"/>
      <c r="C47" s="203"/>
      <c r="D47" s="204" t="s">
        <v>26</v>
      </c>
      <c r="E47" s="198" t="s">
        <v>92</v>
      </c>
      <c r="F47" s="9" t="str">
        <f>IF(F45&lt;=3000,"OK","??")</f>
        <v>??</v>
      </c>
      <c r="G47" s="128"/>
      <c r="H47" s="129"/>
      <c r="I47" s="129"/>
      <c r="J47" s="130">
        <v>30</v>
      </c>
      <c r="K47" s="13" t="str">
        <f>IF(F47="??","??",IF(F47&lt;=30,"Yes",IF(F47="OK","Yes","No")))</f>
        <v>??</v>
      </c>
      <c r="L47" s="85" t="s">
        <v>41</v>
      </c>
      <c r="M47" s="86"/>
      <c r="O47" s="353" t="s">
        <v>264</v>
      </c>
      <c r="P47" s="354">
        <f t="shared" ca="1" si="0"/>
        <v>0</v>
      </c>
      <c r="Q47" t="str">
        <f ca="1">CELL("address",C50)</f>
        <v>$C$50</v>
      </c>
      <c r="R47" t="s">
        <v>231</v>
      </c>
      <c r="S47" t="str">
        <f t="shared" ca="1" si="1"/>
        <v>C50</v>
      </c>
      <c r="T47">
        <v>0</v>
      </c>
      <c r="U47" t="s">
        <v>195</v>
      </c>
    </row>
    <row r="48" spans="1:21" x14ac:dyDescent="0.2">
      <c r="A48" s="275"/>
      <c r="B48" s="273" t="s">
        <v>136</v>
      </c>
      <c r="C48" s="100"/>
      <c r="D48" s="100"/>
      <c r="E48" s="292" t="s">
        <v>40</v>
      </c>
      <c r="F48" s="166" t="s">
        <v>46</v>
      </c>
      <c r="G48" s="208" t="s">
        <v>26</v>
      </c>
      <c r="H48" s="100"/>
      <c r="I48" s="100"/>
      <c r="J48" s="16">
        <v>3480</v>
      </c>
      <c r="K48" s="205" t="str">
        <f>IF(F48="??","??",IF(F48&lt;=3480,"Yes","No"))</f>
        <v>??</v>
      </c>
      <c r="L48" s="85" t="s">
        <v>41</v>
      </c>
      <c r="M48" s="86"/>
      <c r="O48" s="353" t="s">
        <v>265</v>
      </c>
      <c r="P48" s="354" t="str">
        <f t="shared" ca="1" si="0"/>
        <v>??</v>
      </c>
      <c r="Q48" t="str">
        <f ca="1">CELL("address",F51)</f>
        <v>$F$51</v>
      </c>
      <c r="R48" t="s">
        <v>232</v>
      </c>
      <c r="S48" t="str">
        <f t="shared" ca="1" si="1"/>
        <v>F51</v>
      </c>
      <c r="T48">
        <v>0</v>
      </c>
      <c r="U48" t="s">
        <v>192</v>
      </c>
    </row>
    <row r="49" spans="1:21" x14ac:dyDescent="0.2">
      <c r="A49" s="275"/>
      <c r="B49" s="125" t="s">
        <v>138</v>
      </c>
      <c r="C49" s="93"/>
      <c r="D49" s="93"/>
      <c r="E49" s="293" t="s">
        <v>40</v>
      </c>
      <c r="F49" s="234" t="s">
        <v>46</v>
      </c>
      <c r="G49" s="128"/>
      <c r="H49" s="129"/>
      <c r="I49" s="129"/>
      <c r="J49" s="130">
        <v>3480</v>
      </c>
      <c r="K49" s="205" t="str">
        <f>IF(F49="??","??",IF(F49&lt;=3480,"Yes","No"))</f>
        <v>??</v>
      </c>
      <c r="L49" s="85"/>
      <c r="M49" s="86"/>
      <c r="O49" s="353" t="s">
        <v>266</v>
      </c>
      <c r="P49" s="354" t="str">
        <f t="shared" ca="1" si="0"/>
        <v>??</v>
      </c>
      <c r="Q49" t="str">
        <f ca="1">CELL("address",F52)</f>
        <v>$F$52</v>
      </c>
      <c r="R49" t="s">
        <v>233</v>
      </c>
      <c r="S49" t="str">
        <f t="shared" ca="1" si="1"/>
        <v>F52</v>
      </c>
      <c r="T49">
        <v>0</v>
      </c>
      <c r="U49" t="s">
        <v>195</v>
      </c>
    </row>
    <row r="50" spans="1:21" ht="14.25" x14ac:dyDescent="0.2">
      <c r="A50" s="275"/>
      <c r="B50" s="129"/>
      <c r="C50" s="194"/>
      <c r="D50" s="129"/>
      <c r="E50" s="201" t="s">
        <v>139</v>
      </c>
      <c r="F50" s="166" t="str">
        <f>IF(ISBLANK(B50),"??",MAX(B50,C50))</f>
        <v>??</v>
      </c>
      <c r="G50" s="128" t="s">
        <v>26</v>
      </c>
      <c r="H50" s="129"/>
      <c r="I50" s="129"/>
      <c r="J50" s="130">
        <v>4</v>
      </c>
      <c r="K50" s="13" t="str">
        <f>IF(F50="??","??",IF(F50&lt;=J50,"Yes",IF(F50="OK","Yes","No")))</f>
        <v>??</v>
      </c>
      <c r="L50" s="85" t="s">
        <v>41</v>
      </c>
      <c r="M50" s="86"/>
      <c r="O50"/>
      <c r="P50"/>
    </row>
    <row r="51" spans="1:21" x14ac:dyDescent="0.2">
      <c r="A51" s="275"/>
      <c r="B51" s="93" t="s">
        <v>96</v>
      </c>
      <c r="C51" s="93"/>
      <c r="D51" s="100"/>
      <c r="E51" s="292" t="s">
        <v>40</v>
      </c>
      <c r="F51" s="166" t="s">
        <v>46</v>
      </c>
      <c r="G51" s="208"/>
      <c r="H51" s="111"/>
      <c r="I51" s="111"/>
      <c r="J51" s="16">
        <v>2800</v>
      </c>
      <c r="K51" s="13" t="str">
        <f>IF(F51="??","??",IF(F51&lt;=2800,"Yes","No"))</f>
        <v>??</v>
      </c>
      <c r="L51" s="85" t="s">
        <v>114</v>
      </c>
      <c r="M51" s="86"/>
    </row>
    <row r="52" spans="1:21" ht="15" thickBot="1" x14ac:dyDescent="0.25">
      <c r="A52" s="275"/>
      <c r="B52" s="186" t="s">
        <v>101</v>
      </c>
      <c r="C52" s="255"/>
      <c r="D52" s="88"/>
      <c r="E52" s="256" t="s">
        <v>113</v>
      </c>
      <c r="F52" s="257" t="str">
        <f>IF(F51&lt;=2100,"OK","??")</f>
        <v>??</v>
      </c>
      <c r="G52" s="89" t="s">
        <v>26</v>
      </c>
      <c r="H52" s="88"/>
      <c r="I52" s="88"/>
      <c r="J52" s="116">
        <v>1</v>
      </c>
      <c r="K52" s="258" t="str">
        <f>IF(F52="??","??",IF(F52&lt;=1,"Yes",IF(F52="OK","Yes","No")))</f>
        <v>??</v>
      </c>
      <c r="L52" s="85" t="s">
        <v>114</v>
      </c>
      <c r="M52" s="86"/>
    </row>
    <row r="53" spans="1:21" x14ac:dyDescent="0.2">
      <c r="A53" s="277"/>
      <c r="B53" s="86"/>
      <c r="C53" s="86"/>
      <c r="D53" s="86"/>
      <c r="E53" s="136"/>
      <c r="F53" s="136"/>
      <c r="G53" s="136"/>
      <c r="H53" s="86"/>
      <c r="I53" s="86"/>
      <c r="J53" s="136"/>
      <c r="K53" s="136"/>
      <c r="L53" s="85"/>
      <c r="M53" s="86"/>
    </row>
    <row r="54" spans="1:21" x14ac:dyDescent="0.2">
      <c r="A54" s="86"/>
      <c r="B54" s="86"/>
      <c r="C54" s="86"/>
      <c r="D54" s="86"/>
      <c r="E54" s="136"/>
      <c r="F54" s="136"/>
      <c r="G54" s="136"/>
      <c r="H54" s="86"/>
      <c r="I54" s="86"/>
      <c r="J54" s="136"/>
      <c r="K54" s="136"/>
      <c r="L54" s="85"/>
      <c r="M54" s="86"/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06" priority="17" stopIfTrue="1" operator="containsText" text="No">
      <formula>NOT(ISERROR(SEARCH("No",K30)))</formula>
    </cfRule>
  </conditionalFormatting>
  <conditionalFormatting sqref="K13:K14 K21:K29 K19">
    <cfRule type="containsText" dxfId="105" priority="14" stopIfTrue="1" operator="containsText" text="Minor">
      <formula>NOT(ISERROR(SEARCH("Minor",K13)))</formula>
    </cfRule>
    <cfRule type="containsText" dxfId="104" priority="15" stopIfTrue="1" operator="containsText" text="No">
      <formula>NOT(ISERROR(SEARCH("No",K13)))</formula>
    </cfRule>
    <cfRule type="containsText" dxfId="103" priority="16" stopIfTrue="1" operator="containsText" text="Major">
      <formula>NOT(ISERROR(SEARCH("Major",K13)))</formula>
    </cfRule>
  </conditionalFormatting>
  <conditionalFormatting sqref="K20">
    <cfRule type="containsText" dxfId="102" priority="12" stopIfTrue="1" operator="containsText" text="No">
      <formula>NOT(ISERROR(SEARCH("No",K20)))</formula>
    </cfRule>
    <cfRule type="containsText" dxfId="101" priority="13" stopIfTrue="1" operator="containsText" text="Major">
      <formula>NOT(ISERROR(SEARCH("Major",K20)))</formula>
    </cfRule>
  </conditionalFormatting>
  <conditionalFormatting sqref="K20">
    <cfRule type="containsText" dxfId="100" priority="11" stopIfTrue="1" operator="containsText" text="Minor">
      <formula>NOT(ISERROR(SEARCH("Minor",K20)))</formula>
    </cfRule>
  </conditionalFormatting>
  <conditionalFormatting sqref="K15">
    <cfRule type="containsText" dxfId="99" priority="10" stopIfTrue="1" operator="containsText" text="No">
      <formula>NOT(ISERROR(SEARCH("No",K15)))</formula>
    </cfRule>
  </conditionalFormatting>
  <conditionalFormatting sqref="K16">
    <cfRule type="containsText" dxfId="98" priority="7" stopIfTrue="1" operator="containsText" text="Minor">
      <formula>NOT(ISERROR(SEARCH("Minor",K16)))</formula>
    </cfRule>
    <cfRule type="containsText" dxfId="97" priority="8" stopIfTrue="1" operator="containsText" text="No">
      <formula>NOT(ISERROR(SEARCH("No",K16)))</formula>
    </cfRule>
    <cfRule type="containsText" dxfId="96" priority="9" stopIfTrue="1" operator="containsText" text="Major">
      <formula>NOT(ISERROR(SEARCH("Major",K16)))</formula>
    </cfRule>
  </conditionalFormatting>
  <conditionalFormatting sqref="K17">
    <cfRule type="containsText" dxfId="95" priority="4" stopIfTrue="1" operator="containsText" text="Minor">
      <formula>NOT(ISERROR(SEARCH("Minor",K17)))</formula>
    </cfRule>
    <cfRule type="containsText" dxfId="94" priority="5" stopIfTrue="1" operator="containsText" text="No">
      <formula>NOT(ISERROR(SEARCH("No",K17)))</formula>
    </cfRule>
    <cfRule type="containsText" dxfId="93" priority="6" stopIfTrue="1" operator="containsText" text="Major">
      <formula>NOT(ISERROR(SEARCH("Major",K17)))</formula>
    </cfRule>
  </conditionalFormatting>
  <conditionalFormatting sqref="K18">
    <cfRule type="containsText" dxfId="92" priority="1" stopIfTrue="1" operator="containsText" text="Minor">
      <formula>NOT(ISERROR(SEARCH("Minor",K18)))</formula>
    </cfRule>
    <cfRule type="containsText" dxfId="91" priority="2" stopIfTrue="1" operator="containsText" text="No">
      <formula>NOT(ISERROR(SEARCH("No",K18)))</formula>
    </cfRule>
    <cfRule type="containsText" dxfId="90" priority="3" stopIfTrue="1" operator="containsText" text="Major">
      <formula>NOT(ISERROR(SEARCH("Major",K18)))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T48"/>
  <sheetViews>
    <sheetView zoomScaleNormal="100" workbookViewId="0">
      <selection activeCell="G41" sqref="G41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0" hidden="1" customWidth="1"/>
    <col min="9" max="9" width="3.85546875" hidden="1" customWidth="1"/>
    <col min="10" max="10" width="14.42578125" style="1" customWidth="1"/>
    <col min="11" max="11" width="17.42578125" style="1" customWidth="1"/>
    <col min="12" max="12" width="14" style="2" customWidth="1"/>
    <col min="20" max="20" width="10.140625" customWidth="1"/>
  </cols>
  <sheetData>
    <row r="1" spans="2:20" ht="13.5" thickBot="1" x14ac:dyDescent="0.25"/>
    <row r="2" spans="2:20" ht="13.5" thickBot="1" x14ac:dyDescent="0.25">
      <c r="B2" s="263"/>
      <c r="C2" s="264"/>
      <c r="D2" s="264"/>
      <c r="E2" s="265"/>
      <c r="F2" s="323" t="s">
        <v>144</v>
      </c>
      <c r="G2" s="265"/>
      <c r="H2" s="264"/>
      <c r="I2" s="264"/>
      <c r="J2" s="265"/>
      <c r="K2" s="266"/>
    </row>
    <row r="3" spans="2:20" x14ac:dyDescent="0.2">
      <c r="B3" s="96" t="s">
        <v>0</v>
      </c>
      <c r="C3" s="260"/>
      <c r="D3" s="81"/>
      <c r="E3" s="109" t="s">
        <v>117</v>
      </c>
      <c r="F3" s="82"/>
      <c r="G3" s="261"/>
      <c r="H3" s="81"/>
      <c r="I3" s="81"/>
      <c r="J3" s="83" t="s">
        <v>2</v>
      </c>
      <c r="K3" s="262"/>
      <c r="L3" s="85"/>
      <c r="M3" s="86"/>
      <c r="N3" s="86"/>
      <c r="O3" s="86"/>
      <c r="P3" s="86"/>
      <c r="Q3" s="86"/>
      <c r="R3" s="86"/>
      <c r="S3" s="86"/>
    </row>
    <row r="4" spans="2:20" ht="13.5" thickBot="1" x14ac:dyDescent="0.25">
      <c r="B4" s="98" t="s">
        <v>1</v>
      </c>
      <c r="C4" s="20"/>
      <c r="D4" s="93"/>
      <c r="E4" s="92" t="s">
        <v>116</v>
      </c>
      <c r="F4" s="94"/>
      <c r="G4" s="144"/>
      <c r="H4" s="93"/>
      <c r="I4" s="93"/>
      <c r="J4" s="95" t="s">
        <v>3</v>
      </c>
      <c r="K4" s="18"/>
      <c r="L4" s="85"/>
      <c r="M4" s="86"/>
      <c r="N4" s="86"/>
      <c r="O4" s="86"/>
      <c r="P4" s="86"/>
      <c r="Q4" s="86"/>
      <c r="R4" s="86"/>
      <c r="S4" s="86"/>
    </row>
    <row r="5" spans="2:20" x14ac:dyDescent="0.2">
      <c r="B5" s="96" t="s">
        <v>9</v>
      </c>
      <c r="C5" s="81"/>
      <c r="D5" s="81"/>
      <c r="E5" s="82"/>
      <c r="F5" s="82"/>
      <c r="G5" s="82"/>
      <c r="H5" s="81"/>
      <c r="I5" s="81"/>
      <c r="J5" s="82"/>
      <c r="K5" s="84"/>
      <c r="L5" s="85"/>
      <c r="M5" s="86"/>
      <c r="N5" s="86"/>
      <c r="O5" s="86"/>
      <c r="P5" s="86"/>
      <c r="Q5" s="86"/>
      <c r="R5" s="86"/>
      <c r="S5" s="86"/>
    </row>
    <row r="6" spans="2:20" x14ac:dyDescent="0.2">
      <c r="B6" s="91" t="s">
        <v>4</v>
      </c>
      <c r="C6" s="93"/>
      <c r="D6" s="93"/>
      <c r="E6" s="94"/>
      <c r="F6" s="154"/>
      <c r="G6" s="94"/>
      <c r="H6" s="93"/>
      <c r="I6" s="93"/>
      <c r="J6" s="94"/>
      <c r="K6" s="97"/>
      <c r="L6" s="85"/>
      <c r="M6" s="251"/>
      <c r="N6" s="251"/>
      <c r="O6" s="251"/>
      <c r="P6" s="251"/>
      <c r="Q6" s="251"/>
      <c r="R6" s="251"/>
      <c r="S6" s="251"/>
      <c r="T6" s="252"/>
    </row>
    <row r="7" spans="2:20" x14ac:dyDescent="0.2">
      <c r="B7" s="91" t="s">
        <v>5</v>
      </c>
      <c r="C7" s="93"/>
      <c r="D7" s="93"/>
      <c r="E7" s="94"/>
      <c r="F7" s="21"/>
      <c r="G7" s="94"/>
      <c r="H7" s="93"/>
      <c r="I7" s="93"/>
      <c r="J7" s="94"/>
      <c r="K7" s="97" t="s">
        <v>26</v>
      </c>
      <c r="L7" s="85"/>
      <c r="M7" s="253"/>
      <c r="N7" s="251"/>
      <c r="O7" s="251"/>
      <c r="P7" s="251"/>
      <c r="Q7" s="251"/>
      <c r="R7" s="251"/>
      <c r="S7" s="251"/>
      <c r="T7" s="252"/>
    </row>
    <row r="8" spans="2:20" x14ac:dyDescent="0.2">
      <c r="B8" s="91" t="s">
        <v>6</v>
      </c>
      <c r="C8" s="93"/>
      <c r="D8" s="93"/>
      <c r="E8" s="94"/>
      <c r="F8" s="154"/>
      <c r="G8" s="94"/>
      <c r="H8" s="93"/>
      <c r="I8" s="93"/>
      <c r="J8" s="94"/>
      <c r="K8" s="97"/>
      <c r="L8" s="85"/>
      <c r="M8" s="251"/>
      <c r="N8" s="251"/>
      <c r="O8" s="251"/>
      <c r="P8" s="251"/>
      <c r="Q8" s="251"/>
      <c r="R8" s="251"/>
      <c r="S8" s="251"/>
      <c r="T8" s="252"/>
    </row>
    <row r="9" spans="2:20" ht="13.5" thickBot="1" x14ac:dyDescent="0.25">
      <c r="B9" s="87" t="s">
        <v>7</v>
      </c>
      <c r="C9" s="88"/>
      <c r="D9" s="88"/>
      <c r="E9" s="89"/>
      <c r="F9" s="22"/>
      <c r="G9" s="89"/>
      <c r="H9" s="88"/>
      <c r="I9" s="88"/>
      <c r="J9" s="89"/>
      <c r="K9" s="90"/>
      <c r="L9" s="85"/>
      <c r="M9" s="86"/>
      <c r="N9" s="86"/>
      <c r="O9" s="86"/>
      <c r="P9" s="86"/>
      <c r="Q9" s="86"/>
      <c r="R9" s="86"/>
      <c r="S9" s="86"/>
    </row>
    <row r="10" spans="2:20" x14ac:dyDescent="0.2">
      <c r="B10" s="96" t="s">
        <v>8</v>
      </c>
      <c r="C10" s="81"/>
      <c r="E10" s="279"/>
      <c r="F10" s="174" t="s">
        <v>28</v>
      </c>
      <c r="G10" s="175"/>
      <c r="H10" s="109" t="s">
        <v>26</v>
      </c>
      <c r="I10" s="81"/>
      <c r="J10" s="176" t="s">
        <v>26</v>
      </c>
      <c r="K10" s="177" t="s">
        <v>26</v>
      </c>
      <c r="L10" s="85"/>
      <c r="M10" s="86"/>
      <c r="N10" s="86"/>
      <c r="O10" s="86"/>
      <c r="P10" s="86"/>
      <c r="Q10" s="86"/>
      <c r="R10" s="86"/>
      <c r="S10" s="86"/>
    </row>
    <row r="11" spans="2:20" x14ac:dyDescent="0.2">
      <c r="B11" s="133"/>
      <c r="C11" s="100"/>
      <c r="D11" s="100"/>
      <c r="E11" s="100"/>
      <c r="F11" s="101" t="s">
        <v>124</v>
      </c>
      <c r="G11" s="102" t="s">
        <v>128</v>
      </c>
      <c r="H11" s="103" t="s">
        <v>19</v>
      </c>
      <c r="I11" s="100"/>
      <c r="J11" s="101" t="s">
        <v>18</v>
      </c>
      <c r="K11" s="104" t="s">
        <v>11</v>
      </c>
      <c r="L11" s="105" t="s">
        <v>30</v>
      </c>
      <c r="M11" s="86"/>
      <c r="N11" s="86"/>
      <c r="O11" s="86"/>
      <c r="P11" s="86"/>
      <c r="Q11" s="86"/>
      <c r="R11" s="86"/>
      <c r="S11" s="86"/>
    </row>
    <row r="12" spans="2:20" x14ac:dyDescent="0.2">
      <c r="B12" s="91"/>
      <c r="C12" s="93"/>
      <c r="D12" s="93"/>
      <c r="E12" s="94"/>
      <c r="F12" s="207" t="s">
        <v>125</v>
      </c>
      <c r="G12" s="99"/>
      <c r="H12" s="92"/>
      <c r="I12" s="93"/>
      <c r="J12" s="106" t="s">
        <v>17</v>
      </c>
      <c r="K12" s="97"/>
      <c r="L12" s="85"/>
      <c r="M12" s="86"/>
      <c r="N12" s="86"/>
      <c r="O12" s="85"/>
      <c r="P12" s="86"/>
      <c r="Q12" s="86"/>
      <c r="R12" s="86"/>
      <c r="S12" s="86"/>
    </row>
    <row r="13" spans="2:20" x14ac:dyDescent="0.2">
      <c r="B13" s="133" t="s">
        <v>31</v>
      </c>
      <c r="C13" s="100"/>
      <c r="D13" s="100"/>
      <c r="E13" s="107"/>
      <c r="F13" s="170" t="s">
        <v>46</v>
      </c>
      <c r="G13" s="208"/>
      <c r="H13" s="182"/>
      <c r="I13" s="100"/>
      <c r="J13" s="180" t="s">
        <v>112</v>
      </c>
      <c r="K13" s="11" t="str">
        <f>IF(F13="??","??",IF((AND((F13&gt;59.99%),(F13&lt;95.01%))),"Yes", "No"))</f>
        <v>??</v>
      </c>
      <c r="L13" s="85" t="s">
        <v>32</v>
      </c>
      <c r="M13" s="86"/>
      <c r="N13" s="86"/>
      <c r="O13" s="86"/>
      <c r="P13" s="86"/>
      <c r="Q13" s="86"/>
      <c r="R13" s="86"/>
      <c r="S13" s="86"/>
    </row>
    <row r="14" spans="2:20" ht="13.5" thickBot="1" x14ac:dyDescent="0.25">
      <c r="B14" s="133"/>
      <c r="C14" s="100"/>
      <c r="D14" s="100"/>
      <c r="E14" s="107"/>
      <c r="F14" s="228"/>
      <c r="G14" s="181"/>
      <c r="H14" s="137"/>
      <c r="I14" s="100"/>
      <c r="J14" s="108"/>
      <c r="K14" s="11"/>
      <c r="L14" s="85"/>
      <c r="M14" s="86"/>
      <c r="N14" s="86"/>
      <c r="O14" s="86"/>
      <c r="P14" s="86"/>
      <c r="Q14" s="86"/>
      <c r="R14" s="86"/>
      <c r="S14" s="86"/>
    </row>
    <row r="15" spans="2:20" x14ac:dyDescent="0.2">
      <c r="B15" s="315" t="s">
        <v>21</v>
      </c>
      <c r="C15" s="243"/>
      <c r="D15" s="243"/>
      <c r="E15" s="316"/>
      <c r="F15" s="317"/>
      <c r="G15" s="318"/>
      <c r="H15" s="319"/>
      <c r="I15" s="243"/>
      <c r="J15" s="318"/>
      <c r="K15" s="320"/>
      <c r="L15" s="85"/>
      <c r="M15" s="86"/>
      <c r="N15" s="86"/>
      <c r="O15" s="86"/>
      <c r="P15" s="86"/>
      <c r="Q15" s="86"/>
      <c r="R15" s="86"/>
      <c r="S15" s="86"/>
    </row>
    <row r="16" spans="2:20" x14ac:dyDescent="0.2">
      <c r="B16" s="162" t="s">
        <v>172</v>
      </c>
      <c r="C16" s="93"/>
      <c r="D16" s="93"/>
      <c r="E16" s="94"/>
      <c r="F16" s="312" t="s">
        <v>46</v>
      </c>
      <c r="G16" s="313"/>
      <c r="H16" s="129"/>
      <c r="I16" s="129"/>
      <c r="J16" s="314">
        <v>0.95</v>
      </c>
      <c r="K16" s="241" t="str">
        <f>IF(F16="??","??",(IF(F16&gt;=95%,"Yes","No")))</f>
        <v>??</v>
      </c>
      <c r="L16" s="85"/>
      <c r="M16" s="86"/>
      <c r="N16" s="86"/>
      <c r="O16" s="86"/>
      <c r="P16" s="86"/>
      <c r="Q16" s="86"/>
      <c r="R16" s="86"/>
      <c r="S16" s="86"/>
    </row>
    <row r="17" spans="2:19" x14ac:dyDescent="0.2">
      <c r="B17" s="162" t="s">
        <v>173</v>
      </c>
      <c r="C17" s="93"/>
      <c r="D17" s="93"/>
      <c r="E17" s="94"/>
      <c r="F17" s="325" t="s">
        <v>46</v>
      </c>
      <c r="G17" s="335"/>
      <c r="H17" s="327"/>
      <c r="I17" s="111"/>
      <c r="J17" s="328">
        <v>0.99</v>
      </c>
      <c r="K17" s="163" t="str">
        <f>IF(F17="??","??",(IF(F17&gt;=99%,"Yes","No")))</f>
        <v>??</v>
      </c>
      <c r="L17" s="192" t="s">
        <v>147</v>
      </c>
      <c r="M17" s="86"/>
      <c r="N17" s="86"/>
      <c r="O17" s="86"/>
      <c r="P17" s="86"/>
      <c r="Q17" s="86"/>
      <c r="R17" s="86"/>
      <c r="S17" s="86"/>
    </row>
    <row r="18" spans="2:19" ht="13.5" thickBot="1" x14ac:dyDescent="0.25">
      <c r="B18" s="259" t="s">
        <v>174</v>
      </c>
      <c r="C18" s="88"/>
      <c r="D18" s="88"/>
      <c r="E18" s="89"/>
      <c r="F18" s="307" t="s">
        <v>46</v>
      </c>
      <c r="G18" s="308"/>
      <c r="H18" s="309" t="b">
        <f>AND((G18&gt;59.99%),(G18&lt;95.01%))</f>
        <v>0</v>
      </c>
      <c r="I18" s="88"/>
      <c r="J18" s="310" t="s">
        <v>170</v>
      </c>
      <c r="K18" s="14" t="str">
        <f>IF(F18="??","??",IF((AND((F18&gt;=111%),(F18&lt;=140%))),"Yes", "No"))</f>
        <v>??</v>
      </c>
      <c r="L18" s="192" t="s">
        <v>108</v>
      </c>
      <c r="M18" s="86"/>
      <c r="N18" s="86"/>
      <c r="O18" s="86"/>
      <c r="P18" s="86"/>
      <c r="Q18" s="86"/>
      <c r="R18" s="86"/>
      <c r="S18" s="86"/>
    </row>
    <row r="19" spans="2:19" x14ac:dyDescent="0.2">
      <c r="B19" s="98" t="s">
        <v>178</v>
      </c>
      <c r="C19" s="93"/>
      <c r="D19" s="93"/>
      <c r="E19" s="318"/>
      <c r="F19" s="318"/>
      <c r="G19" s="318"/>
      <c r="H19" s="243"/>
      <c r="I19" s="243"/>
      <c r="J19" s="303"/>
      <c r="K19" s="320"/>
      <c r="L19" s="85"/>
      <c r="M19" s="86"/>
      <c r="N19" s="86"/>
      <c r="O19" s="86"/>
      <c r="P19" s="86"/>
      <c r="Q19" s="86"/>
      <c r="R19" s="86"/>
      <c r="S19" s="86"/>
    </row>
    <row r="20" spans="2:19" ht="15.75" x14ac:dyDescent="0.3">
      <c r="B20" s="278" t="s">
        <v>27</v>
      </c>
      <c r="C20" s="111" t="s">
        <v>87</v>
      </c>
      <c r="D20" s="111"/>
      <c r="E20" s="113"/>
      <c r="F20" s="166" t="s">
        <v>46</v>
      </c>
      <c r="G20" s="151" t="e">
        <f>F20/F8</f>
        <v>#VALUE!</v>
      </c>
      <c r="H20" s="111"/>
      <c r="I20" s="111"/>
      <c r="J20" s="16" t="s">
        <v>10</v>
      </c>
      <c r="K20" s="13" t="str">
        <f>IF(F20="??","??",IF(G20&lt;15%,"Yes","No"))</f>
        <v>??</v>
      </c>
      <c r="L20" s="121" t="s">
        <v>148</v>
      </c>
      <c r="M20" s="86"/>
      <c r="N20" s="86"/>
      <c r="O20" s="86"/>
      <c r="P20" s="86"/>
      <c r="Q20" s="86"/>
      <c r="R20" s="86"/>
      <c r="S20" s="86"/>
    </row>
    <row r="21" spans="2:19" ht="16.5" thickBot="1" x14ac:dyDescent="0.35">
      <c r="B21" s="114" t="s">
        <v>29</v>
      </c>
      <c r="C21" s="88" t="s">
        <v>86</v>
      </c>
      <c r="D21" s="88"/>
      <c r="E21" s="153" t="s">
        <v>26</v>
      </c>
      <c r="F21" s="167" t="s">
        <v>46</v>
      </c>
      <c r="G21" s="152" t="e">
        <f>F21/F8</f>
        <v>#VALUE!</v>
      </c>
      <c r="H21" s="115" t="s">
        <v>26</v>
      </c>
      <c r="I21" s="88"/>
      <c r="J21" s="116" t="s">
        <v>12</v>
      </c>
      <c r="K21" s="14" t="str">
        <f>'Calculations 60Gy_8F'!K31</f>
        <v>??</v>
      </c>
      <c r="L21" s="85" t="s">
        <v>37</v>
      </c>
      <c r="M21" s="86"/>
      <c r="N21" s="86"/>
      <c r="O21" s="86"/>
      <c r="P21" s="86"/>
      <c r="Q21" s="86"/>
      <c r="R21" s="86"/>
      <c r="S21" s="86"/>
    </row>
    <row r="22" spans="2:19" x14ac:dyDescent="0.2">
      <c r="B22" s="96" t="s">
        <v>179</v>
      </c>
      <c r="C22" s="81"/>
      <c r="D22" s="81"/>
      <c r="E22" s="318"/>
      <c r="F22" s="318"/>
      <c r="G22" s="318"/>
      <c r="H22" s="243"/>
      <c r="I22" s="243"/>
      <c r="J22" s="318"/>
      <c r="K22" s="320"/>
      <c r="L22" s="85"/>
      <c r="M22" s="86"/>
      <c r="N22" s="86"/>
      <c r="O22" s="86"/>
      <c r="P22" s="86"/>
      <c r="Q22" s="86"/>
      <c r="R22" s="86"/>
      <c r="S22" s="86"/>
    </row>
    <row r="23" spans="2:19" ht="14.25" x14ac:dyDescent="0.25">
      <c r="B23" s="278" t="s">
        <v>27</v>
      </c>
      <c r="C23" s="117" t="s">
        <v>35</v>
      </c>
      <c r="D23" s="111"/>
      <c r="E23" s="118"/>
      <c r="F23" s="172" t="s">
        <v>46</v>
      </c>
      <c r="G23" s="119"/>
      <c r="H23" s="120"/>
      <c r="I23" s="111"/>
      <c r="J23" s="138" t="e">
        <f ca="1">'Calculations 60Gy_8F'!L27/100</f>
        <v>#N/A</v>
      </c>
      <c r="K23" s="79" t="str">
        <f>'Calculations 60Gy_8F'!K33</f>
        <v>??</v>
      </c>
      <c r="L23" s="121" t="s">
        <v>131</v>
      </c>
      <c r="M23" s="122"/>
      <c r="N23" s="122"/>
      <c r="O23" s="86"/>
      <c r="P23" s="86"/>
      <c r="Q23" s="86"/>
      <c r="R23" s="86"/>
      <c r="S23" s="86"/>
    </row>
    <row r="24" spans="2:19" ht="16.5" thickBot="1" x14ac:dyDescent="0.35">
      <c r="B24" s="114" t="s">
        <v>29</v>
      </c>
      <c r="C24" s="186" t="s">
        <v>180</v>
      </c>
      <c r="D24" s="88"/>
      <c r="E24" s="161"/>
      <c r="F24" s="167" t="s">
        <v>46</v>
      </c>
      <c r="G24" s="123" t="e">
        <f>F24/F8</f>
        <v>#VALUE!</v>
      </c>
      <c r="H24" s="124" t="s">
        <v>26</v>
      </c>
      <c r="I24" s="88"/>
      <c r="J24" s="139" t="e">
        <f ca="1">'Calculations 60Gy_8F'!I27</f>
        <v>#N/A</v>
      </c>
      <c r="K24" s="80" t="str">
        <f>'Calculations 60Gy_8F'!K32</f>
        <v>??</v>
      </c>
      <c r="L24" s="121" t="s">
        <v>132</v>
      </c>
      <c r="M24" s="86"/>
      <c r="N24" s="86"/>
      <c r="O24" s="86"/>
      <c r="P24" s="86"/>
      <c r="Q24" s="86"/>
      <c r="R24" s="86"/>
      <c r="S24" s="86"/>
    </row>
    <row r="25" spans="2:19" x14ac:dyDescent="0.2">
      <c r="B25" s="98" t="s">
        <v>171</v>
      </c>
      <c r="C25" s="93"/>
      <c r="D25" s="93"/>
      <c r="E25" s="94"/>
      <c r="F25" s="106" t="s">
        <v>122</v>
      </c>
      <c r="G25" s="99" t="s">
        <v>128</v>
      </c>
      <c r="H25" s="125"/>
      <c r="I25" s="125"/>
      <c r="J25" s="126" t="s">
        <v>24</v>
      </c>
      <c r="K25" s="127"/>
      <c r="L25" s="85"/>
      <c r="M25" s="86"/>
      <c r="N25" s="86"/>
      <c r="O25" s="86"/>
      <c r="P25" s="86"/>
      <c r="Q25" s="86"/>
      <c r="R25" s="86"/>
      <c r="S25" s="86"/>
    </row>
    <row r="26" spans="2:19" ht="13.5" thickBot="1" x14ac:dyDescent="0.25">
      <c r="B26" s="91"/>
      <c r="C26" s="93"/>
      <c r="D26" s="93"/>
      <c r="E26" s="94"/>
      <c r="F26" s="106" t="s">
        <v>123</v>
      </c>
      <c r="G26" s="99"/>
      <c r="H26" s="125"/>
      <c r="I26" s="125"/>
      <c r="J26" s="171" t="s">
        <v>121</v>
      </c>
      <c r="K26" s="127"/>
      <c r="L26" s="85"/>
      <c r="M26" s="86"/>
      <c r="N26" s="86"/>
      <c r="O26" s="86"/>
      <c r="P26" s="86"/>
      <c r="Q26" s="86"/>
      <c r="R26" s="86"/>
      <c r="S26" s="86"/>
    </row>
    <row r="27" spans="2:19" ht="14.25" x14ac:dyDescent="0.25">
      <c r="B27" s="242" t="s">
        <v>141</v>
      </c>
      <c r="C27" s="243"/>
      <c r="D27" s="348" t="s">
        <v>118</v>
      </c>
      <c r="E27" s="349"/>
      <c r="F27" s="244" t="s">
        <v>46</v>
      </c>
      <c r="G27" s="245" t="s">
        <v>26</v>
      </c>
      <c r="H27" s="243"/>
      <c r="I27" s="243"/>
      <c r="J27" s="246" t="s">
        <v>47</v>
      </c>
      <c r="K27" s="247" t="str">
        <f>'Calculations 60Gy_8F'!K34</f>
        <v>??</v>
      </c>
      <c r="L27" s="85" t="s">
        <v>36</v>
      </c>
      <c r="M27" s="86"/>
      <c r="N27" s="86"/>
      <c r="O27" s="86"/>
      <c r="P27" s="86"/>
      <c r="Q27" s="86"/>
      <c r="R27" s="86"/>
      <c r="S27" s="86"/>
    </row>
    <row r="28" spans="2:19" x14ac:dyDescent="0.2">
      <c r="B28" s="162" t="s">
        <v>98</v>
      </c>
      <c r="C28" s="93" t="s">
        <v>26</v>
      </c>
      <c r="D28" s="100"/>
      <c r="E28" s="289" t="s">
        <v>40</v>
      </c>
      <c r="F28" s="240" t="s">
        <v>46</v>
      </c>
      <c r="G28" s="94"/>
      <c r="H28" s="93"/>
      <c r="I28" s="93"/>
      <c r="J28" s="106">
        <v>6400</v>
      </c>
      <c r="K28" s="241" t="str">
        <f>IF(F28="??","??",IF(F28&lt;=6400,"Yes","No"))</f>
        <v>??</v>
      </c>
      <c r="L28" s="121" t="s">
        <v>114</v>
      </c>
      <c r="M28" s="86"/>
      <c r="N28" s="86"/>
      <c r="O28" s="86"/>
      <c r="P28" s="86"/>
      <c r="Q28" s="86"/>
      <c r="R28" s="86"/>
      <c r="S28" s="86"/>
    </row>
    <row r="29" spans="2:19" ht="14.25" x14ac:dyDescent="0.25">
      <c r="B29" s="193"/>
      <c r="C29" s="194"/>
      <c r="D29" s="129"/>
      <c r="E29" s="209" t="s">
        <v>107</v>
      </c>
      <c r="F29" s="6" t="str">
        <f>IF(F28&lt;=6000,"OK","??")</f>
        <v>??</v>
      </c>
      <c r="G29" s="107"/>
      <c r="H29" s="100"/>
      <c r="I29" s="100"/>
      <c r="J29" s="101">
        <v>10</v>
      </c>
      <c r="K29" s="163" t="str">
        <f>IF(F29="??","??",IF(F29&lt;=10,"Yes",IF(F29="OK","Yes","No")))</f>
        <v>??</v>
      </c>
      <c r="L29" s="85"/>
      <c r="M29" s="86"/>
      <c r="N29" s="86"/>
      <c r="O29" s="86"/>
      <c r="P29" s="86"/>
      <c r="Q29" s="86"/>
      <c r="R29" s="86"/>
      <c r="S29" s="86"/>
    </row>
    <row r="30" spans="2:19" x14ac:dyDescent="0.2">
      <c r="B30" s="173" t="s">
        <v>164</v>
      </c>
      <c r="C30" s="100"/>
      <c r="D30" s="100"/>
      <c r="E30" s="289" t="s">
        <v>40</v>
      </c>
      <c r="F30" s="5" t="s">
        <v>46</v>
      </c>
      <c r="G30" s="107"/>
      <c r="H30" s="100"/>
      <c r="I30" s="100"/>
      <c r="J30" s="101">
        <v>6400</v>
      </c>
      <c r="K30" s="163" t="str">
        <f>IF(F30="??","??",IF(F30&lt;=6400,"Yes","No"))</f>
        <v>??</v>
      </c>
      <c r="L30" s="121" t="s">
        <v>114</v>
      </c>
      <c r="M30" s="86"/>
      <c r="N30" s="86"/>
      <c r="O30" s="86"/>
      <c r="P30" s="86"/>
      <c r="Q30" s="86"/>
      <c r="R30" s="86"/>
      <c r="S30" s="86"/>
    </row>
    <row r="31" spans="2:19" ht="14.25" x14ac:dyDescent="0.25">
      <c r="B31" s="193"/>
      <c r="C31" s="194"/>
      <c r="D31" s="129"/>
      <c r="E31" s="209" t="s">
        <v>107</v>
      </c>
      <c r="F31" s="6" t="str">
        <f>IF(F30&lt;=6000,"OK","??")</f>
        <v>??</v>
      </c>
      <c r="G31" s="107"/>
      <c r="H31" s="100"/>
      <c r="I31" s="100"/>
      <c r="J31" s="101">
        <v>10</v>
      </c>
      <c r="K31" s="163" t="str">
        <f>IF(F31="??","??",IF(F31&lt;=10,"Yes",IF(F31="OK","Yes","No")))</f>
        <v>??</v>
      </c>
      <c r="L31" s="85"/>
      <c r="M31" s="86"/>
      <c r="N31" s="86"/>
      <c r="O31" s="86"/>
      <c r="P31" s="86"/>
      <c r="Q31" s="86"/>
      <c r="R31" s="86"/>
      <c r="S31" s="86"/>
    </row>
    <row r="32" spans="2:19" x14ac:dyDescent="0.2">
      <c r="B32" s="91" t="s">
        <v>15</v>
      </c>
      <c r="C32" s="93"/>
      <c r="D32" s="155"/>
      <c r="E32" s="132" t="s">
        <v>40</v>
      </c>
      <c r="F32" s="150" t="s">
        <v>46</v>
      </c>
      <c r="G32" s="107"/>
      <c r="H32" s="100"/>
      <c r="I32" s="100"/>
      <c r="J32" s="108">
        <v>3200</v>
      </c>
      <c r="K32" s="163" t="str">
        <f>IF(F32="??","??",IF(F32&lt;=3200,"Yes","No"))</f>
        <v>??</v>
      </c>
      <c r="L32" s="85" t="s">
        <v>20</v>
      </c>
      <c r="M32" s="86"/>
      <c r="N32" s="86"/>
      <c r="O32" s="86"/>
      <c r="P32" s="86"/>
      <c r="Q32" s="86"/>
      <c r="R32" s="86"/>
      <c r="S32" s="86"/>
    </row>
    <row r="33" spans="2:19" x14ac:dyDescent="0.2">
      <c r="B33" s="173" t="s">
        <v>129</v>
      </c>
      <c r="C33" s="100"/>
      <c r="D33" s="100"/>
      <c r="E33" s="289" t="s">
        <v>40</v>
      </c>
      <c r="F33" s="150" t="s">
        <v>46</v>
      </c>
      <c r="G33" s="107"/>
      <c r="H33" s="100"/>
      <c r="I33" s="100"/>
      <c r="J33" s="108">
        <v>3800</v>
      </c>
      <c r="K33" s="163" t="str">
        <f>IF(F33="??","??",IF(F33&lt;=3800,"Yes","No"))</f>
        <v>??</v>
      </c>
      <c r="L33" s="121" t="s">
        <v>114</v>
      </c>
      <c r="M33" s="86"/>
      <c r="N33" s="86"/>
      <c r="O33" s="86"/>
      <c r="P33" s="86"/>
      <c r="Q33" s="86"/>
      <c r="R33" s="86"/>
      <c r="S33" s="86"/>
    </row>
    <row r="34" spans="2:19" ht="14.25" x14ac:dyDescent="0.25">
      <c r="B34" s="156"/>
      <c r="C34" s="194"/>
      <c r="D34" s="129"/>
      <c r="E34" s="210" t="s">
        <v>92</v>
      </c>
      <c r="F34" s="6" t="str">
        <f>IF(F33&lt;=3000,"OK","??")</f>
        <v>??</v>
      </c>
      <c r="G34" s="107"/>
      <c r="H34" s="100"/>
      <c r="I34" s="100"/>
      <c r="J34" s="108">
        <v>3</v>
      </c>
      <c r="K34" s="163" t="str">
        <f>IF(F34="??","??",IF(F34&lt;=3,"Yes",IF(F34="OK","Yes","No")))</f>
        <v>??</v>
      </c>
      <c r="L34" s="121"/>
      <c r="M34" s="86"/>
      <c r="N34" s="86"/>
      <c r="O34" s="86"/>
      <c r="P34" s="86"/>
      <c r="Q34" s="86"/>
      <c r="R34" s="86"/>
      <c r="S34" s="86"/>
    </row>
    <row r="35" spans="2:19" x14ac:dyDescent="0.2">
      <c r="B35" s="133" t="s">
        <v>16</v>
      </c>
      <c r="C35" s="100"/>
      <c r="D35" s="100"/>
      <c r="E35" s="287" t="s">
        <v>40</v>
      </c>
      <c r="F35" s="150" t="s">
        <v>46</v>
      </c>
      <c r="G35" s="107"/>
      <c r="H35" s="100"/>
      <c r="I35" s="100"/>
      <c r="J35" s="108">
        <v>6400</v>
      </c>
      <c r="K35" s="163" t="str">
        <f>IF(F35="??","??",IF(F35&lt;=6400,"Yes","No"))</f>
        <v>??</v>
      </c>
      <c r="L35" s="85" t="s">
        <v>20</v>
      </c>
      <c r="M35" s="86"/>
      <c r="N35" s="86"/>
      <c r="O35" s="86"/>
      <c r="P35" s="86"/>
      <c r="Q35" s="86"/>
      <c r="R35" s="86"/>
      <c r="S35" s="86"/>
    </row>
    <row r="36" spans="2:19" ht="14.25" x14ac:dyDescent="0.25">
      <c r="B36" s="193"/>
      <c r="C36" s="194"/>
      <c r="D36" s="129"/>
      <c r="E36" s="209" t="s">
        <v>107</v>
      </c>
      <c r="F36" s="6" t="str">
        <f>IF(F35&lt;=6000,"OK","??")</f>
        <v>??</v>
      </c>
      <c r="G36" s="107"/>
      <c r="H36" s="100"/>
      <c r="I36" s="100"/>
      <c r="J36" s="101">
        <v>10</v>
      </c>
      <c r="K36" s="163" t="str">
        <f>IF(F36="??","??",IF(F36&lt;=10,"Yes",IF(F36="OK","Yes","No")))</f>
        <v>??</v>
      </c>
      <c r="L36" s="121" t="s">
        <v>114</v>
      </c>
      <c r="M36" s="86"/>
      <c r="N36" s="86"/>
      <c r="O36" s="86"/>
      <c r="P36" s="86"/>
      <c r="Q36" s="86"/>
      <c r="R36" s="86"/>
      <c r="S36" s="86"/>
    </row>
    <row r="37" spans="2:19" x14ac:dyDescent="0.2">
      <c r="B37" s="133" t="s">
        <v>13</v>
      </c>
      <c r="C37" s="100"/>
      <c r="D37" s="100"/>
      <c r="E37" s="131" t="s">
        <v>40</v>
      </c>
      <c r="F37" s="150" t="s">
        <v>46</v>
      </c>
      <c r="G37" s="107"/>
      <c r="H37" s="100"/>
      <c r="I37" s="100"/>
      <c r="J37" s="108">
        <v>4000</v>
      </c>
      <c r="K37" s="163" t="str">
        <f>IF(F37="??","??",IF(F37&lt;=4000,"Yes","No"))</f>
        <v>??</v>
      </c>
      <c r="L37" s="121" t="s">
        <v>114</v>
      </c>
      <c r="M37" s="86"/>
      <c r="N37" s="86"/>
      <c r="O37" s="86"/>
      <c r="P37" s="86"/>
      <c r="Q37" s="86"/>
      <c r="R37" s="86"/>
      <c r="S37" s="86"/>
    </row>
    <row r="38" spans="2:19" x14ac:dyDescent="0.2">
      <c r="B38" s="173" t="s">
        <v>95</v>
      </c>
      <c r="C38" s="100"/>
      <c r="D38" s="100"/>
      <c r="E38" s="287" t="s">
        <v>40</v>
      </c>
      <c r="F38" s="150" t="s">
        <v>46</v>
      </c>
      <c r="G38" s="107"/>
      <c r="H38" s="100"/>
      <c r="I38" s="100"/>
      <c r="J38" s="108">
        <v>6000</v>
      </c>
      <c r="K38" s="163" t="str">
        <f>IF(F38="??","??",IF(F38&lt;=6000,"Yes","No"))</f>
        <v>??</v>
      </c>
      <c r="L38" s="121" t="s">
        <v>114</v>
      </c>
      <c r="M38" s="86"/>
      <c r="N38" s="86"/>
      <c r="O38" s="86"/>
      <c r="P38" s="86"/>
      <c r="Q38" s="86"/>
      <c r="R38" s="86"/>
      <c r="S38" s="86"/>
    </row>
    <row r="39" spans="2:19" ht="14.25" x14ac:dyDescent="0.25">
      <c r="B39" s="91"/>
      <c r="C39" s="125"/>
      <c r="D39" s="129"/>
      <c r="E39" s="209" t="s">
        <v>115</v>
      </c>
      <c r="F39" s="6" t="str">
        <f>IF(F38&lt;=5000,"OK","??")</f>
        <v>??</v>
      </c>
      <c r="G39" s="107"/>
      <c r="H39" s="100"/>
      <c r="I39" s="100"/>
      <c r="J39" s="101">
        <v>5</v>
      </c>
      <c r="K39" s="163" t="str">
        <f>IF(F39="??","??",IF(F39&lt;=5,"Yes",IF(F39="OK","Yes","No")))</f>
        <v>??</v>
      </c>
      <c r="L39" s="121" t="s">
        <v>114</v>
      </c>
      <c r="M39" s="86"/>
      <c r="N39" s="86"/>
      <c r="O39" s="86"/>
      <c r="P39" s="192"/>
      <c r="Q39" s="86"/>
      <c r="R39" s="86"/>
      <c r="S39" s="86"/>
    </row>
    <row r="40" spans="2:19" x14ac:dyDescent="0.2">
      <c r="B40" s="173" t="s">
        <v>136</v>
      </c>
      <c r="C40" s="223"/>
      <c r="D40" s="100"/>
      <c r="E40" s="287" t="s">
        <v>40</v>
      </c>
      <c r="F40" s="166" t="str">
        <f>IF(MAX(A40:A40)&gt;0,MAX(A40:A40),"??")</f>
        <v>??</v>
      </c>
      <c r="G40" s="225" t="s">
        <v>26</v>
      </c>
      <c r="H40" s="111"/>
      <c r="I40" s="111"/>
      <c r="J40" s="16">
        <v>6400</v>
      </c>
      <c r="K40" s="163" t="str">
        <f>IF(F40="??","??",IF(F40&lt;=6400,"Yes","No"))</f>
        <v>??</v>
      </c>
      <c r="L40" s="85" t="s">
        <v>20</v>
      </c>
      <c r="M40" s="86"/>
      <c r="N40" s="86"/>
      <c r="O40" s="86"/>
      <c r="P40" s="86"/>
      <c r="Q40" s="86"/>
      <c r="R40" s="86"/>
      <c r="S40" s="86"/>
    </row>
    <row r="41" spans="2:19" x14ac:dyDescent="0.2">
      <c r="B41" s="162" t="s">
        <v>138</v>
      </c>
      <c r="C41" s="224"/>
      <c r="D41" s="93"/>
      <c r="E41" s="132" t="s">
        <v>40</v>
      </c>
      <c r="F41" s="166" t="s">
        <v>46</v>
      </c>
      <c r="G41" s="339"/>
      <c r="H41" s="93"/>
      <c r="I41" s="93"/>
      <c r="J41" s="108">
        <v>6400</v>
      </c>
      <c r="K41" s="163" t="str">
        <f>IF(F41="??","??",IF(F41&lt;=6400,"Yes","No"))</f>
        <v>??</v>
      </c>
      <c r="L41" s="85"/>
      <c r="M41" s="86"/>
      <c r="N41" s="86"/>
      <c r="O41" s="86"/>
      <c r="P41" s="86"/>
      <c r="Q41" s="86"/>
      <c r="R41" s="86"/>
      <c r="S41" s="86"/>
    </row>
    <row r="42" spans="2:19" ht="14.25" x14ac:dyDescent="0.25">
      <c r="B42" s="206"/>
      <c r="C42" s="235"/>
      <c r="D42" s="93"/>
      <c r="E42" s="95" t="s">
        <v>140</v>
      </c>
      <c r="F42" s="166" t="str">
        <f>IF(MAX(A42:A42)&gt;0,MAX(A42:A42),"??")</f>
        <v>??</v>
      </c>
      <c r="G42" s="226" t="s">
        <v>26</v>
      </c>
      <c r="H42" s="93"/>
      <c r="I42" s="93"/>
      <c r="J42" s="108">
        <v>5</v>
      </c>
      <c r="K42" s="163" t="str">
        <f>IF(F42="??","??",IF(F42&lt;=5,"Yes",IF(F42="OK","Yes","No")))</f>
        <v>??</v>
      </c>
      <c r="L42" s="121" t="s">
        <v>114</v>
      </c>
      <c r="M42" s="86"/>
      <c r="N42" s="86"/>
      <c r="O42" s="86"/>
      <c r="P42" s="86"/>
      <c r="Q42" s="86"/>
      <c r="R42" s="86"/>
      <c r="S42" s="86"/>
    </row>
    <row r="43" spans="2:19" x14ac:dyDescent="0.2">
      <c r="B43" s="133" t="s">
        <v>100</v>
      </c>
      <c r="C43" s="100"/>
      <c r="D43" s="100"/>
      <c r="E43" s="287" t="s">
        <v>40</v>
      </c>
      <c r="F43" s="166" t="s">
        <v>46</v>
      </c>
      <c r="G43" s="113"/>
      <c r="H43" s="111"/>
      <c r="I43" s="111"/>
      <c r="J43" s="16">
        <v>4000</v>
      </c>
      <c r="K43" s="163" t="str">
        <f>IF(F43="??","??",IF(F43&lt;=4000,"Yes","No"))</f>
        <v>??</v>
      </c>
      <c r="L43" s="121" t="s">
        <v>114</v>
      </c>
      <c r="M43" s="86"/>
      <c r="N43" s="86"/>
      <c r="O43" s="86"/>
      <c r="P43" s="86"/>
      <c r="Q43" s="86"/>
      <c r="R43" s="86"/>
      <c r="S43" s="86"/>
    </row>
    <row r="44" spans="2:19" ht="15" thickBot="1" x14ac:dyDescent="0.3">
      <c r="B44" s="87" t="s">
        <v>101</v>
      </c>
      <c r="C44" s="186"/>
      <c r="D44" s="88" t="s">
        <v>26</v>
      </c>
      <c r="E44" s="237" t="s">
        <v>97</v>
      </c>
      <c r="F44" s="165" t="str">
        <f>IF(F43&lt;=3600,"OK","??")</f>
        <v>??</v>
      </c>
      <c r="G44" s="89"/>
      <c r="H44" s="88"/>
      <c r="I44" s="88"/>
      <c r="J44" s="116">
        <v>1</v>
      </c>
      <c r="K44" s="164" t="str">
        <f>IF(F44="??","??",IF(F44&lt;=1,"Yes",IF(F44="OK","Yes","No")))</f>
        <v>??</v>
      </c>
      <c r="L44" s="121" t="s">
        <v>114</v>
      </c>
      <c r="M44" s="86"/>
      <c r="N44" s="86"/>
      <c r="O44" s="86"/>
      <c r="P44" s="192"/>
      <c r="Q44" s="86"/>
      <c r="R44" s="86"/>
      <c r="S44" s="86"/>
    </row>
    <row r="45" spans="2:19" x14ac:dyDescent="0.2">
      <c r="B45" s="86"/>
      <c r="C45" s="86"/>
      <c r="D45" s="86"/>
      <c r="E45" s="136"/>
      <c r="F45" s="136"/>
      <c r="G45" s="136"/>
      <c r="H45" s="86"/>
      <c r="I45" s="86"/>
      <c r="J45" s="136"/>
      <c r="K45" s="136"/>
      <c r="L45" s="85"/>
      <c r="M45" s="86"/>
      <c r="N45" s="86"/>
      <c r="O45" s="86"/>
      <c r="P45" s="86"/>
      <c r="Q45" s="86"/>
      <c r="R45" s="86"/>
      <c r="S45" s="86"/>
    </row>
    <row r="46" spans="2:19" x14ac:dyDescent="0.2">
      <c r="B46" s="86"/>
      <c r="C46" s="86"/>
      <c r="D46" s="86"/>
      <c r="E46" s="136"/>
      <c r="F46" s="136"/>
      <c r="G46" s="136"/>
      <c r="H46" s="86"/>
      <c r="I46" s="86"/>
      <c r="J46" s="136"/>
      <c r="K46" s="136"/>
      <c r="L46" s="85"/>
      <c r="M46" s="86"/>
    </row>
    <row r="47" spans="2:19" x14ac:dyDescent="0.2">
      <c r="B47" s="86"/>
      <c r="C47" s="86"/>
      <c r="D47" s="86"/>
      <c r="E47" s="136"/>
      <c r="F47" s="136"/>
      <c r="G47" s="136"/>
      <c r="H47" s="86"/>
      <c r="I47" s="86"/>
      <c r="J47" s="136"/>
      <c r="K47" s="136"/>
      <c r="L47" s="85"/>
      <c r="M47" s="86"/>
    </row>
    <row r="48" spans="2:19" x14ac:dyDescent="0.2">
      <c r="B48" s="86"/>
      <c r="C48" s="86"/>
      <c r="D48" s="86"/>
      <c r="E48" s="136"/>
      <c r="F48" s="136"/>
      <c r="G48" s="136"/>
      <c r="H48" s="86"/>
      <c r="I48" s="86"/>
      <c r="J48" s="136"/>
      <c r="K48" s="136"/>
      <c r="L48" s="85"/>
      <c r="M48" s="86"/>
    </row>
  </sheetData>
  <sheetProtection formatCells="0"/>
  <mergeCells count="1">
    <mergeCell ref="D27:E27"/>
  </mergeCells>
  <phoneticPr fontId="2" type="noConversion"/>
  <conditionalFormatting sqref="K28:K44">
    <cfRule type="containsText" dxfId="89" priority="22" stopIfTrue="1" operator="containsText" text="No">
      <formula>NOT(ISERROR(SEARCH("No",K28)))</formula>
    </cfRule>
  </conditionalFormatting>
  <conditionalFormatting sqref="K19:K26">
    <cfRule type="containsText" dxfId="88" priority="20" stopIfTrue="1" operator="containsText" text="No">
      <formula>NOT(ISERROR(SEARCH("No",K19)))</formula>
    </cfRule>
    <cfRule type="containsText" dxfId="87" priority="21" stopIfTrue="1" operator="containsText" text="Major">
      <formula>NOT(ISERROR(SEARCH("Major",K19)))</formula>
    </cfRule>
  </conditionalFormatting>
  <conditionalFormatting sqref="K19:K24">
    <cfRule type="containsText" dxfId="86" priority="17" stopIfTrue="1" operator="containsText" text="Minor">
      <formula>NOT(ISERROR(SEARCH("Minor",K19)))</formula>
    </cfRule>
  </conditionalFormatting>
  <conditionalFormatting sqref="K27">
    <cfRule type="containsText" dxfId="85" priority="11" stopIfTrue="1" operator="containsText" text="Minor">
      <formula>NOT(ISERROR(SEARCH("Minor",K27)))</formula>
    </cfRule>
    <cfRule type="containsText" dxfId="84" priority="12" stopIfTrue="1" operator="containsText" text="Major">
      <formula>NOT(ISERROR(SEARCH("Major",K27)))</formula>
    </cfRule>
    <cfRule type="containsText" dxfId="83" priority="16" stopIfTrue="1" operator="containsText" text="No">
      <formula>NOT(ISERROR(SEARCH("No",K27)))</formula>
    </cfRule>
  </conditionalFormatting>
  <conditionalFormatting sqref="K13:K14">
    <cfRule type="containsText" dxfId="82" priority="13" stopIfTrue="1" operator="containsText" text="Minor">
      <formula>NOT(ISERROR(SEARCH("Minor",K13)))</formula>
    </cfRule>
    <cfRule type="containsText" dxfId="81" priority="14" stopIfTrue="1" operator="containsText" text="No">
      <formula>NOT(ISERROR(SEARCH("No",K13)))</formula>
    </cfRule>
    <cfRule type="containsText" dxfId="80" priority="15" stopIfTrue="1" operator="containsText" text="Major">
      <formula>NOT(ISERROR(SEARCH("Major",K13)))</formula>
    </cfRule>
  </conditionalFormatting>
  <conditionalFormatting sqref="K15">
    <cfRule type="containsText" dxfId="79" priority="10" stopIfTrue="1" operator="containsText" text="No">
      <formula>NOT(ISERROR(SEARCH("No",K15)))</formula>
    </cfRule>
  </conditionalFormatting>
  <conditionalFormatting sqref="K16">
    <cfRule type="containsText" dxfId="78" priority="7" stopIfTrue="1" operator="containsText" text="Minor">
      <formula>NOT(ISERROR(SEARCH("Minor",K16)))</formula>
    </cfRule>
    <cfRule type="containsText" dxfId="77" priority="8" stopIfTrue="1" operator="containsText" text="No">
      <formula>NOT(ISERROR(SEARCH("No",K16)))</formula>
    </cfRule>
    <cfRule type="containsText" dxfId="76" priority="9" stopIfTrue="1" operator="containsText" text="Major">
      <formula>NOT(ISERROR(SEARCH("Major",K16)))</formula>
    </cfRule>
  </conditionalFormatting>
  <conditionalFormatting sqref="K17">
    <cfRule type="containsText" dxfId="75" priority="4" stopIfTrue="1" operator="containsText" text="Minor">
      <formula>NOT(ISERROR(SEARCH("Minor",K17)))</formula>
    </cfRule>
    <cfRule type="containsText" dxfId="74" priority="5" stopIfTrue="1" operator="containsText" text="No">
      <formula>NOT(ISERROR(SEARCH("No",K17)))</formula>
    </cfRule>
    <cfRule type="containsText" dxfId="73" priority="6" stopIfTrue="1" operator="containsText" text="Major">
      <formula>NOT(ISERROR(SEARCH("Major",K17)))</formula>
    </cfRule>
  </conditionalFormatting>
  <conditionalFormatting sqref="K18">
    <cfRule type="containsText" dxfId="72" priority="1" stopIfTrue="1" operator="containsText" text="Minor">
      <formula>NOT(ISERROR(SEARCH("Minor",K18)))</formula>
    </cfRule>
    <cfRule type="containsText" dxfId="71" priority="2" stopIfTrue="1" operator="containsText" text="No">
      <formula>NOT(ISERROR(SEARCH("No",K18)))</formula>
    </cfRule>
    <cfRule type="containsText" dxfId="70" priority="3" stopIfTrue="1" operator="containsText" text="Major">
      <formula>NOT(ISERROR(SEARCH("Major",K18)))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T46"/>
  <sheetViews>
    <sheetView zoomScaleNormal="100" workbookViewId="0">
      <selection activeCell="G48" sqref="G48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hidden="1" customWidth="1"/>
    <col min="9" max="9" width="3.140625" hidden="1" customWidth="1"/>
    <col min="10" max="10" width="13.85546875" style="1" customWidth="1"/>
    <col min="11" max="11" width="15.5703125" style="1" customWidth="1"/>
    <col min="12" max="12" width="14" style="2" customWidth="1"/>
  </cols>
  <sheetData>
    <row r="1" spans="2:20" ht="13.5" thickBot="1" x14ac:dyDescent="0.25"/>
    <row r="2" spans="2:20" ht="13.5" thickBot="1" x14ac:dyDescent="0.25">
      <c r="B2" s="267"/>
      <c r="C2" s="268"/>
      <c r="D2" s="268"/>
      <c r="E2" s="269"/>
      <c r="F2" s="324" t="s">
        <v>143</v>
      </c>
      <c r="G2" s="269"/>
      <c r="H2" s="268"/>
      <c r="I2" s="268"/>
      <c r="J2" s="269"/>
      <c r="K2" s="270"/>
      <c r="L2" s="85"/>
      <c r="M2" s="86"/>
    </row>
    <row r="3" spans="2:20" x14ac:dyDescent="0.2">
      <c r="B3" s="98" t="s">
        <v>0</v>
      </c>
      <c r="C3" s="19"/>
      <c r="D3" s="93"/>
      <c r="E3" s="92" t="s">
        <v>117</v>
      </c>
      <c r="F3" s="94"/>
      <c r="G3" s="144"/>
      <c r="H3" s="93"/>
      <c r="I3" s="93"/>
      <c r="J3" s="95" t="s">
        <v>2</v>
      </c>
      <c r="K3" s="17"/>
      <c r="L3" s="85"/>
      <c r="M3" s="86"/>
    </row>
    <row r="4" spans="2:20" ht="13.5" thickBot="1" x14ac:dyDescent="0.25">
      <c r="B4" s="98" t="s">
        <v>1</v>
      </c>
      <c r="C4" s="20"/>
      <c r="D4" s="93"/>
      <c r="E4" s="92" t="s">
        <v>116</v>
      </c>
      <c r="F4" s="94"/>
      <c r="G4" s="144"/>
      <c r="H4" s="93"/>
      <c r="I4" s="93"/>
      <c r="J4" s="95" t="s">
        <v>3</v>
      </c>
      <c r="K4" s="18"/>
      <c r="L4" s="85"/>
      <c r="M4" s="86"/>
    </row>
    <row r="5" spans="2:20" x14ac:dyDescent="0.2">
      <c r="B5" s="96" t="s">
        <v>9</v>
      </c>
      <c r="C5" s="81"/>
      <c r="D5" s="81"/>
      <c r="E5" s="82"/>
      <c r="F5" s="82"/>
      <c r="G5" s="82"/>
      <c r="H5" s="81"/>
      <c r="I5" s="81"/>
      <c r="J5" s="82"/>
      <c r="K5" s="84"/>
      <c r="L5" s="85"/>
      <c r="M5" s="86"/>
    </row>
    <row r="6" spans="2:20" x14ac:dyDescent="0.2">
      <c r="B6" s="91" t="s">
        <v>4</v>
      </c>
      <c r="C6" s="93"/>
      <c r="D6" s="93"/>
      <c r="E6" s="94"/>
      <c r="F6" s="21" t="s">
        <v>26</v>
      </c>
      <c r="G6" s="94"/>
      <c r="H6" s="93"/>
      <c r="I6" s="93"/>
      <c r="J6" s="94"/>
      <c r="K6" s="97"/>
      <c r="L6" s="85"/>
      <c r="M6" s="251"/>
      <c r="N6" s="252"/>
      <c r="O6" s="252"/>
      <c r="P6" s="252"/>
      <c r="Q6" s="252"/>
      <c r="R6" s="252"/>
      <c r="S6" s="252"/>
      <c r="T6" s="252"/>
    </row>
    <row r="7" spans="2:20" x14ac:dyDescent="0.2">
      <c r="B7" s="91" t="s">
        <v>5</v>
      </c>
      <c r="C7" s="93"/>
      <c r="D7" s="93"/>
      <c r="E7" s="94"/>
      <c r="F7" s="21"/>
      <c r="G7" s="94"/>
      <c r="H7" s="93"/>
      <c r="I7" s="93"/>
      <c r="J7" s="94"/>
      <c r="K7" s="97"/>
      <c r="L7" s="85"/>
      <c r="M7" s="251"/>
      <c r="N7" s="252"/>
      <c r="O7" s="252"/>
      <c r="P7" s="252"/>
      <c r="Q7" s="252"/>
      <c r="R7" s="252"/>
      <c r="S7" s="252"/>
      <c r="T7" s="252"/>
    </row>
    <row r="8" spans="2:20" x14ac:dyDescent="0.2">
      <c r="B8" s="91" t="s">
        <v>6</v>
      </c>
      <c r="C8" s="93"/>
      <c r="D8" s="93"/>
      <c r="E8" s="94"/>
      <c r="F8" s="154"/>
      <c r="G8" s="94"/>
      <c r="H8" s="93"/>
      <c r="I8" s="93"/>
      <c r="J8" s="94"/>
      <c r="K8" s="97"/>
      <c r="L8" s="85"/>
      <c r="M8" s="251"/>
      <c r="N8" s="252"/>
      <c r="O8" s="252"/>
      <c r="P8" s="252"/>
      <c r="Q8" s="252"/>
      <c r="R8" s="252"/>
      <c r="S8" s="252"/>
      <c r="T8" s="252"/>
    </row>
    <row r="9" spans="2:20" ht="13.5" thickBot="1" x14ac:dyDescent="0.25">
      <c r="B9" s="87" t="s">
        <v>7</v>
      </c>
      <c r="C9" s="88"/>
      <c r="D9" s="88"/>
      <c r="E9" s="89"/>
      <c r="F9" s="22"/>
      <c r="G9" s="89"/>
      <c r="H9" s="88"/>
      <c r="I9" s="88"/>
      <c r="J9" s="89"/>
      <c r="K9" s="90"/>
      <c r="L9" s="85"/>
      <c r="M9" s="86"/>
    </row>
    <row r="10" spans="2:20" x14ac:dyDescent="0.2">
      <c r="B10" s="96" t="s">
        <v>8</v>
      </c>
      <c r="C10" s="81"/>
      <c r="E10" s="279"/>
      <c r="F10" s="174" t="s">
        <v>28</v>
      </c>
      <c r="G10" s="175"/>
      <c r="H10" s="109" t="s">
        <v>26</v>
      </c>
      <c r="I10" s="81"/>
      <c r="J10" s="176" t="s">
        <v>26</v>
      </c>
      <c r="K10" s="177" t="s">
        <v>26</v>
      </c>
      <c r="L10" s="85"/>
      <c r="M10" s="86"/>
    </row>
    <row r="11" spans="2:20" x14ac:dyDescent="0.2">
      <c r="B11" s="133"/>
      <c r="C11" s="100"/>
      <c r="D11" s="100"/>
      <c r="E11" s="100"/>
      <c r="F11" s="101" t="s">
        <v>124</v>
      </c>
      <c r="G11" s="102" t="s">
        <v>128</v>
      </c>
      <c r="H11" s="103" t="s">
        <v>19</v>
      </c>
      <c r="I11" s="100"/>
      <c r="J11" s="101" t="s">
        <v>18</v>
      </c>
      <c r="K11" s="104" t="s">
        <v>11</v>
      </c>
      <c r="L11" s="105" t="s">
        <v>30</v>
      </c>
      <c r="M11" s="86"/>
    </row>
    <row r="12" spans="2:20" x14ac:dyDescent="0.2">
      <c r="B12" s="91"/>
      <c r="C12" s="93"/>
      <c r="D12" s="93"/>
      <c r="E12" s="94"/>
      <c r="F12" s="207" t="s">
        <v>125</v>
      </c>
      <c r="G12" s="99"/>
      <c r="H12" s="92"/>
      <c r="I12" s="93"/>
      <c r="J12" s="106" t="s">
        <v>17</v>
      </c>
      <c r="K12" s="97"/>
      <c r="L12" s="85"/>
      <c r="M12" s="86"/>
      <c r="O12" s="2"/>
    </row>
    <row r="13" spans="2:20" x14ac:dyDescent="0.2">
      <c r="B13" s="133" t="s">
        <v>31</v>
      </c>
      <c r="C13" s="100"/>
      <c r="D13" s="100"/>
      <c r="E13" s="107"/>
      <c r="F13" s="170" t="s">
        <v>46</v>
      </c>
      <c r="G13" s="231"/>
      <c r="H13" s="182" t="b">
        <f>AND((G13&gt;59.99%),(G13&lt;95.01%))</f>
        <v>0</v>
      </c>
      <c r="I13" s="100"/>
      <c r="J13" s="180" t="s">
        <v>112</v>
      </c>
      <c r="K13" s="11" t="str">
        <f>IF(F13="??","??",IF((AND((F13&gt;59.99%),(F13&lt;95.01%))),"Yes", "No"))</f>
        <v>??</v>
      </c>
      <c r="L13" s="85" t="s">
        <v>137</v>
      </c>
      <c r="M13" s="86"/>
    </row>
    <row r="14" spans="2:20" ht="13.5" thickBot="1" x14ac:dyDescent="0.25">
      <c r="B14" s="133"/>
      <c r="C14" s="100"/>
      <c r="D14" s="100"/>
      <c r="E14" s="107"/>
      <c r="F14" s="233"/>
      <c r="G14" s="181"/>
      <c r="H14" s="182"/>
      <c r="I14" s="100"/>
      <c r="J14" s="108"/>
      <c r="K14" s="11"/>
      <c r="L14" s="85"/>
      <c r="M14" s="86"/>
    </row>
    <row r="15" spans="2:20" x14ac:dyDescent="0.2">
      <c r="B15" s="315" t="s">
        <v>21</v>
      </c>
      <c r="C15" s="243"/>
      <c r="D15" s="243"/>
      <c r="E15" s="316"/>
      <c r="F15" s="317"/>
      <c r="G15" s="318"/>
      <c r="H15" s="319"/>
      <c r="I15" s="243"/>
      <c r="J15" s="318"/>
      <c r="K15" s="320"/>
      <c r="L15" s="85"/>
      <c r="M15" s="86"/>
    </row>
    <row r="16" spans="2:20" x14ac:dyDescent="0.2">
      <c r="B16" s="162" t="s">
        <v>172</v>
      </c>
      <c r="C16" s="93"/>
      <c r="D16" s="93"/>
      <c r="E16" s="94"/>
      <c r="F16" s="312" t="s">
        <v>46</v>
      </c>
      <c r="G16" s="313"/>
      <c r="H16" s="129"/>
      <c r="I16" s="129"/>
      <c r="J16" s="314">
        <v>0.95</v>
      </c>
      <c r="K16" s="241" t="str">
        <f>IF(F16="??","??",(IF(F16&gt;=95%,"Yes","No")))</f>
        <v>??</v>
      </c>
      <c r="L16" s="85"/>
      <c r="M16" s="86"/>
    </row>
    <row r="17" spans="2:14" x14ac:dyDescent="0.2">
      <c r="B17" s="162" t="s">
        <v>173</v>
      </c>
      <c r="C17" s="93"/>
      <c r="D17" s="93"/>
      <c r="E17" s="94"/>
      <c r="F17" s="168" t="s">
        <v>46</v>
      </c>
      <c r="G17" s="304"/>
      <c r="H17" s="306"/>
      <c r="I17" s="93"/>
      <c r="J17" s="305">
        <v>0.99</v>
      </c>
      <c r="K17" s="311" t="str">
        <f>IF(F17="??","??",(IF(F17&gt;=99%,"Yes","No")))</f>
        <v>??</v>
      </c>
      <c r="L17" s="86" t="s">
        <v>108</v>
      </c>
      <c r="M17" s="86"/>
    </row>
    <row r="18" spans="2:14" ht="13.5" thickBot="1" x14ac:dyDescent="0.25">
      <c r="B18" s="259" t="s">
        <v>174</v>
      </c>
      <c r="C18" s="88"/>
      <c r="D18" s="88"/>
      <c r="E18" s="334"/>
      <c r="F18" s="330" t="s">
        <v>46</v>
      </c>
      <c r="G18" s="331"/>
      <c r="H18" s="332" t="b">
        <f>AND((G18&gt;59.99%),(G18&lt;95.01%))</f>
        <v>0</v>
      </c>
      <c r="I18" s="329"/>
      <c r="J18" s="333" t="s">
        <v>170</v>
      </c>
      <c r="K18" s="258" t="str">
        <f>IF(F18="??","??",IF((AND((F18&gt;=111%),(F18&lt;=140%))),"Yes", "No"))</f>
        <v>??</v>
      </c>
      <c r="L18" s="86" t="s">
        <v>109</v>
      </c>
      <c r="M18" s="86"/>
    </row>
    <row r="19" spans="2:14" x14ac:dyDescent="0.2">
      <c r="B19" s="98" t="s">
        <v>178</v>
      </c>
      <c r="C19" s="93"/>
      <c r="D19" s="93"/>
      <c r="E19" s="318"/>
      <c r="F19" s="318"/>
      <c r="G19" s="321"/>
      <c r="H19" s="243"/>
      <c r="I19" s="243"/>
      <c r="J19" s="303"/>
      <c r="K19" s="320"/>
      <c r="L19" s="85"/>
      <c r="M19" s="86"/>
    </row>
    <row r="20" spans="2:14" ht="15.75" x14ac:dyDescent="0.3">
      <c r="B20" s="278" t="s">
        <v>27</v>
      </c>
      <c r="C20" s="111" t="s">
        <v>87</v>
      </c>
      <c r="D20" s="111"/>
      <c r="E20" s="113"/>
      <c r="F20" s="15" t="s">
        <v>46</v>
      </c>
      <c r="G20" s="151" t="e">
        <f>F20/F8</f>
        <v>#VALUE!</v>
      </c>
      <c r="H20" s="111"/>
      <c r="I20" s="111"/>
      <c r="J20" s="16" t="s">
        <v>10</v>
      </c>
      <c r="K20" s="13" t="e">
        <f>IF(G20&lt;=15%,"Yes","No")</f>
        <v>#VALUE!</v>
      </c>
      <c r="L20" s="85" t="s">
        <v>34</v>
      </c>
      <c r="M20" s="86"/>
    </row>
    <row r="21" spans="2:14" ht="16.5" thickBot="1" x14ac:dyDescent="0.35">
      <c r="B21" s="114" t="s">
        <v>29</v>
      </c>
      <c r="C21" s="88" t="s">
        <v>86</v>
      </c>
      <c r="D21" s="88"/>
      <c r="E21" s="89"/>
      <c r="F21" s="167" t="s">
        <v>46</v>
      </c>
      <c r="G21" s="152" t="e">
        <f>'Calculations 54Gy 3F'!J31</f>
        <v>#VALUE!</v>
      </c>
      <c r="H21" s="115" t="s">
        <v>26</v>
      </c>
      <c r="I21" s="88"/>
      <c r="J21" s="116" t="s">
        <v>12</v>
      </c>
      <c r="K21" s="80" t="e">
        <f ca="1">'Calculations 54Gy 3F'!K31</f>
        <v>#VALUE!</v>
      </c>
      <c r="L21" s="85" t="s">
        <v>37</v>
      </c>
      <c r="M21" s="86"/>
    </row>
    <row r="22" spans="2:14" x14ac:dyDescent="0.2">
      <c r="B22" s="96" t="s">
        <v>179</v>
      </c>
      <c r="C22" s="81"/>
      <c r="D22" s="81"/>
      <c r="E22" s="318"/>
      <c r="F22" s="318"/>
      <c r="G22" s="321"/>
      <c r="H22" s="243"/>
      <c r="I22" s="243"/>
      <c r="J22" s="318"/>
      <c r="K22" s="320"/>
      <c r="L22" s="85"/>
      <c r="M22" s="86"/>
    </row>
    <row r="23" spans="2:14" ht="14.25" x14ac:dyDescent="0.25">
      <c r="B23" s="278" t="s">
        <v>110</v>
      </c>
      <c r="C23" s="117" t="s">
        <v>35</v>
      </c>
      <c r="D23" s="111"/>
      <c r="E23" s="113"/>
      <c r="F23" s="166" t="s">
        <v>46</v>
      </c>
      <c r="G23" s="151"/>
      <c r="H23" s="120"/>
      <c r="I23" s="111"/>
      <c r="J23" s="142" t="e">
        <f ca="1">'Calculations 54Gy 3F'!L27/100</f>
        <v>#N/A</v>
      </c>
      <c r="K23" s="79" t="str">
        <f>'Calculations 54Gy 3F'!K33</f>
        <v>??</v>
      </c>
      <c r="L23" s="121" t="s">
        <v>39</v>
      </c>
      <c r="M23" s="122"/>
      <c r="N23" s="3"/>
    </row>
    <row r="24" spans="2:14" ht="16.5" thickBot="1" x14ac:dyDescent="0.35">
      <c r="B24" s="114" t="s">
        <v>29</v>
      </c>
      <c r="C24" s="186" t="s">
        <v>180</v>
      </c>
      <c r="D24" s="88"/>
      <c r="E24" s="159"/>
      <c r="F24" s="167" t="s">
        <v>46</v>
      </c>
      <c r="G24" s="213" t="e">
        <f>'Calculations 54Gy 3F'!J32</f>
        <v>#VALUE!</v>
      </c>
      <c r="H24" s="124" t="s">
        <v>26</v>
      </c>
      <c r="I24" s="88"/>
      <c r="J24" s="143" t="e">
        <f ca="1">'Calculations 54Gy 3F'!I27</f>
        <v>#N/A</v>
      </c>
      <c r="K24" s="232" t="e">
        <f ca="1">'Calculations 54Gy 3F'!K32</f>
        <v>#VALUE!</v>
      </c>
      <c r="L24" s="85" t="s">
        <v>38</v>
      </c>
      <c r="M24" s="86"/>
    </row>
    <row r="25" spans="2:14" x14ac:dyDescent="0.2">
      <c r="B25" s="98" t="s">
        <v>171</v>
      </c>
      <c r="C25" s="93"/>
      <c r="D25" s="93"/>
      <c r="E25" s="94"/>
      <c r="F25" s="106" t="s">
        <v>122</v>
      </c>
      <c r="G25" s="99" t="s">
        <v>33</v>
      </c>
      <c r="H25" s="125"/>
      <c r="I25" s="125"/>
      <c r="J25" s="126" t="s">
        <v>24</v>
      </c>
      <c r="K25" s="127"/>
      <c r="L25" s="85"/>
      <c r="M25" s="86"/>
    </row>
    <row r="26" spans="2:14" ht="13.5" thickBot="1" x14ac:dyDescent="0.25">
      <c r="B26" s="91"/>
      <c r="C26" s="93"/>
      <c r="D26" s="93"/>
      <c r="E26" s="94"/>
      <c r="F26" s="106" t="s">
        <v>123</v>
      </c>
      <c r="G26" s="211"/>
      <c r="H26" s="125"/>
      <c r="I26" s="125"/>
      <c r="J26" s="171" t="s">
        <v>121</v>
      </c>
      <c r="K26" s="127"/>
      <c r="L26" s="85"/>
      <c r="M26" s="86"/>
    </row>
    <row r="27" spans="2:14" ht="14.25" x14ac:dyDescent="0.25">
      <c r="B27" s="239" t="s">
        <v>141</v>
      </c>
      <c r="C27" s="81"/>
      <c r="D27" s="342" t="s">
        <v>118</v>
      </c>
      <c r="E27" s="343"/>
      <c r="F27" s="249" t="s">
        <v>46</v>
      </c>
      <c r="G27" s="250" t="s">
        <v>26</v>
      </c>
      <c r="H27" s="243"/>
      <c r="I27" s="243"/>
      <c r="J27" s="246" t="s">
        <v>47</v>
      </c>
      <c r="K27" s="248" t="str">
        <f>'Calculations 54Gy 3F'!K34</f>
        <v>??</v>
      </c>
      <c r="L27" s="85" t="s">
        <v>36</v>
      </c>
      <c r="M27" s="86"/>
    </row>
    <row r="28" spans="2:14" ht="14.25" x14ac:dyDescent="0.25">
      <c r="B28" s="91" t="s">
        <v>44</v>
      </c>
      <c r="C28" s="93"/>
      <c r="D28" s="340" t="s">
        <v>120</v>
      </c>
      <c r="E28" s="341"/>
      <c r="F28" s="8" t="s">
        <v>46</v>
      </c>
      <c r="G28" s="189"/>
      <c r="H28" s="111"/>
      <c r="I28" s="111"/>
      <c r="J28" s="214">
        <v>1500</v>
      </c>
      <c r="K28" s="163" t="str">
        <f t="shared" ref="K28:K34" si="0">IF(F28="??","??",IF(F28&lt;=J28,"Yes","No"))</f>
        <v>??</v>
      </c>
      <c r="L28" s="121" t="s">
        <v>153</v>
      </c>
      <c r="M28" s="192"/>
      <c r="N28" s="4"/>
    </row>
    <row r="29" spans="2:14" ht="14.25" x14ac:dyDescent="0.25">
      <c r="B29" s="162" t="s">
        <v>45</v>
      </c>
      <c r="C29" s="93"/>
      <c r="D29" s="344" t="s">
        <v>119</v>
      </c>
      <c r="E29" s="345"/>
      <c r="F29" s="149" t="s">
        <v>46</v>
      </c>
      <c r="G29" s="189"/>
      <c r="H29" s="93"/>
      <c r="I29" s="93"/>
      <c r="J29" s="126">
        <v>1000</v>
      </c>
      <c r="K29" s="163" t="str">
        <f t="shared" si="0"/>
        <v>??</v>
      </c>
      <c r="L29" s="121" t="s">
        <v>154</v>
      </c>
      <c r="M29" s="192"/>
      <c r="N29" s="4"/>
    </row>
    <row r="30" spans="2:14" x14ac:dyDescent="0.2">
      <c r="B30" s="336" t="s">
        <v>98</v>
      </c>
      <c r="C30" s="111" t="s">
        <v>26</v>
      </c>
      <c r="D30" s="111"/>
      <c r="E30" s="337" t="s">
        <v>40</v>
      </c>
      <c r="F30" s="5" t="s">
        <v>46</v>
      </c>
      <c r="G30" s="107"/>
      <c r="H30" s="100"/>
      <c r="I30" s="100"/>
      <c r="J30" s="101">
        <v>3000</v>
      </c>
      <c r="K30" s="163" t="str">
        <f t="shared" si="0"/>
        <v>??</v>
      </c>
      <c r="L30" s="85"/>
      <c r="M30" s="86"/>
    </row>
    <row r="31" spans="2:14" x14ac:dyDescent="0.2">
      <c r="B31" s="162" t="s">
        <v>164</v>
      </c>
      <c r="C31" s="93"/>
      <c r="D31" s="93"/>
      <c r="E31" s="132" t="s">
        <v>40</v>
      </c>
      <c r="F31" s="5" t="s">
        <v>46</v>
      </c>
      <c r="G31" s="107"/>
      <c r="H31" s="100"/>
      <c r="I31" s="100"/>
      <c r="J31" s="101">
        <v>3000</v>
      </c>
      <c r="K31" s="163" t="str">
        <f t="shared" si="0"/>
        <v>??</v>
      </c>
      <c r="L31" s="85"/>
      <c r="M31" s="86"/>
    </row>
    <row r="32" spans="2:14" x14ac:dyDescent="0.2">
      <c r="B32" s="133" t="s">
        <v>15</v>
      </c>
      <c r="C32" s="100"/>
      <c r="D32" s="100"/>
      <c r="E32" s="131" t="s">
        <v>40</v>
      </c>
      <c r="F32" s="150" t="s">
        <v>46</v>
      </c>
      <c r="G32" s="215" t="s">
        <v>26</v>
      </c>
      <c r="H32" s="100"/>
      <c r="I32" s="100"/>
      <c r="J32" s="108">
        <v>1800</v>
      </c>
      <c r="K32" s="163" t="str">
        <f t="shared" si="0"/>
        <v>??</v>
      </c>
      <c r="L32" s="85" t="s">
        <v>41</v>
      </c>
      <c r="M32" s="86"/>
    </row>
    <row r="33" spans="2:13" x14ac:dyDescent="0.2">
      <c r="B33" s="199" t="s">
        <v>25</v>
      </c>
      <c r="C33" s="111"/>
      <c r="D33" s="111"/>
      <c r="E33" s="132" t="s">
        <v>40</v>
      </c>
      <c r="F33" s="166" t="s">
        <v>46</v>
      </c>
      <c r="G33" s="113"/>
      <c r="H33" s="111"/>
      <c r="I33" s="111"/>
      <c r="J33" s="16">
        <v>2000</v>
      </c>
      <c r="K33" s="163" t="str">
        <f t="shared" si="0"/>
        <v>??</v>
      </c>
      <c r="L33" s="85"/>
      <c r="M33" s="86"/>
    </row>
    <row r="34" spans="2:13" x14ac:dyDescent="0.2">
      <c r="B34" s="133" t="s">
        <v>42</v>
      </c>
      <c r="C34" s="100"/>
      <c r="D34" s="100"/>
      <c r="E34" s="216" t="s">
        <v>40</v>
      </c>
      <c r="F34" s="150" t="s">
        <v>46</v>
      </c>
      <c r="G34" s="107"/>
      <c r="H34" s="100"/>
      <c r="I34" s="100"/>
      <c r="J34" s="108">
        <v>2400</v>
      </c>
      <c r="K34" s="163" t="str">
        <f t="shared" si="0"/>
        <v>??</v>
      </c>
      <c r="L34" s="85" t="s">
        <v>20</v>
      </c>
      <c r="M34" s="86"/>
    </row>
    <row r="35" spans="2:13" ht="14.25" x14ac:dyDescent="0.25">
      <c r="B35" s="217" t="s">
        <v>14</v>
      </c>
      <c r="C35" s="218"/>
      <c r="D35" s="219"/>
      <c r="E35" s="322" t="s">
        <v>92</v>
      </c>
      <c r="F35" s="157" t="s">
        <v>46</v>
      </c>
      <c r="G35" s="220" t="s">
        <v>26</v>
      </c>
      <c r="H35" s="221"/>
      <c r="I35" s="221"/>
      <c r="J35" s="230">
        <v>10</v>
      </c>
      <c r="K35" s="222" t="str">
        <f>IF(F35="??","??",IF(F35&lt;=10,"Yes",IF(F35="OK","Yes","No")))</f>
        <v>??</v>
      </c>
      <c r="L35" s="85" t="s">
        <v>20</v>
      </c>
      <c r="M35" s="86"/>
    </row>
    <row r="36" spans="2:13" x14ac:dyDescent="0.2">
      <c r="B36" s="133" t="s">
        <v>16</v>
      </c>
      <c r="C36" s="100"/>
      <c r="D36" s="100"/>
      <c r="E36" s="131" t="s">
        <v>40</v>
      </c>
      <c r="F36" s="7" t="s">
        <v>46</v>
      </c>
      <c r="G36" s="215" t="s">
        <v>26</v>
      </c>
      <c r="H36" s="100"/>
      <c r="I36" s="100"/>
      <c r="J36" s="108">
        <v>3000</v>
      </c>
      <c r="K36" s="163" t="str">
        <f>IF(F36="??","??",IF(F36&lt;=J36,"Yes","No"))</f>
        <v>??</v>
      </c>
      <c r="L36" s="85" t="s">
        <v>43</v>
      </c>
      <c r="M36" s="86"/>
    </row>
    <row r="37" spans="2:13" x14ac:dyDescent="0.2">
      <c r="B37" s="133" t="s">
        <v>13</v>
      </c>
      <c r="C37" s="100"/>
      <c r="D37" s="100"/>
      <c r="E37" s="131" t="s">
        <v>40</v>
      </c>
      <c r="F37" s="7" t="s">
        <v>46</v>
      </c>
      <c r="G37" s="107"/>
      <c r="H37" s="100"/>
      <c r="I37" s="100"/>
      <c r="J37" s="108">
        <v>2700</v>
      </c>
      <c r="K37" s="163" t="str">
        <f>IF(F37="??","??",IF(F37&lt;=J37,"Yes","No"))</f>
        <v>??</v>
      </c>
      <c r="L37" s="85" t="s">
        <v>20</v>
      </c>
      <c r="M37" s="86"/>
    </row>
    <row r="38" spans="2:13" x14ac:dyDescent="0.2">
      <c r="B38" s="133" t="s">
        <v>95</v>
      </c>
      <c r="C38" s="100"/>
      <c r="D38" s="100"/>
      <c r="E38" s="131" t="s">
        <v>40</v>
      </c>
      <c r="F38" s="150" t="s">
        <v>46</v>
      </c>
      <c r="G38" s="107"/>
      <c r="H38" s="100"/>
      <c r="I38" s="100"/>
      <c r="J38" s="108">
        <v>3480</v>
      </c>
      <c r="K38" s="163" t="str">
        <f>IF(F38="??","??",IF(F38&lt;=J38,"Yes","No"))</f>
        <v>??</v>
      </c>
      <c r="L38" s="85" t="s">
        <v>41</v>
      </c>
      <c r="M38" s="86"/>
    </row>
    <row r="39" spans="2:13" ht="14.25" x14ac:dyDescent="0.25">
      <c r="B39" s="91"/>
      <c r="C39" s="125"/>
      <c r="D39" s="93"/>
      <c r="E39" s="227" t="s">
        <v>92</v>
      </c>
      <c r="F39" s="6" t="str">
        <f>IF(F38&lt;=3000,"OK","??")</f>
        <v>??</v>
      </c>
      <c r="G39" s="113"/>
      <c r="H39" s="111"/>
      <c r="I39" s="111"/>
      <c r="J39" s="16">
        <v>1</v>
      </c>
      <c r="K39" s="222" t="str">
        <f>IF(F39="??","??",IF(F40&lt;=J39,"Yes",IF(F39="OK","Yes","No")))</f>
        <v>??</v>
      </c>
      <c r="L39" s="85" t="s">
        <v>43</v>
      </c>
      <c r="M39" s="86"/>
    </row>
    <row r="40" spans="2:13" ht="14.25" x14ac:dyDescent="0.25">
      <c r="B40" s="91"/>
      <c r="C40" s="229"/>
      <c r="D40" s="204" t="s">
        <v>26</v>
      </c>
      <c r="E40" s="209" t="s">
        <v>103</v>
      </c>
      <c r="F40" s="9" t="str">
        <f>IF(F38&lt;=2820,"OK","??")</f>
        <v>??</v>
      </c>
      <c r="G40" s="128"/>
      <c r="H40" s="129"/>
      <c r="I40" s="129"/>
      <c r="J40" s="130">
        <v>30</v>
      </c>
      <c r="K40" s="222" t="str">
        <f>IF(F40="??","??",IF(F40&lt;=J40,"Yes",IF(F40="OK","Yes","No")))</f>
        <v>??</v>
      </c>
      <c r="L40" s="85"/>
      <c r="M40" s="86"/>
    </row>
    <row r="41" spans="2:13" x14ac:dyDescent="0.2">
      <c r="B41" s="173" t="s">
        <v>136</v>
      </c>
      <c r="C41" s="100"/>
      <c r="D41" s="100"/>
      <c r="E41" s="287" t="s">
        <v>40</v>
      </c>
      <c r="F41" s="150" t="s">
        <v>46</v>
      </c>
      <c r="G41" s="208" t="s">
        <v>26</v>
      </c>
      <c r="H41" s="111"/>
      <c r="I41" s="111"/>
      <c r="J41" s="16">
        <v>3000</v>
      </c>
      <c r="K41" s="163" t="str">
        <f>IF(F41="??","??",IF(F41&lt;=J41,"Yes","No"))</f>
        <v>??</v>
      </c>
      <c r="L41" s="85" t="s">
        <v>43</v>
      </c>
      <c r="M41" s="86"/>
    </row>
    <row r="42" spans="2:13" ht="13.5" thickBot="1" x14ac:dyDescent="0.25">
      <c r="B42" s="259" t="s">
        <v>138</v>
      </c>
      <c r="C42" s="88"/>
      <c r="D42" s="88"/>
      <c r="E42" s="338" t="s">
        <v>40</v>
      </c>
      <c r="F42" s="236" t="s">
        <v>46</v>
      </c>
      <c r="G42" s="89"/>
      <c r="H42" s="88"/>
      <c r="I42" s="88"/>
      <c r="J42" s="116">
        <v>3000</v>
      </c>
      <c r="K42" s="164" t="str">
        <f>IF(F42="??","??",IF(F42&lt;=J42,"Yes","No"))</f>
        <v>??</v>
      </c>
      <c r="L42" s="85"/>
      <c r="M42" s="86"/>
    </row>
    <row r="43" spans="2:13" x14ac:dyDescent="0.2">
      <c r="B43" s="86"/>
      <c r="C43" s="86"/>
      <c r="D43" s="86"/>
      <c r="E43" s="136"/>
      <c r="F43" s="136"/>
      <c r="G43" s="136"/>
      <c r="H43" s="86"/>
      <c r="I43" s="86"/>
      <c r="J43" s="136"/>
      <c r="K43" s="136"/>
      <c r="L43" s="85"/>
      <c r="M43" s="86"/>
    </row>
    <row r="44" spans="2:13" x14ac:dyDescent="0.2">
      <c r="B44" s="86"/>
      <c r="C44" s="86"/>
      <c r="D44" s="86"/>
      <c r="E44" s="136"/>
      <c r="F44" s="136"/>
      <c r="G44" s="136"/>
      <c r="H44" s="86"/>
      <c r="I44" s="86"/>
      <c r="J44" s="136"/>
      <c r="K44" s="136"/>
      <c r="L44" s="85"/>
      <c r="M44" s="86"/>
    </row>
    <row r="46" spans="2:13" x14ac:dyDescent="0.2">
      <c r="E46" s="147"/>
      <c r="F46" s="145"/>
      <c r="G46" s="160"/>
      <c r="H46" s="146"/>
      <c r="I46" s="146"/>
      <c r="J46" s="145"/>
      <c r="K46" s="145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69" priority="41" stopIfTrue="1" operator="containsText" text="No">
      <formula>NOT(ISERROR(SEARCH("No",K14)))</formula>
    </cfRule>
  </conditionalFormatting>
  <conditionalFormatting sqref="K30">
    <cfRule type="containsText" dxfId="68" priority="40" stopIfTrue="1" operator="containsText" text="No">
      <formula>NOT(ISERROR(SEARCH("No",K30)))</formula>
    </cfRule>
  </conditionalFormatting>
  <conditionalFormatting sqref="K31">
    <cfRule type="containsText" dxfId="67" priority="39" stopIfTrue="1" operator="containsText" text="No">
      <formula>NOT(ISERROR(SEARCH("No",K31)))</formula>
    </cfRule>
  </conditionalFormatting>
  <conditionalFormatting sqref="K32">
    <cfRule type="containsText" dxfId="66" priority="38" stopIfTrue="1" operator="containsText" text="No">
      <formula>NOT(ISERROR(SEARCH("No",K32)))</formula>
    </cfRule>
  </conditionalFormatting>
  <conditionalFormatting sqref="K33">
    <cfRule type="containsText" dxfId="65" priority="37" stopIfTrue="1" operator="containsText" text="No">
      <formula>NOT(ISERROR(SEARCH("No",K33)))</formula>
    </cfRule>
  </conditionalFormatting>
  <conditionalFormatting sqref="K34">
    <cfRule type="containsText" dxfId="64" priority="36" stopIfTrue="1" operator="containsText" text="No">
      <formula>NOT(ISERROR(SEARCH("No",K34)))</formula>
    </cfRule>
  </conditionalFormatting>
  <conditionalFormatting sqref="K36">
    <cfRule type="containsText" dxfId="63" priority="35" stopIfTrue="1" operator="containsText" text="No">
      <formula>NOT(ISERROR(SEARCH("No",K36)))</formula>
    </cfRule>
  </conditionalFormatting>
  <conditionalFormatting sqref="K37">
    <cfRule type="containsText" dxfId="62" priority="34" stopIfTrue="1" operator="containsText" text="No">
      <formula>NOT(ISERROR(SEARCH("No",K37)))</formula>
    </cfRule>
  </conditionalFormatting>
  <conditionalFormatting sqref="K38">
    <cfRule type="containsText" dxfId="61" priority="33" stopIfTrue="1" operator="containsText" text="No">
      <formula>NOT(ISERROR(SEARCH("No",K38)))</formula>
    </cfRule>
  </conditionalFormatting>
  <conditionalFormatting sqref="K41">
    <cfRule type="containsText" dxfId="60" priority="32" stopIfTrue="1" operator="containsText" text="No">
      <formula>NOT(ISERROR(SEARCH("No",K41)))</formula>
    </cfRule>
  </conditionalFormatting>
  <conditionalFormatting sqref="K13">
    <cfRule type="containsText" dxfId="59" priority="29" stopIfTrue="1" operator="containsText" text="Minor">
      <formula>NOT(ISERROR(SEARCH("Minor",K13)))</formula>
    </cfRule>
    <cfRule type="containsText" dxfId="58" priority="30" stopIfTrue="1" operator="containsText" text="No">
      <formula>NOT(ISERROR(SEARCH("No",K13)))</formula>
    </cfRule>
    <cfRule type="containsText" dxfId="57" priority="31" stopIfTrue="1" operator="containsText" text="Major">
      <formula>NOT(ISERROR(SEARCH("Major",K13)))</formula>
    </cfRule>
  </conditionalFormatting>
  <conditionalFormatting sqref="K28">
    <cfRule type="containsText" dxfId="56" priority="16" stopIfTrue="1" operator="containsText" text="Minor">
      <formula>NOT(ISERROR(SEARCH("Minor",K28)))</formula>
    </cfRule>
    <cfRule type="containsText" dxfId="55" priority="17" stopIfTrue="1" operator="containsText" text="No">
      <formula>NOT(ISERROR(SEARCH("No",K28)))</formula>
    </cfRule>
    <cfRule type="containsText" dxfId="54" priority="18" stopIfTrue="1" operator="containsText" text="Major">
      <formula>NOT(ISERROR(SEARCH("Major",K28)))</formula>
    </cfRule>
  </conditionalFormatting>
  <conditionalFormatting sqref="K29">
    <cfRule type="containsText" dxfId="53" priority="13" stopIfTrue="1" operator="containsText" text="Minor">
      <formula>NOT(ISERROR(SEARCH("Minor",K29)))</formula>
    </cfRule>
    <cfRule type="containsText" dxfId="52" priority="14" stopIfTrue="1" operator="containsText" text="No">
      <formula>NOT(ISERROR(SEARCH("No",K29)))</formula>
    </cfRule>
    <cfRule type="containsText" dxfId="51" priority="15" stopIfTrue="1" operator="containsText" text="Major">
      <formula>NOT(ISERROR(SEARCH("Major",K29)))</formula>
    </cfRule>
  </conditionalFormatting>
  <conditionalFormatting sqref="K20:K27">
    <cfRule type="containsText" dxfId="50" priority="12" stopIfTrue="1" operator="containsText" text="Minor">
      <formula>NOT(ISERROR(SEARCH("Minor",K20)))</formula>
    </cfRule>
    <cfRule type="containsText" dxfId="49" priority="19" stopIfTrue="1" operator="containsText" text="MAJOR">
      <formula>NOT(ISERROR(SEARCH("MAJOR",K20)))</formula>
    </cfRule>
  </conditionalFormatting>
  <conditionalFormatting sqref="K42">
    <cfRule type="containsText" dxfId="48" priority="11" stopIfTrue="1" operator="containsText" text="No">
      <formula>NOT(ISERROR(SEARCH("No",K42)))</formula>
    </cfRule>
  </conditionalFormatting>
  <conditionalFormatting sqref="K15">
    <cfRule type="containsText" dxfId="47" priority="10" stopIfTrue="1" operator="containsText" text="No">
      <formula>NOT(ISERROR(SEARCH("No",K15)))</formula>
    </cfRule>
  </conditionalFormatting>
  <conditionalFormatting sqref="K16">
    <cfRule type="containsText" dxfId="46" priority="7" stopIfTrue="1" operator="containsText" text="Minor">
      <formula>NOT(ISERROR(SEARCH("Minor",K16)))</formula>
    </cfRule>
    <cfRule type="containsText" dxfId="45" priority="8" stopIfTrue="1" operator="containsText" text="No">
      <formula>NOT(ISERROR(SEARCH("No",K16)))</formula>
    </cfRule>
    <cfRule type="containsText" dxfId="44" priority="9" stopIfTrue="1" operator="containsText" text="Major">
      <formula>NOT(ISERROR(SEARCH("Major",K16)))</formula>
    </cfRule>
  </conditionalFormatting>
  <conditionalFormatting sqref="K17">
    <cfRule type="containsText" dxfId="43" priority="4" stopIfTrue="1" operator="containsText" text="Minor">
      <formula>NOT(ISERROR(SEARCH("Minor",K17)))</formula>
    </cfRule>
    <cfRule type="containsText" dxfId="42" priority="5" stopIfTrue="1" operator="containsText" text="No">
      <formula>NOT(ISERROR(SEARCH("No",K17)))</formula>
    </cfRule>
    <cfRule type="containsText" dxfId="41" priority="6" stopIfTrue="1" operator="containsText" text="Major">
      <formula>NOT(ISERROR(SEARCH("Major",K17)))</formula>
    </cfRule>
  </conditionalFormatting>
  <conditionalFormatting sqref="K18">
    <cfRule type="containsText" dxfId="40" priority="1" stopIfTrue="1" operator="containsText" text="Minor">
      <formula>NOT(ISERROR(SEARCH("Minor",K18)))</formula>
    </cfRule>
    <cfRule type="containsText" dxfId="39" priority="2" stopIfTrue="1" operator="containsText" text="No">
      <formula>NOT(ISERROR(SEARCH("No",K18)))</formula>
    </cfRule>
    <cfRule type="containsText" dxfId="38" priority="3" stopIfTrue="1" operator="containsText" text="Major">
      <formula>NOT(ISERROR(SEARCH("Major",K18)))</formula>
    </cfRule>
  </conditionalFormatting>
  <pageMargins left="0.75" right="0.75" top="1" bottom="1" header="0.5" footer="0.5"/>
  <pageSetup scale="8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zoomScaleNormal="100" workbookViewId="0">
      <selection activeCell="C24" sqref="C24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hidden="1" customWidth="1"/>
    <col min="9" max="9" width="4.42578125" hidden="1" customWidth="1"/>
    <col min="10" max="10" width="13.85546875" style="1" customWidth="1"/>
    <col min="11" max="11" width="15.5703125" style="1" customWidth="1"/>
    <col min="12" max="12" width="14" style="2" customWidth="1"/>
  </cols>
  <sheetData>
    <row r="1" spans="2:20" ht="13.5" thickBot="1" x14ac:dyDescent="0.25"/>
    <row r="2" spans="2:20" ht="13.5" thickBot="1" x14ac:dyDescent="0.25">
      <c r="B2" s="267"/>
      <c r="C2" s="268"/>
      <c r="D2" s="268"/>
      <c r="E2" s="269"/>
      <c r="F2" s="324" t="s">
        <v>142</v>
      </c>
      <c r="G2" s="269"/>
      <c r="H2" s="268"/>
      <c r="I2" s="268"/>
      <c r="J2" s="269"/>
      <c r="K2" s="270"/>
      <c r="L2" s="85"/>
      <c r="M2" s="86"/>
    </row>
    <row r="3" spans="2:20" x14ac:dyDescent="0.2">
      <c r="B3" s="96" t="s">
        <v>0</v>
      </c>
      <c r="C3" s="260"/>
      <c r="D3" s="81"/>
      <c r="E3" s="109" t="s">
        <v>117</v>
      </c>
      <c r="F3" s="82"/>
      <c r="G3" s="261"/>
      <c r="H3" s="81"/>
      <c r="I3" s="81"/>
      <c r="J3" s="83" t="s">
        <v>2</v>
      </c>
      <c r="K3" s="262"/>
      <c r="L3" s="85"/>
      <c r="M3" s="86"/>
    </row>
    <row r="4" spans="2:20" ht="13.5" thickBot="1" x14ac:dyDescent="0.25">
      <c r="B4" s="98" t="s">
        <v>1</v>
      </c>
      <c r="C4" s="20"/>
      <c r="D4" s="93"/>
      <c r="E4" s="92" t="s">
        <v>116</v>
      </c>
      <c r="F4" s="94"/>
      <c r="G4" s="144"/>
      <c r="H4" s="93"/>
      <c r="I4" s="93"/>
      <c r="J4" s="95" t="s">
        <v>3</v>
      </c>
      <c r="K4" s="18"/>
      <c r="L4" s="85"/>
      <c r="M4" s="86"/>
    </row>
    <row r="5" spans="2:20" x14ac:dyDescent="0.2">
      <c r="B5" s="96" t="s">
        <v>9</v>
      </c>
      <c r="C5" s="81"/>
      <c r="D5" s="81"/>
      <c r="E5" s="82"/>
      <c r="F5" s="82"/>
      <c r="G5" s="82"/>
      <c r="H5" s="81"/>
      <c r="I5" s="81"/>
      <c r="J5" s="82"/>
      <c r="K5" s="84"/>
      <c r="L5" s="85"/>
      <c r="M5" s="86"/>
    </row>
    <row r="6" spans="2:20" x14ac:dyDescent="0.2">
      <c r="B6" s="91" t="s">
        <v>4</v>
      </c>
      <c r="C6" s="93"/>
      <c r="D6" s="93"/>
      <c r="E6" s="94"/>
      <c r="F6" s="21" t="s">
        <v>26</v>
      </c>
      <c r="G6" s="94"/>
      <c r="H6" s="93"/>
      <c r="I6" s="93"/>
      <c r="J6" s="94"/>
      <c r="K6" s="97"/>
      <c r="L6" s="85"/>
      <c r="M6" s="251"/>
      <c r="N6" s="252"/>
      <c r="O6" s="252"/>
      <c r="P6" s="252"/>
      <c r="Q6" s="252"/>
      <c r="R6" s="252"/>
      <c r="S6" s="252"/>
      <c r="T6" s="252"/>
    </row>
    <row r="7" spans="2:20" x14ac:dyDescent="0.2">
      <c r="B7" s="91" t="s">
        <v>5</v>
      </c>
      <c r="C7" s="93"/>
      <c r="D7" s="93"/>
      <c r="E7" s="94"/>
      <c r="F7" s="21"/>
      <c r="G7" s="94"/>
      <c r="H7" s="93"/>
      <c r="I7" s="93"/>
      <c r="J7" s="94"/>
      <c r="K7" s="97"/>
      <c r="L7" s="85"/>
      <c r="M7" s="251"/>
      <c r="N7" s="252"/>
      <c r="O7" s="252"/>
      <c r="P7" s="252"/>
      <c r="Q7" s="252"/>
      <c r="R7" s="252"/>
      <c r="S7" s="252"/>
      <c r="T7" s="252"/>
    </row>
    <row r="8" spans="2:20" x14ac:dyDescent="0.2">
      <c r="B8" s="91" t="s">
        <v>6</v>
      </c>
      <c r="C8" s="93"/>
      <c r="D8" s="93"/>
      <c r="E8" s="94"/>
      <c r="F8" s="154"/>
      <c r="G8" s="94"/>
      <c r="H8" s="93"/>
      <c r="I8" s="93"/>
      <c r="J8" s="94"/>
      <c r="K8" s="97"/>
      <c r="L8" s="85"/>
      <c r="M8" s="251"/>
      <c r="N8" s="252"/>
      <c r="O8" s="252"/>
      <c r="P8" s="252"/>
      <c r="Q8" s="252"/>
      <c r="R8" s="252"/>
      <c r="S8" s="252"/>
      <c r="T8" s="252"/>
    </row>
    <row r="9" spans="2:20" ht="13.5" thickBot="1" x14ac:dyDescent="0.25">
      <c r="B9" s="87" t="s">
        <v>7</v>
      </c>
      <c r="C9" s="88"/>
      <c r="D9" s="88"/>
      <c r="E9" s="89"/>
      <c r="F9" s="22"/>
      <c r="G9" s="89"/>
      <c r="H9" s="88"/>
      <c r="I9" s="88"/>
      <c r="J9" s="89"/>
      <c r="K9" s="90"/>
      <c r="L9" s="85"/>
      <c r="M9" s="86"/>
    </row>
    <row r="10" spans="2:20" x14ac:dyDescent="0.2">
      <c r="B10" s="96" t="s">
        <v>8</v>
      </c>
      <c r="C10" s="81"/>
      <c r="E10" s="279"/>
      <c r="F10" s="174" t="s">
        <v>28</v>
      </c>
      <c r="G10" s="175"/>
      <c r="H10" s="109" t="s">
        <v>26</v>
      </c>
      <c r="I10" s="81"/>
      <c r="J10" s="176" t="s">
        <v>26</v>
      </c>
      <c r="K10" s="177" t="s">
        <v>26</v>
      </c>
      <c r="L10" s="85"/>
      <c r="M10" s="86"/>
    </row>
    <row r="11" spans="2:20" x14ac:dyDescent="0.2">
      <c r="B11" s="133"/>
      <c r="C11" s="100"/>
      <c r="D11" s="100"/>
      <c r="E11" s="100"/>
      <c r="F11" s="101" t="s">
        <v>124</v>
      </c>
      <c r="G11" s="102" t="s">
        <v>128</v>
      </c>
      <c r="H11" s="103" t="s">
        <v>19</v>
      </c>
      <c r="I11" s="100"/>
      <c r="J11" s="101" t="s">
        <v>18</v>
      </c>
      <c r="K11" s="104" t="s">
        <v>11</v>
      </c>
      <c r="L11" s="105" t="s">
        <v>30</v>
      </c>
      <c r="M11" s="86"/>
    </row>
    <row r="12" spans="2:20" x14ac:dyDescent="0.2">
      <c r="B12" s="91"/>
      <c r="C12" s="93"/>
      <c r="D12" s="93"/>
      <c r="E12" s="94"/>
      <c r="F12" s="207" t="s">
        <v>125</v>
      </c>
      <c r="G12" s="99"/>
      <c r="H12" s="92"/>
      <c r="I12" s="93"/>
      <c r="J12" s="106" t="s">
        <v>17</v>
      </c>
      <c r="K12" s="97"/>
      <c r="L12" s="85"/>
      <c r="M12" s="86"/>
      <c r="O12" s="2"/>
    </row>
    <row r="13" spans="2:20" x14ac:dyDescent="0.2">
      <c r="B13" s="133" t="s">
        <v>31</v>
      </c>
      <c r="C13" s="100"/>
      <c r="D13" s="100"/>
      <c r="E13" s="107"/>
      <c r="F13" s="170" t="s">
        <v>46</v>
      </c>
      <c r="G13" s="231"/>
      <c r="H13" s="182" t="b">
        <f>AND((G13&gt;59.99%),(G13&lt;95.01%))</f>
        <v>0</v>
      </c>
      <c r="I13" s="100"/>
      <c r="J13" s="180" t="s">
        <v>112</v>
      </c>
      <c r="K13" s="11" t="str">
        <f>IF(F13="??","??",IF((AND((F13&gt;59.99%),(F13&lt;95.01%))),"Yes", "No"))</f>
        <v>??</v>
      </c>
      <c r="L13" s="85" t="s">
        <v>137</v>
      </c>
      <c r="M13" s="86"/>
    </row>
    <row r="14" spans="2:20" ht="13.5" thickBot="1" x14ac:dyDescent="0.25">
      <c r="B14" s="133"/>
      <c r="C14" s="100"/>
      <c r="D14" s="100"/>
      <c r="E14" s="107"/>
      <c r="F14" s="233"/>
      <c r="G14" s="181"/>
      <c r="H14" s="182"/>
      <c r="I14" s="100"/>
      <c r="J14" s="108"/>
      <c r="K14" s="11"/>
      <c r="L14" s="85"/>
      <c r="M14" s="86"/>
    </row>
    <row r="15" spans="2:20" x14ac:dyDescent="0.2">
      <c r="B15" s="315" t="s">
        <v>21</v>
      </c>
      <c r="C15" s="243"/>
      <c r="D15" s="243"/>
      <c r="E15" s="316"/>
      <c r="F15" s="317"/>
      <c r="G15" s="318"/>
      <c r="H15" s="319"/>
      <c r="I15" s="243"/>
      <c r="J15" s="318"/>
      <c r="K15" s="320"/>
      <c r="L15" s="85"/>
      <c r="M15" s="86"/>
    </row>
    <row r="16" spans="2:20" x14ac:dyDescent="0.2">
      <c r="B16" s="162" t="s">
        <v>172</v>
      </c>
      <c r="C16" s="93"/>
      <c r="D16" s="93"/>
      <c r="E16" s="94"/>
      <c r="F16" s="312" t="s">
        <v>46</v>
      </c>
      <c r="G16" s="313"/>
      <c r="H16" s="129"/>
      <c r="I16" s="129"/>
      <c r="J16" s="314">
        <v>0.95</v>
      </c>
      <c r="K16" s="241" t="str">
        <f>IF(F16="??","??",(IF(F16&gt;=95%,"Yes","No")))</f>
        <v>??</v>
      </c>
      <c r="L16" s="192" t="s">
        <v>149</v>
      </c>
      <c r="M16" s="86"/>
    </row>
    <row r="17" spans="1:14" x14ac:dyDescent="0.2">
      <c r="B17" s="162" t="s">
        <v>173</v>
      </c>
      <c r="C17" s="93"/>
      <c r="D17" s="93"/>
      <c r="E17" s="94"/>
      <c r="F17" s="325" t="s">
        <v>46</v>
      </c>
      <c r="G17" s="326"/>
      <c r="H17" s="327"/>
      <c r="I17" s="111"/>
      <c r="J17" s="328">
        <v>0.99</v>
      </c>
      <c r="K17" s="163" t="str">
        <f>IF(F17="??","??",(IF(F17&gt;=99%,"Yes","No")))</f>
        <v>??</v>
      </c>
      <c r="L17" s="192" t="s">
        <v>150</v>
      </c>
      <c r="M17" s="86"/>
    </row>
    <row r="18" spans="1:14" ht="13.5" thickBot="1" x14ac:dyDescent="0.25">
      <c r="B18" s="259" t="s">
        <v>174</v>
      </c>
      <c r="C18" s="88"/>
      <c r="D18" s="88"/>
      <c r="E18" s="89"/>
      <c r="F18" s="307" t="s">
        <v>46</v>
      </c>
      <c r="G18" s="308"/>
      <c r="H18" s="309" t="b">
        <f>AND((G18&gt;59.99%),(G18&lt;95.01%))</f>
        <v>0</v>
      </c>
      <c r="I18" s="88"/>
      <c r="J18" s="310" t="s">
        <v>170</v>
      </c>
      <c r="K18" s="14" t="str">
        <f>IF(F18="??","??",IF((AND((F18&gt;=111%),(F18&lt;=140%))),"Yes", "No"))</f>
        <v>??</v>
      </c>
      <c r="L18" s="192"/>
      <c r="M18" s="86"/>
    </row>
    <row r="19" spans="1:14" x14ac:dyDescent="0.2">
      <c r="B19" s="98" t="s">
        <v>178</v>
      </c>
      <c r="C19" s="243"/>
      <c r="D19" s="243"/>
      <c r="E19" s="318"/>
      <c r="F19" s="318"/>
      <c r="G19" s="321"/>
      <c r="H19" s="243"/>
      <c r="I19" s="243"/>
      <c r="J19" s="303"/>
      <c r="K19" s="320"/>
      <c r="L19" s="85"/>
      <c r="M19" s="86"/>
    </row>
    <row r="20" spans="1:14" ht="15.75" x14ac:dyDescent="0.3">
      <c r="B20" s="278" t="s">
        <v>27</v>
      </c>
      <c r="C20" s="111" t="s">
        <v>87</v>
      </c>
      <c r="D20" s="111"/>
      <c r="E20" s="113"/>
      <c r="F20" s="15" t="s">
        <v>46</v>
      </c>
      <c r="G20" s="151" t="e">
        <f>F20/F8</f>
        <v>#VALUE!</v>
      </c>
      <c r="H20" s="111"/>
      <c r="I20" s="111"/>
      <c r="J20" s="16" t="s">
        <v>10</v>
      </c>
      <c r="K20" s="13" t="e">
        <f>IF(G20&lt;=15%,"Yes","No")</f>
        <v>#VALUE!</v>
      </c>
      <c r="L20" s="121" t="s">
        <v>151</v>
      </c>
      <c r="M20" s="86"/>
    </row>
    <row r="21" spans="1:14" ht="16.5" thickBot="1" x14ac:dyDescent="0.35">
      <c r="B21" s="114" t="s">
        <v>29</v>
      </c>
      <c r="C21" s="88" t="s">
        <v>86</v>
      </c>
      <c r="D21" s="88"/>
      <c r="E21" s="89"/>
      <c r="F21" s="167" t="s">
        <v>46</v>
      </c>
      <c r="G21" s="152" t="e">
        <f>'Calculations 54Gy 3F'!J31</f>
        <v>#VALUE!</v>
      </c>
      <c r="H21" s="115" t="s">
        <v>26</v>
      </c>
      <c r="I21" s="88"/>
      <c r="J21" s="116" t="s">
        <v>12</v>
      </c>
      <c r="K21" s="80" t="e">
        <f ca="1">'Calculations 34Gy 1F'!K31</f>
        <v>#VALUE!</v>
      </c>
      <c r="L21" s="85" t="s">
        <v>37</v>
      </c>
      <c r="M21" s="86"/>
    </row>
    <row r="22" spans="1:14" x14ac:dyDescent="0.2">
      <c r="B22" s="96" t="s">
        <v>179</v>
      </c>
      <c r="C22" s="81"/>
      <c r="D22" s="81"/>
      <c r="E22" s="82"/>
      <c r="F22" s="110"/>
      <c r="G22" s="212"/>
      <c r="H22" s="81"/>
      <c r="I22" s="81"/>
      <c r="J22" s="110"/>
      <c r="K22" s="12"/>
      <c r="L22" s="85"/>
      <c r="M22" s="86"/>
    </row>
    <row r="23" spans="1:14" ht="14.25" x14ac:dyDescent="0.25">
      <c r="B23" s="278" t="s">
        <v>110</v>
      </c>
      <c r="C23" s="117" t="s">
        <v>35</v>
      </c>
      <c r="D23" s="111"/>
      <c r="E23" s="113"/>
      <c r="F23" s="166" t="s">
        <v>46</v>
      </c>
      <c r="G23" s="151"/>
      <c r="H23" s="120"/>
      <c r="I23" s="111"/>
      <c r="J23" s="142" t="e">
        <f ca="1">'Calculations 54Gy 3F'!L27/100</f>
        <v>#N/A</v>
      </c>
      <c r="K23" s="79" t="str">
        <f>'Calculations 34Gy 1F'!K33</f>
        <v>??</v>
      </c>
      <c r="L23" s="121" t="s">
        <v>39</v>
      </c>
      <c r="M23" s="122"/>
      <c r="N23" s="3"/>
    </row>
    <row r="24" spans="1:14" ht="16.5" thickBot="1" x14ac:dyDescent="0.35">
      <c r="B24" s="114" t="s">
        <v>29</v>
      </c>
      <c r="C24" s="186" t="s">
        <v>180</v>
      </c>
      <c r="D24" s="88"/>
      <c r="E24" s="159"/>
      <c r="F24" s="167" t="s">
        <v>46</v>
      </c>
      <c r="G24" s="213" t="e">
        <f>'Calculations 54Gy 3F'!J32</f>
        <v>#VALUE!</v>
      </c>
      <c r="H24" s="124" t="s">
        <v>26</v>
      </c>
      <c r="I24" s="88"/>
      <c r="J24" s="143" t="e">
        <f ca="1">'Calculations 54Gy 3F'!I27</f>
        <v>#N/A</v>
      </c>
      <c r="K24" s="232" t="e">
        <f ca="1">'Calculations 34Gy 1F'!K32</f>
        <v>#VALUE!</v>
      </c>
      <c r="L24" s="85" t="s">
        <v>38</v>
      </c>
      <c r="M24" s="86"/>
    </row>
    <row r="25" spans="1:14" x14ac:dyDescent="0.2">
      <c r="B25" s="98" t="s">
        <v>171</v>
      </c>
      <c r="C25" s="93"/>
      <c r="D25" s="93"/>
      <c r="E25" s="94"/>
      <c r="F25" s="106" t="s">
        <v>122</v>
      </c>
      <c r="G25" s="99" t="s">
        <v>33</v>
      </c>
      <c r="H25" s="125"/>
      <c r="I25" s="125"/>
      <c r="J25" s="126" t="s">
        <v>24</v>
      </c>
      <c r="K25" s="127"/>
      <c r="L25" s="85"/>
      <c r="M25" s="86"/>
    </row>
    <row r="26" spans="1:14" ht="13.5" thickBot="1" x14ac:dyDescent="0.25">
      <c r="B26" s="91"/>
      <c r="C26" s="93"/>
      <c r="D26" s="93"/>
      <c r="E26" s="94"/>
      <c r="F26" s="106" t="s">
        <v>123</v>
      </c>
      <c r="G26" s="211"/>
      <c r="H26" s="125"/>
      <c r="I26" s="125"/>
      <c r="J26" s="171" t="s">
        <v>121</v>
      </c>
      <c r="K26" s="127"/>
      <c r="L26" s="85"/>
      <c r="M26" s="86"/>
    </row>
    <row r="27" spans="1:14" ht="14.25" x14ac:dyDescent="0.25">
      <c r="A27" s="4" t="s">
        <v>163</v>
      </c>
      <c r="B27" s="239" t="s">
        <v>141</v>
      </c>
      <c r="C27" s="81"/>
      <c r="D27" s="342" t="s">
        <v>118</v>
      </c>
      <c r="E27" s="343"/>
      <c r="F27" s="249" t="s">
        <v>46</v>
      </c>
      <c r="G27" s="250" t="s">
        <v>26</v>
      </c>
      <c r="H27" s="243"/>
      <c r="I27" s="243"/>
      <c r="J27" s="246" t="s">
        <v>47</v>
      </c>
      <c r="K27" s="248" t="str">
        <f>'Calculations 54Gy 3F'!K34</f>
        <v>??</v>
      </c>
      <c r="L27" s="85" t="s">
        <v>36</v>
      </c>
      <c r="M27" s="86"/>
    </row>
    <row r="28" spans="1:14" ht="14.25" x14ac:dyDescent="0.25">
      <c r="A28" s="4" t="s">
        <v>163</v>
      </c>
      <c r="B28" s="91" t="s">
        <v>44</v>
      </c>
      <c r="C28" s="93"/>
      <c r="D28" s="340" t="s">
        <v>145</v>
      </c>
      <c r="E28" s="341"/>
      <c r="F28" s="8" t="s">
        <v>46</v>
      </c>
      <c r="G28" s="189"/>
      <c r="H28" s="111"/>
      <c r="I28" s="111"/>
      <c r="J28" s="214">
        <v>1500</v>
      </c>
      <c r="K28" s="163" t="str">
        <f>IF(F28="??","??",IF(F28&lt;=J28,"Yes","No"))</f>
        <v>??</v>
      </c>
      <c r="L28" s="121" t="s">
        <v>155</v>
      </c>
      <c r="M28" s="192"/>
      <c r="N28" s="4"/>
    </row>
    <row r="29" spans="1:14" ht="14.25" x14ac:dyDescent="0.25">
      <c r="A29" s="4" t="s">
        <v>163</v>
      </c>
      <c r="B29" s="162" t="s">
        <v>45</v>
      </c>
      <c r="C29" s="93"/>
      <c r="D29" s="344" t="s">
        <v>146</v>
      </c>
      <c r="E29" s="345"/>
      <c r="F29" s="149" t="s">
        <v>46</v>
      </c>
      <c r="G29" s="189"/>
      <c r="H29" s="93"/>
      <c r="I29" s="93"/>
      <c r="J29" s="126">
        <v>1000</v>
      </c>
      <c r="K29" s="163" t="str">
        <f>IF(F29="??","??",IF(F29&lt;=J29,"Yes","No"))</f>
        <v>??</v>
      </c>
      <c r="L29" s="121" t="s">
        <v>156</v>
      </c>
      <c r="M29" s="192"/>
      <c r="N29" s="4"/>
    </row>
    <row r="30" spans="1:14" x14ac:dyDescent="0.2">
      <c r="A30" s="4" t="s">
        <v>163</v>
      </c>
      <c r="B30" s="173" t="s">
        <v>98</v>
      </c>
      <c r="C30" s="100" t="s">
        <v>26</v>
      </c>
      <c r="D30" s="100"/>
      <c r="E30" s="290" t="s">
        <v>40</v>
      </c>
      <c r="F30" s="5" t="s">
        <v>46</v>
      </c>
      <c r="G30" s="107"/>
      <c r="H30" s="100"/>
      <c r="I30" s="100"/>
      <c r="J30" s="101">
        <v>3700</v>
      </c>
      <c r="K30" s="163" t="str">
        <f>IF(F30="??","??",IF(F30&lt;=J30,"Yes","No"))</f>
        <v>??</v>
      </c>
      <c r="L30" s="85" t="s">
        <v>41</v>
      </c>
      <c r="M30" s="86"/>
    </row>
    <row r="31" spans="1:14" ht="14.25" x14ac:dyDescent="0.2">
      <c r="A31" s="4" t="s">
        <v>163</v>
      </c>
      <c r="B31" s="193"/>
      <c r="C31" s="194"/>
      <c r="D31" s="129"/>
      <c r="E31" s="195" t="s">
        <v>165</v>
      </c>
      <c r="F31" s="6" t="str">
        <f>IF(F30&lt;=1190,"OK","??")</f>
        <v>??</v>
      </c>
      <c r="G31" s="113" t="s">
        <v>26</v>
      </c>
      <c r="H31" s="111"/>
      <c r="I31" s="111"/>
      <c r="J31" s="196">
        <v>3</v>
      </c>
      <c r="K31" s="222" t="str">
        <f>IF(F31="??","??",IF(F31&lt;=3,"Yes",IF(F31="OK","Yes","No")))</f>
        <v>??</v>
      </c>
      <c r="L31" s="85" t="s">
        <v>41</v>
      </c>
      <c r="M31" s="86"/>
    </row>
    <row r="32" spans="1:14" x14ac:dyDescent="0.2">
      <c r="A32" s="4" t="s">
        <v>163</v>
      </c>
      <c r="B32" s="162" t="s">
        <v>164</v>
      </c>
      <c r="C32" s="93"/>
      <c r="D32" s="291"/>
      <c r="E32" s="290" t="s">
        <v>40</v>
      </c>
      <c r="F32" s="6" t="s">
        <v>46</v>
      </c>
      <c r="G32" s="158" t="s">
        <v>26</v>
      </c>
      <c r="H32" s="111"/>
      <c r="I32" s="111"/>
      <c r="J32" s="196">
        <v>3700</v>
      </c>
      <c r="K32" s="163" t="str">
        <f>IF(F32="??","??",IF(F32&lt;=J32,"Yes","No"))</f>
        <v>??</v>
      </c>
      <c r="L32" s="85" t="s">
        <v>41</v>
      </c>
      <c r="M32" s="86"/>
    </row>
    <row r="33" spans="1:13" ht="14.25" x14ac:dyDescent="0.2">
      <c r="A33" s="4" t="s">
        <v>163</v>
      </c>
      <c r="B33" s="193"/>
      <c r="C33" s="194"/>
      <c r="D33" s="129"/>
      <c r="E33" s="195" t="s">
        <v>165</v>
      </c>
      <c r="F33" s="6" t="str">
        <f>IF(F32&lt;=1190,"OK","??")</f>
        <v>??</v>
      </c>
      <c r="G33" s="113"/>
      <c r="H33" s="111"/>
      <c r="I33" s="111"/>
      <c r="J33" s="196">
        <v>3</v>
      </c>
      <c r="K33" s="222" t="str">
        <f>IF(F33="??","??",IF(F33&lt;=3,"Yes",IF(F33="OK","Yes","No")))</f>
        <v>??</v>
      </c>
      <c r="L33" s="85" t="s">
        <v>41</v>
      </c>
      <c r="M33" s="86"/>
    </row>
    <row r="34" spans="1:13" x14ac:dyDescent="0.2">
      <c r="A34" s="4" t="s">
        <v>163</v>
      </c>
      <c r="B34" s="133" t="s">
        <v>15</v>
      </c>
      <c r="C34" s="100"/>
      <c r="D34" s="100"/>
      <c r="E34" s="287" t="s">
        <v>40</v>
      </c>
      <c r="F34" s="150" t="s">
        <v>46</v>
      </c>
      <c r="G34" s="215" t="s">
        <v>26</v>
      </c>
      <c r="H34" s="100"/>
      <c r="I34" s="100"/>
      <c r="J34" s="108">
        <v>1400</v>
      </c>
      <c r="K34" s="163" t="str">
        <f>IF(F34="??","??",IF(F34&lt;=J34,"Yes","No"))</f>
        <v>??</v>
      </c>
      <c r="L34" s="85" t="s">
        <v>41</v>
      </c>
      <c r="M34" s="86"/>
    </row>
    <row r="35" spans="1:13" ht="14.25" x14ac:dyDescent="0.25">
      <c r="A35" s="4" t="s">
        <v>163</v>
      </c>
      <c r="B35" s="91"/>
      <c r="C35" s="93"/>
      <c r="D35" s="93"/>
      <c r="E35" s="227" t="s">
        <v>162</v>
      </c>
      <c r="F35" s="6" t="str">
        <f>IF(F34&lt;=1000,"OK","??")</f>
        <v>??</v>
      </c>
      <c r="G35" s="215"/>
      <c r="H35" s="100"/>
      <c r="I35" s="100"/>
      <c r="J35" s="108">
        <v>1.2</v>
      </c>
      <c r="K35" s="222" t="str">
        <f>IF(F35="??","??",IF(F35&lt;=1.2,"Yes",IF(F35="OK","Yes","No")))</f>
        <v>??</v>
      </c>
      <c r="L35" s="85" t="s">
        <v>41</v>
      </c>
      <c r="M35" s="86"/>
    </row>
    <row r="36" spans="1:13" ht="14.25" x14ac:dyDescent="0.25">
      <c r="A36" s="4" t="s">
        <v>163</v>
      </c>
      <c r="B36" s="156"/>
      <c r="C36" s="129"/>
      <c r="D36" s="129"/>
      <c r="E36" s="209" t="s">
        <v>161</v>
      </c>
      <c r="F36" s="6" t="s">
        <v>46</v>
      </c>
      <c r="G36" s="215"/>
      <c r="H36" s="100"/>
      <c r="I36" s="100"/>
      <c r="J36" s="108">
        <v>0.35</v>
      </c>
      <c r="K36" s="222" t="str">
        <f>IF(F36="??","??",IF(F36&lt;=0.35,"Yes",IF(F36="OK","Yes","No")))</f>
        <v>??</v>
      </c>
      <c r="L36" s="85" t="s">
        <v>41</v>
      </c>
      <c r="M36" s="86"/>
    </row>
    <row r="37" spans="1:13" x14ac:dyDescent="0.2">
      <c r="B37" s="199" t="s">
        <v>25</v>
      </c>
      <c r="C37" s="111"/>
      <c r="D37" s="111"/>
      <c r="E37" s="113"/>
      <c r="F37" s="166" t="s">
        <v>46</v>
      </c>
      <c r="G37" s="113"/>
      <c r="H37" s="111"/>
      <c r="I37" s="111"/>
      <c r="J37" s="214" t="s">
        <v>157</v>
      </c>
      <c r="K37" s="163" t="str">
        <f>IF(F37="??","??",IF(F37&lt;=J37,"Yes","No"))</f>
        <v>??</v>
      </c>
      <c r="L37" s="85" t="s">
        <v>41</v>
      </c>
      <c r="M37" s="86"/>
    </row>
    <row r="38" spans="1:13" x14ac:dyDescent="0.2">
      <c r="A38" s="4" t="s">
        <v>163</v>
      </c>
      <c r="B38" s="133" t="s">
        <v>42</v>
      </c>
      <c r="C38" s="100"/>
      <c r="D38" s="100"/>
      <c r="E38" s="216" t="s">
        <v>40</v>
      </c>
      <c r="F38" s="150" t="s">
        <v>46</v>
      </c>
      <c r="G38" s="107"/>
      <c r="H38" s="100"/>
      <c r="I38" s="100"/>
      <c r="J38" s="108">
        <v>1750</v>
      </c>
      <c r="K38" s="163" t="str">
        <f>IF(F38="??","??",IF(F38&lt;=J38,"Yes","No"))</f>
        <v>??</v>
      </c>
      <c r="L38" s="85" t="s">
        <v>41</v>
      </c>
      <c r="M38" s="86"/>
    </row>
    <row r="39" spans="1:13" ht="14.25" x14ac:dyDescent="0.25">
      <c r="A39" s="4" t="s">
        <v>163</v>
      </c>
      <c r="B39" s="156"/>
      <c r="C39" s="129"/>
      <c r="D39" s="129"/>
      <c r="E39" s="209" t="s">
        <v>158</v>
      </c>
      <c r="F39" s="6" t="str">
        <f>IF(F38&lt;=1400,"OK","??")</f>
        <v>??</v>
      </c>
      <c r="G39" s="107"/>
      <c r="H39" s="100"/>
      <c r="I39" s="100"/>
      <c r="J39" s="108">
        <v>3</v>
      </c>
      <c r="K39" s="222" t="str">
        <f>IF(F39="??","??",IF(F39&lt;=3,"Yes",IF(F39="OK","Yes","No")))</f>
        <v>??</v>
      </c>
      <c r="L39" s="85" t="s">
        <v>41</v>
      </c>
      <c r="M39" s="86"/>
    </row>
    <row r="40" spans="1:13" ht="14.25" x14ac:dyDescent="0.25">
      <c r="A40" s="4" t="s">
        <v>163</v>
      </c>
      <c r="B40" s="217" t="s">
        <v>14</v>
      </c>
      <c r="C40" s="219"/>
      <c r="D40" s="219"/>
      <c r="E40" s="286" t="s">
        <v>169</v>
      </c>
      <c r="F40" s="157" t="s">
        <v>46</v>
      </c>
      <c r="G40" s="220" t="s">
        <v>26</v>
      </c>
      <c r="H40" s="221"/>
      <c r="I40" s="221"/>
      <c r="J40" s="230">
        <v>2600</v>
      </c>
      <c r="K40" s="163" t="str">
        <f>IF(F40="??","??",IF(F40&lt;=J40,"Yes","No"))</f>
        <v>??</v>
      </c>
      <c r="L40" s="85" t="s">
        <v>41</v>
      </c>
      <c r="M40" s="86"/>
    </row>
    <row r="41" spans="1:13" ht="14.25" x14ac:dyDescent="0.25">
      <c r="A41" s="4" t="s">
        <v>163</v>
      </c>
      <c r="B41" s="283"/>
      <c r="C41" s="284"/>
      <c r="D41" s="284"/>
      <c r="E41" s="288" t="s">
        <v>159</v>
      </c>
      <c r="F41" s="6" t="str">
        <f>IF(F40&lt;=2300,"OK","??")</f>
        <v>??</v>
      </c>
      <c r="G41" s="280"/>
      <c r="H41" s="281"/>
      <c r="I41" s="281"/>
      <c r="J41" s="282">
        <v>10</v>
      </c>
      <c r="K41" s="222" t="str">
        <f>IF(F41="??","??",IF(F41&lt;=10,"Yes",IF(F41="OK","Yes","No")))</f>
        <v>??</v>
      </c>
      <c r="L41" s="85" t="s">
        <v>41</v>
      </c>
      <c r="M41" s="86"/>
    </row>
    <row r="42" spans="1:13" x14ac:dyDescent="0.2">
      <c r="B42" s="133" t="s">
        <v>16</v>
      </c>
      <c r="C42" s="100"/>
      <c r="D42" s="100"/>
      <c r="E42" s="131" t="s">
        <v>40</v>
      </c>
      <c r="F42" s="7" t="s">
        <v>46</v>
      </c>
      <c r="G42" s="215" t="s">
        <v>26</v>
      </c>
      <c r="H42" s="100"/>
      <c r="I42" s="100"/>
      <c r="J42" s="108">
        <v>1750</v>
      </c>
      <c r="K42" s="163" t="str">
        <f>IF(F42="??","??",IF(F42&lt;=J42,"Yes","No"))</f>
        <v>??</v>
      </c>
      <c r="L42" s="85" t="s">
        <v>41</v>
      </c>
      <c r="M42" s="86"/>
    </row>
    <row r="43" spans="1:13" x14ac:dyDescent="0.2">
      <c r="A43" s="4" t="s">
        <v>163</v>
      </c>
      <c r="B43" s="133" t="s">
        <v>13</v>
      </c>
      <c r="C43" s="100"/>
      <c r="D43" s="100"/>
      <c r="E43" s="287" t="s">
        <v>40</v>
      </c>
      <c r="F43" s="7" t="s">
        <v>46</v>
      </c>
      <c r="G43" s="107"/>
      <c r="H43" s="100"/>
      <c r="I43" s="100"/>
      <c r="J43" s="108">
        <v>1540</v>
      </c>
      <c r="K43" s="163" t="str">
        <f>IF(F43="??","??",IF(F43&lt;=J43,"Yes","No"))</f>
        <v>??</v>
      </c>
      <c r="L43" s="85" t="s">
        <v>41</v>
      </c>
      <c r="M43" s="86"/>
    </row>
    <row r="44" spans="1:13" ht="14.25" x14ac:dyDescent="0.25">
      <c r="A44" s="4" t="s">
        <v>163</v>
      </c>
      <c r="B44" s="91"/>
      <c r="C44" s="93"/>
      <c r="D44" s="93"/>
      <c r="E44" s="285" t="s">
        <v>160</v>
      </c>
      <c r="F44" s="6" t="str">
        <f>IF(F43&lt;=1190,"OK","??")</f>
        <v>??</v>
      </c>
      <c r="G44" s="107"/>
      <c r="H44" s="100"/>
      <c r="I44" s="100"/>
      <c r="J44" s="108">
        <v>5</v>
      </c>
      <c r="K44" s="222" t="str">
        <f>IF(F44="??","??",IF(F44&lt;=5,"Yes",IF(F44="OK","Yes","No")))</f>
        <v>??</v>
      </c>
      <c r="L44" s="85" t="s">
        <v>41</v>
      </c>
      <c r="M44" s="86"/>
    </row>
    <row r="45" spans="1:13" x14ac:dyDescent="0.2">
      <c r="B45" s="133" t="s">
        <v>95</v>
      </c>
      <c r="C45" s="100"/>
      <c r="D45" s="100"/>
      <c r="E45" s="131" t="s">
        <v>40</v>
      </c>
      <c r="F45" s="150" t="s">
        <v>46</v>
      </c>
      <c r="G45" s="16"/>
      <c r="H45" s="296"/>
      <c r="I45" s="296"/>
      <c r="J45" s="16">
        <v>3000</v>
      </c>
      <c r="K45" s="163" t="str">
        <f>IF(F45="??","??",IF(F45&lt;=J45,"Yes","No"))</f>
        <v>??</v>
      </c>
      <c r="L45" s="85" t="s">
        <v>41</v>
      </c>
      <c r="M45" s="86"/>
    </row>
    <row r="46" spans="1:13" ht="14.25" x14ac:dyDescent="0.25">
      <c r="B46" s="91"/>
      <c r="C46" s="125"/>
      <c r="D46" s="93"/>
      <c r="E46" s="227" t="s">
        <v>166</v>
      </c>
      <c r="F46" s="6" t="str">
        <f>IF(F45&lt;=3000,"OK","??")</f>
        <v>??</v>
      </c>
      <c r="G46" s="16"/>
      <c r="H46" s="296"/>
      <c r="I46" s="296"/>
      <c r="J46" s="16">
        <v>1</v>
      </c>
      <c r="K46" s="297" t="str">
        <f>IF(F46="??","??",IF(#REF!&lt;=J46,"Yes",IF(F46="OK","Yes","No")))</f>
        <v>??</v>
      </c>
      <c r="L46" s="85" t="s">
        <v>41</v>
      </c>
      <c r="M46" s="86"/>
    </row>
    <row r="47" spans="1:13" x14ac:dyDescent="0.2">
      <c r="B47" s="173" t="s">
        <v>136</v>
      </c>
      <c r="C47" s="223"/>
      <c r="D47" s="100"/>
      <c r="E47" s="287" t="s">
        <v>40</v>
      </c>
      <c r="F47" s="166" t="s">
        <v>46</v>
      </c>
      <c r="G47" s="298" t="s">
        <v>26</v>
      </c>
      <c r="H47" s="296"/>
      <c r="I47" s="296"/>
      <c r="J47" s="16">
        <v>2020</v>
      </c>
      <c r="K47" s="163" t="str">
        <f>IF(F47="??","??",IF(F47&lt;=2020,"Yes","No"))</f>
        <v>??</v>
      </c>
      <c r="L47" s="85" t="s">
        <v>41</v>
      </c>
      <c r="M47" s="86"/>
    </row>
    <row r="48" spans="1:13" x14ac:dyDescent="0.2">
      <c r="B48" s="162" t="s">
        <v>138</v>
      </c>
      <c r="C48" s="224"/>
      <c r="D48" s="93"/>
      <c r="E48" s="132" t="s">
        <v>40</v>
      </c>
      <c r="F48" s="166" t="s">
        <v>46</v>
      </c>
      <c r="G48" s="298"/>
      <c r="H48" s="296"/>
      <c r="I48" s="296"/>
      <c r="J48" s="16">
        <v>2020</v>
      </c>
      <c r="K48" s="163" t="str">
        <f>IF(F48="??","??",IF(F48&lt;=2020,"Yes","No"))</f>
        <v>??</v>
      </c>
      <c r="L48" s="85" t="s">
        <v>41</v>
      </c>
      <c r="M48" s="86"/>
    </row>
    <row r="49" spans="2:13" ht="14.25" x14ac:dyDescent="0.25">
      <c r="B49" s="206"/>
      <c r="C49" s="235"/>
      <c r="D49" s="93"/>
      <c r="E49" s="302" t="s">
        <v>168</v>
      </c>
      <c r="F49" s="166" t="str">
        <f>IF(MAX(A49:A49)&gt;0,MAX(A49:A49),"??")</f>
        <v>??</v>
      </c>
      <c r="G49" s="299" t="s">
        <v>26</v>
      </c>
      <c r="H49" s="296"/>
      <c r="I49" s="296"/>
      <c r="J49" s="16">
        <v>4</v>
      </c>
      <c r="K49" s="163" t="str">
        <f>IF(F49="??","??",IF(F49&lt;=4,"Yes",IF(F49="OK","Yes","No")))</f>
        <v>??</v>
      </c>
      <c r="L49" s="85" t="s">
        <v>41</v>
      </c>
      <c r="M49" s="86"/>
    </row>
    <row r="50" spans="2:13" x14ac:dyDescent="0.2">
      <c r="B50" s="133" t="s">
        <v>96</v>
      </c>
      <c r="C50" s="100"/>
      <c r="D50" s="100"/>
      <c r="E50" s="292" t="s">
        <v>40</v>
      </c>
      <c r="F50" s="294" t="s">
        <v>46</v>
      </c>
      <c r="G50" s="16"/>
      <c r="H50" s="296"/>
      <c r="I50" s="296"/>
      <c r="J50" s="16">
        <v>1240</v>
      </c>
      <c r="K50" s="163" t="str">
        <f>IF(F50="??","??",IF(F50&lt;=1240,"Yes","No"))</f>
        <v>??</v>
      </c>
      <c r="L50" s="85" t="s">
        <v>41</v>
      </c>
      <c r="M50" s="86"/>
    </row>
    <row r="51" spans="2:13" ht="15" thickBot="1" x14ac:dyDescent="0.25">
      <c r="B51" s="254" t="s">
        <v>101</v>
      </c>
      <c r="C51" s="255"/>
      <c r="D51" s="88"/>
      <c r="E51" s="256" t="s">
        <v>167</v>
      </c>
      <c r="F51" s="257" t="str">
        <f>IF(F50&lt;=1120,"OK","??")</f>
        <v>??</v>
      </c>
      <c r="G51" s="300" t="s">
        <v>26</v>
      </c>
      <c r="H51" s="301"/>
      <c r="I51" s="301"/>
      <c r="J51" s="300">
        <v>1</v>
      </c>
      <c r="K51" s="164" t="str">
        <f>IF(F51="??","??",IF(F51&lt;=1,"Yes",IF(F51="OK","Yes","No")))</f>
        <v>??</v>
      </c>
      <c r="L51" s="85" t="s">
        <v>41</v>
      </c>
      <c r="M51" s="86"/>
    </row>
    <row r="53" spans="2:13" x14ac:dyDescent="0.2">
      <c r="E53" s="147"/>
      <c r="F53" s="145"/>
      <c r="G53" s="160"/>
      <c r="H53" s="146"/>
      <c r="I53" s="146"/>
      <c r="J53" s="145"/>
      <c r="K53" s="145"/>
    </row>
  </sheetData>
  <sheetProtection formatCells="0"/>
  <mergeCells count="3">
    <mergeCell ref="D27:E27"/>
    <mergeCell ref="D28:E28"/>
    <mergeCell ref="D29:E29"/>
  </mergeCells>
  <conditionalFormatting sqref="K14:K15 K46 K19:K27 K41">
    <cfRule type="containsText" dxfId="37" priority="46" stopIfTrue="1" operator="containsText" text="No">
      <formula>NOT(ISERROR(SEARCH("No",K14)))</formula>
    </cfRule>
  </conditionalFormatting>
  <conditionalFormatting sqref="K42">
    <cfRule type="containsText" dxfId="36" priority="40" stopIfTrue="1" operator="containsText" text="No">
      <formula>NOT(ISERROR(SEARCH("No",K42)))</formula>
    </cfRule>
  </conditionalFormatting>
  <conditionalFormatting sqref="K43">
    <cfRule type="containsText" dxfId="35" priority="39" stopIfTrue="1" operator="containsText" text="No">
      <formula>NOT(ISERROR(SEARCH("No",K43)))</formula>
    </cfRule>
  </conditionalFormatting>
  <conditionalFormatting sqref="K34">
    <cfRule type="containsText" dxfId="34" priority="43" stopIfTrue="1" operator="containsText" text="No">
      <formula>NOT(ISERROR(SEARCH("No",K34)))</formula>
    </cfRule>
  </conditionalFormatting>
  <conditionalFormatting sqref="K37">
    <cfRule type="containsText" dxfId="33" priority="42" stopIfTrue="1" operator="containsText" text="No">
      <formula>NOT(ISERROR(SEARCH("No",K37)))</formula>
    </cfRule>
  </conditionalFormatting>
  <conditionalFormatting sqref="K38">
    <cfRule type="containsText" dxfId="32" priority="41" stopIfTrue="1" operator="containsText" text="No">
      <formula>NOT(ISERROR(SEARCH("No",K38)))</formula>
    </cfRule>
  </conditionalFormatting>
  <conditionalFormatting sqref="K45">
    <cfRule type="containsText" dxfId="31" priority="38" stopIfTrue="1" operator="containsText" text="No">
      <formula>NOT(ISERROR(SEARCH("No",K45)))</formula>
    </cfRule>
  </conditionalFormatting>
  <conditionalFormatting sqref="K13">
    <cfRule type="containsText" dxfId="30" priority="34" stopIfTrue="1" operator="containsText" text="Minor">
      <formula>NOT(ISERROR(SEARCH("Minor",K13)))</formula>
    </cfRule>
    <cfRule type="containsText" dxfId="29" priority="35" stopIfTrue="1" operator="containsText" text="No">
      <formula>NOT(ISERROR(SEARCH("No",K13)))</formula>
    </cfRule>
    <cfRule type="containsText" dxfId="28" priority="36" stopIfTrue="1" operator="containsText" text="Major">
      <formula>NOT(ISERROR(SEARCH("Major",K13)))</formula>
    </cfRule>
  </conditionalFormatting>
  <conditionalFormatting sqref="K16">
    <cfRule type="containsText" dxfId="27" priority="28" stopIfTrue="1" operator="containsText" text="Minor">
      <formula>NOT(ISERROR(SEARCH("Minor",K16)))</formula>
    </cfRule>
    <cfRule type="containsText" dxfId="26" priority="29" stopIfTrue="1" operator="containsText" text="No">
      <formula>NOT(ISERROR(SEARCH("No",K16)))</formula>
    </cfRule>
    <cfRule type="containsText" dxfId="25" priority="30" stopIfTrue="1" operator="containsText" text="Major">
      <formula>NOT(ISERROR(SEARCH("Major",K16)))</formula>
    </cfRule>
  </conditionalFormatting>
  <conditionalFormatting sqref="K17">
    <cfRule type="containsText" dxfId="24" priority="25" stopIfTrue="1" operator="containsText" text="Minor">
      <formula>NOT(ISERROR(SEARCH("Minor",K17)))</formula>
    </cfRule>
    <cfRule type="containsText" dxfId="23" priority="26" stopIfTrue="1" operator="containsText" text="No">
      <formula>NOT(ISERROR(SEARCH("No",K17)))</formula>
    </cfRule>
    <cfRule type="containsText" dxfId="22" priority="27" stopIfTrue="1" operator="containsText" text="Major">
      <formula>NOT(ISERROR(SEARCH("Major",K17)))</formula>
    </cfRule>
  </conditionalFormatting>
  <conditionalFormatting sqref="K28">
    <cfRule type="containsText" dxfId="21" priority="21" stopIfTrue="1" operator="containsText" text="Minor">
      <formula>NOT(ISERROR(SEARCH("Minor",K28)))</formula>
    </cfRule>
    <cfRule type="containsText" dxfId="20" priority="22" stopIfTrue="1" operator="containsText" text="No">
      <formula>NOT(ISERROR(SEARCH("No",K28)))</formula>
    </cfRule>
    <cfRule type="containsText" dxfId="19" priority="23" stopIfTrue="1" operator="containsText" text="Major">
      <formula>NOT(ISERROR(SEARCH("Major",K28)))</formula>
    </cfRule>
  </conditionalFormatting>
  <conditionalFormatting sqref="K29">
    <cfRule type="containsText" dxfId="18" priority="18" stopIfTrue="1" operator="containsText" text="Minor">
      <formula>NOT(ISERROR(SEARCH("Minor",K29)))</formula>
    </cfRule>
    <cfRule type="containsText" dxfId="17" priority="19" stopIfTrue="1" operator="containsText" text="No">
      <formula>NOT(ISERROR(SEARCH("No",K29)))</formula>
    </cfRule>
    <cfRule type="containsText" dxfId="16" priority="20" stopIfTrue="1" operator="containsText" text="Major">
      <formula>NOT(ISERROR(SEARCH("Major",K29)))</formula>
    </cfRule>
  </conditionalFormatting>
  <conditionalFormatting sqref="K20:K27">
    <cfRule type="containsText" dxfId="15" priority="17" stopIfTrue="1" operator="containsText" text="Minor">
      <formula>NOT(ISERROR(SEARCH("Minor",K20)))</formula>
    </cfRule>
    <cfRule type="containsText" dxfId="14" priority="24" stopIfTrue="1" operator="containsText" text="MAJOR">
      <formula>NOT(ISERROR(SEARCH("MAJOR",K20)))</formula>
    </cfRule>
  </conditionalFormatting>
  <conditionalFormatting sqref="K39">
    <cfRule type="containsText" dxfId="13" priority="15" stopIfTrue="1" operator="containsText" text="No">
      <formula>NOT(ISERROR(SEARCH("No",K39)))</formula>
    </cfRule>
  </conditionalFormatting>
  <conditionalFormatting sqref="K40">
    <cfRule type="containsText" dxfId="12" priority="14" stopIfTrue="1" operator="containsText" text="No">
      <formula>NOT(ISERROR(SEARCH("No",K40)))</formula>
    </cfRule>
  </conditionalFormatting>
  <conditionalFormatting sqref="K44">
    <cfRule type="containsText" dxfId="11" priority="13" stopIfTrue="1" operator="containsText" text="No">
      <formula>NOT(ISERROR(SEARCH("No",K44)))</formula>
    </cfRule>
  </conditionalFormatting>
  <conditionalFormatting sqref="K35">
    <cfRule type="containsText" dxfId="10" priority="12" stopIfTrue="1" operator="containsText" text="No">
      <formula>NOT(ISERROR(SEARCH("No",K35)))</formula>
    </cfRule>
  </conditionalFormatting>
  <conditionalFormatting sqref="K36">
    <cfRule type="containsText" dxfId="9" priority="11" stopIfTrue="1" operator="containsText" text="No">
      <formula>NOT(ISERROR(SEARCH("No",K36)))</formula>
    </cfRule>
  </conditionalFormatting>
  <conditionalFormatting sqref="K30">
    <cfRule type="containsText" dxfId="8" priority="9" stopIfTrue="1" operator="containsText" text="No">
      <formula>NOT(ISERROR(SEARCH("No",K30)))</formula>
    </cfRule>
  </conditionalFormatting>
  <conditionalFormatting sqref="K32">
    <cfRule type="containsText" dxfId="7" priority="8" stopIfTrue="1" operator="containsText" text="No">
      <formula>NOT(ISERROR(SEARCH("No",K32)))</formula>
    </cfRule>
  </conditionalFormatting>
  <conditionalFormatting sqref="K31">
    <cfRule type="containsText" dxfId="6" priority="7" stopIfTrue="1" operator="containsText" text="No">
      <formula>NOT(ISERROR(SEARCH("No",K31)))</formula>
    </cfRule>
  </conditionalFormatting>
  <conditionalFormatting sqref="K33">
    <cfRule type="containsText" dxfId="5" priority="6" stopIfTrue="1" operator="containsText" text="No">
      <formula>NOT(ISERROR(SEARCH("No",K33)))</formula>
    </cfRule>
  </conditionalFormatting>
  <conditionalFormatting sqref="K50:K51">
    <cfRule type="containsText" dxfId="4" priority="5" stopIfTrue="1" operator="containsText" text="No">
      <formula>NOT(ISERROR(SEARCH("No",K50)))</formula>
    </cfRule>
  </conditionalFormatting>
  <conditionalFormatting sqref="K47:K49">
    <cfRule type="containsText" dxfId="3" priority="4" stopIfTrue="1" operator="containsText" text="No">
      <formula>NOT(ISERROR(SEARCH("No",K47)))</formula>
    </cfRule>
  </conditionalFormatting>
  <conditionalFormatting sqref="K18">
    <cfRule type="containsText" dxfId="2" priority="1" stopIfTrue="1" operator="containsText" text="Minor">
      <formula>NOT(ISERROR(SEARCH("Minor",K18)))</formula>
    </cfRule>
    <cfRule type="containsText" dxfId="1" priority="2" stopIfTrue="1" operator="containsText" text="No">
      <formula>NOT(ISERROR(SEARCH("No",K18)))</formula>
    </cfRule>
    <cfRule type="containsText" dxfId="0" priority="3" stopIfTrue="1" operator="containsText" text="Major">
      <formula>NOT(ISERROR(SEARCH("Major",K18)))</formula>
    </cfRule>
  </conditionalFormatting>
  <pageMargins left="0.75" right="0.75" top="1" bottom="1" header="0.5" footer="0.5"/>
  <pageSetup scale="8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3"/>
      <c r="D1" s="24"/>
      <c r="E1" s="24"/>
      <c r="F1" s="24"/>
      <c r="G1" s="24"/>
      <c r="H1" s="24"/>
      <c r="I1" s="25" t="s">
        <v>85</v>
      </c>
      <c r="J1" s="24"/>
      <c r="K1" s="24"/>
      <c r="L1" s="24"/>
      <c r="M1" s="24"/>
      <c r="N1" s="24"/>
      <c r="O1" s="24"/>
      <c r="P1" s="24"/>
      <c r="Q1" s="26"/>
    </row>
    <row r="2" spans="3:17" ht="15.75" thickBot="1" x14ac:dyDescent="0.3">
      <c r="C2" s="27"/>
      <c r="D2" s="28"/>
      <c r="E2" s="29" t="s">
        <v>53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30"/>
    </row>
    <row r="3" spans="3:17" ht="15" x14ac:dyDescent="0.25">
      <c r="C3" s="23"/>
      <c r="D3" s="31"/>
      <c r="E3" s="24"/>
      <c r="F3" s="23"/>
      <c r="G3" s="24"/>
      <c r="H3" s="26"/>
      <c r="I3" s="24"/>
      <c r="J3" s="24"/>
      <c r="K3" s="24"/>
      <c r="L3" s="23" t="s">
        <v>54</v>
      </c>
      <c r="M3" s="24"/>
      <c r="N3" s="26"/>
      <c r="O3" s="24" t="s">
        <v>55</v>
      </c>
      <c r="P3" s="24"/>
      <c r="Q3" s="26"/>
    </row>
    <row r="4" spans="3:17" ht="15" x14ac:dyDescent="0.25">
      <c r="C4" s="27"/>
      <c r="D4" s="32"/>
      <c r="E4" s="28"/>
      <c r="F4" s="33" t="s">
        <v>56</v>
      </c>
      <c r="G4" s="28"/>
      <c r="H4" s="30"/>
      <c r="I4" s="28" t="s">
        <v>57</v>
      </c>
      <c r="J4" s="28"/>
      <c r="K4" s="28"/>
      <c r="L4" s="27" t="s">
        <v>58</v>
      </c>
      <c r="M4" s="28"/>
      <c r="N4" s="30"/>
      <c r="O4" s="28" t="s">
        <v>59</v>
      </c>
      <c r="P4" s="28"/>
      <c r="Q4" s="30"/>
    </row>
    <row r="5" spans="3:17" x14ac:dyDescent="0.2">
      <c r="C5" s="27"/>
      <c r="D5" s="28"/>
      <c r="E5" s="28"/>
      <c r="F5" s="33" t="s">
        <v>60</v>
      </c>
      <c r="G5" s="28"/>
      <c r="H5" s="30"/>
      <c r="I5" s="34" t="s">
        <v>61</v>
      </c>
      <c r="J5" s="28"/>
      <c r="K5" s="28"/>
      <c r="L5" s="27" t="s">
        <v>62</v>
      </c>
      <c r="M5" s="28"/>
      <c r="N5" s="30"/>
      <c r="O5" s="28"/>
      <c r="P5" s="28"/>
      <c r="Q5" s="30"/>
    </row>
    <row r="6" spans="3:17" ht="13.5" thickBot="1" x14ac:dyDescent="0.25">
      <c r="C6" s="27"/>
      <c r="D6" s="35" t="s">
        <v>48</v>
      </c>
      <c r="E6" s="28"/>
      <c r="F6" s="33" t="s">
        <v>63</v>
      </c>
      <c r="G6" s="28"/>
      <c r="H6" s="30"/>
      <c r="I6" s="34"/>
      <c r="J6" s="28"/>
      <c r="K6" s="28"/>
      <c r="L6" s="27"/>
      <c r="M6" s="28"/>
      <c r="N6" s="30"/>
      <c r="O6" s="28"/>
      <c r="P6" s="28"/>
      <c r="Q6" s="30"/>
    </row>
    <row r="7" spans="3:17" x14ac:dyDescent="0.2">
      <c r="C7" s="27"/>
      <c r="D7" s="35" t="s">
        <v>64</v>
      </c>
      <c r="E7" s="28"/>
      <c r="F7" s="36" t="s">
        <v>65</v>
      </c>
      <c r="G7" s="24"/>
      <c r="H7" s="26"/>
      <c r="I7" s="24"/>
      <c r="J7" s="24" t="s">
        <v>66</v>
      </c>
      <c r="K7" s="24"/>
      <c r="L7" s="37" t="s">
        <v>67</v>
      </c>
      <c r="M7" s="24"/>
      <c r="N7" s="26"/>
      <c r="O7" s="38" t="s">
        <v>68</v>
      </c>
      <c r="P7" s="24"/>
      <c r="Q7" s="26"/>
    </row>
    <row r="8" spans="3:17" ht="13.5" thickBot="1" x14ac:dyDescent="0.25">
      <c r="C8" s="39"/>
      <c r="D8" s="40" t="s">
        <v>49</v>
      </c>
      <c r="E8" s="40"/>
      <c r="F8" s="41" t="s">
        <v>50</v>
      </c>
      <c r="G8" s="40" t="s">
        <v>69</v>
      </c>
      <c r="H8" s="42"/>
      <c r="I8" s="40" t="s">
        <v>50</v>
      </c>
      <c r="J8" s="40" t="s">
        <v>69</v>
      </c>
      <c r="K8" s="40"/>
      <c r="L8" s="41" t="s">
        <v>50</v>
      </c>
      <c r="M8" s="40" t="s">
        <v>69</v>
      </c>
      <c r="N8" s="42"/>
      <c r="O8" s="40" t="s">
        <v>50</v>
      </c>
      <c r="P8" s="43" t="s">
        <v>69</v>
      </c>
      <c r="Q8" s="42"/>
    </row>
    <row r="9" spans="3:17" ht="15" x14ac:dyDescent="0.25">
      <c r="C9" s="27"/>
      <c r="D9" s="44">
        <v>1.8</v>
      </c>
      <c r="E9" s="35"/>
      <c r="F9" s="45">
        <v>1.2</v>
      </c>
      <c r="G9" s="46">
        <v>1.5</v>
      </c>
      <c r="H9" s="47"/>
      <c r="I9" s="48">
        <v>5.9</v>
      </c>
      <c r="J9" s="48">
        <v>7.5</v>
      </c>
      <c r="K9" s="35"/>
      <c r="L9" s="45">
        <v>50</v>
      </c>
      <c r="M9" s="46">
        <v>57</v>
      </c>
      <c r="N9" s="47"/>
      <c r="O9" s="35">
        <v>10</v>
      </c>
      <c r="P9" s="35">
        <v>15</v>
      </c>
      <c r="Q9" s="47"/>
    </row>
    <row r="10" spans="3:17" ht="15" x14ac:dyDescent="0.25">
      <c r="C10" s="27"/>
      <c r="D10" s="44">
        <v>3.8</v>
      </c>
      <c r="E10" s="35"/>
      <c r="F10" s="45">
        <v>1.2</v>
      </c>
      <c r="G10" s="46">
        <v>1.5</v>
      </c>
      <c r="H10" s="47"/>
      <c r="I10" s="48">
        <v>5.5</v>
      </c>
      <c r="J10" s="48">
        <v>6.5</v>
      </c>
      <c r="K10" s="35"/>
      <c r="L10" s="45">
        <v>50</v>
      </c>
      <c r="M10" s="46">
        <v>57</v>
      </c>
      <c r="N10" s="47"/>
      <c r="O10" s="35">
        <v>10</v>
      </c>
      <c r="P10" s="35">
        <v>15</v>
      </c>
      <c r="Q10" s="47"/>
    </row>
    <row r="11" spans="3:17" ht="15" x14ac:dyDescent="0.25">
      <c r="C11" s="27"/>
      <c r="D11" s="44">
        <v>7.4</v>
      </c>
      <c r="E11" s="35"/>
      <c r="F11" s="45">
        <v>1.2</v>
      </c>
      <c r="G11" s="46">
        <v>1.5</v>
      </c>
      <c r="H11" s="47"/>
      <c r="I11" s="48">
        <v>5.0999999999999996</v>
      </c>
      <c r="J11" s="48">
        <v>6</v>
      </c>
      <c r="K11" s="35"/>
      <c r="L11" s="45">
        <v>50</v>
      </c>
      <c r="M11" s="46">
        <v>58</v>
      </c>
      <c r="N11" s="47"/>
      <c r="O11" s="35">
        <v>10</v>
      </c>
      <c r="P11" s="35">
        <v>15</v>
      </c>
      <c r="Q11" s="47"/>
    </row>
    <row r="12" spans="3:17" ht="15" x14ac:dyDescent="0.25">
      <c r="C12" s="27"/>
      <c r="D12" s="44">
        <v>13.2</v>
      </c>
      <c r="E12" s="35"/>
      <c r="F12" s="45">
        <v>1.2</v>
      </c>
      <c r="G12" s="46">
        <v>1.5</v>
      </c>
      <c r="H12" s="47"/>
      <c r="I12" s="48">
        <v>4.7</v>
      </c>
      <c r="J12" s="48">
        <v>5.8</v>
      </c>
      <c r="K12" s="35"/>
      <c r="L12" s="45">
        <v>50</v>
      </c>
      <c r="M12" s="46">
        <v>58</v>
      </c>
      <c r="N12" s="47"/>
      <c r="O12" s="35">
        <v>10</v>
      </c>
      <c r="P12" s="35">
        <v>15</v>
      </c>
      <c r="Q12" s="47"/>
    </row>
    <row r="13" spans="3:17" ht="15" x14ac:dyDescent="0.25">
      <c r="C13" s="27"/>
      <c r="D13" s="44">
        <v>22</v>
      </c>
      <c r="E13" s="35"/>
      <c r="F13" s="45">
        <v>1.2</v>
      </c>
      <c r="G13" s="46">
        <v>1.5</v>
      </c>
      <c r="H13" s="47"/>
      <c r="I13" s="48">
        <v>4.5</v>
      </c>
      <c r="J13" s="48">
        <v>5.5</v>
      </c>
      <c r="K13" s="35"/>
      <c r="L13" s="45">
        <v>54</v>
      </c>
      <c r="M13" s="46">
        <v>63</v>
      </c>
      <c r="N13" s="47"/>
      <c r="O13" s="35">
        <v>10</v>
      </c>
      <c r="P13" s="35">
        <v>15</v>
      </c>
      <c r="Q13" s="47"/>
    </row>
    <row r="14" spans="3:17" ht="15" x14ac:dyDescent="0.25">
      <c r="C14" s="27"/>
      <c r="D14" s="44">
        <v>34</v>
      </c>
      <c r="E14" s="35"/>
      <c r="F14" s="45">
        <v>1.2</v>
      </c>
      <c r="G14" s="46">
        <v>1.5</v>
      </c>
      <c r="H14" s="47"/>
      <c r="I14" s="48">
        <v>4.3</v>
      </c>
      <c r="J14" s="48">
        <v>5.3</v>
      </c>
      <c r="K14" s="35"/>
      <c r="L14" s="45">
        <v>58</v>
      </c>
      <c r="M14" s="46">
        <v>68</v>
      </c>
      <c r="N14" s="47"/>
      <c r="O14" s="35">
        <v>10</v>
      </c>
      <c r="P14" s="35">
        <v>15</v>
      </c>
      <c r="Q14" s="47"/>
    </row>
    <row r="15" spans="3:17" ht="15" x14ac:dyDescent="0.25">
      <c r="C15" s="27"/>
      <c r="D15" s="44">
        <v>50</v>
      </c>
      <c r="E15" s="35"/>
      <c r="F15" s="45">
        <v>1.2</v>
      </c>
      <c r="G15" s="46">
        <v>1.5</v>
      </c>
      <c r="H15" s="47"/>
      <c r="I15" s="48">
        <v>4</v>
      </c>
      <c r="J15" s="48">
        <v>5</v>
      </c>
      <c r="K15" s="35"/>
      <c r="L15" s="45">
        <v>62</v>
      </c>
      <c r="M15" s="46">
        <v>77</v>
      </c>
      <c r="N15" s="47"/>
      <c r="O15" s="35">
        <v>10</v>
      </c>
      <c r="P15" s="35">
        <v>15</v>
      </c>
      <c r="Q15" s="47"/>
    </row>
    <row r="16" spans="3:17" ht="15" x14ac:dyDescent="0.25">
      <c r="C16" s="27"/>
      <c r="D16" s="44">
        <v>70</v>
      </c>
      <c r="E16" s="35"/>
      <c r="F16" s="45">
        <v>1.2</v>
      </c>
      <c r="G16" s="46">
        <v>1.5</v>
      </c>
      <c r="H16" s="47"/>
      <c r="I16" s="48">
        <v>3.5</v>
      </c>
      <c r="J16" s="48">
        <v>4.8</v>
      </c>
      <c r="K16" s="35"/>
      <c r="L16" s="45">
        <v>66</v>
      </c>
      <c r="M16" s="46">
        <v>86</v>
      </c>
      <c r="N16" s="47"/>
      <c r="O16" s="35">
        <v>10</v>
      </c>
      <c r="P16" s="35">
        <v>15</v>
      </c>
      <c r="Q16" s="47"/>
    </row>
    <row r="17" spans="3:17" ht="15" x14ac:dyDescent="0.25">
      <c r="C17" s="27"/>
      <c r="D17" s="44">
        <v>95</v>
      </c>
      <c r="E17" s="35"/>
      <c r="F17" s="45">
        <v>1.2</v>
      </c>
      <c r="G17" s="46">
        <v>1.5</v>
      </c>
      <c r="H17" s="47"/>
      <c r="I17" s="48">
        <v>3.3</v>
      </c>
      <c r="J17" s="48">
        <v>4.4000000000000004</v>
      </c>
      <c r="K17" s="35"/>
      <c r="L17" s="45">
        <v>70</v>
      </c>
      <c r="M17" s="46">
        <v>89</v>
      </c>
      <c r="N17" s="47"/>
      <c r="O17" s="35">
        <v>10</v>
      </c>
      <c r="P17" s="35">
        <v>15</v>
      </c>
      <c r="Q17" s="47"/>
    </row>
    <row r="18" spans="3:17" ht="15" x14ac:dyDescent="0.25">
      <c r="C18" s="27"/>
      <c r="D18" s="44">
        <v>126</v>
      </c>
      <c r="E18" s="35"/>
      <c r="F18" s="45">
        <v>1.2</v>
      </c>
      <c r="G18" s="46">
        <v>1.5</v>
      </c>
      <c r="H18" s="47"/>
      <c r="I18" s="48">
        <v>3.1</v>
      </c>
      <c r="J18" s="48">
        <v>4</v>
      </c>
      <c r="K18" s="35"/>
      <c r="L18" s="45">
        <v>73</v>
      </c>
      <c r="M18" s="46">
        <v>91</v>
      </c>
      <c r="N18" s="47"/>
      <c r="O18" s="35">
        <v>10</v>
      </c>
      <c r="P18" s="35">
        <v>15</v>
      </c>
      <c r="Q18" s="47"/>
    </row>
    <row r="19" spans="3:17" ht="15.75" thickBot="1" x14ac:dyDescent="0.3">
      <c r="C19" s="39"/>
      <c r="D19" s="49">
        <v>163</v>
      </c>
      <c r="E19" s="40"/>
      <c r="F19" s="50">
        <v>1.2</v>
      </c>
      <c r="G19" s="51">
        <v>1.5</v>
      </c>
      <c r="H19" s="42"/>
      <c r="I19" s="52">
        <v>2.9</v>
      </c>
      <c r="J19" s="52">
        <v>3.7</v>
      </c>
      <c r="K19" s="40"/>
      <c r="L19" s="50">
        <v>77</v>
      </c>
      <c r="M19" s="51">
        <v>94</v>
      </c>
      <c r="N19" s="42"/>
      <c r="O19" s="40">
        <v>10</v>
      </c>
      <c r="P19" s="40">
        <v>15</v>
      </c>
      <c r="Q19" s="42"/>
    </row>
    <row r="20" spans="3:17" ht="15" x14ac:dyDescent="0.25">
      <c r="C20" s="27"/>
      <c r="D20" s="44"/>
      <c r="E20" s="35"/>
      <c r="F20" s="46"/>
      <c r="G20" s="46"/>
      <c r="H20" s="35"/>
      <c r="I20" s="48"/>
      <c r="J20" s="48"/>
      <c r="K20" s="35"/>
      <c r="L20" s="46"/>
      <c r="M20" s="46"/>
      <c r="N20" s="35"/>
      <c r="O20" s="35"/>
      <c r="P20" s="35"/>
      <c r="Q20" s="47"/>
    </row>
    <row r="21" spans="3:17" ht="15" x14ac:dyDescent="0.25">
      <c r="C21" s="27" t="s">
        <v>51</v>
      </c>
      <c r="D21" s="44"/>
      <c r="E21" s="35"/>
      <c r="F21" s="46"/>
      <c r="G21" s="46"/>
      <c r="H21" s="35"/>
      <c r="I21" s="48"/>
      <c r="J21" s="48"/>
      <c r="K21" s="35"/>
      <c r="L21" s="46"/>
      <c r="M21" s="46"/>
      <c r="N21" s="35"/>
      <c r="O21" s="35"/>
      <c r="P21" s="35"/>
      <c r="Q21" s="47"/>
    </row>
    <row r="22" spans="3:17" x14ac:dyDescent="0.2">
      <c r="C22" s="27" t="s">
        <v>70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47"/>
    </row>
    <row r="23" spans="3:17" ht="13.5" thickBot="1" x14ac:dyDescent="0.25">
      <c r="C23" s="39" t="s">
        <v>26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</row>
    <row r="24" spans="3:17" ht="18.75" x14ac:dyDescent="0.3">
      <c r="C24" s="55" t="s">
        <v>71</v>
      </c>
      <c r="D24" s="56"/>
      <c r="E24" s="56"/>
      <c r="F24" s="56"/>
      <c r="G24" s="56"/>
      <c r="H24" s="56"/>
      <c r="I24" s="56"/>
      <c r="J24" s="57" t="s">
        <v>26</v>
      </c>
      <c r="K24" s="56"/>
      <c r="L24" s="56"/>
      <c r="M24" s="56"/>
      <c r="N24" s="56"/>
      <c r="O24" s="56"/>
      <c r="P24" s="56"/>
      <c r="Q24" s="58"/>
    </row>
    <row r="25" spans="3:17" ht="18" x14ac:dyDescent="0.35">
      <c r="C25" s="59"/>
      <c r="D25" s="60"/>
      <c r="E25" s="60"/>
      <c r="F25" s="61" t="s">
        <v>72</v>
      </c>
      <c r="G25" s="62"/>
      <c r="H25" s="63"/>
      <c r="I25" s="61" t="s">
        <v>72</v>
      </c>
      <c r="J25" s="62"/>
      <c r="K25" s="63"/>
      <c r="L25" s="61" t="s">
        <v>73</v>
      </c>
      <c r="M25" s="62"/>
      <c r="N25" s="63"/>
      <c r="O25" s="61" t="s">
        <v>99</v>
      </c>
      <c r="P25" s="62"/>
      <c r="Q25" s="64"/>
    </row>
    <row r="26" spans="3:17" ht="15" x14ac:dyDescent="0.25">
      <c r="C26" s="59"/>
      <c r="D26" s="60"/>
      <c r="E26" s="60"/>
      <c r="F26" s="62" t="s">
        <v>74</v>
      </c>
      <c r="G26" s="65" t="s">
        <v>69</v>
      </c>
      <c r="H26" s="141" t="s">
        <v>75</v>
      </c>
      <c r="I26" s="62" t="s">
        <v>74</v>
      </c>
      <c r="J26" s="65" t="s">
        <v>69</v>
      </c>
      <c r="K26" s="66" t="s">
        <v>75</v>
      </c>
      <c r="L26" s="62" t="s">
        <v>74</v>
      </c>
      <c r="M26" s="65" t="s">
        <v>69</v>
      </c>
      <c r="N26" s="66" t="s">
        <v>75</v>
      </c>
      <c r="O26" s="62" t="s">
        <v>74</v>
      </c>
      <c r="P26" s="65" t="s">
        <v>69</v>
      </c>
      <c r="Q26" s="67" t="s">
        <v>75</v>
      </c>
    </row>
    <row r="27" spans="3:17" ht="13.5" thickBot="1" x14ac:dyDescent="0.25">
      <c r="C27" s="68"/>
      <c r="D27" s="69"/>
      <c r="E27" s="70"/>
      <c r="F27" s="69" t="e">
        <f ca="1">FORECAST(I30,OFFSET(F9:F19,MATCH(I30,D9:D19,1)-1,0,2),OFFSET(D9:D19,MATCH(I30,D9:D19,1)-1,0,2))</f>
        <v>#N/A</v>
      </c>
      <c r="G27" s="69" t="e">
        <f ca="1">FORECAST(I30,OFFSET(G9:G19,MATCH(I30,D9:D19,1)-1,0,2),OFFSET(D9:D19,MATCH(I30,D9:D19,1)-1,0,2))</f>
        <v>#N/A</v>
      </c>
      <c r="H27" s="70"/>
      <c r="I27" s="69" t="e">
        <f ca="1">FORECAST(I30,OFFSET(I9:I19,MATCH(I30,D9:D19,1)-1,0,2),OFFSET(D9:D19,MATCH(I30,D9:D19,1)-1,0,2))</f>
        <v>#N/A</v>
      </c>
      <c r="J27" s="69" t="e">
        <f ca="1">FORECAST(I30,OFFSET(J9:J19,MATCH(I30,D9:D19,1)-1,0,2),OFFSET(D9:D19,MATCH(I30,D9:D19,1)-1,0,2))</f>
        <v>#N/A</v>
      </c>
      <c r="K27" s="70"/>
      <c r="L27" s="69" t="e">
        <f ca="1">FORECAST(I30,OFFSET(L9:L19,MATCH(I30,D9:D19,1)-1,0,2),OFFSET(D9:D19,MATCH(I30,D9:D19,1)-1,0,2))</f>
        <v>#N/A</v>
      </c>
      <c r="M27" s="69" t="e">
        <f ca="1">FORECAST(I30,OFFSET(M9:M19,MATCH(I30,D9:D19,1)-1,0,2),OFFSET(D9:D19,MATCH(I30,D9:D19,1)-1,0,2))</f>
        <v>#N/A</v>
      </c>
      <c r="N27" s="70"/>
      <c r="O27" s="69" t="e">
        <f ca="1">FORECAST(I30,OFFSET(O9:O19,MATCH(I30,D9:D19,1)-1,0,2),OFFSET(D9:D19,MATCH(I30,D9:D19,1)-1,0,2))</f>
        <v>#N/A</v>
      </c>
      <c r="P27" s="69" t="e">
        <f ca="1">FORECAST(I30,OFFSET(P9:P19,MATCH(I30,D9:D19,1)-1,0,2),OFFSET(D9:D19,MATCH(I30,D9:D19,1)-1,0,2))</f>
        <v>#N/A</v>
      </c>
      <c r="Q27" s="71"/>
    </row>
    <row r="28" spans="3:17" ht="18.75" x14ac:dyDescent="0.3">
      <c r="C28" s="72" t="s">
        <v>76</v>
      </c>
      <c r="D28" s="73"/>
      <c r="E28" s="60"/>
      <c r="F28" s="73"/>
      <c r="G28" s="73"/>
      <c r="H28" s="60"/>
      <c r="I28" s="73"/>
      <c r="J28" s="73"/>
      <c r="K28" s="60"/>
      <c r="L28" s="73"/>
      <c r="M28" s="73"/>
      <c r="N28" s="60"/>
      <c r="O28" s="73"/>
      <c r="P28" s="73"/>
      <c r="Q28" s="64"/>
    </row>
    <row r="29" spans="3:17" ht="18.75" x14ac:dyDescent="0.3">
      <c r="C29" s="59"/>
      <c r="D29" s="60"/>
      <c r="E29" s="60"/>
      <c r="F29" s="60"/>
      <c r="G29" s="60"/>
      <c r="H29" s="73"/>
      <c r="I29" s="62" t="s">
        <v>77</v>
      </c>
      <c r="J29" s="62" t="s">
        <v>78</v>
      </c>
      <c r="K29" s="74" t="s">
        <v>79</v>
      </c>
      <c r="L29" s="60"/>
      <c r="M29" s="60"/>
      <c r="N29" s="60"/>
      <c r="O29" s="60"/>
      <c r="P29" s="60"/>
      <c r="Q29" s="64"/>
    </row>
    <row r="30" spans="3:17" ht="18.75" x14ac:dyDescent="0.3">
      <c r="C30" s="59"/>
      <c r="D30" s="60"/>
      <c r="E30" s="60"/>
      <c r="F30" s="60"/>
      <c r="G30" s="60"/>
      <c r="H30" s="140" t="s">
        <v>80</v>
      </c>
      <c r="I30" s="73">
        <f>'EvalutionSheet 48Gy4F or 60Gy5F'!F8</f>
        <v>0</v>
      </c>
      <c r="J30" s="73"/>
      <c r="K30" s="60" t="s">
        <v>26</v>
      </c>
      <c r="L30" s="60"/>
      <c r="M30" s="60"/>
      <c r="N30" s="60"/>
      <c r="O30" s="60"/>
      <c r="P30" s="60"/>
      <c r="Q30" s="64"/>
    </row>
    <row r="31" spans="3:17" ht="20.25" x14ac:dyDescent="0.35">
      <c r="C31" s="59"/>
      <c r="D31" s="60"/>
      <c r="E31" s="60"/>
      <c r="F31" s="60"/>
      <c r="G31" s="60"/>
      <c r="H31" s="76" t="s">
        <v>88</v>
      </c>
      <c r="I31" s="73" t="str">
        <f>'EvalutionSheet 48Gy4F or 60Gy5F'!F21</f>
        <v>??</v>
      </c>
      <c r="J31" s="75" t="e">
        <f>I31/I30</f>
        <v>#VALUE!</v>
      </c>
      <c r="K31" s="73" t="str">
        <f>IF(I31="??","??",IF(J31&lt;F27,F26,IF(J31&lt;=G27,G26,H26)))</f>
        <v>??</v>
      </c>
      <c r="L31" s="60"/>
      <c r="M31" s="60"/>
      <c r="N31" s="60"/>
      <c r="O31" s="60"/>
      <c r="P31" s="60"/>
      <c r="Q31" s="64"/>
    </row>
    <row r="32" spans="3:17" ht="20.25" x14ac:dyDescent="0.35">
      <c r="C32" s="59"/>
      <c r="D32" s="60"/>
      <c r="E32" s="60"/>
      <c r="F32" s="60"/>
      <c r="G32" s="60"/>
      <c r="H32" s="76" t="s">
        <v>89</v>
      </c>
      <c r="I32" s="73" t="str">
        <f>'EvalutionSheet 48Gy4F or 60Gy5F'!F24</f>
        <v>??</v>
      </c>
      <c r="J32" s="75" t="e">
        <f>I32/I30</f>
        <v>#VALUE!</v>
      </c>
      <c r="K32" s="73" t="str">
        <f>IF(I32="??","??",IF(J32&lt;=I27,I26,IF(J32&lt;=J27,J26,K26)))</f>
        <v>??</v>
      </c>
      <c r="L32" s="60"/>
      <c r="M32" s="60"/>
      <c r="N32" s="60"/>
      <c r="O32" s="60"/>
      <c r="P32" s="60"/>
      <c r="Q32" s="64"/>
    </row>
    <row r="33" spans="3:17" ht="20.25" x14ac:dyDescent="0.35">
      <c r="C33" s="59"/>
      <c r="D33" s="60"/>
      <c r="E33" s="60"/>
      <c r="F33" s="60"/>
      <c r="G33" s="60"/>
      <c r="H33" s="76" t="s">
        <v>90</v>
      </c>
      <c r="I33" s="73" t="str">
        <f>'EvalutionSheet 48Gy4F or 60Gy5F'!F23</f>
        <v>??</v>
      </c>
      <c r="J33" s="75" t="str">
        <f>I33</f>
        <v>??</v>
      </c>
      <c r="K33" s="73" t="str">
        <f>IF(I33="??","??",IF(J33&lt;=L27,L26,IF(J33&lt;=M27,M26,N26)))</f>
        <v>??</v>
      </c>
      <c r="L33" s="60"/>
      <c r="M33" s="60"/>
      <c r="N33" s="60"/>
      <c r="O33" s="60"/>
      <c r="P33" s="60"/>
      <c r="Q33" s="64"/>
    </row>
    <row r="34" spans="3:17" ht="20.25" x14ac:dyDescent="0.35">
      <c r="C34" s="59"/>
      <c r="D34" s="60"/>
      <c r="E34" s="60"/>
      <c r="F34" s="60"/>
      <c r="G34" s="60"/>
      <c r="H34" s="76" t="s">
        <v>91</v>
      </c>
      <c r="I34" s="75" t="str">
        <f>'EvalutionSheet 48Gy4F or 60Gy5F'!F27</f>
        <v>??</v>
      </c>
      <c r="J34" s="73"/>
      <c r="K34" s="73" t="str">
        <f>IF(I34="??","??",IF(I34&lt;=0.1,O26,IF(I34&lt;=0.15,P26,Q26)))</f>
        <v>??</v>
      </c>
      <c r="L34" s="60"/>
      <c r="M34" s="60"/>
      <c r="N34" s="60"/>
      <c r="O34" s="60"/>
      <c r="P34" s="60"/>
      <c r="Q34" s="64"/>
    </row>
    <row r="35" spans="3:17" ht="13.5" thickBot="1" x14ac:dyDescent="0.25">
      <c r="C35" s="68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1"/>
    </row>
    <row r="43" spans="3:17" x14ac:dyDescent="0.2">
      <c r="C43" s="135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3"/>
      <c r="D1" s="24"/>
      <c r="E1" s="24"/>
      <c r="F1" s="24"/>
      <c r="G1" s="24"/>
      <c r="H1" s="24"/>
      <c r="I1" s="25" t="s">
        <v>85</v>
      </c>
      <c r="J1" s="24"/>
      <c r="K1" s="24"/>
      <c r="L1" s="24"/>
      <c r="M1" s="24"/>
      <c r="N1" s="24"/>
      <c r="O1" s="24"/>
      <c r="P1" s="24"/>
      <c r="Q1" s="26"/>
    </row>
    <row r="2" spans="3:17" ht="15.75" thickBot="1" x14ac:dyDescent="0.3">
      <c r="C2" s="27"/>
      <c r="D2" s="28"/>
      <c r="E2" s="29" t="s">
        <v>53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30"/>
    </row>
    <row r="3" spans="3:17" ht="15" x14ac:dyDescent="0.25">
      <c r="C3" s="23"/>
      <c r="D3" s="31"/>
      <c r="E3" s="24"/>
      <c r="F3" s="23"/>
      <c r="G3" s="24"/>
      <c r="H3" s="26"/>
      <c r="I3" s="24"/>
      <c r="J3" s="24"/>
      <c r="K3" s="24"/>
      <c r="L3" s="23" t="s">
        <v>54</v>
      </c>
      <c r="M3" s="24"/>
      <c r="N3" s="26"/>
      <c r="O3" s="24" t="s">
        <v>55</v>
      </c>
      <c r="P3" s="24"/>
      <c r="Q3" s="26"/>
    </row>
    <row r="4" spans="3:17" ht="15" x14ac:dyDescent="0.25">
      <c r="C4" s="27"/>
      <c r="D4" s="32"/>
      <c r="E4" s="28"/>
      <c r="F4" s="33" t="s">
        <v>56</v>
      </c>
      <c r="G4" s="28"/>
      <c r="H4" s="30"/>
      <c r="I4" s="28" t="s">
        <v>57</v>
      </c>
      <c r="J4" s="28"/>
      <c r="K4" s="28"/>
      <c r="L4" s="27" t="s">
        <v>58</v>
      </c>
      <c r="M4" s="28"/>
      <c r="N4" s="30"/>
      <c r="O4" s="28" t="s">
        <v>59</v>
      </c>
      <c r="P4" s="28"/>
      <c r="Q4" s="30"/>
    </row>
    <row r="5" spans="3:17" x14ac:dyDescent="0.2">
      <c r="C5" s="27"/>
      <c r="D5" s="28"/>
      <c r="E5" s="28"/>
      <c r="F5" s="33" t="s">
        <v>60</v>
      </c>
      <c r="G5" s="28"/>
      <c r="H5" s="30"/>
      <c r="I5" s="34" t="s">
        <v>61</v>
      </c>
      <c r="J5" s="28"/>
      <c r="K5" s="28"/>
      <c r="L5" s="27" t="s">
        <v>62</v>
      </c>
      <c r="M5" s="28"/>
      <c r="N5" s="30"/>
      <c r="O5" s="28"/>
      <c r="P5" s="28"/>
      <c r="Q5" s="30"/>
    </row>
    <row r="6" spans="3:17" ht="13.5" thickBot="1" x14ac:dyDescent="0.25">
      <c r="C6" s="27"/>
      <c r="D6" s="35" t="s">
        <v>48</v>
      </c>
      <c r="E6" s="28"/>
      <c r="F6" s="33" t="s">
        <v>63</v>
      </c>
      <c r="G6" s="28"/>
      <c r="H6" s="30"/>
      <c r="I6" s="34"/>
      <c r="J6" s="28"/>
      <c r="K6" s="28"/>
      <c r="L6" s="27"/>
      <c r="M6" s="28"/>
      <c r="N6" s="30"/>
      <c r="O6" s="28"/>
      <c r="P6" s="28"/>
      <c r="Q6" s="30"/>
    </row>
    <row r="7" spans="3:17" x14ac:dyDescent="0.2">
      <c r="C7" s="27"/>
      <c r="D7" s="35" t="s">
        <v>64</v>
      </c>
      <c r="E7" s="28"/>
      <c r="F7" s="36" t="s">
        <v>65</v>
      </c>
      <c r="G7" s="24"/>
      <c r="H7" s="26"/>
      <c r="I7" s="24"/>
      <c r="J7" s="24" t="s">
        <v>66</v>
      </c>
      <c r="K7" s="24"/>
      <c r="L7" s="37" t="s">
        <v>67</v>
      </c>
      <c r="M7" s="24"/>
      <c r="N7" s="26"/>
      <c r="O7" s="38" t="s">
        <v>68</v>
      </c>
      <c r="P7" s="24"/>
      <c r="Q7" s="26"/>
    </row>
    <row r="8" spans="3:17" ht="13.5" thickBot="1" x14ac:dyDescent="0.25">
      <c r="C8" s="39"/>
      <c r="D8" s="40" t="s">
        <v>49</v>
      </c>
      <c r="E8" s="40"/>
      <c r="F8" s="41" t="s">
        <v>50</v>
      </c>
      <c r="G8" s="40" t="s">
        <v>69</v>
      </c>
      <c r="H8" s="42"/>
      <c r="I8" s="40" t="s">
        <v>50</v>
      </c>
      <c r="J8" s="40" t="s">
        <v>69</v>
      </c>
      <c r="K8" s="40"/>
      <c r="L8" s="41" t="s">
        <v>50</v>
      </c>
      <c r="M8" s="40" t="s">
        <v>69</v>
      </c>
      <c r="N8" s="42"/>
      <c r="O8" s="40" t="s">
        <v>50</v>
      </c>
      <c r="P8" s="43" t="s">
        <v>69</v>
      </c>
      <c r="Q8" s="42"/>
    </row>
    <row r="9" spans="3:17" ht="15" x14ac:dyDescent="0.25">
      <c r="C9" s="27"/>
      <c r="D9" s="44">
        <v>1.8</v>
      </c>
      <c r="E9" s="35"/>
      <c r="F9" s="45">
        <v>1.2</v>
      </c>
      <c r="G9" s="46">
        <v>1.5</v>
      </c>
      <c r="H9" s="47"/>
      <c r="I9" s="48">
        <v>5.9</v>
      </c>
      <c r="J9" s="48">
        <v>7.5</v>
      </c>
      <c r="K9" s="35"/>
      <c r="L9" s="45">
        <v>50</v>
      </c>
      <c r="M9" s="46">
        <v>57</v>
      </c>
      <c r="N9" s="47"/>
      <c r="O9" s="35">
        <v>10</v>
      </c>
      <c r="P9" s="35">
        <v>15</v>
      </c>
      <c r="Q9" s="47"/>
    </row>
    <row r="10" spans="3:17" ht="15" x14ac:dyDescent="0.25">
      <c r="C10" s="27"/>
      <c r="D10" s="44">
        <v>3.8</v>
      </c>
      <c r="E10" s="35"/>
      <c r="F10" s="45">
        <v>1.2</v>
      </c>
      <c r="G10" s="46">
        <v>1.5</v>
      </c>
      <c r="H10" s="47"/>
      <c r="I10" s="48">
        <v>5.5</v>
      </c>
      <c r="J10" s="48">
        <v>6.5</v>
      </c>
      <c r="K10" s="35"/>
      <c r="L10" s="45">
        <v>50</v>
      </c>
      <c r="M10" s="46">
        <v>57</v>
      </c>
      <c r="N10" s="47"/>
      <c r="O10" s="35">
        <v>10</v>
      </c>
      <c r="P10" s="35">
        <v>15</v>
      </c>
      <c r="Q10" s="47"/>
    </row>
    <row r="11" spans="3:17" ht="15" x14ac:dyDescent="0.25">
      <c r="C11" s="27"/>
      <c r="D11" s="44">
        <v>7.4</v>
      </c>
      <c r="E11" s="35"/>
      <c r="F11" s="45">
        <v>1.2</v>
      </c>
      <c r="G11" s="46">
        <v>1.5</v>
      </c>
      <c r="H11" s="47"/>
      <c r="I11" s="48">
        <v>5.0999999999999996</v>
      </c>
      <c r="J11" s="48">
        <v>6</v>
      </c>
      <c r="K11" s="35"/>
      <c r="L11" s="45">
        <v>50</v>
      </c>
      <c r="M11" s="46">
        <v>58</v>
      </c>
      <c r="N11" s="47"/>
      <c r="O11" s="35">
        <v>10</v>
      </c>
      <c r="P11" s="35">
        <v>15</v>
      </c>
      <c r="Q11" s="47"/>
    </row>
    <row r="12" spans="3:17" ht="15" x14ac:dyDescent="0.25">
      <c r="C12" s="27"/>
      <c r="D12" s="44">
        <v>13.2</v>
      </c>
      <c r="E12" s="35"/>
      <c r="F12" s="45">
        <v>1.2</v>
      </c>
      <c r="G12" s="46">
        <v>1.5</v>
      </c>
      <c r="H12" s="47"/>
      <c r="I12" s="48">
        <v>4.7</v>
      </c>
      <c r="J12" s="48">
        <v>5.8</v>
      </c>
      <c r="K12" s="35"/>
      <c r="L12" s="45">
        <v>50</v>
      </c>
      <c r="M12" s="46">
        <v>58</v>
      </c>
      <c r="N12" s="47"/>
      <c r="O12" s="35">
        <v>10</v>
      </c>
      <c r="P12" s="35">
        <v>15</v>
      </c>
      <c r="Q12" s="47"/>
    </row>
    <row r="13" spans="3:17" ht="15" x14ac:dyDescent="0.25">
      <c r="C13" s="27"/>
      <c r="D13" s="44">
        <v>22</v>
      </c>
      <c r="E13" s="35"/>
      <c r="F13" s="45">
        <v>1.2</v>
      </c>
      <c r="G13" s="46">
        <v>1.5</v>
      </c>
      <c r="H13" s="47"/>
      <c r="I13" s="48">
        <v>4.5</v>
      </c>
      <c r="J13" s="48">
        <v>5.5</v>
      </c>
      <c r="K13" s="35"/>
      <c r="L13" s="45">
        <v>54</v>
      </c>
      <c r="M13" s="46">
        <v>63</v>
      </c>
      <c r="N13" s="47"/>
      <c r="O13" s="35">
        <v>10</v>
      </c>
      <c r="P13" s="35">
        <v>15</v>
      </c>
      <c r="Q13" s="47"/>
    </row>
    <row r="14" spans="3:17" ht="15" x14ac:dyDescent="0.25">
      <c r="C14" s="27"/>
      <c r="D14" s="44">
        <v>34</v>
      </c>
      <c r="E14" s="35"/>
      <c r="F14" s="45">
        <v>1.2</v>
      </c>
      <c r="G14" s="46">
        <v>1.5</v>
      </c>
      <c r="H14" s="47"/>
      <c r="I14" s="48">
        <v>4.3</v>
      </c>
      <c r="J14" s="48">
        <v>5.3</v>
      </c>
      <c r="K14" s="35"/>
      <c r="L14" s="45">
        <v>58</v>
      </c>
      <c r="M14" s="46">
        <v>68</v>
      </c>
      <c r="N14" s="47"/>
      <c r="O14" s="35">
        <v>10</v>
      </c>
      <c r="P14" s="35">
        <v>15</v>
      </c>
      <c r="Q14" s="47"/>
    </row>
    <row r="15" spans="3:17" ht="15" x14ac:dyDescent="0.25">
      <c r="C15" s="27"/>
      <c r="D15" s="44">
        <v>50</v>
      </c>
      <c r="E15" s="35"/>
      <c r="F15" s="45">
        <v>1.2</v>
      </c>
      <c r="G15" s="46">
        <v>1.5</v>
      </c>
      <c r="H15" s="47"/>
      <c r="I15" s="48">
        <v>4</v>
      </c>
      <c r="J15" s="48">
        <v>5</v>
      </c>
      <c r="K15" s="35"/>
      <c r="L15" s="45">
        <v>62</v>
      </c>
      <c r="M15" s="46">
        <v>77</v>
      </c>
      <c r="N15" s="47"/>
      <c r="O15" s="35">
        <v>10</v>
      </c>
      <c r="P15" s="35">
        <v>15</v>
      </c>
      <c r="Q15" s="47"/>
    </row>
    <row r="16" spans="3:17" ht="15" x14ac:dyDescent="0.25">
      <c r="C16" s="27"/>
      <c r="D16" s="44">
        <v>70</v>
      </c>
      <c r="E16" s="35"/>
      <c r="F16" s="45">
        <v>1.2</v>
      </c>
      <c r="G16" s="46">
        <v>1.5</v>
      </c>
      <c r="H16" s="47"/>
      <c r="I16" s="48">
        <v>3.5</v>
      </c>
      <c r="J16" s="48">
        <v>4.8</v>
      </c>
      <c r="K16" s="35"/>
      <c r="L16" s="45">
        <v>66</v>
      </c>
      <c r="M16" s="46">
        <v>86</v>
      </c>
      <c r="N16" s="47"/>
      <c r="O16" s="35">
        <v>10</v>
      </c>
      <c r="P16" s="35">
        <v>15</v>
      </c>
      <c r="Q16" s="47"/>
    </row>
    <row r="17" spans="3:17" ht="15" x14ac:dyDescent="0.25">
      <c r="C17" s="27"/>
      <c r="D17" s="44">
        <v>95</v>
      </c>
      <c r="E17" s="35"/>
      <c r="F17" s="45">
        <v>1.2</v>
      </c>
      <c r="G17" s="46">
        <v>1.5</v>
      </c>
      <c r="H17" s="47"/>
      <c r="I17" s="48">
        <v>3.3</v>
      </c>
      <c r="J17" s="48">
        <v>4.4000000000000004</v>
      </c>
      <c r="K17" s="35"/>
      <c r="L17" s="45">
        <v>70</v>
      </c>
      <c r="M17" s="46">
        <v>89</v>
      </c>
      <c r="N17" s="47"/>
      <c r="O17" s="35">
        <v>10</v>
      </c>
      <c r="P17" s="35">
        <v>15</v>
      </c>
      <c r="Q17" s="47"/>
    </row>
    <row r="18" spans="3:17" ht="15" x14ac:dyDescent="0.25">
      <c r="C18" s="27"/>
      <c r="D18" s="44">
        <v>126</v>
      </c>
      <c r="E18" s="35"/>
      <c r="F18" s="45">
        <v>1.2</v>
      </c>
      <c r="G18" s="46">
        <v>1.5</v>
      </c>
      <c r="H18" s="47"/>
      <c r="I18" s="48">
        <v>3.1</v>
      </c>
      <c r="J18" s="48">
        <v>4</v>
      </c>
      <c r="K18" s="35"/>
      <c r="L18" s="45">
        <v>73</v>
      </c>
      <c r="M18" s="46">
        <v>91</v>
      </c>
      <c r="N18" s="47"/>
      <c r="O18" s="35">
        <v>10</v>
      </c>
      <c r="P18" s="35">
        <v>15</v>
      </c>
      <c r="Q18" s="47"/>
    </row>
    <row r="19" spans="3:17" ht="15.75" thickBot="1" x14ac:dyDescent="0.3">
      <c r="C19" s="39"/>
      <c r="D19" s="49">
        <v>163</v>
      </c>
      <c r="E19" s="40"/>
      <c r="F19" s="50">
        <v>1.2</v>
      </c>
      <c r="G19" s="51">
        <v>1.5</v>
      </c>
      <c r="H19" s="42"/>
      <c r="I19" s="52">
        <v>2.9</v>
      </c>
      <c r="J19" s="52">
        <v>3.7</v>
      </c>
      <c r="K19" s="40"/>
      <c r="L19" s="50">
        <v>77</v>
      </c>
      <c r="M19" s="51">
        <v>94</v>
      </c>
      <c r="N19" s="42"/>
      <c r="O19" s="40">
        <v>10</v>
      </c>
      <c r="P19" s="40">
        <v>15</v>
      </c>
      <c r="Q19" s="42"/>
    </row>
    <row r="20" spans="3:17" ht="15" x14ac:dyDescent="0.25">
      <c r="C20" s="27"/>
      <c r="D20" s="44"/>
      <c r="E20" s="35"/>
      <c r="F20" s="46"/>
      <c r="G20" s="46"/>
      <c r="H20" s="35"/>
      <c r="I20" s="48"/>
      <c r="J20" s="48"/>
      <c r="K20" s="35"/>
      <c r="L20" s="46"/>
      <c r="M20" s="46"/>
      <c r="N20" s="35"/>
      <c r="O20" s="35"/>
      <c r="P20" s="35"/>
      <c r="Q20" s="47"/>
    </row>
    <row r="21" spans="3:17" ht="15" x14ac:dyDescent="0.25">
      <c r="C21" s="27" t="s">
        <v>51</v>
      </c>
      <c r="D21" s="44"/>
      <c r="E21" s="35"/>
      <c r="F21" s="46"/>
      <c r="G21" s="46"/>
      <c r="H21" s="35"/>
      <c r="I21" s="48"/>
      <c r="J21" s="48"/>
      <c r="K21" s="35"/>
      <c r="L21" s="46"/>
      <c r="M21" s="46"/>
      <c r="N21" s="35"/>
      <c r="O21" s="35"/>
      <c r="P21" s="35"/>
      <c r="Q21" s="47"/>
    </row>
    <row r="22" spans="3:17" x14ac:dyDescent="0.2">
      <c r="C22" s="27" t="s">
        <v>70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47"/>
    </row>
    <row r="23" spans="3:17" ht="13.5" thickBot="1" x14ac:dyDescent="0.25">
      <c r="C23" s="39" t="s">
        <v>26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</row>
    <row r="24" spans="3:17" ht="18.75" x14ac:dyDescent="0.3">
      <c r="C24" s="55" t="s">
        <v>71</v>
      </c>
      <c r="D24" s="56"/>
      <c r="E24" s="56"/>
      <c r="F24" s="56"/>
      <c r="G24" s="56"/>
      <c r="H24" s="56"/>
      <c r="I24" s="56"/>
      <c r="J24" s="57" t="s">
        <v>26</v>
      </c>
      <c r="K24" s="56"/>
      <c r="L24" s="56"/>
      <c r="M24" s="56"/>
      <c r="N24" s="56"/>
      <c r="O24" s="56"/>
      <c r="P24" s="56"/>
      <c r="Q24" s="58"/>
    </row>
    <row r="25" spans="3:17" ht="15" x14ac:dyDescent="0.25">
      <c r="C25" s="59"/>
      <c r="D25" s="60"/>
      <c r="E25" s="60"/>
      <c r="F25" s="61" t="s">
        <v>72</v>
      </c>
      <c r="G25" s="62"/>
      <c r="H25" s="63"/>
      <c r="I25" s="61" t="s">
        <v>72</v>
      </c>
      <c r="J25" s="62"/>
      <c r="K25" s="63"/>
      <c r="L25" s="61" t="s">
        <v>73</v>
      </c>
      <c r="M25" s="62"/>
      <c r="N25" s="63"/>
      <c r="O25" s="61" t="s">
        <v>73</v>
      </c>
      <c r="P25" s="62"/>
      <c r="Q25" s="64"/>
    </row>
    <row r="26" spans="3:17" ht="15" x14ac:dyDescent="0.25">
      <c r="C26" s="59"/>
      <c r="D26" s="60"/>
      <c r="E26" s="60"/>
      <c r="F26" s="62" t="s">
        <v>74</v>
      </c>
      <c r="G26" s="65" t="s">
        <v>69</v>
      </c>
      <c r="H26" s="66" t="s">
        <v>75</v>
      </c>
      <c r="I26" s="62" t="s">
        <v>74</v>
      </c>
      <c r="J26" s="65" t="s">
        <v>69</v>
      </c>
      <c r="K26" s="66" t="s">
        <v>75</v>
      </c>
      <c r="L26" s="62" t="s">
        <v>74</v>
      </c>
      <c r="M26" s="65" t="s">
        <v>69</v>
      </c>
      <c r="N26" s="66" t="s">
        <v>75</v>
      </c>
      <c r="O26" s="62" t="s">
        <v>74</v>
      </c>
      <c r="P26" s="65" t="s">
        <v>69</v>
      </c>
      <c r="Q26" s="67" t="s">
        <v>75</v>
      </c>
    </row>
    <row r="27" spans="3:17" ht="13.5" thickBot="1" x14ac:dyDescent="0.25">
      <c r="C27" s="68"/>
      <c r="D27" s="69"/>
      <c r="E27" s="70"/>
      <c r="F27" s="69" t="e">
        <f ca="1">FORECAST(I30,OFFSET(F9:F19,MATCH(I30,D9:D19,1)-1,0,2),OFFSET(D9:D19,MATCH(I30,D9:D19,1)-1,0,2))</f>
        <v>#N/A</v>
      </c>
      <c r="G27" s="69" t="e">
        <f ca="1">FORECAST(I30,OFFSET(G9:G19,MATCH(I30,D9:D19,1)-1,0,2),OFFSET(D9:D19,MATCH(I30,D9:D19,1)-1,0,2))</f>
        <v>#N/A</v>
      </c>
      <c r="H27" s="70"/>
      <c r="I27" s="69" t="e">
        <f ca="1">FORECAST(I30,OFFSET(I9:I19,MATCH(I30,D9:D19,1)-1,0,2),OFFSET(D9:D19,MATCH(I30,D9:D19,1)-1,0,2))</f>
        <v>#N/A</v>
      </c>
      <c r="J27" s="69" t="e">
        <f ca="1">FORECAST(I30,OFFSET(J9:J19,MATCH(I30,D9:D19,1)-1,0,2),OFFSET(D9:D19,MATCH(I30,D9:D19,1)-1,0,2))</f>
        <v>#N/A</v>
      </c>
      <c r="K27" s="70"/>
      <c r="L27" s="69" t="e">
        <f ca="1">FORECAST(I30,OFFSET(L9:L19,MATCH(I30,D9:D19,1)-1,0,2),OFFSET(D9:D19,MATCH(I30,D9:D19,1)-1,0,2))</f>
        <v>#N/A</v>
      </c>
      <c r="M27" s="69" t="e">
        <f ca="1">FORECAST(I30,OFFSET(M9:M19,MATCH(I30,D9:D19,1)-1,0,2),OFFSET(D9:D19,MATCH(I30,D9:D19,1)-1,0,2))</f>
        <v>#N/A</v>
      </c>
      <c r="N27" s="70"/>
      <c r="O27" s="69" t="e">
        <f ca="1">FORECAST(I30,OFFSET(O9:O19,MATCH(I30,D9:D19,1)-1,0,2),OFFSET(D9:D19,MATCH(I30,D9:D19,1)-1,0,2))</f>
        <v>#N/A</v>
      </c>
      <c r="P27" s="69" t="e">
        <f ca="1">FORECAST(I30,OFFSET(P9:P19,MATCH(I30,D9:D19,1)-1,0,2),OFFSET(D9:D19,MATCH(I30,D9:D19,1)-1,0,2))</f>
        <v>#N/A</v>
      </c>
      <c r="Q27" s="71"/>
    </row>
    <row r="28" spans="3:17" ht="18.75" x14ac:dyDescent="0.3">
      <c r="C28" s="72" t="s">
        <v>76</v>
      </c>
      <c r="D28" s="73"/>
      <c r="E28" s="60"/>
      <c r="F28" s="73"/>
      <c r="G28" s="73"/>
      <c r="H28" s="60"/>
      <c r="I28" s="73"/>
      <c r="J28" s="73"/>
      <c r="K28" s="60"/>
      <c r="L28" s="73"/>
      <c r="M28" s="73"/>
      <c r="N28" s="60"/>
      <c r="O28" s="73"/>
      <c r="P28" s="73"/>
      <c r="Q28" s="64"/>
    </row>
    <row r="29" spans="3:17" ht="18.75" x14ac:dyDescent="0.3">
      <c r="C29" s="59"/>
      <c r="D29" s="60"/>
      <c r="E29" s="60"/>
      <c r="F29" s="60"/>
      <c r="G29" s="60"/>
      <c r="H29" s="73"/>
      <c r="I29" s="62" t="s">
        <v>77</v>
      </c>
      <c r="J29" s="62" t="s">
        <v>78</v>
      </c>
      <c r="K29" s="74" t="s">
        <v>79</v>
      </c>
      <c r="L29" s="60"/>
      <c r="M29" s="60"/>
      <c r="N29" s="60"/>
      <c r="O29" s="60"/>
      <c r="P29" s="60"/>
      <c r="Q29" s="64"/>
    </row>
    <row r="30" spans="3:17" ht="18.75" x14ac:dyDescent="0.3">
      <c r="C30" s="59"/>
      <c r="D30" s="60"/>
      <c r="E30" s="60"/>
      <c r="F30" s="60"/>
      <c r="G30" s="60"/>
      <c r="H30" s="140" t="s">
        <v>80</v>
      </c>
      <c r="I30" s="73">
        <f>'Evalution Sheet 60Gy 8F'!F8</f>
        <v>0</v>
      </c>
      <c r="J30" s="73"/>
      <c r="K30" s="60" t="s">
        <v>26</v>
      </c>
      <c r="L30" s="60"/>
      <c r="M30" s="60"/>
      <c r="N30" s="60"/>
      <c r="O30" s="60"/>
      <c r="P30" s="60"/>
      <c r="Q30" s="64"/>
    </row>
    <row r="31" spans="3:17" ht="20.25" x14ac:dyDescent="0.35">
      <c r="C31" s="59"/>
      <c r="D31" s="60"/>
      <c r="E31" s="60"/>
      <c r="F31" s="60"/>
      <c r="G31" s="60"/>
      <c r="H31" s="76" t="s">
        <v>88</v>
      </c>
      <c r="I31" s="73" t="str">
        <f>'Evalution Sheet 60Gy 8F'!F21</f>
        <v>??</v>
      </c>
      <c r="J31" s="75" t="e">
        <f>I31/I30</f>
        <v>#VALUE!</v>
      </c>
      <c r="K31" s="73" t="str">
        <f>IF(I31="??","??",IF(J31&lt;F27,F26,IF(J31&lt;=G27,G26,H26)))</f>
        <v>??</v>
      </c>
      <c r="L31" s="60"/>
      <c r="M31" s="60"/>
      <c r="N31" s="60"/>
      <c r="O31" s="60"/>
      <c r="P31" s="60"/>
      <c r="Q31" s="64"/>
    </row>
    <row r="32" spans="3:17" ht="20.25" x14ac:dyDescent="0.35">
      <c r="C32" s="59"/>
      <c r="D32" s="60"/>
      <c r="E32" s="60"/>
      <c r="F32" s="60"/>
      <c r="G32" s="60"/>
      <c r="H32" s="76" t="s">
        <v>89</v>
      </c>
      <c r="I32" s="73" t="str">
        <f>'Evalution Sheet 60Gy 8F'!F24</f>
        <v>??</v>
      </c>
      <c r="J32" s="75" t="e">
        <f>I32/I30</f>
        <v>#VALUE!</v>
      </c>
      <c r="K32" s="73" t="str">
        <f>IF(I32="??", "??",IF(J32&lt;=I27,I26,IF(J32&lt;=J27,J26,K26)))</f>
        <v>??</v>
      </c>
      <c r="L32" s="60"/>
      <c r="M32" s="60"/>
      <c r="N32" s="60"/>
      <c r="O32" s="60"/>
      <c r="P32" s="60"/>
      <c r="Q32" s="64"/>
    </row>
    <row r="33" spans="3:17" ht="20.25" x14ac:dyDescent="0.35">
      <c r="C33" s="59"/>
      <c r="D33" s="60"/>
      <c r="E33" s="60"/>
      <c r="F33" s="60"/>
      <c r="G33" s="60"/>
      <c r="H33" s="76" t="s">
        <v>90</v>
      </c>
      <c r="I33" s="73" t="str">
        <f>'Evalution Sheet 60Gy 8F'!F23</f>
        <v>??</v>
      </c>
      <c r="J33" s="75" t="str">
        <f>I33</f>
        <v>??</v>
      </c>
      <c r="K33" s="73" t="str">
        <f>IF(I33="??","??",IF(J33&lt;=L27,L26,IF(J33&lt;=M27,M26,N26)))</f>
        <v>??</v>
      </c>
      <c r="L33" s="60"/>
      <c r="M33" s="60"/>
      <c r="N33" s="60"/>
      <c r="O33" s="60"/>
      <c r="P33" s="60"/>
      <c r="Q33" s="64"/>
    </row>
    <row r="34" spans="3:17" ht="20.25" x14ac:dyDescent="0.35">
      <c r="C34" s="59"/>
      <c r="D34" s="60"/>
      <c r="E34" s="60"/>
      <c r="F34" s="60"/>
      <c r="G34" s="60"/>
      <c r="H34" s="76" t="s">
        <v>91</v>
      </c>
      <c r="I34" s="75" t="str">
        <f>'Evalution Sheet 60Gy 8F'!F27</f>
        <v>??</v>
      </c>
      <c r="J34" s="73"/>
      <c r="K34" s="73" t="str">
        <f>IF(I34="??","??",IF(I34&lt;=0.1,O26,IF(I34&lt;=0.15,P26,Q26)))</f>
        <v>??</v>
      </c>
      <c r="L34" s="60"/>
      <c r="M34" s="60"/>
      <c r="N34" s="60"/>
      <c r="O34" s="60"/>
      <c r="P34" s="60"/>
      <c r="Q34" s="64"/>
    </row>
    <row r="35" spans="3:17" ht="13.5" thickBot="1" x14ac:dyDescent="0.25">
      <c r="C35" s="68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1"/>
    </row>
    <row r="46" spans="3:17" x14ac:dyDescent="0.2">
      <c r="C46" s="135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3"/>
      <c r="D1" s="24"/>
      <c r="E1" s="24"/>
      <c r="F1" s="24"/>
      <c r="G1" s="24"/>
      <c r="H1" s="24"/>
      <c r="I1" s="25" t="s">
        <v>85</v>
      </c>
      <c r="J1" s="24"/>
      <c r="K1" s="24"/>
      <c r="L1" s="24"/>
      <c r="M1" s="24"/>
      <c r="N1" s="24"/>
      <c r="O1" s="24"/>
      <c r="P1" s="24"/>
      <c r="Q1" s="26"/>
    </row>
    <row r="2" spans="3:17" ht="15.75" thickBot="1" x14ac:dyDescent="0.3">
      <c r="C2" s="27"/>
      <c r="D2" s="28"/>
      <c r="E2" s="29" t="s">
        <v>53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30"/>
    </row>
    <row r="3" spans="3:17" ht="15" x14ac:dyDescent="0.25">
      <c r="C3" s="23"/>
      <c r="D3" s="31"/>
      <c r="E3" s="24"/>
      <c r="F3" s="23"/>
      <c r="G3" s="24"/>
      <c r="H3" s="26"/>
      <c r="I3" s="24"/>
      <c r="J3" s="24"/>
      <c r="K3" s="24"/>
      <c r="L3" s="23" t="s">
        <v>54</v>
      </c>
      <c r="M3" s="24"/>
      <c r="N3" s="26"/>
      <c r="O3" s="24" t="s">
        <v>55</v>
      </c>
      <c r="P3" s="24"/>
      <c r="Q3" s="26"/>
    </row>
    <row r="4" spans="3:17" ht="15" x14ac:dyDescent="0.25">
      <c r="C4" s="27"/>
      <c r="D4" s="32"/>
      <c r="E4" s="28"/>
      <c r="F4" s="33" t="s">
        <v>56</v>
      </c>
      <c r="G4" s="28"/>
      <c r="H4" s="30"/>
      <c r="I4" s="28" t="s">
        <v>57</v>
      </c>
      <c r="J4" s="28"/>
      <c r="K4" s="28"/>
      <c r="L4" s="27" t="s">
        <v>58</v>
      </c>
      <c r="M4" s="28"/>
      <c r="N4" s="30"/>
      <c r="O4" s="28" t="s">
        <v>59</v>
      </c>
      <c r="P4" s="28"/>
      <c r="Q4" s="30"/>
    </row>
    <row r="5" spans="3:17" x14ac:dyDescent="0.2">
      <c r="C5" s="27"/>
      <c r="D5" s="28"/>
      <c r="E5" s="28"/>
      <c r="F5" s="33" t="s">
        <v>60</v>
      </c>
      <c r="G5" s="28"/>
      <c r="H5" s="30"/>
      <c r="I5" s="34" t="s">
        <v>61</v>
      </c>
      <c r="J5" s="28"/>
      <c r="K5" s="28"/>
      <c r="L5" s="27" t="s">
        <v>62</v>
      </c>
      <c r="M5" s="28"/>
      <c r="N5" s="30"/>
      <c r="O5" s="28"/>
      <c r="P5" s="28"/>
      <c r="Q5" s="30"/>
    </row>
    <row r="6" spans="3:17" ht="13.5" thickBot="1" x14ac:dyDescent="0.25">
      <c r="C6" s="27"/>
      <c r="D6" s="35" t="s">
        <v>48</v>
      </c>
      <c r="E6" s="28"/>
      <c r="F6" s="33" t="s">
        <v>63</v>
      </c>
      <c r="G6" s="28"/>
      <c r="H6" s="30"/>
      <c r="I6" s="34"/>
      <c r="J6" s="28"/>
      <c r="K6" s="28"/>
      <c r="L6" s="27"/>
      <c r="M6" s="28"/>
      <c r="N6" s="30"/>
      <c r="O6" s="28"/>
      <c r="P6" s="28"/>
      <c r="Q6" s="30"/>
    </row>
    <row r="7" spans="3:17" x14ac:dyDescent="0.2">
      <c r="C7" s="27"/>
      <c r="D7" s="35" t="s">
        <v>64</v>
      </c>
      <c r="E7" s="28"/>
      <c r="F7" s="36" t="s">
        <v>65</v>
      </c>
      <c r="G7" s="24"/>
      <c r="H7" s="26"/>
      <c r="I7" s="24"/>
      <c r="J7" s="24" t="s">
        <v>66</v>
      </c>
      <c r="K7" s="24"/>
      <c r="L7" s="37" t="s">
        <v>67</v>
      </c>
      <c r="M7" s="24"/>
      <c r="N7" s="26"/>
      <c r="O7" s="38" t="s">
        <v>68</v>
      </c>
      <c r="P7" s="24"/>
      <c r="Q7" s="26"/>
    </row>
    <row r="8" spans="3:17" ht="13.5" thickBot="1" x14ac:dyDescent="0.25">
      <c r="C8" s="39"/>
      <c r="D8" s="40" t="s">
        <v>49</v>
      </c>
      <c r="E8" s="40"/>
      <c r="F8" s="41" t="s">
        <v>50</v>
      </c>
      <c r="G8" s="40" t="s">
        <v>69</v>
      </c>
      <c r="H8" s="42"/>
      <c r="I8" s="40" t="s">
        <v>50</v>
      </c>
      <c r="J8" s="40" t="s">
        <v>69</v>
      </c>
      <c r="K8" s="40"/>
      <c r="L8" s="41" t="s">
        <v>50</v>
      </c>
      <c r="M8" s="40" t="s">
        <v>69</v>
      </c>
      <c r="N8" s="42"/>
      <c r="O8" s="40" t="s">
        <v>50</v>
      </c>
      <c r="P8" s="43" t="s">
        <v>69</v>
      </c>
      <c r="Q8" s="42"/>
    </row>
    <row r="9" spans="3:17" ht="15" x14ac:dyDescent="0.25">
      <c r="C9" s="27"/>
      <c r="D9" s="44">
        <v>1.8</v>
      </c>
      <c r="E9" s="35"/>
      <c r="F9" s="45">
        <v>1.2</v>
      </c>
      <c r="G9" s="46">
        <v>1.5</v>
      </c>
      <c r="H9" s="47"/>
      <c r="I9" s="48">
        <v>5.9</v>
      </c>
      <c r="J9" s="48">
        <v>7.5</v>
      </c>
      <c r="K9" s="35"/>
      <c r="L9" s="45">
        <v>50</v>
      </c>
      <c r="M9" s="46">
        <v>57</v>
      </c>
      <c r="N9" s="47"/>
      <c r="O9" s="35">
        <v>10</v>
      </c>
      <c r="P9" s="35">
        <v>15</v>
      </c>
      <c r="Q9" s="47"/>
    </row>
    <row r="10" spans="3:17" ht="15" x14ac:dyDescent="0.25">
      <c r="C10" s="27"/>
      <c r="D10" s="44">
        <v>3.8</v>
      </c>
      <c r="E10" s="35"/>
      <c r="F10" s="45">
        <v>1.2</v>
      </c>
      <c r="G10" s="46">
        <v>1.5</v>
      </c>
      <c r="H10" s="47"/>
      <c r="I10" s="48">
        <v>5.5</v>
      </c>
      <c r="J10" s="48">
        <v>6.5</v>
      </c>
      <c r="K10" s="35"/>
      <c r="L10" s="45">
        <v>50</v>
      </c>
      <c r="M10" s="46">
        <v>57</v>
      </c>
      <c r="N10" s="47"/>
      <c r="O10" s="35">
        <v>10</v>
      </c>
      <c r="P10" s="35">
        <v>15</v>
      </c>
      <c r="Q10" s="47"/>
    </row>
    <row r="11" spans="3:17" ht="15" x14ac:dyDescent="0.25">
      <c r="C11" s="27"/>
      <c r="D11" s="44">
        <v>7.4</v>
      </c>
      <c r="E11" s="35"/>
      <c r="F11" s="45">
        <v>1.2</v>
      </c>
      <c r="G11" s="46">
        <v>1.5</v>
      </c>
      <c r="H11" s="47"/>
      <c r="I11" s="48">
        <v>5.0999999999999996</v>
      </c>
      <c r="J11" s="48">
        <v>6</v>
      </c>
      <c r="K11" s="35"/>
      <c r="L11" s="45">
        <v>50</v>
      </c>
      <c r="M11" s="46">
        <v>58</v>
      </c>
      <c r="N11" s="47"/>
      <c r="O11" s="35">
        <v>10</v>
      </c>
      <c r="P11" s="35">
        <v>15</v>
      </c>
      <c r="Q11" s="47"/>
    </row>
    <row r="12" spans="3:17" ht="15" x14ac:dyDescent="0.25">
      <c r="C12" s="27"/>
      <c r="D12" s="44">
        <v>13.2</v>
      </c>
      <c r="E12" s="35"/>
      <c r="F12" s="45">
        <v>1.2</v>
      </c>
      <c r="G12" s="46">
        <v>1.5</v>
      </c>
      <c r="H12" s="47"/>
      <c r="I12" s="48">
        <v>4.7</v>
      </c>
      <c r="J12" s="48">
        <v>5.8</v>
      </c>
      <c r="K12" s="35"/>
      <c r="L12" s="45">
        <v>50</v>
      </c>
      <c r="M12" s="46">
        <v>58</v>
      </c>
      <c r="N12" s="47"/>
      <c r="O12" s="35">
        <v>10</v>
      </c>
      <c r="P12" s="35">
        <v>15</v>
      </c>
      <c r="Q12" s="47"/>
    </row>
    <row r="13" spans="3:17" ht="15" x14ac:dyDescent="0.25">
      <c r="C13" s="27"/>
      <c r="D13" s="44">
        <v>22</v>
      </c>
      <c r="E13" s="35"/>
      <c r="F13" s="45">
        <v>1.2</v>
      </c>
      <c r="G13" s="46">
        <v>1.5</v>
      </c>
      <c r="H13" s="47"/>
      <c r="I13" s="48">
        <v>4.5</v>
      </c>
      <c r="J13" s="48">
        <v>5.5</v>
      </c>
      <c r="K13" s="35"/>
      <c r="L13" s="45">
        <v>54</v>
      </c>
      <c r="M13" s="46">
        <v>63</v>
      </c>
      <c r="N13" s="47"/>
      <c r="O13" s="35">
        <v>10</v>
      </c>
      <c r="P13" s="35">
        <v>15</v>
      </c>
      <c r="Q13" s="47"/>
    </row>
    <row r="14" spans="3:17" ht="15" x14ac:dyDescent="0.25">
      <c r="C14" s="27"/>
      <c r="D14" s="44">
        <v>34</v>
      </c>
      <c r="E14" s="35"/>
      <c r="F14" s="45">
        <v>1.2</v>
      </c>
      <c r="G14" s="46">
        <v>1.5</v>
      </c>
      <c r="H14" s="47"/>
      <c r="I14" s="48">
        <v>4.3</v>
      </c>
      <c r="J14" s="48">
        <v>5.3</v>
      </c>
      <c r="K14" s="35"/>
      <c r="L14" s="45">
        <v>58</v>
      </c>
      <c r="M14" s="46">
        <v>68</v>
      </c>
      <c r="N14" s="47"/>
      <c r="O14" s="35">
        <v>10</v>
      </c>
      <c r="P14" s="35">
        <v>15</v>
      </c>
      <c r="Q14" s="47"/>
    </row>
    <row r="15" spans="3:17" ht="15" x14ac:dyDescent="0.25">
      <c r="C15" s="27"/>
      <c r="D15" s="44">
        <v>50</v>
      </c>
      <c r="E15" s="35"/>
      <c r="F15" s="45">
        <v>1.2</v>
      </c>
      <c r="G15" s="46">
        <v>1.5</v>
      </c>
      <c r="H15" s="47"/>
      <c r="I15" s="48">
        <v>4</v>
      </c>
      <c r="J15" s="48">
        <v>5</v>
      </c>
      <c r="K15" s="35"/>
      <c r="L15" s="45">
        <v>62</v>
      </c>
      <c r="M15" s="46">
        <v>77</v>
      </c>
      <c r="N15" s="47"/>
      <c r="O15" s="35">
        <v>10</v>
      </c>
      <c r="P15" s="35">
        <v>15</v>
      </c>
      <c r="Q15" s="47"/>
    </row>
    <row r="16" spans="3:17" ht="15" x14ac:dyDescent="0.25">
      <c r="C16" s="27"/>
      <c r="D16" s="44">
        <v>70</v>
      </c>
      <c r="E16" s="35"/>
      <c r="F16" s="45">
        <v>1.2</v>
      </c>
      <c r="G16" s="46">
        <v>1.5</v>
      </c>
      <c r="H16" s="47"/>
      <c r="I16" s="48">
        <v>3.5</v>
      </c>
      <c r="J16" s="48">
        <v>4.8</v>
      </c>
      <c r="K16" s="35"/>
      <c r="L16" s="45">
        <v>66</v>
      </c>
      <c r="M16" s="46">
        <v>86</v>
      </c>
      <c r="N16" s="47"/>
      <c r="O16" s="35">
        <v>10</v>
      </c>
      <c r="P16" s="35">
        <v>15</v>
      </c>
      <c r="Q16" s="47"/>
    </row>
    <row r="17" spans="3:17" ht="15" x14ac:dyDescent="0.25">
      <c r="C17" s="27"/>
      <c r="D17" s="44">
        <v>95</v>
      </c>
      <c r="E17" s="35"/>
      <c r="F17" s="45">
        <v>1.2</v>
      </c>
      <c r="G17" s="46">
        <v>1.5</v>
      </c>
      <c r="H17" s="47"/>
      <c r="I17" s="48">
        <v>3.3</v>
      </c>
      <c r="J17" s="48">
        <v>4.4000000000000004</v>
      </c>
      <c r="K17" s="35"/>
      <c r="L17" s="45">
        <v>70</v>
      </c>
      <c r="M17" s="46">
        <v>89</v>
      </c>
      <c r="N17" s="47"/>
      <c r="O17" s="35">
        <v>10</v>
      </c>
      <c r="P17" s="35">
        <v>15</v>
      </c>
      <c r="Q17" s="47"/>
    </row>
    <row r="18" spans="3:17" ht="15" x14ac:dyDescent="0.25">
      <c r="C18" s="27"/>
      <c r="D18" s="44">
        <v>126</v>
      </c>
      <c r="E18" s="35"/>
      <c r="F18" s="45">
        <v>1.2</v>
      </c>
      <c r="G18" s="46">
        <v>1.5</v>
      </c>
      <c r="H18" s="47"/>
      <c r="I18" s="48">
        <v>3.1</v>
      </c>
      <c r="J18" s="48">
        <v>4</v>
      </c>
      <c r="K18" s="35"/>
      <c r="L18" s="45">
        <v>73</v>
      </c>
      <c r="M18" s="46">
        <v>91</v>
      </c>
      <c r="N18" s="47"/>
      <c r="O18" s="35">
        <v>10</v>
      </c>
      <c r="P18" s="35">
        <v>15</v>
      </c>
      <c r="Q18" s="47"/>
    </row>
    <row r="19" spans="3:17" ht="15.75" thickBot="1" x14ac:dyDescent="0.3">
      <c r="C19" s="39"/>
      <c r="D19" s="49">
        <v>163</v>
      </c>
      <c r="E19" s="40"/>
      <c r="F19" s="50">
        <v>1.2</v>
      </c>
      <c r="G19" s="51">
        <v>1.5</v>
      </c>
      <c r="H19" s="42"/>
      <c r="I19" s="52">
        <v>2.9</v>
      </c>
      <c r="J19" s="52">
        <v>3.7</v>
      </c>
      <c r="K19" s="40"/>
      <c r="L19" s="50">
        <v>77</v>
      </c>
      <c r="M19" s="51">
        <v>94</v>
      </c>
      <c r="N19" s="42"/>
      <c r="O19" s="40">
        <v>10</v>
      </c>
      <c r="P19" s="40">
        <v>15</v>
      </c>
      <c r="Q19" s="42"/>
    </row>
    <row r="20" spans="3:17" ht="15" x14ac:dyDescent="0.25">
      <c r="C20" s="27"/>
      <c r="D20" s="44"/>
      <c r="E20" s="35"/>
      <c r="F20" s="46"/>
      <c r="G20" s="46"/>
      <c r="H20" s="35"/>
      <c r="I20" s="48"/>
      <c r="J20" s="48"/>
      <c r="K20" s="35"/>
      <c r="L20" s="46"/>
      <c r="M20" s="46"/>
      <c r="N20" s="35"/>
      <c r="O20" s="35"/>
      <c r="P20" s="35"/>
      <c r="Q20" s="47"/>
    </row>
    <row r="21" spans="3:17" ht="15" x14ac:dyDescent="0.25">
      <c r="C21" s="27" t="s">
        <v>51</v>
      </c>
      <c r="D21" s="44"/>
      <c r="E21" s="35"/>
      <c r="F21" s="46"/>
      <c r="G21" s="46"/>
      <c r="H21" s="35"/>
      <c r="I21" s="48"/>
      <c r="J21" s="48"/>
      <c r="K21" s="35"/>
      <c r="L21" s="46"/>
      <c r="M21" s="46"/>
      <c r="N21" s="35"/>
      <c r="O21" s="35"/>
      <c r="P21" s="35"/>
      <c r="Q21" s="47"/>
    </row>
    <row r="22" spans="3:17" x14ac:dyDescent="0.2">
      <c r="C22" s="27" t="s">
        <v>70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47"/>
    </row>
    <row r="23" spans="3:17" ht="13.5" thickBot="1" x14ac:dyDescent="0.25">
      <c r="C23" s="39" t="s">
        <v>26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</row>
    <row r="24" spans="3:17" ht="18.75" x14ac:dyDescent="0.3">
      <c r="C24" s="55" t="s">
        <v>71</v>
      </c>
      <c r="D24" s="56"/>
      <c r="E24" s="56"/>
      <c r="F24" s="56"/>
      <c r="G24" s="56"/>
      <c r="H24" s="56"/>
      <c r="I24" s="56"/>
      <c r="J24" s="57" t="s">
        <v>26</v>
      </c>
      <c r="K24" s="56"/>
      <c r="L24" s="56"/>
      <c r="M24" s="56"/>
      <c r="N24" s="56"/>
      <c r="O24" s="56"/>
      <c r="P24" s="56"/>
      <c r="Q24" s="58"/>
    </row>
    <row r="25" spans="3:17" ht="15" x14ac:dyDescent="0.25">
      <c r="C25" s="59"/>
      <c r="D25" s="60"/>
      <c r="E25" s="60"/>
      <c r="F25" s="61" t="s">
        <v>72</v>
      </c>
      <c r="G25" s="62"/>
      <c r="H25" s="63"/>
      <c r="I25" s="61" t="s">
        <v>72</v>
      </c>
      <c r="J25" s="62"/>
      <c r="K25" s="63"/>
      <c r="L25" s="61" t="s">
        <v>73</v>
      </c>
      <c r="M25" s="62"/>
      <c r="N25" s="63"/>
      <c r="O25" s="61" t="s">
        <v>73</v>
      </c>
      <c r="P25" s="62"/>
      <c r="Q25" s="64"/>
    </row>
    <row r="26" spans="3:17" ht="15" x14ac:dyDescent="0.25">
      <c r="C26" s="59"/>
      <c r="D26" s="60"/>
      <c r="E26" s="60"/>
      <c r="F26" s="62" t="s">
        <v>74</v>
      </c>
      <c r="G26" s="65" t="s">
        <v>69</v>
      </c>
      <c r="H26" s="66" t="s">
        <v>75</v>
      </c>
      <c r="I26" s="62" t="s">
        <v>74</v>
      </c>
      <c r="J26" s="65" t="s">
        <v>69</v>
      </c>
      <c r="K26" s="66" t="s">
        <v>75</v>
      </c>
      <c r="L26" s="62" t="s">
        <v>74</v>
      </c>
      <c r="M26" s="65" t="s">
        <v>69</v>
      </c>
      <c r="N26" s="66" t="s">
        <v>75</v>
      </c>
      <c r="O26" s="62" t="s">
        <v>74</v>
      </c>
      <c r="P26" s="65" t="s">
        <v>69</v>
      </c>
      <c r="Q26" s="67" t="s">
        <v>75</v>
      </c>
    </row>
    <row r="27" spans="3:17" ht="13.5" thickBot="1" x14ac:dyDescent="0.25">
      <c r="C27" s="68"/>
      <c r="D27" s="69"/>
      <c r="E27" s="70"/>
      <c r="F27" s="69" t="e">
        <f ca="1">FORECAST(I30,OFFSET(F9:F19,MATCH(I30,D9:D19,1)-1,0,2),OFFSET(D9:D19,MATCH(I30,D9:D19,1)-1,0,2))</f>
        <v>#N/A</v>
      </c>
      <c r="G27" s="69" t="e">
        <f ca="1">FORECAST(I30,OFFSET(G9:G19,MATCH(I30,D9:D19,1)-1,0,2),OFFSET(D9:D19,MATCH(I30,D9:D19,1)-1,0,2))</f>
        <v>#N/A</v>
      </c>
      <c r="H27" s="70"/>
      <c r="I27" s="69" t="e">
        <f ca="1">FORECAST(I30,OFFSET(I9:I19,MATCH(I30,D9:D19,1)-1,0,2),OFFSET(D9:D19,MATCH(I30,D9:D19,1)-1,0,2))</f>
        <v>#N/A</v>
      </c>
      <c r="J27" s="69" t="e">
        <f ca="1">FORECAST(I30,OFFSET(J9:J19,MATCH(I30,D9:D19,1)-1,0,2),OFFSET(D9:D19,MATCH(I30,D9:D19,1)-1,0,2))</f>
        <v>#N/A</v>
      </c>
      <c r="K27" s="70"/>
      <c r="L27" s="69" t="e">
        <f ca="1">FORECAST(I30,OFFSET(L9:L19,MATCH(I30,D9:D19,1)-1,0,2),OFFSET(D9:D19,MATCH(I30,D9:D19,1)-1,0,2))</f>
        <v>#N/A</v>
      </c>
      <c r="M27" s="69" t="e">
        <f ca="1">FORECAST(I30,OFFSET(M9:M19,MATCH(I30,D9:D19,1)-1,0,2),OFFSET(D9:D19,MATCH(I30,D9:D19,1)-1,0,2))</f>
        <v>#N/A</v>
      </c>
      <c r="N27" s="70"/>
      <c r="O27" s="69" t="e">
        <f ca="1">FORECAST(I30,OFFSET(O9:O19,MATCH(I30,D9:D19,1)-1,0,2),OFFSET(D9:D19,MATCH(I30,D9:D19,1)-1,0,2))</f>
        <v>#N/A</v>
      </c>
      <c r="P27" s="69" t="e">
        <f ca="1">FORECAST(I30,OFFSET(P9:P19,MATCH(I30,D9:D19,1)-1,0,2),OFFSET(D9:D19,MATCH(I30,D9:D19,1)-1,0,2))</f>
        <v>#N/A</v>
      </c>
      <c r="Q27" s="71"/>
    </row>
    <row r="28" spans="3:17" ht="18.75" x14ac:dyDescent="0.3">
      <c r="C28" s="72" t="s">
        <v>76</v>
      </c>
      <c r="D28" s="73"/>
      <c r="E28" s="60"/>
      <c r="F28" s="73"/>
      <c r="G28" s="73"/>
      <c r="H28" s="60"/>
      <c r="I28" s="73"/>
      <c r="J28" s="73"/>
      <c r="K28" s="60"/>
      <c r="L28" s="73"/>
      <c r="M28" s="73"/>
      <c r="N28" s="60"/>
      <c r="O28" s="73"/>
      <c r="P28" s="73"/>
      <c r="Q28" s="64"/>
    </row>
    <row r="29" spans="3:17" ht="18.75" x14ac:dyDescent="0.3">
      <c r="C29" s="59"/>
      <c r="D29" s="60"/>
      <c r="E29" s="60"/>
      <c r="F29" s="60"/>
      <c r="G29" s="60"/>
      <c r="H29" s="73"/>
      <c r="I29" s="62" t="s">
        <v>77</v>
      </c>
      <c r="J29" s="62" t="s">
        <v>78</v>
      </c>
      <c r="K29" s="74" t="s">
        <v>79</v>
      </c>
      <c r="L29" s="60"/>
      <c r="M29" s="60"/>
      <c r="N29" s="60"/>
      <c r="O29" s="60"/>
      <c r="P29" s="60"/>
      <c r="Q29" s="64"/>
    </row>
    <row r="30" spans="3:17" ht="18.75" x14ac:dyDescent="0.3">
      <c r="C30" s="59"/>
      <c r="D30" s="60"/>
      <c r="E30" s="60"/>
      <c r="F30" s="60"/>
      <c r="G30" s="60"/>
      <c r="H30" s="140" t="s">
        <v>80</v>
      </c>
      <c r="I30" s="73">
        <f>'EvalutionSheet 54Gy 3F'!F8</f>
        <v>0</v>
      </c>
      <c r="J30" s="73"/>
      <c r="K30" s="60" t="s">
        <v>26</v>
      </c>
      <c r="L30" s="60"/>
      <c r="M30" s="60"/>
      <c r="N30" s="60"/>
      <c r="O30" s="60"/>
      <c r="P30" s="60"/>
      <c r="Q30" s="64"/>
    </row>
    <row r="31" spans="3:17" ht="20.25" x14ac:dyDescent="0.35">
      <c r="C31" s="59"/>
      <c r="D31" s="60"/>
      <c r="E31" s="60"/>
      <c r="F31" s="60"/>
      <c r="G31" s="60"/>
      <c r="H31" s="76" t="s">
        <v>88</v>
      </c>
      <c r="I31" s="73" t="str">
        <f>'EvalutionSheet 54Gy 3F'!F21</f>
        <v>??</v>
      </c>
      <c r="J31" s="75" t="e">
        <f>I31/I30</f>
        <v>#VALUE!</v>
      </c>
      <c r="K31" s="60" t="e">
        <f ca="1">IF(J31&lt;=F27,F26,IF(J31&lt;=G27,G26,H26))</f>
        <v>#VALUE!</v>
      </c>
      <c r="L31" s="60"/>
      <c r="M31" s="60"/>
      <c r="N31" s="60"/>
      <c r="O31" s="60"/>
      <c r="P31" s="60"/>
      <c r="Q31" s="64"/>
    </row>
    <row r="32" spans="3:17" ht="20.25" x14ac:dyDescent="0.35">
      <c r="C32" s="59"/>
      <c r="D32" s="60"/>
      <c r="E32" s="60"/>
      <c r="F32" s="60"/>
      <c r="G32" s="60"/>
      <c r="H32" s="76" t="s">
        <v>89</v>
      </c>
      <c r="I32" s="73" t="str">
        <f>'EvalutionSheet 54Gy 3F'!F24</f>
        <v>??</v>
      </c>
      <c r="J32" s="75" t="e">
        <f>I32/I30</f>
        <v>#VALUE!</v>
      </c>
      <c r="K32" s="60" t="e">
        <f ca="1">IF(J32&lt;=I27,I26,IF(J32&lt;=J27,J26,K26))</f>
        <v>#VALUE!</v>
      </c>
      <c r="L32" s="60"/>
      <c r="M32" s="60"/>
      <c r="N32" s="60"/>
      <c r="O32" s="60"/>
      <c r="P32" s="60"/>
      <c r="Q32" s="64"/>
    </row>
    <row r="33" spans="3:17" ht="20.25" x14ac:dyDescent="0.35">
      <c r="C33" s="59"/>
      <c r="D33" s="60"/>
      <c r="E33" s="60"/>
      <c r="F33" s="60"/>
      <c r="G33" s="60"/>
      <c r="H33" s="76" t="s">
        <v>90</v>
      </c>
      <c r="I33" s="73" t="str">
        <f>'EvalutionSheet 54Gy 3F'!F23</f>
        <v>??</v>
      </c>
      <c r="J33" s="75" t="str">
        <f>I33</f>
        <v>??</v>
      </c>
      <c r="K33" s="60" t="str">
        <f>IF(I33="??","??",IF(J33&lt;=L27,L26,IF(J33&lt;=M27,M26,N26)))</f>
        <v>??</v>
      </c>
      <c r="L33" s="60"/>
      <c r="M33" s="60"/>
      <c r="N33" s="60"/>
      <c r="O33" s="60"/>
      <c r="P33" s="60"/>
      <c r="Q33" s="64"/>
    </row>
    <row r="34" spans="3:17" ht="20.25" x14ac:dyDescent="0.35">
      <c r="C34" s="59"/>
      <c r="D34" s="60"/>
      <c r="E34" s="60"/>
      <c r="F34" s="60"/>
      <c r="G34" s="60"/>
      <c r="H34" s="76" t="s">
        <v>91</v>
      </c>
      <c r="I34" s="75" t="str">
        <f>'EvalutionSheet 54Gy 3F'!F27</f>
        <v>??</v>
      </c>
      <c r="J34" s="73"/>
      <c r="K34" s="73" t="str">
        <f>IF(I34="??","??",IF(I34&lt;=0.1,O26,IF(I34&lt;=0.15,P26,Q26)))</f>
        <v>??</v>
      </c>
      <c r="L34" s="60"/>
      <c r="M34" s="60"/>
      <c r="N34" s="60"/>
      <c r="O34" s="60"/>
      <c r="P34" s="60"/>
      <c r="Q34" s="64"/>
    </row>
    <row r="35" spans="3:17" ht="13.5" thickBot="1" x14ac:dyDescent="0.25">
      <c r="C35" s="68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1"/>
    </row>
    <row r="43" spans="3:17" x14ac:dyDescent="0.2">
      <c r="C43" s="135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J34" sqref="J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23"/>
      <c r="D1" s="24"/>
      <c r="E1" s="24"/>
      <c r="F1" s="24"/>
      <c r="G1" s="24"/>
      <c r="H1" s="24"/>
      <c r="I1" s="25" t="s">
        <v>85</v>
      </c>
      <c r="J1" s="24"/>
      <c r="K1" s="24"/>
      <c r="L1" s="24"/>
      <c r="M1" s="24"/>
      <c r="N1" s="24"/>
      <c r="O1" s="24"/>
      <c r="P1" s="24"/>
      <c r="Q1" s="26"/>
    </row>
    <row r="2" spans="3:17" ht="15.75" thickBot="1" x14ac:dyDescent="0.3">
      <c r="C2" s="27"/>
      <c r="D2" s="28"/>
      <c r="E2" s="29" t="s">
        <v>53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30"/>
    </row>
    <row r="3" spans="3:17" ht="15" x14ac:dyDescent="0.25">
      <c r="C3" s="23"/>
      <c r="D3" s="31"/>
      <c r="E3" s="24"/>
      <c r="F3" s="23"/>
      <c r="G3" s="24"/>
      <c r="H3" s="26"/>
      <c r="I3" s="24"/>
      <c r="J3" s="24"/>
      <c r="K3" s="24"/>
      <c r="L3" s="23" t="s">
        <v>54</v>
      </c>
      <c r="M3" s="24"/>
      <c r="N3" s="26"/>
      <c r="O3" s="24" t="s">
        <v>55</v>
      </c>
      <c r="P3" s="24"/>
      <c r="Q3" s="26"/>
    </row>
    <row r="4" spans="3:17" ht="15" x14ac:dyDescent="0.25">
      <c r="C4" s="27"/>
      <c r="D4" s="32"/>
      <c r="E4" s="28"/>
      <c r="F4" s="33" t="s">
        <v>56</v>
      </c>
      <c r="G4" s="28"/>
      <c r="H4" s="30"/>
      <c r="I4" s="28" t="s">
        <v>57</v>
      </c>
      <c r="J4" s="28"/>
      <c r="K4" s="28"/>
      <c r="L4" s="27" t="s">
        <v>58</v>
      </c>
      <c r="M4" s="28"/>
      <c r="N4" s="30"/>
      <c r="O4" s="28" t="s">
        <v>59</v>
      </c>
      <c r="P4" s="28"/>
      <c r="Q4" s="30"/>
    </row>
    <row r="5" spans="3:17" x14ac:dyDescent="0.2">
      <c r="C5" s="27"/>
      <c r="D5" s="28"/>
      <c r="E5" s="28"/>
      <c r="F5" s="33" t="s">
        <v>60</v>
      </c>
      <c r="G5" s="28"/>
      <c r="H5" s="30"/>
      <c r="I5" s="34" t="s">
        <v>61</v>
      </c>
      <c r="J5" s="28"/>
      <c r="K5" s="28"/>
      <c r="L5" s="27" t="s">
        <v>62</v>
      </c>
      <c r="M5" s="28"/>
      <c r="N5" s="30"/>
      <c r="O5" s="28"/>
      <c r="P5" s="28"/>
      <c r="Q5" s="30"/>
    </row>
    <row r="6" spans="3:17" ht="13.5" thickBot="1" x14ac:dyDescent="0.25">
      <c r="C6" s="27"/>
      <c r="D6" s="35" t="s">
        <v>48</v>
      </c>
      <c r="E6" s="28"/>
      <c r="F6" s="33" t="s">
        <v>63</v>
      </c>
      <c r="G6" s="28"/>
      <c r="H6" s="30"/>
      <c r="I6" s="34"/>
      <c r="J6" s="28"/>
      <c r="K6" s="28"/>
      <c r="L6" s="27"/>
      <c r="M6" s="28"/>
      <c r="N6" s="30"/>
      <c r="O6" s="28"/>
      <c r="P6" s="28"/>
      <c r="Q6" s="30"/>
    </row>
    <row r="7" spans="3:17" x14ac:dyDescent="0.2">
      <c r="C7" s="27"/>
      <c r="D7" s="35" t="s">
        <v>64</v>
      </c>
      <c r="E7" s="28"/>
      <c r="F7" s="36" t="s">
        <v>65</v>
      </c>
      <c r="G7" s="24"/>
      <c r="H7" s="26"/>
      <c r="I7" s="24"/>
      <c r="J7" s="24" t="s">
        <v>66</v>
      </c>
      <c r="K7" s="24"/>
      <c r="L7" s="37" t="s">
        <v>67</v>
      </c>
      <c r="M7" s="24"/>
      <c r="N7" s="26"/>
      <c r="O7" s="38" t="s">
        <v>68</v>
      </c>
      <c r="P7" s="24"/>
      <c r="Q7" s="26"/>
    </row>
    <row r="8" spans="3:17" ht="13.5" thickBot="1" x14ac:dyDescent="0.25">
      <c r="C8" s="39"/>
      <c r="D8" s="40" t="s">
        <v>49</v>
      </c>
      <c r="E8" s="40"/>
      <c r="F8" s="41" t="s">
        <v>50</v>
      </c>
      <c r="G8" s="40" t="s">
        <v>69</v>
      </c>
      <c r="H8" s="42"/>
      <c r="I8" s="40" t="s">
        <v>50</v>
      </c>
      <c r="J8" s="40" t="s">
        <v>69</v>
      </c>
      <c r="K8" s="40"/>
      <c r="L8" s="41" t="s">
        <v>50</v>
      </c>
      <c r="M8" s="40" t="s">
        <v>69</v>
      </c>
      <c r="N8" s="42"/>
      <c r="O8" s="40" t="s">
        <v>50</v>
      </c>
      <c r="P8" s="43" t="s">
        <v>69</v>
      </c>
      <c r="Q8" s="42"/>
    </row>
    <row r="9" spans="3:17" ht="15" x14ac:dyDescent="0.25">
      <c r="C9" s="27"/>
      <c r="D9" s="44">
        <v>1.8</v>
      </c>
      <c r="E9" s="35"/>
      <c r="F9" s="45">
        <v>1.2</v>
      </c>
      <c r="G9" s="46">
        <v>1.5</v>
      </c>
      <c r="H9" s="47"/>
      <c r="I9" s="48">
        <v>5.9</v>
      </c>
      <c r="J9" s="48">
        <v>7.5</v>
      </c>
      <c r="K9" s="35"/>
      <c r="L9" s="45">
        <v>50</v>
      </c>
      <c r="M9" s="46">
        <v>57</v>
      </c>
      <c r="N9" s="47"/>
      <c r="O9" s="35">
        <v>10</v>
      </c>
      <c r="P9" s="35">
        <v>15</v>
      </c>
      <c r="Q9" s="47"/>
    </row>
    <row r="10" spans="3:17" ht="15" x14ac:dyDescent="0.25">
      <c r="C10" s="27"/>
      <c r="D10" s="44">
        <v>3.8</v>
      </c>
      <c r="E10" s="35"/>
      <c r="F10" s="45">
        <v>1.2</v>
      </c>
      <c r="G10" s="46">
        <v>1.5</v>
      </c>
      <c r="H10" s="47"/>
      <c r="I10" s="48">
        <v>5.5</v>
      </c>
      <c r="J10" s="48">
        <v>6.5</v>
      </c>
      <c r="K10" s="35"/>
      <c r="L10" s="45">
        <v>50</v>
      </c>
      <c r="M10" s="46">
        <v>57</v>
      </c>
      <c r="N10" s="47"/>
      <c r="O10" s="35">
        <v>10</v>
      </c>
      <c r="P10" s="35">
        <v>15</v>
      </c>
      <c r="Q10" s="47"/>
    </row>
    <row r="11" spans="3:17" ht="15" x14ac:dyDescent="0.25">
      <c r="C11" s="27"/>
      <c r="D11" s="44">
        <v>7.4</v>
      </c>
      <c r="E11" s="35"/>
      <c r="F11" s="45">
        <v>1.2</v>
      </c>
      <c r="G11" s="46">
        <v>1.5</v>
      </c>
      <c r="H11" s="47"/>
      <c r="I11" s="48">
        <v>5.0999999999999996</v>
      </c>
      <c r="J11" s="48">
        <v>6</v>
      </c>
      <c r="K11" s="35"/>
      <c r="L11" s="45">
        <v>50</v>
      </c>
      <c r="M11" s="46">
        <v>58</v>
      </c>
      <c r="N11" s="47"/>
      <c r="O11" s="35">
        <v>10</v>
      </c>
      <c r="P11" s="35">
        <v>15</v>
      </c>
      <c r="Q11" s="47"/>
    </row>
    <row r="12" spans="3:17" ht="15" x14ac:dyDescent="0.25">
      <c r="C12" s="27"/>
      <c r="D12" s="44">
        <v>13.2</v>
      </c>
      <c r="E12" s="35"/>
      <c r="F12" s="45">
        <v>1.2</v>
      </c>
      <c r="G12" s="46">
        <v>1.5</v>
      </c>
      <c r="H12" s="47"/>
      <c r="I12" s="48">
        <v>4.7</v>
      </c>
      <c r="J12" s="48">
        <v>5.8</v>
      </c>
      <c r="K12" s="35"/>
      <c r="L12" s="45">
        <v>50</v>
      </c>
      <c r="M12" s="46">
        <v>58</v>
      </c>
      <c r="N12" s="47"/>
      <c r="O12" s="35">
        <v>10</v>
      </c>
      <c r="P12" s="35">
        <v>15</v>
      </c>
      <c r="Q12" s="47"/>
    </row>
    <row r="13" spans="3:17" ht="15" x14ac:dyDescent="0.25">
      <c r="C13" s="27"/>
      <c r="D13" s="44">
        <v>22</v>
      </c>
      <c r="E13" s="35"/>
      <c r="F13" s="45">
        <v>1.2</v>
      </c>
      <c r="G13" s="46">
        <v>1.5</v>
      </c>
      <c r="H13" s="47"/>
      <c r="I13" s="48">
        <v>4.5</v>
      </c>
      <c r="J13" s="48">
        <v>5.5</v>
      </c>
      <c r="K13" s="35"/>
      <c r="L13" s="45">
        <v>54</v>
      </c>
      <c r="M13" s="46">
        <v>63</v>
      </c>
      <c r="N13" s="47"/>
      <c r="O13" s="35">
        <v>10</v>
      </c>
      <c r="P13" s="35">
        <v>15</v>
      </c>
      <c r="Q13" s="47"/>
    </row>
    <row r="14" spans="3:17" ht="15" x14ac:dyDescent="0.25">
      <c r="C14" s="27"/>
      <c r="D14" s="44">
        <v>34</v>
      </c>
      <c r="E14" s="35"/>
      <c r="F14" s="45">
        <v>1.2</v>
      </c>
      <c r="G14" s="46">
        <v>1.5</v>
      </c>
      <c r="H14" s="47"/>
      <c r="I14" s="48">
        <v>4.3</v>
      </c>
      <c r="J14" s="48">
        <v>5.3</v>
      </c>
      <c r="K14" s="35"/>
      <c r="L14" s="45">
        <v>58</v>
      </c>
      <c r="M14" s="46">
        <v>68</v>
      </c>
      <c r="N14" s="47"/>
      <c r="O14" s="35">
        <v>10</v>
      </c>
      <c r="P14" s="35">
        <v>15</v>
      </c>
      <c r="Q14" s="47"/>
    </row>
    <row r="15" spans="3:17" ht="15" x14ac:dyDescent="0.25">
      <c r="C15" s="27"/>
      <c r="D15" s="44">
        <v>50</v>
      </c>
      <c r="E15" s="35"/>
      <c r="F15" s="45">
        <v>1.2</v>
      </c>
      <c r="G15" s="46">
        <v>1.5</v>
      </c>
      <c r="H15" s="47"/>
      <c r="I15" s="48">
        <v>4</v>
      </c>
      <c r="J15" s="48">
        <v>5</v>
      </c>
      <c r="K15" s="35"/>
      <c r="L15" s="45">
        <v>62</v>
      </c>
      <c r="M15" s="46">
        <v>77</v>
      </c>
      <c r="N15" s="47"/>
      <c r="O15" s="35">
        <v>10</v>
      </c>
      <c r="P15" s="35">
        <v>15</v>
      </c>
      <c r="Q15" s="47"/>
    </row>
    <row r="16" spans="3:17" ht="15" x14ac:dyDescent="0.25">
      <c r="C16" s="27"/>
      <c r="D16" s="44">
        <v>70</v>
      </c>
      <c r="E16" s="35"/>
      <c r="F16" s="45">
        <v>1.2</v>
      </c>
      <c r="G16" s="46">
        <v>1.5</v>
      </c>
      <c r="H16" s="47"/>
      <c r="I16" s="48">
        <v>3.5</v>
      </c>
      <c r="J16" s="48">
        <v>4.8</v>
      </c>
      <c r="K16" s="35"/>
      <c r="L16" s="45">
        <v>66</v>
      </c>
      <c r="M16" s="46">
        <v>86</v>
      </c>
      <c r="N16" s="47"/>
      <c r="O16" s="35">
        <v>10</v>
      </c>
      <c r="P16" s="35">
        <v>15</v>
      </c>
      <c r="Q16" s="47"/>
    </row>
    <row r="17" spans="3:17" ht="15" x14ac:dyDescent="0.25">
      <c r="C17" s="27"/>
      <c r="D17" s="44">
        <v>95</v>
      </c>
      <c r="E17" s="35"/>
      <c r="F17" s="45">
        <v>1.2</v>
      </c>
      <c r="G17" s="46">
        <v>1.5</v>
      </c>
      <c r="H17" s="47"/>
      <c r="I17" s="48">
        <v>3.3</v>
      </c>
      <c r="J17" s="48">
        <v>4.4000000000000004</v>
      </c>
      <c r="K17" s="35"/>
      <c r="L17" s="45">
        <v>70</v>
      </c>
      <c r="M17" s="46">
        <v>89</v>
      </c>
      <c r="N17" s="47"/>
      <c r="O17" s="35">
        <v>10</v>
      </c>
      <c r="P17" s="35">
        <v>15</v>
      </c>
      <c r="Q17" s="47"/>
    </row>
    <row r="18" spans="3:17" ht="15" x14ac:dyDescent="0.25">
      <c r="C18" s="27"/>
      <c r="D18" s="44">
        <v>126</v>
      </c>
      <c r="E18" s="35"/>
      <c r="F18" s="45">
        <v>1.2</v>
      </c>
      <c r="G18" s="46">
        <v>1.5</v>
      </c>
      <c r="H18" s="47"/>
      <c r="I18" s="48">
        <v>3.1</v>
      </c>
      <c r="J18" s="48">
        <v>4</v>
      </c>
      <c r="K18" s="35"/>
      <c r="L18" s="45">
        <v>73</v>
      </c>
      <c r="M18" s="46">
        <v>91</v>
      </c>
      <c r="N18" s="47"/>
      <c r="O18" s="35">
        <v>10</v>
      </c>
      <c r="P18" s="35">
        <v>15</v>
      </c>
      <c r="Q18" s="47"/>
    </row>
    <row r="19" spans="3:17" ht="15.75" thickBot="1" x14ac:dyDescent="0.3">
      <c r="C19" s="39"/>
      <c r="D19" s="49">
        <v>163</v>
      </c>
      <c r="E19" s="40"/>
      <c r="F19" s="50">
        <v>1.2</v>
      </c>
      <c r="G19" s="51">
        <v>1.5</v>
      </c>
      <c r="H19" s="42"/>
      <c r="I19" s="52">
        <v>2.9</v>
      </c>
      <c r="J19" s="52">
        <v>3.7</v>
      </c>
      <c r="K19" s="40"/>
      <c r="L19" s="50">
        <v>77</v>
      </c>
      <c r="M19" s="51">
        <v>94</v>
      </c>
      <c r="N19" s="42"/>
      <c r="O19" s="40">
        <v>10</v>
      </c>
      <c r="P19" s="40">
        <v>15</v>
      </c>
      <c r="Q19" s="42"/>
    </row>
    <row r="20" spans="3:17" ht="15" x14ac:dyDescent="0.25">
      <c r="C20" s="27"/>
      <c r="D20" s="44"/>
      <c r="E20" s="35"/>
      <c r="F20" s="46"/>
      <c r="G20" s="46"/>
      <c r="H20" s="35"/>
      <c r="I20" s="48"/>
      <c r="J20" s="48"/>
      <c r="K20" s="35"/>
      <c r="L20" s="46"/>
      <c r="M20" s="46"/>
      <c r="N20" s="35"/>
      <c r="O20" s="35"/>
      <c r="P20" s="35"/>
      <c r="Q20" s="47"/>
    </row>
    <row r="21" spans="3:17" ht="15" x14ac:dyDescent="0.25">
      <c r="C21" s="27" t="s">
        <v>51</v>
      </c>
      <c r="D21" s="44"/>
      <c r="E21" s="35"/>
      <c r="F21" s="46"/>
      <c r="G21" s="46"/>
      <c r="H21" s="35"/>
      <c r="I21" s="48"/>
      <c r="J21" s="48"/>
      <c r="K21" s="35"/>
      <c r="L21" s="46"/>
      <c r="M21" s="46"/>
      <c r="N21" s="35"/>
      <c r="O21" s="35"/>
      <c r="P21" s="35"/>
      <c r="Q21" s="47"/>
    </row>
    <row r="22" spans="3:17" x14ac:dyDescent="0.2">
      <c r="C22" s="27" t="s">
        <v>70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47"/>
    </row>
    <row r="23" spans="3:17" ht="13.5" thickBot="1" x14ac:dyDescent="0.25">
      <c r="C23" s="39" t="s">
        <v>26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4"/>
    </row>
    <row r="24" spans="3:17" ht="18.75" x14ac:dyDescent="0.3">
      <c r="C24" s="55" t="s">
        <v>71</v>
      </c>
      <c r="D24" s="56"/>
      <c r="E24" s="56"/>
      <c r="F24" s="56"/>
      <c r="G24" s="56"/>
      <c r="H24" s="56"/>
      <c r="I24" s="56"/>
      <c r="J24" s="57" t="s">
        <v>26</v>
      </c>
      <c r="K24" s="56"/>
      <c r="L24" s="56"/>
      <c r="M24" s="56"/>
      <c r="N24" s="56"/>
      <c r="O24" s="56"/>
      <c r="P24" s="56"/>
      <c r="Q24" s="58"/>
    </row>
    <row r="25" spans="3:17" ht="15" x14ac:dyDescent="0.25">
      <c r="C25" s="59"/>
      <c r="D25" s="60"/>
      <c r="E25" s="60"/>
      <c r="F25" s="61" t="s">
        <v>72</v>
      </c>
      <c r="G25" s="62"/>
      <c r="H25" s="63"/>
      <c r="I25" s="61" t="s">
        <v>72</v>
      </c>
      <c r="J25" s="62"/>
      <c r="K25" s="63"/>
      <c r="L25" s="61" t="s">
        <v>73</v>
      </c>
      <c r="M25" s="62"/>
      <c r="N25" s="63"/>
      <c r="O25" s="61" t="s">
        <v>73</v>
      </c>
      <c r="P25" s="62"/>
      <c r="Q25" s="64"/>
    </row>
    <row r="26" spans="3:17" ht="15" x14ac:dyDescent="0.25">
      <c r="C26" s="59"/>
      <c r="D26" s="60"/>
      <c r="E26" s="60"/>
      <c r="F26" s="62" t="s">
        <v>74</v>
      </c>
      <c r="G26" s="65" t="s">
        <v>69</v>
      </c>
      <c r="H26" s="66" t="s">
        <v>75</v>
      </c>
      <c r="I26" s="62" t="s">
        <v>74</v>
      </c>
      <c r="J26" s="65" t="s">
        <v>69</v>
      </c>
      <c r="K26" s="66" t="s">
        <v>75</v>
      </c>
      <c r="L26" s="62" t="s">
        <v>74</v>
      </c>
      <c r="M26" s="65" t="s">
        <v>69</v>
      </c>
      <c r="N26" s="66" t="s">
        <v>75</v>
      </c>
      <c r="O26" s="62" t="s">
        <v>74</v>
      </c>
      <c r="P26" s="65" t="s">
        <v>69</v>
      </c>
      <c r="Q26" s="67" t="s">
        <v>75</v>
      </c>
    </row>
    <row r="27" spans="3:17" ht="13.5" thickBot="1" x14ac:dyDescent="0.25">
      <c r="C27" s="68"/>
      <c r="D27" s="69"/>
      <c r="E27" s="70"/>
      <c r="F27" s="69" t="e">
        <f ca="1">FORECAST(I30,OFFSET(F9:F19,MATCH(I30,D9:D19,1)-1,0,2),OFFSET(D9:D19,MATCH(I30,D9:D19,1)-1,0,2))</f>
        <v>#N/A</v>
      </c>
      <c r="G27" s="69" t="e">
        <f ca="1">FORECAST(I30,OFFSET(G9:G19,MATCH(I30,D9:D19,1)-1,0,2),OFFSET(D9:D19,MATCH(I30,D9:D19,1)-1,0,2))</f>
        <v>#N/A</v>
      </c>
      <c r="H27" s="70"/>
      <c r="I27" s="69" t="e">
        <f ca="1">FORECAST(I30,OFFSET(I9:I19,MATCH(I30,D9:D19,1)-1,0,2),OFFSET(D9:D19,MATCH(I30,D9:D19,1)-1,0,2))</f>
        <v>#N/A</v>
      </c>
      <c r="J27" s="69" t="e">
        <f ca="1">FORECAST(I30,OFFSET(J9:J19,MATCH(I30,D9:D19,1)-1,0,2),OFFSET(D9:D19,MATCH(I30,D9:D19,1)-1,0,2))</f>
        <v>#N/A</v>
      </c>
      <c r="K27" s="70"/>
      <c r="L27" s="69" t="e">
        <f ca="1">FORECAST(I30,OFFSET(L9:L19,MATCH(I30,D9:D19,1)-1,0,2),OFFSET(D9:D19,MATCH(I30,D9:D19,1)-1,0,2))</f>
        <v>#N/A</v>
      </c>
      <c r="M27" s="69" t="e">
        <f ca="1">FORECAST(I30,OFFSET(M9:M19,MATCH(I30,D9:D19,1)-1,0,2),OFFSET(D9:D19,MATCH(I30,D9:D19,1)-1,0,2))</f>
        <v>#N/A</v>
      </c>
      <c r="N27" s="70"/>
      <c r="O27" s="69" t="e">
        <f ca="1">FORECAST(I30,OFFSET(O9:O19,MATCH(I30,D9:D19,1)-1,0,2),OFFSET(D9:D19,MATCH(I30,D9:D19,1)-1,0,2))</f>
        <v>#N/A</v>
      </c>
      <c r="P27" s="69" t="e">
        <f ca="1">FORECAST(I30,OFFSET(P9:P19,MATCH(I30,D9:D19,1)-1,0,2),OFFSET(D9:D19,MATCH(I30,D9:D19,1)-1,0,2))</f>
        <v>#N/A</v>
      </c>
      <c r="Q27" s="71"/>
    </row>
    <row r="28" spans="3:17" ht="18.75" x14ac:dyDescent="0.3">
      <c r="C28" s="72" t="s">
        <v>76</v>
      </c>
      <c r="D28" s="73"/>
      <c r="E28" s="60"/>
      <c r="F28" s="73"/>
      <c r="G28" s="73"/>
      <c r="H28" s="60"/>
      <c r="I28" s="73"/>
      <c r="J28" s="73"/>
      <c r="K28" s="60"/>
      <c r="L28" s="73"/>
      <c r="M28" s="73"/>
      <c r="N28" s="60"/>
      <c r="O28" s="73"/>
      <c r="P28" s="73"/>
      <c r="Q28" s="64"/>
    </row>
    <row r="29" spans="3:17" ht="18.75" x14ac:dyDescent="0.3">
      <c r="C29" s="59"/>
      <c r="D29" s="60"/>
      <c r="E29" s="60"/>
      <c r="F29" s="60"/>
      <c r="G29" s="60"/>
      <c r="H29" s="73"/>
      <c r="I29" s="62" t="s">
        <v>77</v>
      </c>
      <c r="J29" s="62" t="s">
        <v>78</v>
      </c>
      <c r="K29" s="74" t="s">
        <v>79</v>
      </c>
      <c r="L29" s="60"/>
      <c r="M29" s="60"/>
      <c r="N29" s="60"/>
      <c r="O29" s="60"/>
      <c r="P29" s="60"/>
      <c r="Q29" s="64"/>
    </row>
    <row r="30" spans="3:17" ht="18.75" x14ac:dyDescent="0.3">
      <c r="C30" s="59"/>
      <c r="D30" s="60"/>
      <c r="E30" s="60"/>
      <c r="F30" s="60"/>
      <c r="G30" s="60"/>
      <c r="H30" s="140" t="s">
        <v>80</v>
      </c>
      <c r="I30" s="73">
        <f>'EvalutionSheet 54Gy 3F'!F8</f>
        <v>0</v>
      </c>
      <c r="J30" s="73"/>
      <c r="K30" s="60" t="s">
        <v>26</v>
      </c>
      <c r="L30" s="60"/>
      <c r="M30" s="60"/>
      <c r="N30" s="60"/>
      <c r="O30" s="60"/>
      <c r="P30" s="60"/>
      <c r="Q30" s="64"/>
    </row>
    <row r="31" spans="3:17" ht="20.25" x14ac:dyDescent="0.35">
      <c r="C31" s="59"/>
      <c r="D31" s="60"/>
      <c r="E31" s="60"/>
      <c r="F31" s="60"/>
      <c r="G31" s="60"/>
      <c r="H31" s="76" t="s">
        <v>88</v>
      </c>
      <c r="I31" s="73" t="str">
        <f>'EvalutionSheet 54Gy 3F'!F21</f>
        <v>??</v>
      </c>
      <c r="J31" s="75" t="e">
        <f>I31/I30</f>
        <v>#VALUE!</v>
      </c>
      <c r="K31" s="60" t="e">
        <f ca="1">IF(J31&lt;=F27,F26,IF(J31&lt;=G27,G26,H26))</f>
        <v>#VALUE!</v>
      </c>
      <c r="L31" s="60"/>
      <c r="M31" s="60"/>
      <c r="N31" s="60"/>
      <c r="O31" s="60"/>
      <c r="P31" s="60"/>
      <c r="Q31" s="64"/>
    </row>
    <row r="32" spans="3:17" ht="20.25" x14ac:dyDescent="0.35">
      <c r="C32" s="59"/>
      <c r="D32" s="60"/>
      <c r="E32" s="60"/>
      <c r="F32" s="60"/>
      <c r="G32" s="60"/>
      <c r="H32" s="76" t="s">
        <v>89</v>
      </c>
      <c r="I32" s="73" t="str">
        <f>'EvalutionSheet 54Gy 3F'!F24</f>
        <v>??</v>
      </c>
      <c r="J32" s="75" t="e">
        <f>I32/I30</f>
        <v>#VALUE!</v>
      </c>
      <c r="K32" s="60" t="e">
        <f ca="1">IF(J32&lt;=I27,I26,IF(J32&lt;=J27,J26,K26))</f>
        <v>#VALUE!</v>
      </c>
      <c r="L32" s="60"/>
      <c r="M32" s="60"/>
      <c r="N32" s="60"/>
      <c r="O32" s="60"/>
      <c r="P32" s="60"/>
      <c r="Q32" s="64"/>
    </row>
    <row r="33" spans="3:17" ht="20.25" x14ac:dyDescent="0.35">
      <c r="C33" s="59"/>
      <c r="D33" s="60"/>
      <c r="E33" s="60"/>
      <c r="F33" s="60"/>
      <c r="G33" s="60"/>
      <c r="H33" s="76" t="s">
        <v>90</v>
      </c>
      <c r="I33" s="73" t="str">
        <f>'EvalutionSheet 54Gy 3F'!F23</f>
        <v>??</v>
      </c>
      <c r="J33" s="75" t="str">
        <f>I33</f>
        <v>??</v>
      </c>
      <c r="K33" s="60" t="str">
        <f>IF(I33="??","??",IF(J33&lt;=L27,L26,IF(J33&lt;=M27,M26,N26)))</f>
        <v>??</v>
      </c>
      <c r="L33" s="60"/>
      <c r="M33" s="60"/>
      <c r="N33" s="60"/>
      <c r="O33" s="60"/>
      <c r="P33" s="60"/>
      <c r="Q33" s="64"/>
    </row>
    <row r="34" spans="3:17" ht="20.25" x14ac:dyDescent="0.35">
      <c r="C34" s="59"/>
      <c r="D34" s="60"/>
      <c r="E34" s="60"/>
      <c r="F34" s="60"/>
      <c r="G34" s="60"/>
      <c r="H34" s="76" t="s">
        <v>91</v>
      </c>
      <c r="I34" s="75" t="str">
        <f>'EvalutionSheet 54Gy 3F'!F27</f>
        <v>??</v>
      </c>
      <c r="J34" s="73"/>
      <c r="K34" s="73" t="str">
        <f>IF(I34="??","??",IF(I34&lt;=0.1,O26,IF(I34&lt;=0.15,P26,Q26)))</f>
        <v>??</v>
      </c>
      <c r="L34" s="60"/>
      <c r="M34" s="60"/>
      <c r="N34" s="60"/>
      <c r="O34" s="60"/>
      <c r="P34" s="60"/>
      <c r="Q34" s="64"/>
    </row>
    <row r="35" spans="3:17" ht="13.5" thickBot="1" x14ac:dyDescent="0.25">
      <c r="C35" s="68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1"/>
    </row>
    <row r="43" spans="3:17" x14ac:dyDescent="0.2">
      <c r="C43" s="135" t="s">
        <v>111</v>
      </c>
    </row>
  </sheetData>
  <sheetProtection sheet="1" selectLockedCells="1" selectUnlockedCell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77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78" t="s">
        <v>83</v>
      </c>
    </row>
    <row r="6" spans="8:16" ht="15.75" x14ac:dyDescent="0.3">
      <c r="O6" s="78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2016-03-10T20:50:17Z</cp:lastPrinted>
  <dcterms:created xsi:type="dcterms:W3CDTF">2011-04-07T21:30:19Z</dcterms:created>
  <dcterms:modified xsi:type="dcterms:W3CDTF">2021-06-25T15:09:05Z</dcterms:modified>
</cp:coreProperties>
</file>