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zamarripa\Documents\Superstructure_project\New_surrogates_March16\June_release\"/>
    </mc:Choice>
  </mc:AlternateContent>
  <bookViews>
    <workbookView xWindow="0" yWindow="0" windowWidth="11712" windowHeight="11340"/>
  </bookViews>
  <sheets>
    <sheet name="Output" sheetId="2" r:id="rId1"/>
    <sheet name="Calc" sheetId="3" r:id="rId2"/>
    <sheet name="solution" sheetId="4" r:id="rId3"/>
  </sheets>
  <definedNames>
    <definedName name="CEO">Output!$C$3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2" i="2"/>
  <c r="B20" i="2"/>
  <c r="B19" i="2"/>
  <c r="B16" i="2"/>
  <c r="B15" i="2"/>
  <c r="B13" i="2"/>
  <c r="B14" i="2"/>
  <c r="F51" i="2"/>
  <c r="F45" i="2"/>
  <c r="E29" i="2" l="1"/>
  <c r="D87" i="2"/>
  <c r="E87" i="2"/>
  <c r="F87" i="2"/>
  <c r="G87" i="2"/>
  <c r="H87" i="2"/>
  <c r="I87" i="2"/>
  <c r="J87" i="2"/>
  <c r="C87" i="2"/>
  <c r="D86" i="2"/>
  <c r="E86" i="2"/>
  <c r="F86" i="2"/>
  <c r="G86" i="2"/>
  <c r="H86" i="2"/>
  <c r="I86" i="2"/>
  <c r="J86" i="2"/>
  <c r="C86" i="2"/>
  <c r="D85" i="2"/>
  <c r="E85" i="2"/>
  <c r="F85" i="2"/>
  <c r="G85" i="2"/>
  <c r="H85" i="2"/>
  <c r="I85" i="2"/>
  <c r="J85" i="2"/>
  <c r="C85" i="2"/>
  <c r="D84" i="2"/>
  <c r="E84" i="2"/>
  <c r="F84" i="2"/>
  <c r="G84" i="2"/>
  <c r="H84" i="2"/>
  <c r="I84" i="2"/>
  <c r="J84" i="2"/>
  <c r="C84" i="2"/>
  <c r="D83" i="2"/>
  <c r="E83" i="2"/>
  <c r="F83" i="2"/>
  <c r="G83" i="2"/>
  <c r="H83" i="2"/>
  <c r="I83" i="2"/>
  <c r="J83" i="2"/>
  <c r="C83" i="2"/>
  <c r="D82" i="2"/>
  <c r="E82" i="2"/>
  <c r="F82" i="2"/>
  <c r="G82" i="2"/>
  <c r="H82" i="2"/>
  <c r="I82" i="2"/>
  <c r="J82" i="2"/>
  <c r="C82" i="2"/>
  <c r="D81" i="2"/>
  <c r="E81" i="2"/>
  <c r="F81" i="2"/>
  <c r="G81" i="2"/>
  <c r="H81" i="2"/>
  <c r="I81" i="2"/>
  <c r="J81" i="2"/>
  <c r="C81" i="2"/>
  <c r="D80" i="2"/>
  <c r="E80" i="2"/>
  <c r="F80" i="2"/>
  <c r="G80" i="2"/>
  <c r="H80" i="2"/>
  <c r="I80" i="2"/>
  <c r="J80" i="2"/>
  <c r="C80" i="2"/>
  <c r="D79" i="2"/>
  <c r="E79" i="2"/>
  <c r="F79" i="2"/>
  <c r="G79" i="2"/>
  <c r="H79" i="2"/>
  <c r="I79" i="2"/>
  <c r="J79" i="2"/>
  <c r="C79" i="2"/>
  <c r="D78" i="2"/>
  <c r="E78" i="2"/>
  <c r="F78" i="2"/>
  <c r="G78" i="2"/>
  <c r="H78" i="2"/>
  <c r="I78" i="2"/>
  <c r="J78" i="2"/>
  <c r="C78" i="2"/>
  <c r="D77" i="2"/>
  <c r="E77" i="2"/>
  <c r="F77" i="2"/>
  <c r="G77" i="2"/>
  <c r="H77" i="2"/>
  <c r="I77" i="2"/>
  <c r="J77" i="2"/>
  <c r="C77" i="2"/>
  <c r="D76" i="2"/>
  <c r="E76" i="2"/>
  <c r="F76" i="2"/>
  <c r="G76" i="2"/>
  <c r="H76" i="2"/>
  <c r="I76" i="2"/>
  <c r="J76" i="2"/>
  <c r="C76" i="2"/>
  <c r="D75" i="2"/>
  <c r="E75" i="2"/>
  <c r="F75" i="2"/>
  <c r="G75" i="2"/>
  <c r="H75" i="2"/>
  <c r="I75" i="2"/>
  <c r="J75" i="2"/>
  <c r="C75" i="2"/>
  <c r="D74" i="2"/>
  <c r="E74" i="2"/>
  <c r="F74" i="2"/>
  <c r="G74" i="2"/>
  <c r="H74" i="2"/>
  <c r="I74" i="2"/>
  <c r="J74" i="2"/>
  <c r="C74" i="2"/>
  <c r="C69" i="2" l="1"/>
  <c r="C70" i="2"/>
  <c r="C68" i="2"/>
  <c r="L64" i="2" l="1"/>
  <c r="L63" i="2"/>
  <c r="L62" i="2"/>
  <c r="L60" i="2"/>
  <c r="K64" i="2"/>
  <c r="K63" i="2"/>
  <c r="K62" i="2"/>
  <c r="K60" i="2"/>
  <c r="J64" i="2"/>
  <c r="J63" i="2"/>
  <c r="J62" i="2"/>
  <c r="J60" i="2"/>
  <c r="I64" i="2"/>
  <c r="I63" i="2"/>
  <c r="I62" i="2"/>
  <c r="I60" i="2"/>
  <c r="H60" i="2" l="1"/>
  <c r="H58" i="2"/>
  <c r="I58" i="2" s="1"/>
  <c r="J58" i="2" s="1"/>
  <c r="K58" i="2" s="1"/>
  <c r="L58" i="2" s="1"/>
  <c r="G64" i="2"/>
  <c r="G63" i="2"/>
  <c r="G62" i="2"/>
  <c r="F64" i="2"/>
  <c r="F63" i="2"/>
  <c r="F62" i="2"/>
  <c r="E64" i="2"/>
  <c r="E63" i="2"/>
  <c r="E62" i="2"/>
  <c r="D64" i="2"/>
  <c r="D63" i="2"/>
  <c r="D62" i="2"/>
  <c r="G60" i="2"/>
  <c r="F60" i="2"/>
  <c r="E60" i="2"/>
  <c r="D60" i="2"/>
  <c r="C64" i="2"/>
  <c r="C63" i="2"/>
  <c r="C62" i="2"/>
  <c r="C60" i="2"/>
  <c r="C58" i="2"/>
  <c r="D58" i="2" s="1"/>
  <c r="E58" i="2" s="1"/>
  <c r="F58" i="2" s="1"/>
  <c r="H63" i="2" l="1"/>
  <c r="H62" i="2"/>
  <c r="H64" i="2"/>
  <c r="G58" i="2"/>
  <c r="R44" i="2"/>
  <c r="S44" i="2" s="1"/>
  <c r="S45" i="2"/>
  <c r="R45" i="2"/>
  <c r="P2" i="2" s="1"/>
  <c r="R43" i="2"/>
  <c r="R49" i="2" s="1"/>
  <c r="S8" i="2"/>
  <c r="S13" i="2" s="1"/>
  <c r="S19" i="2" s="1"/>
  <c r="S25" i="2" s="1"/>
  <c r="O27" i="2" s="1"/>
  <c r="N7" i="2"/>
  <c r="N13" i="2"/>
  <c r="N18" i="2"/>
  <c r="N24" i="2"/>
  <c r="K7" i="2"/>
  <c r="K13" i="2" s="1"/>
  <c r="K18" i="2" s="1"/>
  <c r="K24" i="2" s="1"/>
  <c r="Q49" i="2"/>
  <c r="Q48" i="2"/>
  <c r="Q47" i="2"/>
  <c r="P49" i="2"/>
  <c r="P48" i="2"/>
  <c r="P47" i="2"/>
  <c r="O49" i="2"/>
  <c r="O48" i="2"/>
  <c r="O47" i="2"/>
  <c r="N49" i="2"/>
  <c r="N48" i="2"/>
  <c r="N47" i="2"/>
  <c r="N45" i="2"/>
  <c r="O45" i="2" s="1"/>
  <c r="P45" i="2" s="1"/>
  <c r="Q45" i="2" s="1"/>
  <c r="N44" i="2"/>
  <c r="O44" i="2" s="1"/>
  <c r="P44" i="2" s="1"/>
  <c r="Q44" i="2" s="1"/>
  <c r="M49" i="2"/>
  <c r="M48" i="2"/>
  <c r="M47" i="2"/>
  <c r="M45" i="2"/>
  <c r="M44" i="2"/>
  <c r="L53" i="2"/>
  <c r="L51" i="2"/>
  <c r="L45" i="2"/>
  <c r="L44" i="2"/>
  <c r="L43" i="2"/>
  <c r="K45" i="2"/>
  <c r="K44" i="2"/>
  <c r="K43" i="2"/>
  <c r="K49" i="2" s="1"/>
  <c r="O43" i="2" l="1"/>
  <c r="O51" i="2" s="1"/>
  <c r="K47" i="2"/>
  <c r="K48" i="2"/>
  <c r="L47" i="2"/>
  <c r="L48" i="2"/>
  <c r="P43" i="2"/>
  <c r="P51" i="2" s="1"/>
  <c r="S43" i="2"/>
  <c r="S48" i="2" s="1"/>
  <c r="L49" i="2"/>
  <c r="N43" i="2"/>
  <c r="R48" i="2"/>
  <c r="M43" i="2"/>
  <c r="M51" i="2" s="1"/>
  <c r="R47" i="2"/>
  <c r="Q43" i="2"/>
  <c r="Q53" i="2" s="1"/>
  <c r="G45" i="2"/>
  <c r="G44" i="2"/>
  <c r="H44" i="2"/>
  <c r="I44" i="2" s="1"/>
  <c r="J44" i="2" s="1"/>
  <c r="H45" i="2"/>
  <c r="I45" i="2" s="1"/>
  <c r="J45" i="2" s="1"/>
  <c r="E42" i="2"/>
  <c r="J49" i="2"/>
  <c r="J48" i="2"/>
  <c r="J47" i="2"/>
  <c r="H48" i="2"/>
  <c r="O53" i="2" l="1"/>
  <c r="O52" i="2"/>
  <c r="P52" i="2"/>
  <c r="P53" i="2"/>
  <c r="S49" i="2"/>
  <c r="S47" i="2"/>
  <c r="N52" i="2"/>
  <c r="N53" i="2"/>
  <c r="M52" i="2"/>
  <c r="M53" i="2"/>
  <c r="N51" i="2"/>
  <c r="Q52" i="2"/>
  <c r="Q51" i="2"/>
  <c r="I49" i="2"/>
  <c r="I48" i="2"/>
  <c r="I47" i="2"/>
  <c r="J43" i="2"/>
  <c r="J53" i="2" s="1"/>
  <c r="F44" i="2"/>
  <c r="F49" i="2"/>
  <c r="F48" i="2"/>
  <c r="F47" i="2"/>
  <c r="G47" i="2"/>
  <c r="J52" i="2" l="1"/>
  <c r="J51" i="2"/>
  <c r="F43" i="2"/>
  <c r="I43" i="2"/>
  <c r="I51" i="2" s="1"/>
  <c r="I53" i="2" l="1"/>
  <c r="I52" i="2"/>
  <c r="F52" i="2"/>
  <c r="F53" i="2"/>
  <c r="H49" i="2"/>
  <c r="H47" i="2"/>
  <c r="G49" i="2"/>
  <c r="G48" i="2"/>
  <c r="E34" i="2"/>
  <c r="C45" i="2" s="1"/>
  <c r="E33" i="2"/>
  <c r="C44" i="2" s="1"/>
  <c r="D42" i="2"/>
  <c r="I39" i="2"/>
  <c r="I40" i="2"/>
  <c r="M40" i="2"/>
  <c r="E45" i="2" s="1"/>
  <c r="M39" i="2"/>
  <c r="E44" i="2" s="1"/>
  <c r="M38" i="2"/>
  <c r="E49" i="2" s="1"/>
  <c r="M37" i="2"/>
  <c r="E48" i="2" s="1"/>
  <c r="M36" i="2"/>
  <c r="E47" i="2" s="1"/>
  <c r="I38" i="2"/>
  <c r="D49" i="2" s="1"/>
  <c r="I37" i="2"/>
  <c r="D48" i="2" s="1"/>
  <c r="I36" i="2"/>
  <c r="D47" i="2" s="1"/>
  <c r="E32" i="2"/>
  <c r="C49" i="2" s="1"/>
  <c r="E31" i="2"/>
  <c r="C48" i="2" s="1"/>
  <c r="E30" i="2"/>
  <c r="C47" i="2" s="1"/>
  <c r="H43" i="2" l="1"/>
  <c r="H52" i="2" s="1"/>
  <c r="G43" i="2"/>
  <c r="M35" i="2"/>
  <c r="E43" i="2" s="1"/>
  <c r="E51" i="2" s="1"/>
  <c r="C43" i="2"/>
  <c r="C51" i="2" s="1"/>
  <c r="G51" i="2" l="1"/>
  <c r="C53" i="2"/>
  <c r="C52" i="2"/>
  <c r="E52" i="2"/>
  <c r="G53" i="2"/>
  <c r="E53" i="2"/>
  <c r="G52" i="2"/>
  <c r="H51" i="2"/>
  <c r="H53" i="2"/>
  <c r="D45" i="2"/>
  <c r="D44" i="2"/>
  <c r="I28" i="2" l="1"/>
  <c r="I35" i="2" s="1"/>
  <c r="D43" i="2" s="1"/>
  <c r="C20" i="2"/>
  <c r="C21" i="2"/>
  <c r="C22" i="2"/>
  <c r="C19" i="2"/>
  <c r="C16" i="2"/>
  <c r="C15" i="2"/>
  <c r="C14" i="2"/>
  <c r="C13" i="2"/>
  <c r="D53" i="2" l="1"/>
  <c r="D52" i="2"/>
  <c r="D51" i="2"/>
</calcChain>
</file>

<file path=xl/sharedStrings.xml><?xml version="1.0" encoding="utf-8"?>
<sst xmlns="http://schemas.openxmlformats.org/spreadsheetml/2006/main" count="490" uniqueCount="186">
  <si>
    <t>soi</t>
  </si>
  <si>
    <t>Results from the optimization</t>
  </si>
  <si>
    <t>COE</t>
  </si>
  <si>
    <t>derate</t>
  </si>
  <si>
    <t>CapEx</t>
  </si>
  <si>
    <t>a1</t>
  </si>
  <si>
    <t>a2</t>
  </si>
  <si>
    <t>a3</t>
  </si>
  <si>
    <t>a4</t>
  </si>
  <si>
    <t>d1</t>
  </si>
  <si>
    <t>d2</t>
  </si>
  <si>
    <t>d3</t>
  </si>
  <si>
    <t>d4</t>
  </si>
  <si>
    <t>BOF</t>
  </si>
  <si>
    <t>BUF</t>
  </si>
  <si>
    <t>Capture Target</t>
  </si>
  <si>
    <t>Steam Flow</t>
  </si>
  <si>
    <t># parallel unit</t>
  </si>
  <si>
    <t>y</t>
  </si>
  <si>
    <t>x</t>
  </si>
  <si>
    <t>UnitCPa</t>
  </si>
  <si>
    <t>UnitCPd</t>
  </si>
  <si>
    <t>CPU time</t>
  </si>
  <si>
    <t>s</t>
  </si>
  <si>
    <t>mod</t>
  </si>
  <si>
    <t>stat</t>
  </si>
  <si>
    <t>A1</t>
  </si>
  <si>
    <t>A2</t>
  </si>
  <si>
    <t>A3</t>
  </si>
  <si>
    <t>A4</t>
  </si>
  <si>
    <t>Technology</t>
  </si>
  <si>
    <t>D1</t>
  </si>
  <si>
    <t>D2</t>
  </si>
  <si>
    <t>D3</t>
  </si>
  <si>
    <t>D4</t>
  </si>
  <si>
    <t>Adsorber cost, $</t>
  </si>
  <si>
    <t>Regenerator cost, $</t>
  </si>
  <si>
    <t>FlueGas</t>
  </si>
  <si>
    <t>Flow rate</t>
  </si>
  <si>
    <t>CO2</t>
  </si>
  <si>
    <t>N2</t>
  </si>
  <si>
    <t>H2O</t>
  </si>
  <si>
    <t>kmol/kmol</t>
  </si>
  <si>
    <t>kmol/s</t>
  </si>
  <si>
    <t>P</t>
  </si>
  <si>
    <t>T</t>
  </si>
  <si>
    <t>bar</t>
  </si>
  <si>
    <t>C</t>
  </si>
  <si>
    <t>Nu</t>
  </si>
  <si>
    <t>kg/sec</t>
  </si>
  <si>
    <t>Flue Gas</t>
  </si>
  <si>
    <t>cooling</t>
  </si>
  <si>
    <t>Pressure</t>
  </si>
  <si>
    <t>Temperature</t>
  </si>
  <si>
    <t>stream</t>
  </si>
  <si>
    <t>s3</t>
  </si>
  <si>
    <t>s4</t>
  </si>
  <si>
    <t>s5</t>
  </si>
  <si>
    <t>s6</t>
  </si>
  <si>
    <t>SteamF</t>
  </si>
  <si>
    <t>s7</t>
  </si>
  <si>
    <t>s8</t>
  </si>
  <si>
    <t>s9</t>
  </si>
  <si>
    <t>s10</t>
  </si>
  <si>
    <t>gasInC</t>
  </si>
  <si>
    <t>utilInF</t>
  </si>
  <si>
    <t>UtilInT</t>
  </si>
  <si>
    <t>Steam</t>
  </si>
  <si>
    <t>Coolant and steam                          UtilOutT                                                                                                      steam out T</t>
  </si>
  <si>
    <t xml:space="preserve">                                                            FluegasInX                                                            flueGasV</t>
  </si>
  <si>
    <t>s1</t>
  </si>
  <si>
    <t>s2</t>
  </si>
  <si>
    <t>molar flow, kmol/s</t>
  </si>
  <si>
    <t xml:space="preserve">                                                                                                                       FlueInC, FlueOutC, FlueOutV                                gasInV                                                                              gasOutV                                                                                             gasOutC</t>
  </si>
  <si>
    <t>FeedCO2</t>
  </si>
  <si>
    <t>FlueOut</t>
  </si>
  <si>
    <t>FlueIn</t>
  </si>
  <si>
    <t>FeedCO2F</t>
  </si>
  <si>
    <t xml:space="preserve">                                                           FeedCO2V                                                              FeedCO2C                   </t>
  </si>
  <si>
    <t>cooling T</t>
  </si>
  <si>
    <t>Steam in and out</t>
  </si>
  <si>
    <t>Gas</t>
  </si>
  <si>
    <t>Solids</t>
  </si>
  <si>
    <t>SolidLean</t>
  </si>
  <si>
    <t>s11</t>
  </si>
  <si>
    <t>s12</t>
  </si>
  <si>
    <t>s13</t>
  </si>
  <si>
    <t>s14</t>
  </si>
  <si>
    <t>warmOut</t>
  </si>
  <si>
    <t>warmIn</t>
  </si>
  <si>
    <t>SolidRich</t>
  </si>
  <si>
    <t>s15</t>
  </si>
  <si>
    <t>s17</t>
  </si>
  <si>
    <t>s16</t>
  </si>
  <si>
    <t>s18</t>
  </si>
  <si>
    <t>utilIn</t>
  </si>
  <si>
    <t>utilOut</t>
  </si>
  <si>
    <t>UtilIn</t>
  </si>
  <si>
    <t>Solids         SolidOutC                                                                                   SolidOutT, SolidRichT, SolidLeanT</t>
  </si>
  <si>
    <t>HCO3</t>
  </si>
  <si>
    <t>NHCOO</t>
  </si>
  <si>
    <t>coolinT</t>
  </si>
  <si>
    <t>HX</t>
  </si>
  <si>
    <t>FlueGasHX</t>
  </si>
  <si>
    <t>SolidLeanHX</t>
  </si>
  <si>
    <t>SolidRichHX</t>
  </si>
  <si>
    <t>ft2</t>
  </si>
  <si>
    <t>FlueHXArea</t>
  </si>
  <si>
    <t>LeanHXArea</t>
  </si>
  <si>
    <t>RichHXArea</t>
  </si>
  <si>
    <t>unitHXArea</t>
  </si>
  <si>
    <t>unitD(s)</t>
  </si>
  <si>
    <t>Diameter</t>
  </si>
  <si>
    <t>(ft)</t>
  </si>
  <si>
    <t>unitL(s)</t>
  </si>
  <si>
    <t>Length</t>
  </si>
  <si>
    <t>unitPi(s)</t>
  </si>
  <si>
    <t>Inlet</t>
  </si>
  <si>
    <t>Absolute</t>
  </si>
  <si>
    <t>(psi)</t>
  </si>
  <si>
    <t>unitPo(s)</t>
  </si>
  <si>
    <t>Outlet</t>
  </si>
  <si>
    <t>unitF(s)</t>
  </si>
  <si>
    <t>Input</t>
  </si>
  <si>
    <t>Flow</t>
  </si>
  <si>
    <t>Rate</t>
  </si>
  <si>
    <t>to</t>
  </si>
  <si>
    <t>Unit</t>
  </si>
  <si>
    <t>(ft^3</t>
  </si>
  <si>
    <t>per</t>
  </si>
  <si>
    <t>min)</t>
  </si>
  <si>
    <t>unitFb(s)</t>
  </si>
  <si>
    <t>Blower</t>
  </si>
  <si>
    <t>unitW(s)</t>
  </si>
  <si>
    <t>Vessel</t>
  </si>
  <si>
    <t>weight</t>
  </si>
  <si>
    <t>(lbs)</t>
  </si>
  <si>
    <t>unitPb(s)</t>
  </si>
  <si>
    <t>Power</t>
  </si>
  <si>
    <t>(hp)</t>
  </si>
  <si>
    <t>unitPe(s)</t>
  </si>
  <si>
    <t>Elevator</t>
  </si>
  <si>
    <t>of</t>
  </si>
  <si>
    <t>unitDx(s)</t>
  </si>
  <si>
    <t>tube</t>
  </si>
  <si>
    <t>diameter</t>
  </si>
  <si>
    <t>(m)</t>
  </si>
  <si>
    <t>unitNx(s)</t>
  </si>
  <si>
    <t>Number</t>
  </si>
  <si>
    <t>tubes</t>
  </si>
  <si>
    <t>unitDLX(s)</t>
  </si>
  <si>
    <t>spacing</t>
  </si>
  <si>
    <t>unitD</t>
  </si>
  <si>
    <t>unitL</t>
  </si>
  <si>
    <t>unitPi</t>
  </si>
  <si>
    <t>unitPo</t>
  </si>
  <si>
    <t>unitF</t>
  </si>
  <si>
    <t>unitFb</t>
  </si>
  <si>
    <t>unitW</t>
  </si>
  <si>
    <t>unitPb</t>
  </si>
  <si>
    <t>unitPe</t>
  </si>
  <si>
    <t>unitDx</t>
  </si>
  <si>
    <t>unitNx</t>
  </si>
  <si>
    <t>unitDLx</t>
  </si>
  <si>
    <t>unitLb</t>
  </si>
  <si>
    <t>ADS1</t>
  </si>
  <si>
    <t>ADS2</t>
  </si>
  <si>
    <t>ADS3</t>
  </si>
  <si>
    <t>ADS4</t>
  </si>
  <si>
    <t>DES1</t>
  </si>
  <si>
    <t>DES2</t>
  </si>
  <si>
    <t>DES3</t>
  </si>
  <si>
    <t>DES4</t>
  </si>
  <si>
    <t>unitLb(s)</t>
  </si>
  <si>
    <t>unit bed depth (ft)</t>
  </si>
  <si>
    <t>MW</t>
  </si>
  <si>
    <t>CO2 fraction captured from flue gas</t>
  </si>
  <si>
    <t>Flow, kg/hr</t>
  </si>
  <si>
    <t>$/MWh</t>
  </si>
  <si>
    <t>unit heat exchanger area ft2</t>
  </si>
  <si>
    <t>Heat Exchangers</t>
  </si>
  <si>
    <t>Capital purchase cost ($) (Adsorber + Regenerators + HX costs)</t>
  </si>
  <si>
    <t>Flow rate, kmol/s</t>
  </si>
  <si>
    <t>mol fraction</t>
  </si>
  <si>
    <t>component molar flow, mol/kg s</t>
  </si>
  <si>
    <t>NH2COO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</si>
</sst>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28</xdr:row>
      <xdr:rowOff>38100</xdr:rowOff>
    </xdr:from>
    <xdr:to>
      <xdr:col>6</xdr:col>
      <xdr:colOff>571500</xdr:colOff>
      <xdr:row>32</xdr:row>
      <xdr:rowOff>0</xdr:rowOff>
    </xdr:to>
    <xdr:sp macro="" textlink="">
      <xdr:nvSpPr>
        <xdr:cNvPr id="2" name="Isosceles Triangle 1"/>
        <xdr:cNvSpPr/>
      </xdr:nvSpPr>
      <xdr:spPr>
        <a:xfrm rot="16200000">
          <a:off x="4427220" y="5288280"/>
          <a:ext cx="693420" cy="4343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</xdr:colOff>
      <xdr:row>30</xdr:row>
      <xdr:rowOff>167640</xdr:rowOff>
    </xdr:from>
    <xdr:to>
      <xdr:col>9</xdr:col>
      <xdr:colOff>228600</xdr:colOff>
      <xdr:row>30</xdr:row>
      <xdr:rowOff>179070</xdr:rowOff>
    </xdr:to>
    <xdr:cxnSp macro="">
      <xdr:nvCxnSpPr>
        <xdr:cNvPr id="4" name="Straight Arrow Connector 3"/>
        <xdr:cNvCxnSpPr/>
      </xdr:nvCxnSpPr>
      <xdr:spPr>
        <a:xfrm>
          <a:off x="5120640" y="5654040"/>
          <a:ext cx="13563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24</xdr:row>
      <xdr:rowOff>160020</xdr:rowOff>
    </xdr:from>
    <xdr:to>
      <xdr:col>7</xdr:col>
      <xdr:colOff>563880</xdr:colOff>
      <xdr:row>29</xdr:row>
      <xdr:rowOff>152400</xdr:rowOff>
    </xdr:to>
    <xdr:cxnSp macro="">
      <xdr:nvCxnSpPr>
        <xdr:cNvPr id="6" name="Elbow Connector 5"/>
        <xdr:cNvCxnSpPr/>
      </xdr:nvCxnSpPr>
      <xdr:spPr>
        <a:xfrm rot="5400000" flipH="1" flipV="1">
          <a:off x="4956810" y="4819650"/>
          <a:ext cx="906780" cy="365760"/>
        </a:xfrm>
        <a:prstGeom prst="bentConnector3">
          <a:avLst>
            <a:gd name="adj1" fmla="val -21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22</xdr:row>
      <xdr:rowOff>91440</xdr:rowOff>
    </xdr:from>
    <xdr:to>
      <xdr:col>12</xdr:col>
      <xdr:colOff>358140</xdr:colOff>
      <xdr:row>25</xdr:row>
      <xdr:rowOff>167640</xdr:rowOff>
    </xdr:to>
    <xdr:sp macro="" textlink="">
      <xdr:nvSpPr>
        <xdr:cNvPr id="10" name="Rectangle 9"/>
        <xdr:cNvSpPr/>
      </xdr:nvSpPr>
      <xdr:spPr>
        <a:xfrm>
          <a:off x="7063740" y="411480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a1</a:t>
          </a:r>
        </a:p>
      </xdr:txBody>
    </xdr:sp>
    <xdr:clientData/>
  </xdr:twoCellAnchor>
  <xdr:twoCellAnchor>
    <xdr:from>
      <xdr:col>10</xdr:col>
      <xdr:colOff>243840</xdr:colOff>
      <xdr:row>26</xdr:row>
      <xdr:rowOff>7620</xdr:rowOff>
    </xdr:from>
    <xdr:to>
      <xdr:col>11</xdr:col>
      <xdr:colOff>281940</xdr:colOff>
      <xdr:row>31</xdr:row>
      <xdr:rowOff>19050</xdr:rowOff>
    </xdr:to>
    <xdr:cxnSp macro="">
      <xdr:nvCxnSpPr>
        <xdr:cNvPr id="8" name="Elbow Connector 7"/>
        <xdr:cNvCxnSpPr>
          <a:stCxn id="80" idx="6"/>
        </xdr:cNvCxnSpPr>
      </xdr:nvCxnSpPr>
      <xdr:spPr>
        <a:xfrm flipV="1">
          <a:off x="7101840" y="4762500"/>
          <a:ext cx="647700" cy="9258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16</xdr:row>
      <xdr:rowOff>139700</xdr:rowOff>
    </xdr:from>
    <xdr:to>
      <xdr:col>12</xdr:col>
      <xdr:colOff>358140</xdr:colOff>
      <xdr:row>20</xdr:row>
      <xdr:rowOff>33020</xdr:rowOff>
    </xdr:to>
    <xdr:sp macro="" textlink="">
      <xdr:nvSpPr>
        <xdr:cNvPr id="9" name="Rectangle 8"/>
        <xdr:cNvSpPr/>
      </xdr:nvSpPr>
      <xdr:spPr>
        <a:xfrm>
          <a:off x="7063740" y="306578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a2</a:t>
          </a:r>
        </a:p>
      </xdr:txBody>
    </xdr:sp>
    <xdr:clientData/>
  </xdr:twoCellAnchor>
  <xdr:twoCellAnchor>
    <xdr:from>
      <xdr:col>11</xdr:col>
      <xdr:colOff>68580</xdr:colOff>
      <xdr:row>11</xdr:row>
      <xdr:rowOff>5080</xdr:rowOff>
    </xdr:from>
    <xdr:to>
      <xdr:col>12</xdr:col>
      <xdr:colOff>358140</xdr:colOff>
      <xdr:row>14</xdr:row>
      <xdr:rowOff>81280</xdr:rowOff>
    </xdr:to>
    <xdr:sp macro="" textlink="">
      <xdr:nvSpPr>
        <xdr:cNvPr id="11" name="Rectangle 10"/>
        <xdr:cNvSpPr/>
      </xdr:nvSpPr>
      <xdr:spPr>
        <a:xfrm>
          <a:off x="7063740" y="201676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a3</a:t>
          </a:r>
        </a:p>
      </xdr:txBody>
    </xdr:sp>
    <xdr:clientData/>
  </xdr:twoCellAnchor>
  <xdr:twoCellAnchor>
    <xdr:from>
      <xdr:col>11</xdr:col>
      <xdr:colOff>68580</xdr:colOff>
      <xdr:row>5</xdr:row>
      <xdr:rowOff>53340</xdr:rowOff>
    </xdr:from>
    <xdr:to>
      <xdr:col>12</xdr:col>
      <xdr:colOff>358140</xdr:colOff>
      <xdr:row>8</xdr:row>
      <xdr:rowOff>129540</xdr:rowOff>
    </xdr:to>
    <xdr:sp macro="" textlink="">
      <xdr:nvSpPr>
        <xdr:cNvPr id="12" name="Rectangle 11"/>
        <xdr:cNvSpPr/>
      </xdr:nvSpPr>
      <xdr:spPr>
        <a:xfrm>
          <a:off x="7063740" y="96774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a4</a:t>
          </a:r>
        </a:p>
      </xdr:txBody>
    </xdr:sp>
    <xdr:clientData/>
  </xdr:twoCellAnchor>
  <xdr:twoCellAnchor>
    <xdr:from>
      <xdr:col>11</xdr:col>
      <xdr:colOff>228600</xdr:colOff>
      <xdr:row>20</xdr:row>
      <xdr:rowOff>33020</xdr:rowOff>
    </xdr:from>
    <xdr:to>
      <xdr:col>11</xdr:col>
      <xdr:colOff>228600</xdr:colOff>
      <xdr:row>22</xdr:row>
      <xdr:rowOff>91440</xdr:rowOff>
    </xdr:to>
    <xdr:cxnSp macro="">
      <xdr:nvCxnSpPr>
        <xdr:cNvPr id="13" name="Straight Arrow Connector 12"/>
        <xdr:cNvCxnSpPr/>
      </xdr:nvCxnSpPr>
      <xdr:spPr>
        <a:xfrm flipV="1">
          <a:off x="7223760" y="369062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14</xdr:row>
      <xdr:rowOff>81280</xdr:rowOff>
    </xdr:from>
    <xdr:to>
      <xdr:col>11</xdr:col>
      <xdr:colOff>228600</xdr:colOff>
      <xdr:row>16</xdr:row>
      <xdr:rowOff>139700</xdr:rowOff>
    </xdr:to>
    <xdr:cxnSp macro="">
      <xdr:nvCxnSpPr>
        <xdr:cNvPr id="14" name="Straight Arrow Connector 13"/>
        <xdr:cNvCxnSpPr/>
      </xdr:nvCxnSpPr>
      <xdr:spPr>
        <a:xfrm flipV="1">
          <a:off x="7223760" y="264160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8</xdr:row>
      <xdr:rowOff>129540</xdr:rowOff>
    </xdr:from>
    <xdr:to>
      <xdr:col>11</xdr:col>
      <xdr:colOff>228600</xdr:colOff>
      <xdr:row>11</xdr:row>
      <xdr:rowOff>5080</xdr:rowOff>
    </xdr:to>
    <xdr:cxnSp macro="">
      <xdr:nvCxnSpPr>
        <xdr:cNvPr id="17" name="Straight Arrow Connector 16"/>
        <xdr:cNvCxnSpPr/>
      </xdr:nvCxnSpPr>
      <xdr:spPr>
        <a:xfrm flipV="1">
          <a:off x="7223760" y="159258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22</xdr:row>
      <xdr:rowOff>121920</xdr:rowOff>
    </xdr:from>
    <xdr:to>
      <xdr:col>17</xdr:col>
      <xdr:colOff>441960</xdr:colOff>
      <xdr:row>26</xdr:row>
      <xdr:rowOff>15240</xdr:rowOff>
    </xdr:to>
    <xdr:sp macro="" textlink="">
      <xdr:nvSpPr>
        <xdr:cNvPr id="26" name="Rectangle 25"/>
        <xdr:cNvSpPr/>
      </xdr:nvSpPr>
      <xdr:spPr>
        <a:xfrm>
          <a:off x="10195560" y="414528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d1</a:t>
          </a:r>
        </a:p>
      </xdr:txBody>
    </xdr:sp>
    <xdr:clientData/>
  </xdr:twoCellAnchor>
  <xdr:twoCellAnchor>
    <xdr:from>
      <xdr:col>16</xdr:col>
      <xdr:colOff>152400</xdr:colOff>
      <xdr:row>16</xdr:row>
      <xdr:rowOff>170180</xdr:rowOff>
    </xdr:from>
    <xdr:to>
      <xdr:col>17</xdr:col>
      <xdr:colOff>441960</xdr:colOff>
      <xdr:row>20</xdr:row>
      <xdr:rowOff>63500</xdr:rowOff>
    </xdr:to>
    <xdr:sp macro="" textlink="">
      <xdr:nvSpPr>
        <xdr:cNvPr id="27" name="Rectangle 26"/>
        <xdr:cNvSpPr/>
      </xdr:nvSpPr>
      <xdr:spPr>
        <a:xfrm>
          <a:off x="10195560" y="309626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d2</a:t>
          </a:r>
        </a:p>
      </xdr:txBody>
    </xdr:sp>
    <xdr:clientData/>
  </xdr:twoCellAnchor>
  <xdr:twoCellAnchor>
    <xdr:from>
      <xdr:col>16</xdr:col>
      <xdr:colOff>152400</xdr:colOff>
      <xdr:row>11</xdr:row>
      <xdr:rowOff>35560</xdr:rowOff>
    </xdr:from>
    <xdr:to>
      <xdr:col>17</xdr:col>
      <xdr:colOff>441960</xdr:colOff>
      <xdr:row>14</xdr:row>
      <xdr:rowOff>111760</xdr:rowOff>
    </xdr:to>
    <xdr:sp macro="" textlink="">
      <xdr:nvSpPr>
        <xdr:cNvPr id="28" name="Rectangle 27"/>
        <xdr:cNvSpPr/>
      </xdr:nvSpPr>
      <xdr:spPr>
        <a:xfrm>
          <a:off x="10195560" y="204724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d3</a:t>
          </a:r>
        </a:p>
      </xdr:txBody>
    </xdr:sp>
    <xdr:clientData/>
  </xdr:twoCellAnchor>
  <xdr:twoCellAnchor>
    <xdr:from>
      <xdr:col>16</xdr:col>
      <xdr:colOff>152400</xdr:colOff>
      <xdr:row>5</xdr:row>
      <xdr:rowOff>83820</xdr:rowOff>
    </xdr:from>
    <xdr:to>
      <xdr:col>17</xdr:col>
      <xdr:colOff>441960</xdr:colOff>
      <xdr:row>8</xdr:row>
      <xdr:rowOff>160020</xdr:rowOff>
    </xdr:to>
    <xdr:sp macro="" textlink="">
      <xdr:nvSpPr>
        <xdr:cNvPr id="29" name="Rectangle 28"/>
        <xdr:cNvSpPr/>
      </xdr:nvSpPr>
      <xdr:spPr>
        <a:xfrm>
          <a:off x="10195560" y="998220"/>
          <a:ext cx="8991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d4</a:t>
          </a:r>
        </a:p>
      </xdr:txBody>
    </xdr:sp>
    <xdr:clientData/>
  </xdr:twoCellAnchor>
  <xdr:twoCellAnchor>
    <xdr:from>
      <xdr:col>17</xdr:col>
      <xdr:colOff>190500</xdr:colOff>
      <xdr:row>20</xdr:row>
      <xdr:rowOff>86360</xdr:rowOff>
    </xdr:from>
    <xdr:to>
      <xdr:col>17</xdr:col>
      <xdr:colOff>190500</xdr:colOff>
      <xdr:row>22</xdr:row>
      <xdr:rowOff>144780</xdr:rowOff>
    </xdr:to>
    <xdr:cxnSp macro="">
      <xdr:nvCxnSpPr>
        <xdr:cNvPr id="31" name="Straight Arrow Connector 30"/>
        <xdr:cNvCxnSpPr/>
      </xdr:nvCxnSpPr>
      <xdr:spPr>
        <a:xfrm flipV="1">
          <a:off x="10843260" y="374396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14</xdr:row>
      <xdr:rowOff>134620</xdr:rowOff>
    </xdr:from>
    <xdr:to>
      <xdr:col>17</xdr:col>
      <xdr:colOff>190500</xdr:colOff>
      <xdr:row>17</xdr:row>
      <xdr:rowOff>10160</xdr:rowOff>
    </xdr:to>
    <xdr:cxnSp macro="">
      <xdr:nvCxnSpPr>
        <xdr:cNvPr id="32" name="Straight Arrow Connector 31"/>
        <xdr:cNvCxnSpPr/>
      </xdr:nvCxnSpPr>
      <xdr:spPr>
        <a:xfrm flipV="1">
          <a:off x="10843260" y="269494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9</xdr:row>
      <xdr:rowOff>0</xdr:rowOff>
    </xdr:from>
    <xdr:to>
      <xdr:col>17</xdr:col>
      <xdr:colOff>190500</xdr:colOff>
      <xdr:row>11</xdr:row>
      <xdr:rowOff>58420</xdr:rowOff>
    </xdr:to>
    <xdr:cxnSp macro="">
      <xdr:nvCxnSpPr>
        <xdr:cNvPr id="33" name="Straight Arrow Connector 32"/>
        <xdr:cNvCxnSpPr/>
      </xdr:nvCxnSpPr>
      <xdr:spPr>
        <a:xfrm flipV="1">
          <a:off x="10843260" y="164592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20</xdr:row>
      <xdr:rowOff>63500</xdr:rowOff>
    </xdr:from>
    <xdr:to>
      <xdr:col>16</xdr:col>
      <xdr:colOff>396240</xdr:colOff>
      <xdr:row>22</xdr:row>
      <xdr:rowOff>121920</xdr:rowOff>
    </xdr:to>
    <xdr:cxnSp macro="">
      <xdr:nvCxnSpPr>
        <xdr:cNvPr id="34" name="Straight Arrow Connector 33"/>
        <xdr:cNvCxnSpPr/>
      </xdr:nvCxnSpPr>
      <xdr:spPr>
        <a:xfrm>
          <a:off x="10439400" y="372110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14</xdr:row>
      <xdr:rowOff>111760</xdr:rowOff>
    </xdr:from>
    <xdr:to>
      <xdr:col>16</xdr:col>
      <xdr:colOff>396240</xdr:colOff>
      <xdr:row>16</xdr:row>
      <xdr:rowOff>170180</xdr:rowOff>
    </xdr:to>
    <xdr:cxnSp macro="">
      <xdr:nvCxnSpPr>
        <xdr:cNvPr id="35" name="Straight Arrow Connector 34"/>
        <xdr:cNvCxnSpPr/>
      </xdr:nvCxnSpPr>
      <xdr:spPr>
        <a:xfrm>
          <a:off x="10439400" y="267208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8</xdr:row>
      <xdr:rowOff>160020</xdr:rowOff>
    </xdr:from>
    <xdr:to>
      <xdr:col>16</xdr:col>
      <xdr:colOff>396240</xdr:colOff>
      <xdr:row>11</xdr:row>
      <xdr:rowOff>35560</xdr:rowOff>
    </xdr:to>
    <xdr:cxnSp macro="">
      <xdr:nvCxnSpPr>
        <xdr:cNvPr id="36" name="Straight Arrow Connector 35"/>
        <xdr:cNvCxnSpPr/>
      </xdr:nvCxnSpPr>
      <xdr:spPr>
        <a:xfrm>
          <a:off x="10439400" y="162306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20</xdr:row>
      <xdr:rowOff>40640</xdr:rowOff>
    </xdr:from>
    <xdr:to>
      <xdr:col>12</xdr:col>
      <xdr:colOff>91440</xdr:colOff>
      <xdr:row>22</xdr:row>
      <xdr:rowOff>99060</xdr:rowOff>
    </xdr:to>
    <xdr:cxnSp macro="">
      <xdr:nvCxnSpPr>
        <xdr:cNvPr id="46" name="Straight Arrow Connector 45"/>
        <xdr:cNvCxnSpPr/>
      </xdr:nvCxnSpPr>
      <xdr:spPr>
        <a:xfrm>
          <a:off x="7696200" y="369824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14</xdr:row>
      <xdr:rowOff>88900</xdr:rowOff>
    </xdr:from>
    <xdr:to>
      <xdr:col>12</xdr:col>
      <xdr:colOff>91440</xdr:colOff>
      <xdr:row>16</xdr:row>
      <xdr:rowOff>147320</xdr:rowOff>
    </xdr:to>
    <xdr:cxnSp macro="">
      <xdr:nvCxnSpPr>
        <xdr:cNvPr id="47" name="Straight Arrow Connector 46"/>
        <xdr:cNvCxnSpPr/>
      </xdr:nvCxnSpPr>
      <xdr:spPr>
        <a:xfrm>
          <a:off x="7696200" y="264922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8</xdr:row>
      <xdr:rowOff>137160</xdr:rowOff>
    </xdr:from>
    <xdr:to>
      <xdr:col>12</xdr:col>
      <xdr:colOff>91440</xdr:colOff>
      <xdr:row>11</xdr:row>
      <xdr:rowOff>12700</xdr:rowOff>
    </xdr:to>
    <xdr:cxnSp macro="">
      <xdr:nvCxnSpPr>
        <xdr:cNvPr id="48" name="Straight Arrow Connector 47"/>
        <xdr:cNvCxnSpPr/>
      </xdr:nvCxnSpPr>
      <xdr:spPr>
        <a:xfrm>
          <a:off x="7696200" y="1600200"/>
          <a:ext cx="0" cy="42418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26</xdr:row>
      <xdr:rowOff>7620</xdr:rowOff>
    </xdr:from>
    <xdr:to>
      <xdr:col>13</xdr:col>
      <xdr:colOff>342900</xdr:colOff>
      <xdr:row>28</xdr:row>
      <xdr:rowOff>156210</xdr:rowOff>
    </xdr:to>
    <xdr:cxnSp macro="">
      <xdr:nvCxnSpPr>
        <xdr:cNvPr id="52" name="Elbow Connector 51"/>
        <xdr:cNvCxnSpPr>
          <a:endCxn id="57" idx="2"/>
        </xdr:cNvCxnSpPr>
      </xdr:nvCxnSpPr>
      <xdr:spPr>
        <a:xfrm>
          <a:off x="8153400" y="4762500"/>
          <a:ext cx="876300" cy="514350"/>
        </a:xfrm>
        <a:prstGeom prst="bentConnector3">
          <a:avLst>
            <a:gd name="adj1" fmla="val 435"/>
          </a:avLst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2</xdr:row>
      <xdr:rowOff>0</xdr:rowOff>
    </xdr:from>
    <xdr:to>
      <xdr:col>14</xdr:col>
      <xdr:colOff>327660</xdr:colOff>
      <xdr:row>4</xdr:row>
      <xdr:rowOff>144780</xdr:rowOff>
    </xdr:to>
    <xdr:sp macro="" textlink="">
      <xdr:nvSpPr>
        <xdr:cNvPr id="56" name="Oval 55"/>
        <xdr:cNvSpPr/>
      </xdr:nvSpPr>
      <xdr:spPr>
        <a:xfrm>
          <a:off x="8557260" y="365760"/>
          <a:ext cx="59436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HX3</a:t>
          </a:r>
        </a:p>
      </xdr:txBody>
    </xdr:sp>
    <xdr:clientData/>
  </xdr:twoCellAnchor>
  <xdr:twoCellAnchor>
    <xdr:from>
      <xdr:col>14</xdr:col>
      <xdr:colOff>327660</xdr:colOff>
      <xdr:row>3</xdr:row>
      <xdr:rowOff>72390</xdr:rowOff>
    </xdr:from>
    <xdr:to>
      <xdr:col>16</xdr:col>
      <xdr:colOff>601980</xdr:colOff>
      <xdr:row>26</xdr:row>
      <xdr:rowOff>15240</xdr:rowOff>
    </xdr:to>
    <xdr:cxnSp macro="">
      <xdr:nvCxnSpPr>
        <xdr:cNvPr id="58" name="Elbow Connector 57"/>
        <xdr:cNvCxnSpPr>
          <a:stCxn id="26" idx="2"/>
          <a:endCxn id="56" idx="6"/>
        </xdr:cNvCxnSpPr>
      </xdr:nvCxnSpPr>
      <xdr:spPr>
        <a:xfrm rot="5400000" flipH="1">
          <a:off x="7823835" y="1948815"/>
          <a:ext cx="4149090" cy="1493520"/>
        </a:xfrm>
        <a:prstGeom prst="bentConnector4">
          <a:avLst>
            <a:gd name="adj1" fmla="val -5510"/>
            <a:gd name="adj2" fmla="val 48215"/>
          </a:avLst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5</xdr:row>
      <xdr:rowOff>83820</xdr:rowOff>
    </xdr:from>
    <xdr:to>
      <xdr:col>16</xdr:col>
      <xdr:colOff>601980</xdr:colOff>
      <xdr:row>28</xdr:row>
      <xdr:rowOff>156210</xdr:rowOff>
    </xdr:to>
    <xdr:cxnSp macro="">
      <xdr:nvCxnSpPr>
        <xdr:cNvPr id="61" name="Elbow Connector 60"/>
        <xdr:cNvCxnSpPr>
          <a:stCxn id="57" idx="6"/>
          <a:endCxn id="29" idx="0"/>
        </xdr:cNvCxnSpPr>
      </xdr:nvCxnSpPr>
      <xdr:spPr>
        <a:xfrm flipV="1">
          <a:off x="9151620" y="998220"/>
          <a:ext cx="1493520" cy="4278630"/>
        </a:xfrm>
        <a:prstGeom prst="bentConnector4">
          <a:avLst>
            <a:gd name="adj1" fmla="val 20663"/>
            <a:gd name="adj2" fmla="val 105343"/>
          </a:avLst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3</xdr:row>
      <xdr:rowOff>72390</xdr:rowOff>
    </xdr:from>
    <xdr:to>
      <xdr:col>13</xdr:col>
      <xdr:colOff>342900</xdr:colOff>
      <xdr:row>5</xdr:row>
      <xdr:rowOff>53340</xdr:rowOff>
    </xdr:to>
    <xdr:cxnSp macro="">
      <xdr:nvCxnSpPr>
        <xdr:cNvPr id="66" name="Elbow Connector 65"/>
        <xdr:cNvCxnSpPr>
          <a:stCxn id="56" idx="2"/>
        </xdr:cNvCxnSpPr>
      </xdr:nvCxnSpPr>
      <xdr:spPr>
        <a:xfrm rot="10800000" flipV="1">
          <a:off x="7673340" y="621030"/>
          <a:ext cx="883920" cy="346710"/>
        </a:xfrm>
        <a:prstGeom prst="bentConnector3">
          <a:avLst>
            <a:gd name="adj1" fmla="val 100862"/>
          </a:avLst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29</xdr:row>
      <xdr:rowOff>129540</xdr:rowOff>
    </xdr:from>
    <xdr:to>
      <xdr:col>10</xdr:col>
      <xdr:colOff>243840</xdr:colOff>
      <xdr:row>32</xdr:row>
      <xdr:rowOff>91440</xdr:rowOff>
    </xdr:to>
    <xdr:sp macro="" textlink="">
      <xdr:nvSpPr>
        <xdr:cNvPr id="80" name="Oval 79"/>
        <xdr:cNvSpPr/>
      </xdr:nvSpPr>
      <xdr:spPr>
        <a:xfrm>
          <a:off x="6507480" y="5433060"/>
          <a:ext cx="59436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HX1</a:t>
          </a:r>
        </a:p>
      </xdr:txBody>
    </xdr:sp>
    <xdr:clientData/>
  </xdr:twoCellAnchor>
  <xdr:twoCellAnchor>
    <xdr:from>
      <xdr:col>17</xdr:col>
      <xdr:colOff>274320</xdr:colOff>
      <xdr:row>26</xdr:row>
      <xdr:rowOff>33020</xdr:rowOff>
    </xdr:from>
    <xdr:to>
      <xdr:col>17</xdr:col>
      <xdr:colOff>274320</xdr:colOff>
      <xdr:row>28</xdr:row>
      <xdr:rowOff>91440</xdr:rowOff>
    </xdr:to>
    <xdr:cxnSp macro="">
      <xdr:nvCxnSpPr>
        <xdr:cNvPr id="81" name="Straight Arrow Connector 80"/>
        <xdr:cNvCxnSpPr/>
      </xdr:nvCxnSpPr>
      <xdr:spPr>
        <a:xfrm flipV="1">
          <a:off x="10927080" y="478790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2</xdr:row>
      <xdr:rowOff>160020</xdr:rowOff>
    </xdr:from>
    <xdr:to>
      <xdr:col>11</xdr:col>
      <xdr:colOff>228600</xdr:colOff>
      <xdr:row>5</xdr:row>
      <xdr:rowOff>35560</xdr:rowOff>
    </xdr:to>
    <xdr:cxnSp macro="">
      <xdr:nvCxnSpPr>
        <xdr:cNvPr id="82" name="Straight Arrow Connector 81"/>
        <xdr:cNvCxnSpPr/>
      </xdr:nvCxnSpPr>
      <xdr:spPr>
        <a:xfrm flipV="1">
          <a:off x="7223760" y="52578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213360</xdr:colOff>
      <xdr:row>3</xdr:row>
      <xdr:rowOff>53340</xdr:rowOff>
    </xdr:from>
    <xdr:to>
      <xdr:col>17</xdr:col>
      <xdr:colOff>213360</xdr:colOff>
      <xdr:row>5</xdr:row>
      <xdr:rowOff>111760</xdr:rowOff>
    </xdr:to>
    <xdr:cxnSp macro="">
      <xdr:nvCxnSpPr>
        <xdr:cNvPr id="83" name="Straight Arrow Connector 82"/>
        <xdr:cNvCxnSpPr/>
      </xdr:nvCxnSpPr>
      <xdr:spPr>
        <a:xfrm flipV="1">
          <a:off x="10866120" y="601980"/>
          <a:ext cx="0" cy="424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27</xdr:row>
      <xdr:rowOff>83820</xdr:rowOff>
    </xdr:from>
    <xdr:to>
      <xdr:col>14</xdr:col>
      <xdr:colOff>327660</xdr:colOff>
      <xdr:row>30</xdr:row>
      <xdr:rowOff>45720</xdr:rowOff>
    </xdr:to>
    <xdr:sp macro="" textlink="">
      <xdr:nvSpPr>
        <xdr:cNvPr id="57" name="Oval 56"/>
        <xdr:cNvSpPr/>
      </xdr:nvSpPr>
      <xdr:spPr>
        <a:xfrm>
          <a:off x="8557260" y="5021580"/>
          <a:ext cx="59436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HX2</a:t>
          </a:r>
        </a:p>
      </xdr:txBody>
    </xdr:sp>
    <xdr:clientData/>
  </xdr:twoCellAnchor>
  <xdr:twoCellAnchor>
    <xdr:from>
      <xdr:col>17</xdr:col>
      <xdr:colOff>297180</xdr:colOff>
      <xdr:row>27</xdr:row>
      <xdr:rowOff>7620</xdr:rowOff>
    </xdr:from>
    <xdr:to>
      <xdr:col>18</xdr:col>
      <xdr:colOff>182880</xdr:colOff>
      <xdr:row>30</xdr:row>
      <xdr:rowOff>30480</xdr:rowOff>
    </xdr:to>
    <xdr:sp macro="" textlink="">
      <xdr:nvSpPr>
        <xdr:cNvPr id="88" name="Isosceles Triangle 87"/>
        <xdr:cNvSpPr/>
      </xdr:nvSpPr>
      <xdr:spPr>
        <a:xfrm rot="16200000">
          <a:off x="10911840" y="4983480"/>
          <a:ext cx="571500" cy="4953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220980</xdr:colOff>
      <xdr:row>27</xdr:row>
      <xdr:rowOff>121920</xdr:rowOff>
    </xdr:from>
    <xdr:to>
      <xdr:col>18</xdr:col>
      <xdr:colOff>601980</xdr:colOff>
      <xdr:row>27</xdr:row>
      <xdr:rowOff>121920</xdr:rowOff>
    </xdr:to>
    <xdr:cxnSp macro="">
      <xdr:nvCxnSpPr>
        <xdr:cNvPr id="89" name="Straight Arrow Connector 88"/>
        <xdr:cNvCxnSpPr/>
      </xdr:nvCxnSpPr>
      <xdr:spPr>
        <a:xfrm flipH="1">
          <a:off x="11483340" y="505968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220980</xdr:colOff>
      <xdr:row>29</xdr:row>
      <xdr:rowOff>76200</xdr:rowOff>
    </xdr:from>
    <xdr:to>
      <xdr:col>18</xdr:col>
      <xdr:colOff>601980</xdr:colOff>
      <xdr:row>29</xdr:row>
      <xdr:rowOff>76200</xdr:rowOff>
    </xdr:to>
    <xdr:cxnSp macro="">
      <xdr:nvCxnSpPr>
        <xdr:cNvPr id="92" name="Straight Arrow Connector 91"/>
        <xdr:cNvCxnSpPr/>
      </xdr:nvCxnSpPr>
      <xdr:spPr>
        <a:xfrm flipH="1">
          <a:off x="11483340" y="537972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28</xdr:row>
      <xdr:rowOff>30480</xdr:rowOff>
    </xdr:from>
    <xdr:to>
      <xdr:col>11</xdr:col>
      <xdr:colOff>518160</xdr:colOff>
      <xdr:row>29</xdr:row>
      <xdr:rowOff>106680</xdr:rowOff>
    </xdr:to>
    <xdr:sp macro="" textlink="">
      <xdr:nvSpPr>
        <xdr:cNvPr id="7" name="Trapezoid 6"/>
        <xdr:cNvSpPr/>
      </xdr:nvSpPr>
      <xdr:spPr>
        <a:xfrm>
          <a:off x="7513320" y="5151120"/>
          <a:ext cx="472440" cy="259080"/>
        </a:xfrm>
        <a:prstGeom prst="trapezoi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</xdr:colOff>
      <xdr:row>29</xdr:row>
      <xdr:rowOff>76200</xdr:rowOff>
    </xdr:from>
    <xdr:to>
      <xdr:col>10</xdr:col>
      <xdr:colOff>487680</xdr:colOff>
      <xdr:row>29</xdr:row>
      <xdr:rowOff>76200</xdr:rowOff>
    </xdr:to>
    <xdr:cxnSp macro="">
      <xdr:nvCxnSpPr>
        <xdr:cNvPr id="22" name="Straight Arrow Connector 21"/>
        <xdr:cNvCxnSpPr/>
      </xdr:nvCxnSpPr>
      <xdr:spPr>
        <a:xfrm flipH="1">
          <a:off x="6911340" y="5379720"/>
          <a:ext cx="43434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32</xdr:row>
      <xdr:rowOff>106680</xdr:rowOff>
    </xdr:from>
    <xdr:to>
      <xdr:col>9</xdr:col>
      <xdr:colOff>373380</xdr:colOff>
      <xdr:row>32</xdr:row>
      <xdr:rowOff>106680</xdr:rowOff>
    </xdr:to>
    <xdr:cxnSp macro="">
      <xdr:nvCxnSpPr>
        <xdr:cNvPr id="49" name="Straight Arrow Connector 48"/>
        <xdr:cNvCxnSpPr/>
      </xdr:nvCxnSpPr>
      <xdr:spPr>
        <a:xfrm flipH="1">
          <a:off x="6187440" y="5958840"/>
          <a:ext cx="43434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27</xdr:row>
      <xdr:rowOff>68580</xdr:rowOff>
    </xdr:from>
    <xdr:to>
      <xdr:col>13</xdr:col>
      <xdr:colOff>419100</xdr:colOff>
      <xdr:row>27</xdr:row>
      <xdr:rowOff>76200</xdr:rowOff>
    </xdr:to>
    <xdr:cxnSp macro="">
      <xdr:nvCxnSpPr>
        <xdr:cNvPr id="53" name="Straight Arrow Connector 52"/>
        <xdr:cNvCxnSpPr/>
      </xdr:nvCxnSpPr>
      <xdr:spPr>
        <a:xfrm>
          <a:off x="8694420" y="5006340"/>
          <a:ext cx="411480" cy="762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274320</xdr:colOff>
      <xdr:row>29</xdr:row>
      <xdr:rowOff>175260</xdr:rowOff>
    </xdr:from>
    <xdr:to>
      <xdr:col>15</xdr:col>
      <xdr:colOff>76200</xdr:colOff>
      <xdr:row>30</xdr:row>
      <xdr:rowOff>0</xdr:rowOff>
    </xdr:to>
    <xdr:cxnSp macro="">
      <xdr:nvCxnSpPr>
        <xdr:cNvPr id="55" name="Straight Arrow Connector 54"/>
        <xdr:cNvCxnSpPr/>
      </xdr:nvCxnSpPr>
      <xdr:spPr>
        <a:xfrm>
          <a:off x="9570720" y="5478780"/>
          <a:ext cx="411480" cy="762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81" zoomScale="85" zoomScaleNormal="85" workbookViewId="0">
      <selection activeCell="I107" sqref="I107"/>
    </sheetView>
  </sheetViews>
  <sheetFormatPr defaultRowHeight="14.4" x14ac:dyDescent="0.3"/>
  <cols>
    <col min="1" max="1" width="13.109375" customWidth="1"/>
    <col min="2" max="2" width="15.77734375" customWidth="1"/>
  </cols>
  <sheetData>
    <row r="1" spans="1:19" x14ac:dyDescent="0.3">
      <c r="A1" t="s">
        <v>1</v>
      </c>
    </row>
    <row r="2" spans="1:19" x14ac:dyDescent="0.3">
      <c r="O2" t="s">
        <v>101</v>
      </c>
      <c r="P2">
        <f>R45</f>
        <v>32.22</v>
      </c>
    </row>
    <row r="3" spans="1:19" x14ac:dyDescent="0.3">
      <c r="A3" t="s">
        <v>2</v>
      </c>
      <c r="B3">
        <v>88.383627371194933</v>
      </c>
      <c r="C3" t="s">
        <v>178</v>
      </c>
      <c r="L3" t="s">
        <v>57</v>
      </c>
      <c r="M3" t="s">
        <v>83</v>
      </c>
    </row>
    <row r="4" spans="1:19" x14ac:dyDescent="0.3">
      <c r="A4" t="s">
        <v>0</v>
      </c>
      <c r="B4">
        <v>38.890470455929808</v>
      </c>
    </row>
    <row r="5" spans="1:19" x14ac:dyDescent="0.3">
      <c r="A5" t="s">
        <v>3</v>
      </c>
      <c r="B5">
        <v>73.830302093739547</v>
      </c>
      <c r="C5" t="s">
        <v>175</v>
      </c>
      <c r="R5" s="2" t="s">
        <v>63</v>
      </c>
    </row>
    <row r="6" spans="1:19" x14ac:dyDescent="0.3">
      <c r="A6" t="s">
        <v>4</v>
      </c>
      <c r="B6">
        <v>322117057.41475618</v>
      </c>
      <c r="C6" t="s">
        <v>181</v>
      </c>
      <c r="K6" t="s">
        <v>51</v>
      </c>
      <c r="N6" t="s">
        <v>79</v>
      </c>
    </row>
    <row r="7" spans="1:19" x14ac:dyDescent="0.3">
      <c r="A7" t="s">
        <v>15</v>
      </c>
      <c r="B7">
        <v>0.9</v>
      </c>
      <c r="C7" t="s">
        <v>176</v>
      </c>
      <c r="J7" s="2" t="s">
        <v>45</v>
      </c>
      <c r="K7">
        <f>Calc!B32</f>
        <v>32.22</v>
      </c>
      <c r="N7">
        <f>Calc!G32</f>
        <v>32.22</v>
      </c>
      <c r="S7" t="s">
        <v>80</v>
      </c>
    </row>
    <row r="8" spans="1:19" x14ac:dyDescent="0.3">
      <c r="A8" t="s">
        <v>16</v>
      </c>
      <c r="B8">
        <v>63</v>
      </c>
      <c r="C8" t="s">
        <v>49</v>
      </c>
      <c r="S8">
        <f>Calc!J32</f>
        <v>170</v>
      </c>
    </row>
    <row r="9" spans="1:19" x14ac:dyDescent="0.3">
      <c r="A9" t="s">
        <v>17</v>
      </c>
      <c r="B9">
        <v>14</v>
      </c>
    </row>
    <row r="10" spans="1:19" x14ac:dyDescent="0.3">
      <c r="A10" t="s">
        <v>22</v>
      </c>
      <c r="B10">
        <v>7.5960000000000001</v>
      </c>
      <c r="C10" t="s">
        <v>23</v>
      </c>
      <c r="L10" t="s">
        <v>56</v>
      </c>
      <c r="M10" s="2" t="s">
        <v>84</v>
      </c>
      <c r="Q10" t="s">
        <v>91</v>
      </c>
      <c r="R10" s="2" t="s">
        <v>62</v>
      </c>
    </row>
    <row r="12" spans="1:19" x14ac:dyDescent="0.3">
      <c r="A12" t="s">
        <v>35</v>
      </c>
      <c r="C12" t="s">
        <v>30</v>
      </c>
      <c r="K12" t="s">
        <v>51</v>
      </c>
      <c r="N12" t="s">
        <v>79</v>
      </c>
      <c r="S12" t="s">
        <v>80</v>
      </c>
    </row>
    <row r="13" spans="1:19" x14ac:dyDescent="0.3">
      <c r="A13" t="s">
        <v>26</v>
      </c>
      <c r="B13" s="4">
        <f>Calc!B2*Calc!C11+Calc!B2*Calc!D11</f>
        <v>823719.91395449685</v>
      </c>
      <c r="C13" s="2" t="str">
        <f>IF(Calc!C11=1,Calc!$C$10,IF(Calc!D11=1,Calc!$D$10,0))</f>
        <v>BOF</v>
      </c>
      <c r="J13" s="2" t="s">
        <v>45</v>
      </c>
      <c r="K13">
        <f>K7</f>
        <v>32.22</v>
      </c>
      <c r="N13">
        <f>Calc!F32</f>
        <v>32.22</v>
      </c>
      <c r="S13">
        <f>S8</f>
        <v>170</v>
      </c>
    </row>
    <row r="14" spans="1:19" x14ac:dyDescent="0.3">
      <c r="A14" t="s">
        <v>27</v>
      </c>
      <c r="B14" s="4">
        <f>Calc!C2*Calc!C12+Calc!C2*Calc!D12</f>
        <v>1033449.0248903385</v>
      </c>
      <c r="C14" s="2" t="str">
        <f>IF(Calc!C12=1,Calc!$C$10,IF(Calc!D12=1,Calc!$D$10,0))</f>
        <v>BUF</v>
      </c>
    </row>
    <row r="15" spans="1:19" x14ac:dyDescent="0.3">
      <c r="A15" t="s">
        <v>28</v>
      </c>
      <c r="B15">
        <f>Calc!D2*Calc!C13+Calc!D2*Calc!D13</f>
        <v>0</v>
      </c>
      <c r="C15" s="2" t="str">
        <f>IF(Calc!C13=1,Calc!$C$10,IF(Calc!D13=1,Calc!$D$10,"null"))</f>
        <v>null</v>
      </c>
      <c r="O15" s="2" t="s">
        <v>90</v>
      </c>
    </row>
    <row r="16" spans="1:19" x14ac:dyDescent="0.3">
      <c r="A16" t="s">
        <v>29</v>
      </c>
      <c r="B16">
        <f>Calc!E2*Calc!C14+Calc!E2*Calc!D14</f>
        <v>0</v>
      </c>
      <c r="C16" s="2" t="str">
        <f>IF(Calc!C14=1,Calc!$C$10,IF(Calc!D14=1,Calc!$D$10,"null"))</f>
        <v>null</v>
      </c>
      <c r="L16" t="s">
        <v>55</v>
      </c>
      <c r="M16" t="s">
        <v>85</v>
      </c>
      <c r="Q16" t="s">
        <v>93</v>
      </c>
      <c r="R16" s="2" t="s">
        <v>61</v>
      </c>
    </row>
    <row r="17" spans="1:20" x14ac:dyDescent="0.3">
      <c r="K17" t="s">
        <v>51</v>
      </c>
      <c r="N17" t="s">
        <v>79</v>
      </c>
    </row>
    <row r="18" spans="1:20" x14ac:dyDescent="0.3">
      <c r="A18" t="s">
        <v>36</v>
      </c>
      <c r="J18" s="2" t="s">
        <v>45</v>
      </c>
      <c r="K18">
        <f>K13</f>
        <v>32.22</v>
      </c>
      <c r="N18">
        <f>Calc!E32</f>
        <v>32.22</v>
      </c>
      <c r="S18" t="s">
        <v>80</v>
      </c>
    </row>
    <row r="19" spans="1:20" x14ac:dyDescent="0.3">
      <c r="A19" t="s">
        <v>31</v>
      </c>
      <c r="B19">
        <f>Calc!C15*Calc!B$5+Calc!B5*Calc!D15</f>
        <v>2128698.7256165175</v>
      </c>
      <c r="C19" s="2" t="str">
        <f>IF(Calc!C15=1,Calc!$C$10,IF(Calc!D17=1,Calc!$D$10,"null"))</f>
        <v>BOF</v>
      </c>
      <c r="S19">
        <f>S13</f>
        <v>170</v>
      </c>
    </row>
    <row r="20" spans="1:20" x14ac:dyDescent="0.3">
      <c r="A20" t="s">
        <v>32</v>
      </c>
      <c r="B20">
        <f>Calc!C16*Calc!C$5+Calc!C5*Calc!D16</f>
        <v>0</v>
      </c>
      <c r="C20" s="2" t="str">
        <f>IF(Calc!C16=1,Calc!$C$10,IF(Calc!D18=1,Calc!$D$10,"null"))</f>
        <v>null</v>
      </c>
      <c r="D20" s="1"/>
      <c r="E20" s="1"/>
    </row>
    <row r="21" spans="1:20" x14ac:dyDescent="0.3">
      <c r="A21" t="s">
        <v>33</v>
      </c>
      <c r="B21">
        <f>Calc!C17*Calc!D$5+Calc!D5*Calc!D17</f>
        <v>0</v>
      </c>
      <c r="C21" s="2" t="str">
        <f>IF(Calc!C17=1,Calc!$C$10,IF(Calc!D19=1,Calc!$D$10,"null"))</f>
        <v>null</v>
      </c>
    </row>
    <row r="22" spans="1:20" x14ac:dyDescent="0.3">
      <c r="A22" t="s">
        <v>34</v>
      </c>
      <c r="B22">
        <f>Calc!C18*Calc!E$5+Calc!E5*Calc!D18</f>
        <v>0</v>
      </c>
      <c r="C22" s="2" t="str">
        <f>IF(Calc!C18=1,Calc!$C$10,IF(Calc!D20=1,Calc!$D$10,"null"))</f>
        <v>null</v>
      </c>
      <c r="L22" t="s">
        <v>71</v>
      </c>
      <c r="M22" t="s">
        <v>86</v>
      </c>
      <c r="Q22" t="s">
        <v>92</v>
      </c>
      <c r="R22" s="2" t="s">
        <v>60</v>
      </c>
    </row>
    <row r="23" spans="1:20" x14ac:dyDescent="0.3">
      <c r="K23" t="s">
        <v>51</v>
      </c>
      <c r="N23" t="s">
        <v>79</v>
      </c>
    </row>
    <row r="24" spans="1:20" x14ac:dyDescent="0.3">
      <c r="J24" s="2" t="s">
        <v>45</v>
      </c>
      <c r="K24">
        <f>K18</f>
        <v>32.22</v>
      </c>
      <c r="N24">
        <f>Calc!D32</f>
        <v>32.22</v>
      </c>
      <c r="S24" t="s">
        <v>80</v>
      </c>
    </row>
    <row r="25" spans="1:20" x14ac:dyDescent="0.3">
      <c r="J25" s="2"/>
      <c r="S25">
        <f>S19</f>
        <v>170</v>
      </c>
    </row>
    <row r="27" spans="1:20" x14ac:dyDescent="0.3">
      <c r="I27" s="3" t="s">
        <v>48</v>
      </c>
      <c r="K27" s="2"/>
      <c r="L27" t="s">
        <v>70</v>
      </c>
      <c r="M27" t="s">
        <v>87</v>
      </c>
      <c r="N27" t="s">
        <v>89</v>
      </c>
      <c r="O27">
        <f>S25</f>
        <v>170</v>
      </c>
      <c r="Q27" t="s">
        <v>94</v>
      </c>
      <c r="R27" s="2" t="s">
        <v>58</v>
      </c>
    </row>
    <row r="28" spans="1:20" x14ac:dyDescent="0.3">
      <c r="D28" t="s">
        <v>37</v>
      </c>
      <c r="I28" s="3">
        <f>B9</f>
        <v>14</v>
      </c>
      <c r="T28" t="s">
        <v>59</v>
      </c>
    </row>
    <row r="29" spans="1:20" x14ac:dyDescent="0.3">
      <c r="D29" t="s">
        <v>38</v>
      </c>
      <c r="E29">
        <f>Calc!B38</f>
        <v>27.882089000000001</v>
      </c>
      <c r="F29" t="s">
        <v>43</v>
      </c>
      <c r="K29" t="s">
        <v>95</v>
      </c>
    </row>
    <row r="30" spans="1:20" x14ac:dyDescent="0.3">
      <c r="B30" s="1"/>
      <c r="C30" s="1"/>
      <c r="D30" s="1" t="s">
        <v>39</v>
      </c>
      <c r="E30" s="1">
        <f>Calc!D39</f>
        <v>0.12</v>
      </c>
      <c r="F30" s="1" t="s">
        <v>42</v>
      </c>
      <c r="G30" s="1"/>
      <c r="I30" s="1"/>
      <c r="T30" t="s">
        <v>74</v>
      </c>
    </row>
    <row r="31" spans="1:20" x14ac:dyDescent="0.3">
      <c r="D31" t="s">
        <v>40</v>
      </c>
      <c r="E31">
        <f>Calc!E39</f>
        <v>0.74</v>
      </c>
      <c r="O31" t="s">
        <v>88</v>
      </c>
    </row>
    <row r="32" spans="1:20" x14ac:dyDescent="0.3">
      <c r="D32" s="1" t="s">
        <v>41</v>
      </c>
      <c r="E32" s="1">
        <f>Calc!F39</f>
        <v>0.14000000000000001</v>
      </c>
      <c r="H32" t="s">
        <v>76</v>
      </c>
      <c r="L32" t="s">
        <v>75</v>
      </c>
    </row>
    <row r="33" spans="1:19" x14ac:dyDescent="0.3">
      <c r="D33" t="s">
        <v>44</v>
      </c>
      <c r="E33" s="1">
        <f>Calc!H39</f>
        <v>1.01</v>
      </c>
      <c r="F33" s="1"/>
      <c r="I33" t="s">
        <v>96</v>
      </c>
    </row>
    <row r="34" spans="1:19" x14ac:dyDescent="0.3">
      <c r="D34" t="s">
        <v>45</v>
      </c>
      <c r="E34">
        <f>Calc!I39</f>
        <v>54.18</v>
      </c>
      <c r="H34" t="s">
        <v>76</v>
      </c>
      <c r="L34" t="s">
        <v>75</v>
      </c>
    </row>
    <row r="35" spans="1:19" x14ac:dyDescent="0.3">
      <c r="H35" t="s">
        <v>38</v>
      </c>
      <c r="I35">
        <f>E29/I28</f>
        <v>1.9915777857142858</v>
      </c>
      <c r="J35" t="s">
        <v>43</v>
      </c>
      <c r="L35" t="s">
        <v>38</v>
      </c>
      <c r="M35">
        <f>SUM(M36:M38)</f>
        <v>1.8744730119142858</v>
      </c>
    </row>
    <row r="36" spans="1:19" x14ac:dyDescent="0.3">
      <c r="H36" t="s">
        <v>39</v>
      </c>
      <c r="I36">
        <f>Calc!G21</f>
        <v>0.23898933428571428</v>
      </c>
      <c r="J36" t="s">
        <v>43</v>
      </c>
      <c r="L36" t="s">
        <v>39</v>
      </c>
      <c r="M36">
        <f>Calc!G25</f>
        <v>0.23898933428571428</v>
      </c>
    </row>
    <row r="37" spans="1:19" x14ac:dyDescent="0.3">
      <c r="H37" t="s">
        <v>40</v>
      </c>
      <c r="I37">
        <f>Calc!H21</f>
        <v>1.4737675614285715</v>
      </c>
      <c r="J37" t="s">
        <v>43</v>
      </c>
      <c r="L37" t="s">
        <v>40</v>
      </c>
      <c r="M37">
        <f>Calc!H25</f>
        <v>1.4737675614285715</v>
      </c>
      <c r="N37" t="s">
        <v>42</v>
      </c>
    </row>
    <row r="38" spans="1:19" x14ac:dyDescent="0.3">
      <c r="H38" t="s">
        <v>41</v>
      </c>
      <c r="I38">
        <f>Calc!I21</f>
        <v>0.27882089000000004</v>
      </c>
      <c r="J38" t="s">
        <v>43</v>
      </c>
      <c r="L38" t="s">
        <v>41</v>
      </c>
      <c r="M38">
        <f>Calc!I25</f>
        <v>0.16171611620000001</v>
      </c>
      <c r="N38" t="s">
        <v>42</v>
      </c>
    </row>
    <row r="39" spans="1:19" x14ac:dyDescent="0.3">
      <c r="A39" s="2"/>
      <c r="C39" s="5"/>
      <c r="D39" s="5"/>
      <c r="E39" s="5"/>
      <c r="F39" s="5"/>
      <c r="H39" s="1" t="s">
        <v>44</v>
      </c>
      <c r="I39">
        <f>Calc!H39</f>
        <v>1.01</v>
      </c>
      <c r="J39" s="1" t="s">
        <v>46</v>
      </c>
      <c r="K39" s="5"/>
      <c r="L39" s="1" t="s">
        <v>44</v>
      </c>
      <c r="M39">
        <f>Calc!G28</f>
        <v>1.01</v>
      </c>
      <c r="N39" s="1" t="s">
        <v>46</v>
      </c>
    </row>
    <row r="40" spans="1:19" x14ac:dyDescent="0.3">
      <c r="B40" t="s">
        <v>81</v>
      </c>
      <c r="H40" t="s">
        <v>45</v>
      </c>
      <c r="I40">
        <f>Calc!I39</f>
        <v>54.18</v>
      </c>
      <c r="J40" t="s">
        <v>47</v>
      </c>
      <c r="L40" t="s">
        <v>45</v>
      </c>
      <c r="M40">
        <f>Calc!H28</f>
        <v>43.72627689096111</v>
      </c>
      <c r="N40" t="s">
        <v>47</v>
      </c>
    </row>
    <row r="42" spans="1:19" x14ac:dyDescent="0.3">
      <c r="B42" t="s">
        <v>54</v>
      </c>
      <c r="C42" t="s">
        <v>50</v>
      </c>
      <c r="D42" t="str">
        <f>H34</f>
        <v>FlueIn</v>
      </c>
      <c r="E42" t="str">
        <f>L34</f>
        <v>FlueOut</v>
      </c>
      <c r="F42" t="s">
        <v>70</v>
      </c>
      <c r="G42" t="s">
        <v>71</v>
      </c>
      <c r="H42" t="s">
        <v>55</v>
      </c>
      <c r="I42" t="s">
        <v>56</v>
      </c>
      <c r="J42" t="s">
        <v>57</v>
      </c>
      <c r="K42" t="s">
        <v>59</v>
      </c>
      <c r="L42" t="s">
        <v>74</v>
      </c>
      <c r="M42" t="s">
        <v>58</v>
      </c>
      <c r="N42" t="s">
        <v>60</v>
      </c>
      <c r="O42" t="s">
        <v>61</v>
      </c>
      <c r="P42" t="s">
        <v>62</v>
      </c>
      <c r="Q42" t="s">
        <v>63</v>
      </c>
      <c r="R42" t="s">
        <v>97</v>
      </c>
      <c r="S42" t="s">
        <v>96</v>
      </c>
    </row>
    <row r="43" spans="1:19" x14ac:dyDescent="0.3">
      <c r="B43" t="s">
        <v>182</v>
      </c>
      <c r="C43">
        <f>E29</f>
        <v>27.882089000000001</v>
      </c>
      <c r="D43">
        <f>I35</f>
        <v>1.9915777857142858</v>
      </c>
      <c r="E43">
        <f>M35</f>
        <v>1.8744730119142858</v>
      </c>
      <c r="F43">
        <f>SUM(F47:F49)</f>
        <v>1.8744730119142858</v>
      </c>
      <c r="G43">
        <f>SUM(G47:G49)</f>
        <v>1.747702358526342</v>
      </c>
      <c r="H43">
        <f t="shared" ref="H43:J43" si="0">SUM(H47:H49)</f>
        <v>1.6441727376614985</v>
      </c>
      <c r="I43">
        <f t="shared" si="0"/>
        <v>1.6441727376614985</v>
      </c>
      <c r="J43">
        <f t="shared" si="0"/>
        <v>1.644172737661499</v>
      </c>
      <c r="K43">
        <f>Calc!B42</f>
        <v>0.2</v>
      </c>
      <c r="L43">
        <f>Calc!B43</f>
        <v>0.2</v>
      </c>
      <c r="M43">
        <f>+L43+K43</f>
        <v>0.4</v>
      </c>
      <c r="N43">
        <f>N47+N48+N49</f>
        <v>0.59818080171451848</v>
      </c>
      <c r="O43">
        <f>O47+O48+O49</f>
        <v>0.59818080171451848</v>
      </c>
      <c r="P43">
        <f>P47+P48+P49</f>
        <v>0.59818080171451848</v>
      </c>
      <c r="Q43">
        <f>Q47+Q48+Q49</f>
        <v>0.59818080171451848</v>
      </c>
      <c r="R43">
        <f>Calc!B31</f>
        <v>9.535691066284361</v>
      </c>
      <c r="S43">
        <f>R43</f>
        <v>9.535691066284361</v>
      </c>
    </row>
    <row r="44" spans="1:19" x14ac:dyDescent="0.3">
      <c r="B44" t="s">
        <v>52</v>
      </c>
      <c r="C44">
        <f>E33</f>
        <v>1.01</v>
      </c>
      <c r="D44">
        <f>I39</f>
        <v>1.01</v>
      </c>
      <c r="E44">
        <f>M39</f>
        <v>1.01</v>
      </c>
      <c r="F44">
        <f>Calc!L21</f>
        <v>1.1879999999999999</v>
      </c>
      <c r="G44">
        <f>IF(Calc!C8=1,Calc!L22,Calc!P21)</f>
        <v>1.2523455965164296</v>
      </c>
      <c r="H44">
        <f>IF(Calc!D8=1,Calc!L23,Calc!L22)</f>
        <v>1.2523455965164296</v>
      </c>
      <c r="I44">
        <f>IF(Calc!E8,Calc!L24,Output!H44)</f>
        <v>1.2523455965164296</v>
      </c>
      <c r="J44">
        <f>IF(Calc!C14,Calc!P24,Output!I44)</f>
        <v>1.2523455965164296</v>
      </c>
      <c r="K44">
        <f>Calc!B35</f>
        <v>6.8</v>
      </c>
      <c r="L44">
        <f>Calc!D44</f>
        <v>1</v>
      </c>
      <c r="M44">
        <f>Calc!L25</f>
        <v>1.01</v>
      </c>
      <c r="N44">
        <f>+Calc!L26</f>
        <v>1</v>
      </c>
      <c r="O44">
        <f>IF(Calc!G8=1,Calc!L27,N44)</f>
        <v>1</v>
      </c>
      <c r="P44">
        <f>IF(Calc!H8=1,Calc!L28,O44)</f>
        <v>1</v>
      </c>
      <c r="Q44">
        <f>IF(Calc!I8=1,Calc!P28,Output!P44)</f>
        <v>1</v>
      </c>
      <c r="R44">
        <f>Calc!G28</f>
        <v>1.01</v>
      </c>
      <c r="S44">
        <f>R44</f>
        <v>1.01</v>
      </c>
    </row>
    <row r="45" spans="1:19" x14ac:dyDescent="0.3">
      <c r="B45" t="s">
        <v>53</v>
      </c>
      <c r="C45">
        <f>E34</f>
        <v>54.18</v>
      </c>
      <c r="D45">
        <f>I40</f>
        <v>54.18</v>
      </c>
      <c r="E45">
        <f>M40</f>
        <v>43.72627689096111</v>
      </c>
      <c r="F45">
        <f>Calc!M21</f>
        <v>58.768282357173121</v>
      </c>
      <c r="G45">
        <f>IF(Calc!C8=1,Calc!M22,Calc!Q22)</f>
        <v>80</v>
      </c>
      <c r="H45">
        <f>IF(Calc!E7=1,Calc!M23,Calc!M22)</f>
        <v>80</v>
      </c>
      <c r="I45">
        <f>IF(Calc!E8=1,Calc!M24,Output!H45)</f>
        <v>80</v>
      </c>
      <c r="J45">
        <f>IF(Calc!E8=1,Calc!Q24,Output!I45)</f>
        <v>80</v>
      </c>
      <c r="K45">
        <f>Calc!C35</f>
        <v>170</v>
      </c>
      <c r="L45">
        <f>Calc!E44</f>
        <v>138.07</v>
      </c>
      <c r="M45">
        <f>Calc!M25</f>
        <v>154.62037098980016</v>
      </c>
      <c r="N45">
        <f>+Calc!M26</f>
        <v>120</v>
      </c>
      <c r="O45">
        <f>IF(Calc!G8=1,Calc!M27,N45)</f>
        <v>120</v>
      </c>
      <c r="P45">
        <f>IF(Calc!H8=1,Calc!M28,O45)</f>
        <v>120</v>
      </c>
      <c r="Q45">
        <f>IF(Calc!I8=1,Calc!Q28,Output!P45)</f>
        <v>120</v>
      </c>
      <c r="R45">
        <f>Calc!B32</f>
        <v>32.22</v>
      </c>
      <c r="S45">
        <f>Calc!H28</f>
        <v>43.72627689096111</v>
      </c>
    </row>
    <row r="46" spans="1:19" x14ac:dyDescent="0.3">
      <c r="B46" t="s">
        <v>72</v>
      </c>
    </row>
    <row r="47" spans="1:19" x14ac:dyDescent="0.3">
      <c r="B47" s="2" t="s">
        <v>39</v>
      </c>
      <c r="C47">
        <f>$E$29*E30</f>
        <v>3.3458506799999999</v>
      </c>
      <c r="D47">
        <f>I36</f>
        <v>0.23898933428571428</v>
      </c>
      <c r="E47">
        <f>M36</f>
        <v>0.23898933428571428</v>
      </c>
      <c r="F47">
        <f>Calc!C21</f>
        <v>0.23898933428571428</v>
      </c>
      <c r="G47">
        <f>Calc!C22</f>
        <v>0.10467799584114475</v>
      </c>
      <c r="H47">
        <f>Calc!C23</f>
        <v>2.3898933428571412E-2</v>
      </c>
      <c r="I47">
        <f>Calc!C24</f>
        <v>2.3898933428571412E-2</v>
      </c>
      <c r="J47">
        <f>Calc!V24</f>
        <v>2.3898933428571412E-2</v>
      </c>
      <c r="K47">
        <f>$K$43*K51</f>
        <v>0</v>
      </c>
      <c r="L47">
        <f>$L$43*L51</f>
        <v>8.4000000000000005E-2</v>
      </c>
      <c r="M47">
        <f>Calc!C25</f>
        <v>8.4000000000000019E-2</v>
      </c>
      <c r="N47">
        <f>+Calc!C26</f>
        <v>0.29909040085725924</v>
      </c>
      <c r="O47">
        <f>Calc!C27</f>
        <v>0.29909040085725924</v>
      </c>
      <c r="P47">
        <f>Calc!C28</f>
        <v>0.29909040085725924</v>
      </c>
      <c r="Q47">
        <f>IF(Calc!I8=1,Calc!V28,Calc!C28)</f>
        <v>0.29909040085725924</v>
      </c>
      <c r="R47">
        <f>R$43*R51</f>
        <v>0</v>
      </c>
      <c r="S47">
        <f>S$43*S51</f>
        <v>0</v>
      </c>
    </row>
    <row r="48" spans="1:19" x14ac:dyDescent="0.3">
      <c r="B48" s="2" t="s">
        <v>40</v>
      </c>
      <c r="C48">
        <f t="shared" ref="C48:C49" si="1">$E$29*E31</f>
        <v>20.63274586</v>
      </c>
      <c r="D48">
        <f t="shared" ref="D48:D49" si="2">I37</f>
        <v>1.4737675614285715</v>
      </c>
      <c r="E48">
        <f t="shared" ref="E48:E49" si="3">M37</f>
        <v>1.4737675614285715</v>
      </c>
      <c r="F48">
        <f>Calc!D21</f>
        <v>1.4737675614285715</v>
      </c>
      <c r="G48">
        <f>Calc!D22</f>
        <v>1.4815286245314105</v>
      </c>
      <c r="H48">
        <f>Calc!D23</f>
        <v>1.4887526300845817</v>
      </c>
      <c r="I48">
        <f>Calc!D24</f>
        <v>1.4887526300845817</v>
      </c>
      <c r="J48">
        <f>Calc!W24</f>
        <v>1.4887526300845819</v>
      </c>
      <c r="K48">
        <f>$K$43*K52</f>
        <v>0</v>
      </c>
      <c r="L48">
        <f t="shared" ref="L48:L49" si="4">$L$43*L52</f>
        <v>0</v>
      </c>
      <c r="M48">
        <f>+Calc!D25</f>
        <v>0</v>
      </c>
      <c r="N48">
        <f>+Calc!D26</f>
        <v>0</v>
      </c>
      <c r="O48">
        <f>Calc!D27</f>
        <v>0</v>
      </c>
      <c r="P48">
        <f>Calc!D28</f>
        <v>0</v>
      </c>
      <c r="Q48">
        <f>IF(Calc!I8=1,Calc!W28,Calc!D28)</f>
        <v>0</v>
      </c>
      <c r="R48">
        <f t="shared" ref="R48:S49" si="5">R$43*R52</f>
        <v>0</v>
      </c>
      <c r="S48">
        <f t="shared" si="5"/>
        <v>0</v>
      </c>
    </row>
    <row r="49" spans="2:19" x14ac:dyDescent="0.3">
      <c r="B49" s="2" t="s">
        <v>41</v>
      </c>
      <c r="C49">
        <f t="shared" si="1"/>
        <v>3.9034924600000003</v>
      </c>
      <c r="D49">
        <f t="shared" si="2"/>
        <v>0.27882089000000004</v>
      </c>
      <c r="E49">
        <f t="shared" si="3"/>
        <v>0.16171611620000001</v>
      </c>
      <c r="F49">
        <f>Calc!E21</f>
        <v>0.16171611620000001</v>
      </c>
      <c r="G49">
        <f>Calc!E22</f>
        <v>0.16149573815378679</v>
      </c>
      <c r="H49">
        <f>Calc!E23</f>
        <v>0.13152117414834549</v>
      </c>
      <c r="I49">
        <f>Calc!E24</f>
        <v>0.13152117414834549</v>
      </c>
      <c r="J49">
        <f>Calc!X24</f>
        <v>0.13152117414834552</v>
      </c>
      <c r="K49">
        <f>$K$43*K53</f>
        <v>0.2</v>
      </c>
      <c r="L49">
        <f t="shared" si="4"/>
        <v>0.11599999999999999</v>
      </c>
      <c r="M49">
        <f>+Calc!E25</f>
        <v>0.316</v>
      </c>
      <c r="N49">
        <f>+Calc!E26</f>
        <v>0.29909040085725924</v>
      </c>
      <c r="O49">
        <f>Calc!E27</f>
        <v>0.29909040085725924</v>
      </c>
      <c r="P49">
        <f>Calc!E28</f>
        <v>0.29909040085725924</v>
      </c>
      <c r="Q49">
        <f>IF(Calc!I8=1,Calc!X28,Calc!E28)</f>
        <v>0.29909040085725924</v>
      </c>
      <c r="R49">
        <f t="shared" si="5"/>
        <v>9.535691066284361</v>
      </c>
      <c r="S49">
        <f t="shared" si="5"/>
        <v>9.535691066284361</v>
      </c>
    </row>
    <row r="50" spans="2:19" x14ac:dyDescent="0.3">
      <c r="B50" t="s">
        <v>183</v>
      </c>
    </row>
    <row r="51" spans="2:19" x14ac:dyDescent="0.3">
      <c r="B51" s="2" t="s">
        <v>39</v>
      </c>
      <c r="C51">
        <f>C47/C$43</f>
        <v>0.12</v>
      </c>
      <c r="D51">
        <f t="shared" ref="D51:J51" si="6">D47/D$43</f>
        <v>0.12</v>
      </c>
      <c r="E51">
        <f t="shared" si="6"/>
        <v>0.12749681257968551</v>
      </c>
      <c r="F51">
        <f>F47/F$43</f>
        <v>0.12749681257968551</v>
      </c>
      <c r="G51">
        <f t="shared" si="6"/>
        <v>5.9894635565639995E-2</v>
      </c>
      <c r="H51">
        <f t="shared" si="6"/>
        <v>1.4535536857619222E-2</v>
      </c>
      <c r="I51">
        <f t="shared" si="6"/>
        <v>1.4535536857619222E-2</v>
      </c>
      <c r="J51">
        <f t="shared" si="6"/>
        <v>1.4535536857619219E-2</v>
      </c>
      <c r="K51">
        <v>0</v>
      </c>
      <c r="L51">
        <f>Calc!H44</f>
        <v>0.42</v>
      </c>
      <c r="M51">
        <f>M47/$M$43</f>
        <v>0.21000000000000005</v>
      </c>
      <c r="N51">
        <f>N47/N$43</f>
        <v>0.5</v>
      </c>
      <c r="O51">
        <f>O47/O$43</f>
        <v>0.5</v>
      </c>
      <c r="P51">
        <f>P47/P$43</f>
        <v>0.5</v>
      </c>
      <c r="Q51">
        <f>Q47/Q$43</f>
        <v>0.5</v>
      </c>
      <c r="R51">
        <v>0</v>
      </c>
      <c r="S51">
        <v>0</v>
      </c>
    </row>
    <row r="52" spans="2:19" x14ac:dyDescent="0.3">
      <c r="B52" s="2" t="s">
        <v>40</v>
      </c>
      <c r="C52">
        <f t="shared" ref="C52:J53" si="7">C48/C$43</f>
        <v>0.74</v>
      </c>
      <c r="D52">
        <f t="shared" si="7"/>
        <v>0.74</v>
      </c>
      <c r="E52">
        <f t="shared" si="7"/>
        <v>0.78623034424139393</v>
      </c>
      <c r="F52">
        <f t="shared" si="7"/>
        <v>0.78623034424139393</v>
      </c>
      <c r="G52">
        <f t="shared" si="7"/>
        <v>0.84770076397941785</v>
      </c>
      <c r="H52">
        <f t="shared" si="7"/>
        <v>0.90547215385776902</v>
      </c>
      <c r="I52">
        <f t="shared" si="7"/>
        <v>0.90547215385776902</v>
      </c>
      <c r="J52">
        <f t="shared" si="7"/>
        <v>0.90547215385776891</v>
      </c>
      <c r="K52">
        <v>0</v>
      </c>
      <c r="L52">
        <v>0</v>
      </c>
      <c r="M52">
        <f t="shared" ref="M52:M53" si="8">M48/$M$43</f>
        <v>0</v>
      </c>
      <c r="N52">
        <f t="shared" ref="N52:N53" si="9">N48/$N$43</f>
        <v>0</v>
      </c>
      <c r="O52">
        <f t="shared" ref="O52:Q52" si="10">O48/O$43</f>
        <v>0</v>
      </c>
      <c r="P52">
        <f t="shared" si="10"/>
        <v>0</v>
      </c>
      <c r="Q52">
        <f t="shared" si="10"/>
        <v>0</v>
      </c>
      <c r="R52">
        <v>0</v>
      </c>
      <c r="S52">
        <v>0</v>
      </c>
    </row>
    <row r="53" spans="2:19" x14ac:dyDescent="0.3">
      <c r="B53" s="2" t="s">
        <v>41</v>
      </c>
      <c r="C53">
        <f t="shared" si="7"/>
        <v>0.14000000000000001</v>
      </c>
      <c r="D53">
        <f t="shared" si="7"/>
        <v>0.14000000000000001</v>
      </c>
      <c r="E53">
        <f t="shared" si="7"/>
        <v>8.6272843178920533E-2</v>
      </c>
      <c r="F53">
        <f t="shared" si="7"/>
        <v>8.6272843178920533E-2</v>
      </c>
      <c r="G53">
        <f t="shared" si="7"/>
        <v>9.2404600454942198E-2</v>
      </c>
      <c r="H53">
        <f t="shared" si="7"/>
        <v>7.9992309284611804E-2</v>
      </c>
      <c r="I53">
        <f t="shared" si="7"/>
        <v>7.9992309284611804E-2</v>
      </c>
      <c r="J53">
        <f t="shared" si="7"/>
        <v>7.9992309284611804E-2</v>
      </c>
      <c r="K53">
        <v>1</v>
      </c>
      <c r="L53">
        <f>Calc!I44</f>
        <v>0.57999999999999996</v>
      </c>
      <c r="M53">
        <f t="shared" si="8"/>
        <v>0.78999999999999992</v>
      </c>
      <c r="N53">
        <f t="shared" si="9"/>
        <v>0.5</v>
      </c>
      <c r="O53">
        <f t="shared" ref="O53:Q53" si="11">O49/O$43</f>
        <v>0.5</v>
      </c>
      <c r="P53">
        <f t="shared" si="11"/>
        <v>0.5</v>
      </c>
      <c r="Q53">
        <f t="shared" si="11"/>
        <v>0.5</v>
      </c>
      <c r="R53">
        <v>1</v>
      </c>
      <c r="S53">
        <v>1</v>
      </c>
    </row>
    <row r="55" spans="2:19" x14ac:dyDescent="0.3">
      <c r="B55" s="3" t="s">
        <v>82</v>
      </c>
    </row>
    <row r="56" spans="2:19" x14ac:dyDescent="0.3">
      <c r="N56" s="1"/>
      <c r="O56" s="1"/>
      <c r="P56" s="1"/>
      <c r="Q56" s="1"/>
    </row>
    <row r="57" spans="2:19" x14ac:dyDescent="0.3">
      <c r="B57" t="s">
        <v>54</v>
      </c>
      <c r="C57" t="s">
        <v>83</v>
      </c>
      <c r="D57" t="s">
        <v>84</v>
      </c>
      <c r="E57" t="s">
        <v>85</v>
      </c>
      <c r="F57" t="s">
        <v>86</v>
      </c>
      <c r="G57" t="s">
        <v>87</v>
      </c>
      <c r="H57" t="s">
        <v>90</v>
      </c>
      <c r="I57" t="s">
        <v>91</v>
      </c>
      <c r="J57" t="s">
        <v>93</v>
      </c>
      <c r="K57" t="s">
        <v>92</v>
      </c>
      <c r="L57" t="s">
        <v>94</v>
      </c>
    </row>
    <row r="58" spans="2:19" x14ac:dyDescent="0.3">
      <c r="B58" t="s">
        <v>177</v>
      </c>
      <c r="C58">
        <f>Calc!G54</f>
        <v>800000</v>
      </c>
      <c r="D58">
        <f>C58</f>
        <v>800000</v>
      </c>
      <c r="E58">
        <f t="shared" ref="E58:G58" si="12">D58</f>
        <v>800000</v>
      </c>
      <c r="F58">
        <f t="shared" si="12"/>
        <v>800000</v>
      </c>
      <c r="G58">
        <f t="shared" si="12"/>
        <v>800000</v>
      </c>
      <c r="H58">
        <f>Calc!G55</f>
        <v>1600000</v>
      </c>
      <c r="I58">
        <f>H58</f>
        <v>1600000</v>
      </c>
      <c r="J58">
        <f t="shared" ref="J58:L58" si="13">I58</f>
        <v>1600000</v>
      </c>
      <c r="K58">
        <f t="shared" si="13"/>
        <v>1600000</v>
      </c>
      <c r="L58">
        <f t="shared" si="13"/>
        <v>1600000</v>
      </c>
    </row>
    <row r="59" spans="2:19" x14ac:dyDescent="0.3">
      <c r="B59" t="s">
        <v>52</v>
      </c>
    </row>
    <row r="60" spans="2:19" x14ac:dyDescent="0.3">
      <c r="B60" t="s">
        <v>53</v>
      </c>
      <c r="C60">
        <f>Calc!G52</f>
        <v>102</v>
      </c>
      <c r="D60">
        <f>Calc!J48</f>
        <v>102</v>
      </c>
      <c r="E60">
        <f>Calc!I48</f>
        <v>102</v>
      </c>
      <c r="F60">
        <f>Calc!H48</f>
        <v>81.32771869011404</v>
      </c>
      <c r="G60">
        <f>Calc!G48</f>
        <v>87.423046486805617</v>
      </c>
      <c r="H60">
        <f>Calc!G50</f>
        <v>120</v>
      </c>
      <c r="I60">
        <f>Calc!N48</f>
        <v>120.00000000000001</v>
      </c>
      <c r="J60">
        <f>Calc!M48</f>
        <v>120.00000000000001</v>
      </c>
      <c r="K60">
        <f>Calc!L48</f>
        <v>120.00000000000001</v>
      </c>
      <c r="L60">
        <f>Calc!K48</f>
        <v>122.0391036420171</v>
      </c>
    </row>
    <row r="61" spans="2:19" x14ac:dyDescent="0.3">
      <c r="B61" t="s">
        <v>184</v>
      </c>
      <c r="N61" s="1"/>
      <c r="O61" s="1"/>
      <c r="P61" s="1"/>
      <c r="Q61" s="1"/>
    </row>
    <row r="62" spans="2:19" x14ac:dyDescent="0.3">
      <c r="B62" s="2" t="s">
        <v>41</v>
      </c>
      <c r="C62">
        <f>Calc!C52</f>
        <v>1.02</v>
      </c>
      <c r="D62">
        <f>Calc!C51</f>
        <v>1.02</v>
      </c>
      <c r="E62">
        <f>Calc!C50</f>
        <v>1.02</v>
      </c>
      <c r="F62">
        <f>Calc!C49</f>
        <v>0.85298904168384637</v>
      </c>
      <c r="G62">
        <f>Calc!C48</f>
        <v>0.63227</v>
      </c>
      <c r="H62">
        <f>G62</f>
        <v>0.63227</v>
      </c>
      <c r="I62">
        <f>Calc!C55</f>
        <v>0.63227</v>
      </c>
      <c r="J62">
        <f>Calc!C54</f>
        <v>0.63227</v>
      </c>
      <c r="K62">
        <f>Calc!C53</f>
        <v>0.63227</v>
      </c>
      <c r="L62">
        <f>Calc!C52</f>
        <v>1.02</v>
      </c>
    </row>
    <row r="63" spans="2:19" x14ac:dyDescent="0.3">
      <c r="B63" s="2" t="s">
        <v>99</v>
      </c>
      <c r="C63">
        <f>Calc!D52</f>
        <v>2.1520000000000001E-2</v>
      </c>
      <c r="D63">
        <f>Calc!D51</f>
        <v>2.1520000000000001E-2</v>
      </c>
      <c r="E63">
        <f>Calc!D50</f>
        <v>2.1520000000000001E-2</v>
      </c>
      <c r="F63">
        <f>Calc!D49</f>
        <v>9.5812941380241823E-2</v>
      </c>
      <c r="G63">
        <f>Calc!D48</f>
        <v>1.089E-2</v>
      </c>
      <c r="H63">
        <f>G63</f>
        <v>1.089E-2</v>
      </c>
      <c r="I63">
        <f>Calc!D55</f>
        <v>1.089E-2</v>
      </c>
      <c r="J63">
        <f>Calc!D54</f>
        <v>1.089E-2</v>
      </c>
      <c r="K63">
        <f>Calc!D53</f>
        <v>1.089E-2</v>
      </c>
      <c r="L63">
        <f>Calc!D52</f>
        <v>2.1520000000000001E-2</v>
      </c>
    </row>
    <row r="64" spans="2:19" x14ac:dyDescent="0.3">
      <c r="B64" s="2" t="s">
        <v>100</v>
      </c>
      <c r="C64">
        <f>Calc!E52</f>
        <v>1.2198546459106756</v>
      </c>
      <c r="D64">
        <f>Calc!E51</f>
        <v>1.2198546459106756</v>
      </c>
      <c r="E64">
        <f>Calc!E50</f>
        <v>1.2198546459106756</v>
      </c>
      <c r="F64">
        <f>Calc!E49</f>
        <v>0.85298904168384615</v>
      </c>
      <c r="G64">
        <f>Calc!E48</f>
        <v>1.2307535089117472</v>
      </c>
      <c r="H64">
        <f>G64</f>
        <v>1.2307535089117472</v>
      </c>
      <c r="I64">
        <f>Calc!E55</f>
        <v>1.2307535089117472</v>
      </c>
      <c r="J64">
        <f>Calc!E54</f>
        <v>1.2307535089117472</v>
      </c>
      <c r="K64">
        <f>Calc!E53</f>
        <v>1.2307535089117472</v>
      </c>
      <c r="L64">
        <f>Calc!E52</f>
        <v>1.2198546459106756</v>
      </c>
    </row>
    <row r="66" spans="2:20" x14ac:dyDescent="0.3">
      <c r="B66" s="2"/>
    </row>
    <row r="67" spans="2:20" x14ac:dyDescent="0.3">
      <c r="B67" s="2" t="s">
        <v>180</v>
      </c>
    </row>
    <row r="68" spans="2:20" x14ac:dyDescent="0.3">
      <c r="B68" s="2" t="s">
        <v>107</v>
      </c>
      <c r="C68">
        <f>Calc!B59</f>
        <v>85000</v>
      </c>
      <c r="D68" t="s">
        <v>106</v>
      </c>
    </row>
    <row r="69" spans="2:20" x14ac:dyDescent="0.3">
      <c r="B69" s="2" t="s">
        <v>108</v>
      </c>
      <c r="C69" s="6">
        <f>Calc!B60</f>
        <v>2262.5948809596748</v>
      </c>
      <c r="D69" t="s">
        <v>106</v>
      </c>
    </row>
    <row r="70" spans="2:20" x14ac:dyDescent="0.3">
      <c r="B70" s="2" t="s">
        <v>109</v>
      </c>
      <c r="C70" s="6">
        <f>Calc!B61</f>
        <v>4427.9365560682145</v>
      </c>
      <c r="D70" t="s">
        <v>106</v>
      </c>
    </row>
    <row r="73" spans="2:20" x14ac:dyDescent="0.3">
      <c r="C73" t="s">
        <v>165</v>
      </c>
      <c r="D73" t="s">
        <v>166</v>
      </c>
      <c r="E73" t="s">
        <v>167</v>
      </c>
      <c r="F73" t="s">
        <v>168</v>
      </c>
      <c r="G73" t="s">
        <v>169</v>
      </c>
      <c r="H73" t="s">
        <v>170</v>
      </c>
      <c r="I73" t="s">
        <v>171</v>
      </c>
      <c r="J73" t="s">
        <v>172</v>
      </c>
    </row>
    <row r="74" spans="2:20" x14ac:dyDescent="0.3">
      <c r="B74" t="s">
        <v>111</v>
      </c>
      <c r="C74" s="7">
        <f>IF(Calc!B8=1,Calc!B66,"null")</f>
        <v>30.972363879906265</v>
      </c>
      <c r="D74" s="7">
        <f>IF(Calc!C8=1,Calc!C66,"null")</f>
        <v>49</v>
      </c>
      <c r="E74" s="7" t="str">
        <f>IF(Calc!D8=1,Calc!D66,"null")</f>
        <v>null</v>
      </c>
      <c r="F74" s="7" t="str">
        <f>IF(Calc!E8=1,Calc!E66,"null")</f>
        <v>null</v>
      </c>
      <c r="G74" s="7">
        <f>IF(Calc!F8=1,Calc!F66,"null")</f>
        <v>19.693209348668162</v>
      </c>
      <c r="H74" s="7" t="str">
        <f>IF(Calc!G8=1,Calc!G66,"null")</f>
        <v>null</v>
      </c>
      <c r="I74" s="7" t="str">
        <f>IF(Calc!H8=1,Calc!H66,"null")</f>
        <v>null</v>
      </c>
      <c r="J74" s="7" t="str">
        <f>IF(Calc!I8=1,Calc!I66,"null")</f>
        <v>null</v>
      </c>
      <c r="L74" t="s">
        <v>112</v>
      </c>
      <c r="M74" t="s">
        <v>113</v>
      </c>
    </row>
    <row r="75" spans="2:20" x14ac:dyDescent="0.3">
      <c r="B75" t="s">
        <v>114</v>
      </c>
      <c r="C75" s="7">
        <f>IF(Calc!B8=1,Calc!B68,"null")</f>
        <v>13</v>
      </c>
      <c r="D75" s="7">
        <f>IF(Calc!C8=1,Calc!C68,"null")</f>
        <v>13</v>
      </c>
      <c r="E75" s="7" t="str">
        <f>IF(Calc!D8=1,Calc!D68,"null")</f>
        <v>null</v>
      </c>
      <c r="F75" s="7" t="str">
        <f>IF(Calc!E8=1,Calc!E68,"null")</f>
        <v>null</v>
      </c>
      <c r="G75" s="7">
        <f>IF(Calc!F8=1,Calc!F68,"null")</f>
        <v>13</v>
      </c>
      <c r="H75" s="7" t="str">
        <f>IF(Calc!G8=1,Calc!G68,"null")</f>
        <v>null</v>
      </c>
      <c r="I75" s="7" t="str">
        <f>IF(Calc!H8=1,Calc!H68,"null")</f>
        <v>null</v>
      </c>
      <c r="J75" s="7" t="str">
        <f>IF(Calc!I8=1,Calc!I68,"null")</f>
        <v>null</v>
      </c>
      <c r="L75" t="s">
        <v>115</v>
      </c>
      <c r="M75" t="s">
        <v>113</v>
      </c>
    </row>
    <row r="76" spans="2:20" x14ac:dyDescent="0.3">
      <c r="B76" t="s">
        <v>116</v>
      </c>
      <c r="C76" s="7">
        <f>IF(Calc!B8,Calc!B70,"null")</f>
        <v>14.84296</v>
      </c>
      <c r="D76" s="7">
        <f>IF(Calc!C8,Calc!C70,"null")</f>
        <v>18.404470886405448</v>
      </c>
      <c r="E76" s="7" t="str">
        <f>IF(Calc!D8,Calc!D70,"null")</f>
        <v>null</v>
      </c>
      <c r="F76" s="7" t="str">
        <f>IF(Calc!E8,Calc!E70,"null")</f>
        <v>null</v>
      </c>
      <c r="G76" s="7">
        <f>IF(Calc!F8,Calc!F70,"null")</f>
        <v>14.696</v>
      </c>
      <c r="H76" s="7" t="str">
        <f>IF(Calc!G8,Calc!G70,"null")</f>
        <v>null</v>
      </c>
      <c r="I76" s="7" t="str">
        <f>IF(Calc!H8,Calc!H70,"null")</f>
        <v>null</v>
      </c>
      <c r="J76" s="7" t="str">
        <f>IF(Calc!I8,Calc!I70,"null")</f>
        <v>null</v>
      </c>
      <c r="L76" t="s">
        <v>117</v>
      </c>
      <c r="M76" t="s">
        <v>118</v>
      </c>
      <c r="N76" t="s">
        <v>52</v>
      </c>
      <c r="O76" t="s">
        <v>119</v>
      </c>
    </row>
    <row r="77" spans="2:20" x14ac:dyDescent="0.3">
      <c r="B77" t="s">
        <v>120</v>
      </c>
      <c r="C77" s="7">
        <f>IF(Calc!B8,Calc!B72,"null")</f>
        <v>17.458848</v>
      </c>
      <c r="D77" s="7">
        <f>IF(Calc!C8,Calc!C72,"null")</f>
        <v>18.404470886405448</v>
      </c>
      <c r="E77" s="7" t="str">
        <f>IF(Calc!D8,Calc!D72,"null")</f>
        <v>null</v>
      </c>
      <c r="F77" s="7" t="str">
        <f>IF(Calc!E8,Calc!E72,"null")</f>
        <v>null</v>
      </c>
      <c r="G77" s="7">
        <f>IF(Calc!F8,Calc!F72,"null")</f>
        <v>14.84296</v>
      </c>
      <c r="H77" s="7" t="str">
        <f>IF(Calc!G8,Calc!G72,"null")</f>
        <v>null</v>
      </c>
      <c r="I77" s="7" t="str">
        <f>IF(Calc!H8,Calc!H72,"null")</f>
        <v>null</v>
      </c>
      <c r="J77" s="7" t="str">
        <f>IF(Calc!I8,Calc!I72,"null")</f>
        <v>null</v>
      </c>
      <c r="L77" t="s">
        <v>121</v>
      </c>
      <c r="M77" t="s">
        <v>118</v>
      </c>
      <c r="N77" t="s">
        <v>52</v>
      </c>
      <c r="O77" t="s">
        <v>119</v>
      </c>
    </row>
    <row r="78" spans="2:20" x14ac:dyDescent="0.3">
      <c r="B78" t="s">
        <v>122</v>
      </c>
      <c r="C78" s="9">
        <f>IF(Calc!B8=1,Calc!B74,"null")</f>
        <v>91057.557760344862</v>
      </c>
      <c r="D78" s="9">
        <f>IF(Calc!C8=1,Calc!C74,"null")</f>
        <v>85688.898886201045</v>
      </c>
      <c r="E78" s="8" t="str">
        <f>IF(Calc!D8=1,Calc!D74,"null")</f>
        <v>null</v>
      </c>
      <c r="F78" s="8" t="str">
        <f>IF(Calc!E8=1,Calc!E74,"null")</f>
        <v>null</v>
      </c>
      <c r="G78" s="9">
        <f>IF(Calc!F8=1,Calc!F74,"null")</f>
        <v>29455.8385118857</v>
      </c>
      <c r="H78" s="8" t="str">
        <f>IF(Calc!G8=1,Calc!G74,"null")</f>
        <v>null</v>
      </c>
      <c r="I78" s="8" t="str">
        <f>IF(Calc!H8=1,Calc!H74,"null")</f>
        <v>null</v>
      </c>
      <c r="J78" s="8" t="str">
        <f>IF(Calc!I8=1,Calc!I74,"null")</f>
        <v>null</v>
      </c>
      <c r="L78" t="s">
        <v>123</v>
      </c>
      <c r="M78" t="s">
        <v>81</v>
      </c>
      <c r="N78" t="s">
        <v>124</v>
      </c>
      <c r="O78" t="s">
        <v>125</v>
      </c>
      <c r="P78" t="s">
        <v>126</v>
      </c>
      <c r="Q78" t="s">
        <v>127</v>
      </c>
      <c r="R78" t="s">
        <v>128</v>
      </c>
      <c r="S78" t="s">
        <v>129</v>
      </c>
      <c r="T78" t="s">
        <v>130</v>
      </c>
    </row>
    <row r="79" spans="2:20" x14ac:dyDescent="0.3">
      <c r="B79" t="s">
        <v>131</v>
      </c>
      <c r="C79" s="9">
        <f>IF(Calc!B8,Calc!B76,"null")</f>
        <v>91057.557760344862</v>
      </c>
      <c r="D79" s="9">
        <f>IF(Calc!C8,Calc!C76,"null")</f>
        <v>85688.898886201045</v>
      </c>
      <c r="E79" s="8" t="str">
        <f>IF(Calc!D8,Calc!D76,"null")</f>
        <v>null</v>
      </c>
      <c r="F79" s="8" t="str">
        <f>IF(Calc!E8,Calc!E76,"null")</f>
        <v>null</v>
      </c>
      <c r="G79" s="9">
        <f>IF(Calc!F8,Calc!F76,"null")</f>
        <v>14198.406345255586</v>
      </c>
      <c r="H79" s="8" t="str">
        <f>IF(Calc!G8,Calc!G76,"null")</f>
        <v>null</v>
      </c>
      <c r="I79" s="8" t="str">
        <f>IF(Calc!H8,Calc!H76,"null")</f>
        <v>null</v>
      </c>
      <c r="J79" s="8" t="str">
        <f>IF(Calc!I8,Calc!I76,"null")</f>
        <v>null</v>
      </c>
      <c r="L79" t="s">
        <v>123</v>
      </c>
      <c r="M79" t="s">
        <v>81</v>
      </c>
      <c r="N79" t="s">
        <v>124</v>
      </c>
      <c r="O79" t="s">
        <v>125</v>
      </c>
      <c r="P79" t="s">
        <v>126</v>
      </c>
      <c r="Q79" t="s">
        <v>132</v>
      </c>
      <c r="R79" t="s">
        <v>128</v>
      </c>
      <c r="S79" t="s">
        <v>129</v>
      </c>
      <c r="T79" t="s">
        <v>130</v>
      </c>
    </row>
    <row r="80" spans="2:20" x14ac:dyDescent="0.3">
      <c r="B80" t="s">
        <v>133</v>
      </c>
      <c r="C80" s="8">
        <f>IF(Calc!B8,Calc!B78,"null")</f>
        <v>187952.10757634087</v>
      </c>
      <c r="D80" s="9">
        <f>IF(Calc!C8,Calc!C78,"null")</f>
        <v>410361.55384543055</v>
      </c>
      <c r="E80" s="8" t="str">
        <f>IF(Calc!D8,Calc!D78,"null")</f>
        <v>null</v>
      </c>
      <c r="F80" s="8" t="str">
        <f>IF(Calc!E8,Calc!E78,"null")</f>
        <v>null</v>
      </c>
      <c r="G80" s="8">
        <f>IF(Calc!F8,Calc!F78,"null")</f>
        <v>91136.03006370939</v>
      </c>
      <c r="H80" s="8" t="str">
        <f>IF(Calc!G8,Calc!G78,"null")</f>
        <v>null</v>
      </c>
      <c r="I80" s="8" t="str">
        <f>IF(Calc!H8,Calc!H78,"null")</f>
        <v>null</v>
      </c>
      <c r="J80" s="8" t="str">
        <f>IF(Calc!I8,Calc!I78,"null")</f>
        <v>null</v>
      </c>
      <c r="L80" t="s">
        <v>134</v>
      </c>
      <c r="M80" t="s">
        <v>135</v>
      </c>
      <c r="N80" t="s">
        <v>136</v>
      </c>
    </row>
    <row r="81" spans="2:16" x14ac:dyDescent="0.3">
      <c r="B81" t="s">
        <v>137</v>
      </c>
      <c r="C81" s="7">
        <f>IF(Calc!B8,Calc!B80,"null")</f>
        <v>1151.8293439841111</v>
      </c>
      <c r="D81" s="7">
        <f>IF(Calc!C8,Calc!C80,"null")</f>
        <v>50</v>
      </c>
      <c r="E81" s="7" t="str">
        <f>IF(Calc!D8,Calc!D80,"null")</f>
        <v>null</v>
      </c>
      <c r="F81" s="7" t="str">
        <f>IF(Calc!E8,Calc!E80,"null")</f>
        <v>null</v>
      </c>
      <c r="G81" s="7">
        <f>IF(Calc!F8,Calc!F80,"null")</f>
        <v>50</v>
      </c>
      <c r="H81" s="7" t="str">
        <f>IF(Calc!G8,Calc!G80,"null")</f>
        <v>null</v>
      </c>
      <c r="I81" s="7" t="str">
        <f>IF(Calc!H8,Calc!H80,"null")</f>
        <v>null</v>
      </c>
      <c r="J81" s="7" t="str">
        <f>IF(Calc!I8,Calc!I80,"null")</f>
        <v>null</v>
      </c>
      <c r="L81" t="s">
        <v>132</v>
      </c>
      <c r="M81" t="s">
        <v>138</v>
      </c>
      <c r="N81" t="s">
        <v>139</v>
      </c>
    </row>
    <row r="82" spans="2:16" x14ac:dyDescent="0.3">
      <c r="B82" t="s">
        <v>140</v>
      </c>
      <c r="C82" s="7">
        <f>IF(Calc!B8,Calc!B82,"null")</f>
        <v>60.900910215661639</v>
      </c>
      <c r="D82" s="7">
        <f>IF(Calc!C8,Calc!C82,"null")</f>
        <v>60.900910215661639</v>
      </c>
      <c r="E82" s="7" t="str">
        <f>IF(Calc!D8,Calc!D82,"null")</f>
        <v>null</v>
      </c>
      <c r="F82" s="7" t="str">
        <f>IF(Calc!E8,Calc!E82,"null")</f>
        <v>null</v>
      </c>
      <c r="G82" s="7">
        <f>IF(Calc!F8,Calc!F82,"null")</f>
        <v>121.80182043132328</v>
      </c>
      <c r="H82" s="7" t="str">
        <f>IF(Calc!G8,Calc!G82,"null")</f>
        <v>null</v>
      </c>
      <c r="I82" s="7" t="str">
        <f>IF(Calc!H8,Calc!H82,"null")</f>
        <v>null</v>
      </c>
      <c r="J82" s="7" t="str">
        <f>IF(Calc!I8,Calc!I82,"null")</f>
        <v>null</v>
      </c>
      <c r="L82" t="s">
        <v>141</v>
      </c>
      <c r="M82" t="s">
        <v>138</v>
      </c>
      <c r="N82" t="s">
        <v>139</v>
      </c>
    </row>
    <row r="83" spans="2:16" x14ac:dyDescent="0.3">
      <c r="B83" t="s">
        <v>143</v>
      </c>
      <c r="C83" s="8">
        <f>IF(Calc!B8,Calc!B84,"null")</f>
        <v>2.7184918330426543E-2</v>
      </c>
      <c r="D83" s="8">
        <f>IF(Calc!C8,Calc!C84,"null")</f>
        <v>0.1</v>
      </c>
      <c r="E83" s="8" t="str">
        <f>IF(Calc!D8,Calc!D84,"null")</f>
        <v>null</v>
      </c>
      <c r="F83" s="8" t="str">
        <f>IF(Calc!E8,Calc!E84,"null")</f>
        <v>null</v>
      </c>
      <c r="G83" s="8">
        <f>IF(Calc!F8,Calc!F84,"null")</f>
        <v>0.15</v>
      </c>
      <c r="H83" s="8" t="str">
        <f>IF(Calc!G8,Calc!G84,"null")</f>
        <v>null</v>
      </c>
      <c r="I83" s="8" t="str">
        <f>IF(Calc!H8,Calc!H84,"null")</f>
        <v>null</v>
      </c>
      <c r="J83" s="8" t="str">
        <f>IF(Calc!I8,Calc!I84,"null")</f>
        <v>null</v>
      </c>
      <c r="L83" t="s">
        <v>102</v>
      </c>
      <c r="M83" t="s">
        <v>144</v>
      </c>
      <c r="N83" t="s">
        <v>145</v>
      </c>
      <c r="O83" t="s">
        <v>146</v>
      </c>
    </row>
    <row r="84" spans="2:16" x14ac:dyDescent="0.3">
      <c r="B84" t="s">
        <v>147</v>
      </c>
      <c r="C84" s="9">
        <f>IF(Calc!B8,Calc!B86,"null")</f>
        <v>644.44089628462859</v>
      </c>
      <c r="D84" s="9">
        <f>IF(Calc!C8,Calc!C86,"null")</f>
        <v>853.15415090416309</v>
      </c>
      <c r="E84" s="7" t="str">
        <f>IF(Calc!D8,Calc!D86,"null")</f>
        <v>null</v>
      </c>
      <c r="F84" s="7" t="str">
        <f>IF(Calc!E8,Calc!E86,"null")</f>
        <v>null</v>
      </c>
      <c r="G84" s="9">
        <f>IF(Calc!F8,Calc!F86,"null")</f>
        <v>7462.2499774551416</v>
      </c>
      <c r="H84" s="7" t="str">
        <f>IF(Calc!G8,Calc!G86,"null")</f>
        <v>null</v>
      </c>
      <c r="I84" s="7" t="str">
        <f>IF(Calc!H8,Calc!H86,"null")</f>
        <v>null</v>
      </c>
      <c r="J84" s="7" t="str">
        <f>IF(Calc!I8,Calc!I86,"null")</f>
        <v>null</v>
      </c>
      <c r="L84" t="s">
        <v>148</v>
      </c>
      <c r="M84" t="s">
        <v>142</v>
      </c>
      <c r="N84" t="s">
        <v>102</v>
      </c>
      <c r="O84" t="s">
        <v>149</v>
      </c>
    </row>
    <row r="85" spans="2:16" x14ac:dyDescent="0.3">
      <c r="B85" t="s">
        <v>150</v>
      </c>
      <c r="C85" s="7">
        <f>IF(Calc!B8,Calc!B88,"null")</f>
        <v>0.30743849294285158</v>
      </c>
      <c r="D85" s="7">
        <f>IF(Calc!C8,Calc!C88,"null")</f>
        <v>0.39532310272212245</v>
      </c>
      <c r="E85" s="7" t="str">
        <f>IF(Calc!D8,Calc!D88,"null")</f>
        <v>null</v>
      </c>
      <c r="F85" s="7" t="str">
        <f>IF(Calc!E8,Calc!E88,"null")</f>
        <v>null</v>
      </c>
      <c r="G85" s="7">
        <f>IF(Calc!F8,Calc!F88,"null")</f>
        <v>1.4999999999999999E-2</v>
      </c>
      <c r="H85" s="7" t="str">
        <f>IF(Calc!G8,Calc!G88,"null")</f>
        <v>null</v>
      </c>
      <c r="I85" s="7" t="str">
        <f>IF(Calc!H8,Calc!H88,"null")</f>
        <v>null</v>
      </c>
      <c r="J85" s="7" t="str">
        <f>IF(Calc!I8,Calc!I88,"null")</f>
        <v>null</v>
      </c>
      <c r="L85" t="s">
        <v>102</v>
      </c>
      <c r="M85" t="s">
        <v>144</v>
      </c>
      <c r="N85" t="s">
        <v>151</v>
      </c>
      <c r="O85" t="s">
        <v>146</v>
      </c>
    </row>
    <row r="86" spans="2:16" x14ac:dyDescent="0.3">
      <c r="B86" t="s">
        <v>173</v>
      </c>
      <c r="C86" s="7">
        <f>IF(Calc!B8,Calc!B90*3.28084,"null")</f>
        <v>6.0740548746621243</v>
      </c>
      <c r="D86" s="7">
        <f>IF(Calc!C8,Calc!C90*3.28084,"null")</f>
        <v>6.0740548746621243</v>
      </c>
      <c r="E86" s="7" t="str">
        <f>IF(Calc!D8,Calc!D90*3.28084,"null")</f>
        <v>null</v>
      </c>
      <c r="F86" s="7" t="str">
        <f>IF(Calc!E8,Calc!E90*3.28084,"null")</f>
        <v>null</v>
      </c>
      <c r="G86" s="7">
        <f>IF(Calc!F8,Calc!F90*3.28084,"null")</f>
        <v>12.92004661109314</v>
      </c>
      <c r="H86" s="7" t="str">
        <f>IF(Calc!G8,Calc!G90*3.28084,"null")</f>
        <v>null</v>
      </c>
      <c r="I86" s="7" t="str">
        <f>IF(Calc!H8,Calc!H90*3.28084,"null")</f>
        <v>null</v>
      </c>
      <c r="J86" s="7" t="str">
        <f>IF(Calc!I8,Calc!I90*3.28084,"null")</f>
        <v>null</v>
      </c>
      <c r="L86" t="s">
        <v>174</v>
      </c>
    </row>
    <row r="87" spans="2:16" x14ac:dyDescent="0.3">
      <c r="B87" t="s">
        <v>110</v>
      </c>
      <c r="C87">
        <f>IF(Calc!B8=1,Calc!B64,"null")</f>
        <v>6000</v>
      </c>
      <c r="D87">
        <f>IF(Calc!C8=1,Calc!C64,"null")</f>
        <v>11431.567467964878</v>
      </c>
      <c r="E87" t="str">
        <f>IF(Calc!D8=1,Calc!D64,"null")</f>
        <v>null</v>
      </c>
      <c r="F87" t="str">
        <f>IF(Calc!E8=1,Calc!E64,"null")</f>
        <v>null</v>
      </c>
      <c r="G87">
        <f>IF(Calc!F8=1,Calc!F64,"null")</f>
        <v>149982.06477052066</v>
      </c>
      <c r="H87" t="str">
        <f>IF(Calc!G8=1,Calc!G64,"null")</f>
        <v>null</v>
      </c>
      <c r="I87" t="str">
        <f>IF(Calc!H8=1,Calc!H64,"null")</f>
        <v>null</v>
      </c>
      <c r="J87" t="str">
        <f>IF(Calc!I8=1,Calc!I64,"null")</f>
        <v>null</v>
      </c>
      <c r="L87" t="s">
        <v>179</v>
      </c>
    </row>
    <row r="92" spans="2:16" x14ac:dyDescent="0.3">
      <c r="H92" s="6"/>
      <c r="I92" s="6"/>
      <c r="J92" s="6"/>
    </row>
    <row r="93" spans="2:16" x14ac:dyDescent="0.3">
      <c r="H93" s="6"/>
      <c r="I93" s="6"/>
      <c r="J93" s="6"/>
    </row>
    <row r="94" spans="2:16" x14ac:dyDescent="0.3">
      <c r="H94" s="6"/>
      <c r="I94" s="6"/>
      <c r="J94" s="6"/>
    </row>
    <row r="95" spans="2:16" x14ac:dyDescent="0.3">
      <c r="J95" s="6"/>
      <c r="N95" s="6"/>
      <c r="O95" s="6"/>
      <c r="P95" s="6"/>
    </row>
    <row r="107" spans="13:13" x14ac:dyDescent="0.3">
      <c r="M10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selection activeCell="C11" sqref="C11"/>
    </sheetView>
  </sheetViews>
  <sheetFormatPr defaultRowHeight="14.4" x14ac:dyDescent="0.3"/>
  <sheetData>
    <row r="1" spans="1:9" x14ac:dyDescent="0.3">
      <c r="A1" t="s">
        <v>20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9" x14ac:dyDescent="0.3">
      <c r="B2">
        <v>823719.91395449685</v>
      </c>
      <c r="C2">
        <v>1033449.0248903385</v>
      </c>
      <c r="D2">
        <v>5000000</v>
      </c>
      <c r="E2">
        <v>5000000</v>
      </c>
    </row>
    <row r="4" spans="1:9" x14ac:dyDescent="0.3">
      <c r="A4" t="s">
        <v>21</v>
      </c>
      <c r="B4" s="1" t="s">
        <v>9</v>
      </c>
      <c r="C4" s="1" t="s">
        <v>10</v>
      </c>
      <c r="D4" s="1" t="s">
        <v>11</v>
      </c>
      <c r="E4" s="1" t="s">
        <v>12</v>
      </c>
    </row>
    <row r="5" spans="1:9" x14ac:dyDescent="0.3">
      <c r="B5">
        <v>2128698.7256165175</v>
      </c>
      <c r="C5">
        <v>250432.31609873142</v>
      </c>
      <c r="D5">
        <v>249729.09161062955</v>
      </c>
      <c r="E5">
        <v>2307181.4386740839</v>
      </c>
    </row>
    <row r="7" spans="1:9" x14ac:dyDescent="0.3">
      <c r="A7" t="s">
        <v>18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</row>
    <row r="8" spans="1:9" x14ac:dyDescent="0.3"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10" spans="1:9" x14ac:dyDescent="0.3">
      <c r="A10" t="s">
        <v>19</v>
      </c>
      <c r="C10" s="1" t="s">
        <v>13</v>
      </c>
      <c r="D10" s="1" t="s">
        <v>14</v>
      </c>
    </row>
    <row r="11" spans="1:9" x14ac:dyDescent="0.3">
      <c r="B11" s="1" t="s">
        <v>5</v>
      </c>
      <c r="C11">
        <v>1</v>
      </c>
      <c r="D11">
        <v>0</v>
      </c>
    </row>
    <row r="12" spans="1:9" x14ac:dyDescent="0.3">
      <c r="B12" s="1" t="s">
        <v>6</v>
      </c>
      <c r="C12">
        <v>0</v>
      </c>
      <c r="D12">
        <v>1</v>
      </c>
    </row>
    <row r="13" spans="1:9" x14ac:dyDescent="0.3">
      <c r="B13" s="1" t="s">
        <v>7</v>
      </c>
      <c r="C13">
        <v>0</v>
      </c>
      <c r="D13">
        <v>0</v>
      </c>
    </row>
    <row r="14" spans="1:9" x14ac:dyDescent="0.3">
      <c r="B14" s="1" t="s">
        <v>8</v>
      </c>
      <c r="C14">
        <v>0</v>
      </c>
      <c r="D14">
        <v>0</v>
      </c>
    </row>
    <row r="15" spans="1:9" x14ac:dyDescent="0.3">
      <c r="B15" s="1" t="s">
        <v>9</v>
      </c>
      <c r="C15">
        <v>1</v>
      </c>
      <c r="D15">
        <v>0</v>
      </c>
    </row>
    <row r="16" spans="1:9" x14ac:dyDescent="0.3">
      <c r="B16" s="1" t="s">
        <v>10</v>
      </c>
      <c r="C16">
        <v>0</v>
      </c>
      <c r="D16">
        <v>0</v>
      </c>
    </row>
    <row r="17" spans="1:24" x14ac:dyDescent="0.3">
      <c r="B17" s="1" t="s">
        <v>11</v>
      </c>
      <c r="C17">
        <v>0</v>
      </c>
      <c r="D17">
        <v>0</v>
      </c>
    </row>
    <row r="18" spans="1:24" x14ac:dyDescent="0.3">
      <c r="B18" s="1" t="s">
        <v>12</v>
      </c>
      <c r="C18">
        <v>0</v>
      </c>
      <c r="D18">
        <v>0</v>
      </c>
    </row>
    <row r="19" spans="1:24" x14ac:dyDescent="0.3">
      <c r="A19" t="s">
        <v>73</v>
      </c>
    </row>
    <row r="20" spans="1:24" x14ac:dyDescent="0.3">
      <c r="A20" t="s">
        <v>64</v>
      </c>
      <c r="C20" s="1" t="s">
        <v>39</v>
      </c>
      <c r="D20" s="1" t="s">
        <v>40</v>
      </c>
      <c r="E20" s="1" t="s">
        <v>41</v>
      </c>
      <c r="G20" s="1" t="s">
        <v>39</v>
      </c>
      <c r="H20" s="1" t="s">
        <v>40</v>
      </c>
      <c r="I20" s="1" t="s">
        <v>41</v>
      </c>
      <c r="L20" s="1" t="s">
        <v>44</v>
      </c>
      <c r="M20" s="1" t="s">
        <v>45</v>
      </c>
      <c r="P20" s="1" t="s">
        <v>44</v>
      </c>
      <c r="Q20" s="1" t="s">
        <v>45</v>
      </c>
      <c r="V20" s="1" t="s">
        <v>39</v>
      </c>
      <c r="W20" s="1" t="s">
        <v>40</v>
      </c>
      <c r="X20" s="1" t="s">
        <v>41</v>
      </c>
    </row>
    <row r="21" spans="1:24" x14ac:dyDescent="0.3">
      <c r="B21" s="1" t="s">
        <v>5</v>
      </c>
      <c r="C21">
        <v>0.23898933428571428</v>
      </c>
      <c r="D21">
        <v>1.4737675614285715</v>
      </c>
      <c r="E21">
        <v>0.16171611620000001</v>
      </c>
      <c r="G21">
        <v>0.23898933428571428</v>
      </c>
      <c r="H21">
        <v>1.4737675614285715</v>
      </c>
      <c r="I21">
        <v>0.27882089000000004</v>
      </c>
      <c r="K21" s="1" t="s">
        <v>5</v>
      </c>
      <c r="L21">
        <v>1.1879999999999999</v>
      </c>
      <c r="M21">
        <v>58.768282357173121</v>
      </c>
      <c r="O21" s="1" t="s">
        <v>5</v>
      </c>
      <c r="P21">
        <v>1.2523455965164296</v>
      </c>
      <c r="Q21">
        <v>80</v>
      </c>
      <c r="U21" s="1" t="s">
        <v>5</v>
      </c>
      <c r="V21">
        <v>0.10467799584114475</v>
      </c>
      <c r="W21">
        <v>1.4815286245314105</v>
      </c>
      <c r="X21">
        <v>0.16149573815378679</v>
      </c>
    </row>
    <row r="22" spans="1:24" x14ac:dyDescent="0.3">
      <c r="B22" s="1" t="s">
        <v>6</v>
      </c>
      <c r="C22">
        <v>0.10467799584114475</v>
      </c>
      <c r="D22">
        <v>1.4815286245314105</v>
      </c>
      <c r="E22">
        <v>0.16149573815378679</v>
      </c>
      <c r="K22" s="1" t="s">
        <v>6</v>
      </c>
      <c r="L22">
        <v>1.2523455965164296</v>
      </c>
      <c r="M22">
        <v>80</v>
      </c>
      <c r="O22" s="1" t="s">
        <v>6</v>
      </c>
      <c r="P22" s="1">
        <v>1.2</v>
      </c>
      <c r="Q22" s="1">
        <v>76.024871544740634</v>
      </c>
      <c r="U22" s="1" t="s">
        <v>6</v>
      </c>
      <c r="V22">
        <v>2.3898933428571412E-2</v>
      </c>
      <c r="W22">
        <v>1.4887526300845817</v>
      </c>
      <c r="X22">
        <v>0.13152117414834549</v>
      </c>
    </row>
    <row r="23" spans="1:24" x14ac:dyDescent="0.3">
      <c r="B23" s="1" t="s">
        <v>7</v>
      </c>
      <c r="C23">
        <v>2.3898933428571412E-2</v>
      </c>
      <c r="D23">
        <v>1.4887526300845817</v>
      </c>
      <c r="E23">
        <v>0.13152117414834549</v>
      </c>
      <c r="K23" s="1" t="s">
        <v>7</v>
      </c>
      <c r="L23">
        <v>1.2</v>
      </c>
      <c r="M23">
        <v>76.024871544740634</v>
      </c>
      <c r="O23" s="1" t="s">
        <v>7</v>
      </c>
      <c r="P23">
        <v>1.2</v>
      </c>
      <c r="Q23">
        <v>76.024871544740634</v>
      </c>
      <c r="U23" s="1" t="s">
        <v>7</v>
      </c>
      <c r="V23">
        <v>2.3898933428571412E-2</v>
      </c>
      <c r="W23">
        <v>1.4887526300845817</v>
      </c>
      <c r="X23">
        <v>0.13152117414834549</v>
      </c>
    </row>
    <row r="24" spans="1:24" x14ac:dyDescent="0.3">
      <c r="B24" s="1" t="s">
        <v>8</v>
      </c>
      <c r="C24">
        <v>2.3898933428571412E-2</v>
      </c>
      <c r="D24">
        <v>1.4887526300845817</v>
      </c>
      <c r="E24">
        <v>0.13152117414834549</v>
      </c>
      <c r="G24" s="1" t="s">
        <v>39</v>
      </c>
      <c r="H24" s="1" t="s">
        <v>40</v>
      </c>
      <c r="I24" s="1" t="s">
        <v>41</v>
      </c>
      <c r="J24" s="1"/>
      <c r="K24" s="1" t="s">
        <v>8</v>
      </c>
      <c r="L24">
        <v>1.2</v>
      </c>
      <c r="M24">
        <v>76.024871544740634</v>
      </c>
      <c r="O24" s="1" t="s">
        <v>8</v>
      </c>
      <c r="P24" s="1">
        <v>1.2</v>
      </c>
      <c r="Q24" s="1">
        <v>76.024871544740634</v>
      </c>
      <c r="U24" s="1" t="s">
        <v>8</v>
      </c>
      <c r="V24">
        <v>2.3898933428571412E-2</v>
      </c>
      <c r="W24">
        <v>1.4887526300845819</v>
      </c>
      <c r="X24">
        <v>0.13152117414834552</v>
      </c>
    </row>
    <row r="25" spans="1:24" x14ac:dyDescent="0.3">
      <c r="B25" s="1" t="s">
        <v>9</v>
      </c>
      <c r="C25">
        <v>8.4000000000000019E-2</v>
      </c>
      <c r="D25">
        <v>0</v>
      </c>
      <c r="E25">
        <v>0.316</v>
      </c>
      <c r="G25">
        <v>0.23898933428571428</v>
      </c>
      <c r="H25">
        <v>1.4737675614285715</v>
      </c>
      <c r="I25">
        <v>0.16171611620000001</v>
      </c>
      <c r="K25" s="1" t="s">
        <v>9</v>
      </c>
      <c r="L25">
        <v>1.01</v>
      </c>
      <c r="M25">
        <v>154.62037098980016</v>
      </c>
      <c r="O25" s="1" t="s">
        <v>9</v>
      </c>
      <c r="P25">
        <v>1</v>
      </c>
      <c r="Q25">
        <v>120.00000000000001</v>
      </c>
      <c r="U25" s="1" t="s">
        <v>9</v>
      </c>
      <c r="V25">
        <v>0.29909040085725924</v>
      </c>
      <c r="W25">
        <v>0</v>
      </c>
      <c r="X25">
        <v>0.29909040085725924</v>
      </c>
    </row>
    <row r="26" spans="1:24" x14ac:dyDescent="0.3">
      <c r="B26" s="1" t="s">
        <v>10</v>
      </c>
      <c r="C26">
        <v>0.29909040085725924</v>
      </c>
      <c r="D26">
        <v>0</v>
      </c>
      <c r="E26">
        <v>0.29909040085725924</v>
      </c>
      <c r="K26" s="1" t="s">
        <v>10</v>
      </c>
      <c r="L26">
        <v>1</v>
      </c>
      <c r="M26">
        <v>120</v>
      </c>
      <c r="O26" s="1" t="s">
        <v>10</v>
      </c>
      <c r="P26" s="1">
        <v>1</v>
      </c>
      <c r="Q26">
        <v>120.00000000000001</v>
      </c>
      <c r="U26" s="1" t="s">
        <v>10</v>
      </c>
      <c r="V26">
        <v>0.29909040085725924</v>
      </c>
      <c r="W26">
        <v>0</v>
      </c>
      <c r="X26">
        <v>0.29909040085725924</v>
      </c>
    </row>
    <row r="27" spans="1:24" x14ac:dyDescent="0.3">
      <c r="B27" s="1" t="s">
        <v>11</v>
      </c>
      <c r="C27">
        <v>0.29909040085725924</v>
      </c>
      <c r="D27">
        <v>0</v>
      </c>
      <c r="E27">
        <v>0.29909040085725924</v>
      </c>
      <c r="G27" s="1" t="s">
        <v>44</v>
      </c>
      <c r="H27" s="1" t="s">
        <v>45</v>
      </c>
      <c r="K27" s="1"/>
      <c r="O27" s="1"/>
      <c r="U27" s="1"/>
    </row>
    <row r="28" spans="1:24" x14ac:dyDescent="0.3">
      <c r="B28" s="1" t="s">
        <v>12</v>
      </c>
      <c r="C28">
        <v>0.29909040085725924</v>
      </c>
      <c r="D28">
        <v>0</v>
      </c>
      <c r="E28">
        <v>0.29909040085725924</v>
      </c>
      <c r="G28">
        <v>1.01</v>
      </c>
      <c r="H28">
        <v>43.72627689096111</v>
      </c>
      <c r="I28" s="1"/>
      <c r="J28" s="1"/>
      <c r="K28" s="1"/>
      <c r="O28" s="1"/>
      <c r="P28" s="1"/>
      <c r="U28" s="1"/>
    </row>
    <row r="30" spans="1:24" x14ac:dyDescent="0.3">
      <c r="A30" t="s">
        <v>68</v>
      </c>
    </row>
    <row r="31" spans="1:24" x14ac:dyDescent="0.3">
      <c r="A31" t="s">
        <v>65</v>
      </c>
      <c r="B31">
        <v>9.535691066284361</v>
      </c>
      <c r="D31" s="1" t="s">
        <v>5</v>
      </c>
      <c r="E31" s="1" t="s">
        <v>6</v>
      </c>
      <c r="F31" s="1" t="s">
        <v>7</v>
      </c>
      <c r="G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</row>
    <row r="32" spans="1:24" x14ac:dyDescent="0.3">
      <c r="A32" t="s">
        <v>66</v>
      </c>
      <c r="B32">
        <v>32.22</v>
      </c>
      <c r="D32">
        <v>32.22</v>
      </c>
      <c r="E32">
        <v>32.22</v>
      </c>
      <c r="F32">
        <v>32.22</v>
      </c>
      <c r="G32">
        <v>32.22</v>
      </c>
      <c r="J32">
        <v>170</v>
      </c>
      <c r="K32">
        <v>170</v>
      </c>
      <c r="L32">
        <v>170</v>
      </c>
      <c r="M32">
        <v>170</v>
      </c>
    </row>
    <row r="34" spans="1:14" x14ac:dyDescent="0.3">
      <c r="A34" t="s">
        <v>67</v>
      </c>
      <c r="B34" s="1" t="s">
        <v>44</v>
      </c>
      <c r="C34" s="1" t="s">
        <v>45</v>
      </c>
    </row>
    <row r="35" spans="1:14" x14ac:dyDescent="0.3">
      <c r="B35">
        <v>6.8</v>
      </c>
      <c r="C35">
        <v>170</v>
      </c>
    </row>
    <row r="37" spans="1:14" x14ac:dyDescent="0.3">
      <c r="A37" t="s">
        <v>69</v>
      </c>
    </row>
    <row r="38" spans="1:14" x14ac:dyDescent="0.3">
      <c r="A38" t="s">
        <v>37</v>
      </c>
      <c r="B38" s="1">
        <v>27.882089000000001</v>
      </c>
      <c r="C38" s="1"/>
      <c r="D38" s="1" t="s">
        <v>39</v>
      </c>
      <c r="E38" s="1" t="s">
        <v>40</v>
      </c>
      <c r="F38" s="1" t="s">
        <v>41</v>
      </c>
      <c r="G38" s="1"/>
      <c r="H38" s="1" t="s">
        <v>44</v>
      </c>
      <c r="I38" s="1" t="s">
        <v>45</v>
      </c>
      <c r="L38" s="1"/>
      <c r="M38" s="1"/>
    </row>
    <row r="39" spans="1:14" x14ac:dyDescent="0.3">
      <c r="D39">
        <v>0.12</v>
      </c>
      <c r="E39">
        <v>0.74</v>
      </c>
      <c r="F39">
        <v>0.14000000000000001</v>
      </c>
      <c r="H39">
        <v>1.01</v>
      </c>
      <c r="I39">
        <v>54.18</v>
      </c>
    </row>
    <row r="41" spans="1:14" x14ac:dyDescent="0.3">
      <c r="A41" t="s">
        <v>78</v>
      </c>
    </row>
    <row r="42" spans="1:14" x14ac:dyDescent="0.3">
      <c r="A42" t="s">
        <v>59</v>
      </c>
      <c r="B42">
        <v>0.2</v>
      </c>
    </row>
    <row r="43" spans="1:14" x14ac:dyDescent="0.3">
      <c r="A43" t="s">
        <v>77</v>
      </c>
      <c r="B43">
        <v>0.2</v>
      </c>
      <c r="D43" s="1" t="s">
        <v>44</v>
      </c>
      <c r="E43" s="1" t="s">
        <v>45</v>
      </c>
      <c r="H43" s="1" t="s">
        <v>39</v>
      </c>
      <c r="I43" s="1" t="s">
        <v>41</v>
      </c>
    </row>
    <row r="44" spans="1:14" x14ac:dyDescent="0.3">
      <c r="D44">
        <v>1</v>
      </c>
      <c r="E44">
        <v>138.07</v>
      </c>
      <c r="H44">
        <v>0.42</v>
      </c>
      <c r="I44">
        <v>0.57999999999999996</v>
      </c>
    </row>
    <row r="46" spans="1:14" x14ac:dyDescent="0.3">
      <c r="A46" t="s">
        <v>98</v>
      </c>
    </row>
    <row r="47" spans="1:14" x14ac:dyDescent="0.3">
      <c r="C47" s="1" t="s">
        <v>41</v>
      </c>
      <c r="D47" s="1" t="s">
        <v>99</v>
      </c>
      <c r="E47" s="1" t="s">
        <v>185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1" t="s">
        <v>11</v>
      </c>
      <c r="N47" s="1" t="s">
        <v>12</v>
      </c>
    </row>
    <row r="48" spans="1:14" x14ac:dyDescent="0.3">
      <c r="B48" s="1" t="s">
        <v>5</v>
      </c>
      <c r="C48">
        <v>0.63227</v>
      </c>
      <c r="D48">
        <v>1.089E-2</v>
      </c>
      <c r="E48">
        <v>1.2307535089117472</v>
      </c>
      <c r="G48">
        <v>87.423046486805617</v>
      </c>
      <c r="H48">
        <v>81.32771869011404</v>
      </c>
      <c r="I48">
        <v>102</v>
      </c>
      <c r="J48">
        <v>102</v>
      </c>
      <c r="K48">
        <v>122.0391036420171</v>
      </c>
      <c r="L48">
        <v>120.00000000000001</v>
      </c>
      <c r="M48">
        <v>120.00000000000001</v>
      </c>
      <c r="N48">
        <v>120.00000000000001</v>
      </c>
    </row>
    <row r="49" spans="1:9" x14ac:dyDescent="0.3">
      <c r="B49" s="1" t="s">
        <v>6</v>
      </c>
      <c r="C49">
        <v>0.85298904168384637</v>
      </c>
      <c r="D49">
        <v>9.5812941380241823E-2</v>
      </c>
      <c r="E49">
        <v>0.85298904168384615</v>
      </c>
    </row>
    <row r="50" spans="1:9" x14ac:dyDescent="0.3">
      <c r="B50" s="1" t="s">
        <v>7</v>
      </c>
      <c r="C50">
        <v>1.02</v>
      </c>
      <c r="D50">
        <v>2.1520000000000001E-2</v>
      </c>
      <c r="E50">
        <v>1.2198546459106756</v>
      </c>
      <c r="G50" s="1">
        <v>120</v>
      </c>
    </row>
    <row r="51" spans="1:9" x14ac:dyDescent="0.3">
      <c r="B51" s="1" t="s">
        <v>8</v>
      </c>
      <c r="C51">
        <v>1.02</v>
      </c>
      <c r="D51">
        <v>2.1520000000000001E-2</v>
      </c>
      <c r="E51">
        <v>1.2198546459106756</v>
      </c>
    </row>
    <row r="52" spans="1:9" x14ac:dyDescent="0.3">
      <c r="B52" s="1" t="s">
        <v>9</v>
      </c>
      <c r="C52">
        <v>1.02</v>
      </c>
      <c r="D52">
        <v>2.1520000000000001E-2</v>
      </c>
      <c r="E52">
        <v>1.2198546459106756</v>
      </c>
      <c r="G52">
        <v>102</v>
      </c>
    </row>
    <row r="53" spans="1:9" x14ac:dyDescent="0.3">
      <c r="B53" s="1" t="s">
        <v>10</v>
      </c>
      <c r="C53">
        <v>0.63227</v>
      </c>
      <c r="D53">
        <v>1.089E-2</v>
      </c>
      <c r="E53">
        <v>1.2307535089117472</v>
      </c>
    </row>
    <row r="54" spans="1:9" x14ac:dyDescent="0.3">
      <c r="B54" s="1" t="s">
        <v>11</v>
      </c>
      <c r="C54">
        <v>0.63227</v>
      </c>
      <c r="D54">
        <v>1.089E-2</v>
      </c>
      <c r="E54">
        <v>1.2307535089117472</v>
      </c>
      <c r="G54">
        <v>800000</v>
      </c>
    </row>
    <row r="55" spans="1:9" x14ac:dyDescent="0.3">
      <c r="B55" s="1" t="s">
        <v>12</v>
      </c>
      <c r="C55">
        <v>0.63227</v>
      </c>
      <c r="D55">
        <v>1.089E-2</v>
      </c>
      <c r="E55">
        <v>1.2307535089117472</v>
      </c>
      <c r="G55">
        <v>1600000</v>
      </c>
    </row>
    <row r="58" spans="1:9" x14ac:dyDescent="0.3">
      <c r="A58" t="s">
        <v>102</v>
      </c>
    </row>
    <row r="59" spans="1:9" x14ac:dyDescent="0.3">
      <c r="A59" t="s">
        <v>103</v>
      </c>
      <c r="B59">
        <v>85000</v>
      </c>
    </row>
    <row r="60" spans="1:9" x14ac:dyDescent="0.3">
      <c r="A60" t="s">
        <v>104</v>
      </c>
      <c r="B60">
        <v>2262.5948809596748</v>
      </c>
    </row>
    <row r="61" spans="1:9" x14ac:dyDescent="0.3">
      <c r="A61" t="s">
        <v>105</v>
      </c>
      <c r="B61">
        <v>4427.9365560682145</v>
      </c>
    </row>
    <row r="63" spans="1:9" x14ac:dyDescent="0.3">
      <c r="A63" t="s">
        <v>110</v>
      </c>
      <c r="B63" s="1" t="s">
        <v>5</v>
      </c>
      <c r="C63" s="1" t="s">
        <v>6</v>
      </c>
      <c r="D63" s="1" t="s">
        <v>7</v>
      </c>
      <c r="E63" s="1" t="s">
        <v>8</v>
      </c>
      <c r="F63" s="1" t="s">
        <v>9</v>
      </c>
      <c r="G63" s="1" t="s">
        <v>10</v>
      </c>
      <c r="H63" s="1" t="s">
        <v>11</v>
      </c>
      <c r="I63" s="1" t="s">
        <v>12</v>
      </c>
    </row>
    <row r="64" spans="1:9" x14ac:dyDescent="0.3">
      <c r="B64">
        <v>6000</v>
      </c>
      <c r="C64">
        <v>11431.567467964878</v>
      </c>
      <c r="D64">
        <v>6000</v>
      </c>
      <c r="E64">
        <v>6000</v>
      </c>
      <c r="F64">
        <v>149982.06477052066</v>
      </c>
      <c r="G64">
        <v>6000</v>
      </c>
      <c r="H64">
        <v>6000</v>
      </c>
      <c r="I64">
        <v>170000</v>
      </c>
    </row>
    <row r="65" spans="1:9" x14ac:dyDescent="0.3">
      <c r="A65" t="s">
        <v>152</v>
      </c>
      <c r="B65" s="1" t="s">
        <v>5</v>
      </c>
      <c r="C65" s="1" t="s">
        <v>6</v>
      </c>
      <c r="D65" s="1" t="s">
        <v>7</v>
      </c>
      <c r="E65" s="1" t="s">
        <v>8</v>
      </c>
      <c r="F65" s="1" t="s">
        <v>9</v>
      </c>
      <c r="G65" s="1" t="s">
        <v>10</v>
      </c>
      <c r="H65" s="1" t="s">
        <v>11</v>
      </c>
      <c r="I65" s="1" t="s">
        <v>12</v>
      </c>
    </row>
    <row r="66" spans="1:9" x14ac:dyDescent="0.3">
      <c r="B66">
        <v>30.972363879906265</v>
      </c>
      <c r="C66">
        <v>49</v>
      </c>
      <c r="D66">
        <v>13</v>
      </c>
      <c r="E66">
        <v>13</v>
      </c>
      <c r="F66">
        <v>19.693209348668162</v>
      </c>
      <c r="G66">
        <v>13.166972543865581</v>
      </c>
      <c r="H66">
        <v>13</v>
      </c>
      <c r="I66">
        <v>13</v>
      </c>
    </row>
    <row r="67" spans="1:9" x14ac:dyDescent="0.3">
      <c r="A67" t="s">
        <v>153</v>
      </c>
      <c r="B67" s="1" t="s">
        <v>5</v>
      </c>
      <c r="C67" s="1" t="s">
        <v>6</v>
      </c>
      <c r="D67" s="1" t="s">
        <v>7</v>
      </c>
      <c r="E67" s="1" t="s">
        <v>8</v>
      </c>
      <c r="F67" s="1" t="s">
        <v>9</v>
      </c>
      <c r="G67" s="1" t="s">
        <v>10</v>
      </c>
      <c r="H67" s="1" t="s">
        <v>11</v>
      </c>
      <c r="I67" s="1" t="s">
        <v>12</v>
      </c>
    </row>
    <row r="68" spans="1:9" x14ac:dyDescent="0.3">
      <c r="B68">
        <v>13</v>
      </c>
      <c r="C68">
        <v>13</v>
      </c>
      <c r="D68">
        <v>13</v>
      </c>
      <c r="E68">
        <v>13</v>
      </c>
      <c r="F68">
        <v>13</v>
      </c>
      <c r="G68">
        <v>13</v>
      </c>
      <c r="H68">
        <v>13</v>
      </c>
      <c r="I68">
        <v>13</v>
      </c>
    </row>
    <row r="69" spans="1:9" x14ac:dyDescent="0.3">
      <c r="A69" t="s">
        <v>154</v>
      </c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G69" s="1" t="s">
        <v>10</v>
      </c>
      <c r="H69" s="1" t="s">
        <v>11</v>
      </c>
      <c r="I69" s="1" t="s">
        <v>12</v>
      </c>
    </row>
    <row r="70" spans="1:9" x14ac:dyDescent="0.3">
      <c r="B70">
        <v>14.84296</v>
      </c>
      <c r="C70">
        <v>18.404470886405448</v>
      </c>
      <c r="D70">
        <v>17.635200000000001</v>
      </c>
      <c r="E70">
        <v>17.635200000000001</v>
      </c>
      <c r="F70">
        <v>14.696</v>
      </c>
      <c r="G70">
        <v>14.696</v>
      </c>
      <c r="H70">
        <v>14.696</v>
      </c>
      <c r="I70">
        <v>14.696</v>
      </c>
    </row>
    <row r="71" spans="1:9" x14ac:dyDescent="0.3">
      <c r="A71" t="s">
        <v>155</v>
      </c>
      <c r="B71" s="1" t="s">
        <v>5</v>
      </c>
      <c r="C71" s="1" t="s">
        <v>6</v>
      </c>
      <c r="D71" s="1" t="s">
        <v>7</v>
      </c>
      <c r="E71" s="1" t="s">
        <v>8</v>
      </c>
      <c r="F71" s="1" t="s">
        <v>9</v>
      </c>
      <c r="G71" s="1" t="s">
        <v>10</v>
      </c>
      <c r="H71" s="1" t="s">
        <v>11</v>
      </c>
      <c r="I71" s="1" t="s">
        <v>12</v>
      </c>
    </row>
    <row r="72" spans="1:9" x14ac:dyDescent="0.3">
      <c r="B72">
        <v>17.458848</v>
      </c>
      <c r="C72">
        <v>18.404470886405448</v>
      </c>
      <c r="D72">
        <v>17.635200000000001</v>
      </c>
      <c r="E72">
        <v>17.635200000000001</v>
      </c>
      <c r="F72">
        <v>14.84296</v>
      </c>
      <c r="G72">
        <v>14.696</v>
      </c>
      <c r="H72">
        <v>14.696</v>
      </c>
      <c r="I72">
        <v>14.696</v>
      </c>
    </row>
    <row r="73" spans="1:9" x14ac:dyDescent="0.3">
      <c r="A73" t="s">
        <v>156</v>
      </c>
      <c r="B73" s="1" t="s">
        <v>5</v>
      </c>
      <c r="C73" s="1" t="s">
        <v>6</v>
      </c>
      <c r="D73" s="1" t="s">
        <v>7</v>
      </c>
      <c r="E73" s="1" t="s">
        <v>8</v>
      </c>
      <c r="F73" s="1" t="s">
        <v>9</v>
      </c>
      <c r="G73" s="1" t="s">
        <v>10</v>
      </c>
      <c r="H73" s="1" t="s">
        <v>11</v>
      </c>
      <c r="I73" s="1" t="s">
        <v>12</v>
      </c>
    </row>
    <row r="74" spans="1:9" x14ac:dyDescent="0.3">
      <c r="B74">
        <v>91057.557760344862</v>
      </c>
      <c r="C74">
        <v>85688.898886201045</v>
      </c>
      <c r="D74">
        <v>83182.362554470514</v>
      </c>
      <c r="E74">
        <v>83182.362554470514</v>
      </c>
      <c r="F74">
        <v>29455.8385118857</v>
      </c>
      <c r="G74">
        <v>40889.596293514696</v>
      </c>
      <c r="H74">
        <v>40889.596293514696</v>
      </c>
      <c r="I74">
        <v>40889.596293514696</v>
      </c>
    </row>
    <row r="75" spans="1:9" x14ac:dyDescent="0.3">
      <c r="A75" t="s">
        <v>157</v>
      </c>
      <c r="B75" s="1" t="s">
        <v>5</v>
      </c>
      <c r="C75" s="1" t="s">
        <v>6</v>
      </c>
      <c r="D75" s="1" t="s">
        <v>7</v>
      </c>
      <c r="E75" s="1" t="s">
        <v>8</v>
      </c>
      <c r="F75" s="1" t="s">
        <v>9</v>
      </c>
      <c r="G75" s="1" t="s">
        <v>10</v>
      </c>
      <c r="H75" s="1" t="s">
        <v>11</v>
      </c>
      <c r="I75" s="1" t="s">
        <v>12</v>
      </c>
    </row>
    <row r="76" spans="1:9" x14ac:dyDescent="0.3">
      <c r="B76">
        <v>91057.557760344862</v>
      </c>
      <c r="C76">
        <v>85688.898886201045</v>
      </c>
      <c r="D76">
        <v>83182.362554470514</v>
      </c>
      <c r="E76">
        <v>83182.362554470514</v>
      </c>
      <c r="F76">
        <v>14198.406345255586</v>
      </c>
      <c r="G76">
        <v>40889.596293514696</v>
      </c>
      <c r="H76">
        <v>40889.596293514696</v>
      </c>
      <c r="I76">
        <v>40889.596293514696</v>
      </c>
    </row>
    <row r="77" spans="1:9" x14ac:dyDescent="0.3">
      <c r="A77" t="s">
        <v>158</v>
      </c>
      <c r="B77" s="1" t="s">
        <v>5</v>
      </c>
      <c r="C77" s="1" t="s">
        <v>6</v>
      </c>
      <c r="D77" s="1" t="s">
        <v>7</v>
      </c>
      <c r="E77" s="1" t="s">
        <v>8</v>
      </c>
      <c r="F77" s="1" t="s">
        <v>9</v>
      </c>
      <c r="G77" s="1" t="s">
        <v>10</v>
      </c>
      <c r="H77" s="1" t="s">
        <v>11</v>
      </c>
      <c r="I77" s="1" t="s">
        <v>12</v>
      </c>
    </row>
    <row r="78" spans="1:9" x14ac:dyDescent="0.3">
      <c r="B78">
        <v>187952.10757634087</v>
      </c>
      <c r="C78">
        <v>410361.55384543055</v>
      </c>
      <c r="D78">
        <v>50000</v>
      </c>
      <c r="E78">
        <v>50000</v>
      </c>
      <c r="F78">
        <v>91136.03006370939</v>
      </c>
      <c r="G78">
        <v>50000</v>
      </c>
      <c r="H78">
        <v>50000</v>
      </c>
      <c r="I78">
        <v>50000</v>
      </c>
    </row>
    <row r="79" spans="1:9" x14ac:dyDescent="0.3">
      <c r="A79" t="s">
        <v>159</v>
      </c>
      <c r="B79" s="1" t="s">
        <v>5</v>
      </c>
      <c r="C79" s="1" t="s">
        <v>6</v>
      </c>
      <c r="D79" s="1" t="s">
        <v>7</v>
      </c>
      <c r="E79" s="1" t="s">
        <v>8</v>
      </c>
      <c r="F79" s="1" t="s">
        <v>9</v>
      </c>
      <c r="G79" s="1" t="s">
        <v>10</v>
      </c>
      <c r="H79" s="1" t="s">
        <v>11</v>
      </c>
      <c r="I79" s="1" t="s">
        <v>12</v>
      </c>
    </row>
    <row r="80" spans="1:9" x14ac:dyDescent="0.3">
      <c r="B80">
        <v>1151.8293439841111</v>
      </c>
      <c r="C80">
        <v>50</v>
      </c>
      <c r="D80">
        <v>50</v>
      </c>
      <c r="E80">
        <v>50</v>
      </c>
      <c r="F80">
        <v>50</v>
      </c>
      <c r="G80">
        <v>50</v>
      </c>
      <c r="H80">
        <v>50</v>
      </c>
      <c r="I80">
        <v>50</v>
      </c>
    </row>
    <row r="81" spans="1:9" x14ac:dyDescent="0.3">
      <c r="A81" t="s">
        <v>160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9</v>
      </c>
      <c r="G81" s="1" t="s">
        <v>10</v>
      </c>
      <c r="H81" s="1" t="s">
        <v>11</v>
      </c>
      <c r="I81" s="1" t="s">
        <v>12</v>
      </c>
    </row>
    <row r="82" spans="1:9" x14ac:dyDescent="0.3">
      <c r="B82">
        <v>60.900910215661639</v>
      </c>
      <c r="C82">
        <v>60.900910215661639</v>
      </c>
      <c r="D82">
        <v>60.900910215661639</v>
      </c>
      <c r="E82">
        <v>60.900910215661639</v>
      </c>
      <c r="F82">
        <v>121.80182043132328</v>
      </c>
      <c r="G82">
        <v>121.80182043132328</v>
      </c>
      <c r="H82">
        <v>121.80182043132328</v>
      </c>
      <c r="I82">
        <v>121.80182043132328</v>
      </c>
    </row>
    <row r="83" spans="1:9" x14ac:dyDescent="0.3">
      <c r="A83" t="s">
        <v>161</v>
      </c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G83" s="1" t="s">
        <v>10</v>
      </c>
      <c r="H83" s="1" t="s">
        <v>11</v>
      </c>
      <c r="I83" s="1" t="s">
        <v>12</v>
      </c>
    </row>
    <row r="84" spans="1:9" x14ac:dyDescent="0.3">
      <c r="B84">
        <v>2.7184918330426543E-2</v>
      </c>
      <c r="C84">
        <v>0.1</v>
      </c>
      <c r="D84">
        <v>0.01</v>
      </c>
      <c r="E84">
        <v>0.01</v>
      </c>
      <c r="F84">
        <v>0.15</v>
      </c>
      <c r="G84">
        <v>5.5973567489431546E-2</v>
      </c>
      <c r="H84">
        <v>5.5973567489431546E-2</v>
      </c>
      <c r="I84">
        <v>7.117091652347407E-2</v>
      </c>
    </row>
    <row r="85" spans="1:9" x14ac:dyDescent="0.3">
      <c r="A85" t="s">
        <v>162</v>
      </c>
      <c r="B85" s="1" t="s">
        <v>5</v>
      </c>
      <c r="C85" s="1" t="s">
        <v>6</v>
      </c>
      <c r="D85" s="1" t="s">
        <v>7</v>
      </c>
      <c r="E85" s="1" t="s">
        <v>8</v>
      </c>
      <c r="F85" s="1" t="s">
        <v>9</v>
      </c>
      <c r="G85" s="1" t="s">
        <v>10</v>
      </c>
      <c r="H85" s="1" t="s">
        <v>11</v>
      </c>
      <c r="I85" s="1" t="s">
        <v>12</v>
      </c>
    </row>
    <row r="86" spans="1:9" x14ac:dyDescent="0.3">
      <c r="B86">
        <v>644.44089628462859</v>
      </c>
      <c r="C86">
        <v>853.15415090416309</v>
      </c>
      <c r="D86">
        <v>800.00000000000011</v>
      </c>
      <c r="E86">
        <v>800.00000000000011</v>
      </c>
      <c r="F86">
        <v>7462.2499774551416</v>
      </c>
      <c r="G86">
        <v>800.00000000000011</v>
      </c>
      <c r="H86">
        <v>800.00000000000011</v>
      </c>
      <c r="I86">
        <v>800.00000000000011</v>
      </c>
    </row>
    <row r="87" spans="1:9" x14ac:dyDescent="0.3">
      <c r="A87" t="s">
        <v>163</v>
      </c>
      <c r="B87" s="1" t="s">
        <v>5</v>
      </c>
      <c r="C87" s="1" t="s">
        <v>6</v>
      </c>
      <c r="D87" s="1" t="s">
        <v>7</v>
      </c>
      <c r="E87" s="1" t="s">
        <v>8</v>
      </c>
      <c r="F87" s="1" t="s">
        <v>9</v>
      </c>
      <c r="G87" s="1" t="s">
        <v>10</v>
      </c>
      <c r="H87" s="1" t="s">
        <v>11</v>
      </c>
      <c r="I87" s="1" t="s">
        <v>12</v>
      </c>
    </row>
    <row r="88" spans="1:9" x14ac:dyDescent="0.3">
      <c r="B88">
        <v>0.30743849294285158</v>
      </c>
      <c r="C88">
        <v>0.39532310272212245</v>
      </c>
      <c r="D88">
        <v>0.15</v>
      </c>
      <c r="E88">
        <v>0.15</v>
      </c>
      <c r="F88">
        <v>1.4999999999999999E-2</v>
      </c>
      <c r="G88">
        <v>1.4999999999999999E-2</v>
      </c>
      <c r="H88">
        <v>1.4999999999999999E-2</v>
      </c>
      <c r="I88">
        <v>0.45913510188044082</v>
      </c>
    </row>
    <row r="89" spans="1:9" x14ac:dyDescent="0.3">
      <c r="A89" t="s">
        <v>164</v>
      </c>
      <c r="B89" s="1" t="s">
        <v>5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</row>
    <row r="90" spans="1:9" x14ac:dyDescent="0.3">
      <c r="B90">
        <v>1.8513718665531158</v>
      </c>
      <c r="C90">
        <v>1.8513718665531158</v>
      </c>
      <c r="D90">
        <v>1.8513718665531158</v>
      </c>
      <c r="E90">
        <v>1.8513718665531158</v>
      </c>
      <c r="F90">
        <v>3.9380300810442264</v>
      </c>
      <c r="G90">
        <v>10</v>
      </c>
      <c r="H90">
        <v>10</v>
      </c>
      <c r="I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2" workbookViewId="0">
      <selection activeCell="C37" sqref="C37"/>
    </sheetView>
  </sheetViews>
  <sheetFormatPr defaultRowHeight="14.4" x14ac:dyDescent="0.3"/>
  <sheetData>
    <row r="1" spans="1:2" x14ac:dyDescent="0.3">
      <c r="A1" s="1" t="s">
        <v>24</v>
      </c>
      <c r="B1" s="1" t="s">
        <v>25</v>
      </c>
    </row>
    <row r="2" spans="1:2" x14ac:dyDescent="0.3">
      <c r="A2">
        <v>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Output</vt:lpstr>
      <vt:lpstr>Calc</vt:lpstr>
      <vt:lpstr>solution</vt:lpstr>
      <vt:lpstr>CEO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Zamarripa</dc:creator>
  <cp:lastModifiedBy>Miguel Zamarripa</cp:lastModifiedBy>
  <dcterms:created xsi:type="dcterms:W3CDTF">2016-06-07T18:30:05Z</dcterms:created>
  <dcterms:modified xsi:type="dcterms:W3CDTF">2016-06-29T15:42:24Z</dcterms:modified>
</cp:coreProperties>
</file>