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15" windowWidth="28770" windowHeight="14085" tabRatio="867"/>
  </bookViews>
  <sheets>
    <sheet name="Interface" sheetId="1" r:id="rId1"/>
    <sheet name="Layout" sheetId="2" r:id="rId2"/>
    <sheet name="Calculations" sheetId="4" state="hidden" r:id="rId3"/>
    <sheet name="Series" sheetId="7" state="hidden" r:id="rId4"/>
    <sheet name="modeFront" sheetId="8" state="hidden" r:id="rId5"/>
    <sheet name="COE" sheetId="16" r:id="rId6"/>
    <sheet name="ADS" sheetId="9" r:id="rId7"/>
    <sheet name="RGN" sheetId="10" r:id="rId8"/>
    <sheet name="Baseline Case 11" sheetId="11" r:id="rId9"/>
    <sheet name="Baseline Case 12" sheetId="12" r:id="rId10"/>
    <sheet name="Sheet1" sheetId="17" r:id="rId11"/>
  </sheets>
  <externalReferences>
    <externalReference r:id="rId12"/>
  </externalReferences>
  <definedNames>
    <definedName name="a">ADS!$E$39</definedName>
    <definedName name="a_aG">ADS!$Z$16</definedName>
    <definedName name="a_rG">RGN!$S$16</definedName>
    <definedName name="AdminCost">COE!$B$32</definedName>
    <definedName name="adsN">COE!$C$2</definedName>
    <definedName name="AHX_B">ADS!$S$9</definedName>
    <definedName name="AHXft_aG">ADS!$Z$6</definedName>
    <definedName name="AHXft_B">ADS!$S$10</definedName>
    <definedName name="AHXft_M">ADS!$L$10</definedName>
    <definedName name="AHXft_rB">RGN!$L$10</definedName>
    <definedName name="AHXft_rG">RGN!$S$6</definedName>
    <definedName name="AHXft_rT">RGN!$E$10</definedName>
    <definedName name="AHXft_T">ADS!$E$10</definedName>
    <definedName name="AHXm_aG">ADS!$Z$5</definedName>
    <definedName name="AHXm_B">ADS!$S$9</definedName>
    <definedName name="AHXm_M">ADS!$L$9</definedName>
    <definedName name="AHXm_rB">RGN!$L$9</definedName>
    <definedName name="AHXm_rG">RGN!$S$5</definedName>
    <definedName name="AHXm_rT">RGN!$E$9</definedName>
    <definedName name="AHXm_T">ADS!$E$9</definedName>
    <definedName name="AnOpLaborCost">COE!$B$30</definedName>
    <definedName name="AnWaterCost_Case11">'Baseline Case 11'!$F$37</definedName>
    <definedName name="b">ADS!$E$40</definedName>
    <definedName name="b_aG">ADS!$Z$17</definedName>
    <definedName name="b_rG">RGN!$S$17</definedName>
    <definedName name="capac_factor">[1]Calculations!$E$65</definedName>
    <definedName name="capital_char_fac">'[1]COE Summary'!$D$1</definedName>
    <definedName name="Cb">ADS!$E$37</definedName>
    <definedName name="Cb_aG">ADS!$Z$14</definedName>
    <definedName name="Cb_B">ADS!$S$37</definedName>
    <definedName name="Cb_M">ADS!$L$37</definedName>
    <definedName name="Cb_rB">RGN!$L$37</definedName>
    <definedName name="Cb_rT">RGN!$E$37</definedName>
    <definedName name="Cb_T">ADS!$E$37</definedName>
    <definedName name="CbMax_aC">ADS!$AG$18</definedName>
    <definedName name="CbMax_aG">ADS!$Z$23</definedName>
    <definedName name="CbMax_rC">RGN!$Z$18</definedName>
    <definedName name="CbMax_rG">RGN!$S$23</definedName>
    <definedName name="Cbt_B">ADS!$S$30</definedName>
    <definedName name="Cbt_M">ADS!$L$30</definedName>
    <definedName name="Cbt_rB">RGN!$L$30</definedName>
    <definedName name="Cbt_rT">RGN!$E$30</definedName>
    <definedName name="Cbt_T">ADS!$E$30</definedName>
    <definedName name="CostPerUnit_B">ADS!$S$43</definedName>
    <definedName name="CostPerUnit_M">ADS!$L$43</definedName>
    <definedName name="CostPerUnit_rB">RGN!$L$43</definedName>
    <definedName name="CostPerUnit_rT">RGN!$E$43</definedName>
    <definedName name="CostPerUnit_T">ADS!$E$43</definedName>
    <definedName name="CostPL_B">ADS!$S$46</definedName>
    <definedName name="CostPL_M">ADS!$L$46</definedName>
    <definedName name="CostPL_rB">RGN!$L$46</definedName>
    <definedName name="CosTPL_rT">RGN!$E$46</definedName>
    <definedName name="CostPL_T">ADS!$E$46</definedName>
    <definedName name="dSolid">ADS!$AN$6</definedName>
    <definedName name="dSteel">ADS!$E$24</definedName>
    <definedName name="Dt">ADS!$E$7</definedName>
    <definedName name="Dt_B">ADS!$S$7</definedName>
    <definedName name="Dt_M">ADS!$L$7</definedName>
    <definedName name="Dt_rB">RGN!$L$7</definedName>
    <definedName name="Dt_rT">RGN!$E$7</definedName>
    <definedName name="Dt_T">ADS!$E$7</definedName>
    <definedName name="E">ADS!$E$15</definedName>
    <definedName name="E_M">ADS!$L$15</definedName>
    <definedName name="Fcap">COE!$B$13</definedName>
    <definedName name="Fdel">COE!$B$10</definedName>
    <definedName name="Fgas">ADS!$AU$5</definedName>
    <definedName name="Fhx">ADS!$Z$24</definedName>
    <definedName name="Fl">ADS!$E$42</definedName>
    <definedName name="Fl_aG">ADS!$Z$19</definedName>
    <definedName name="Flang">COE!$B$11</definedName>
    <definedName name="Fm">ADS!$E$41</definedName>
    <definedName name="Fm_aG">ADS!$Z$18</definedName>
    <definedName name="Fnt">ADS!$E$31</definedName>
    <definedName name="Fnt_B">ADS!$S$31</definedName>
    <definedName name="Fnt_M">ADS!$L$31</definedName>
    <definedName name="Fnt_rB">RGN!$L$31</definedName>
    <definedName name="Fnt_rT">RGN!$E$31</definedName>
    <definedName name="Fnt_T">ADS!$E$31</definedName>
    <definedName name="Fp">ADS!$E$38</definedName>
    <definedName name="Fp_aG">ADS!$Z$15</definedName>
    <definedName name="Fp_B">ADS!$S$38</definedName>
    <definedName name="Fp_M">ADS!$L$38</definedName>
    <definedName name="Fp_rB">RGN!$L$38</definedName>
    <definedName name="Fp_rT">RGN!$E$38</definedName>
    <definedName name="Fp_T">ADS!$E$38</definedName>
    <definedName name="Fscaling">COE!$B$14</definedName>
    <definedName name="Fsolid">ADS!$AN$5</definedName>
    <definedName name="Ftm">ADS!$E$33</definedName>
    <definedName name="Ftm_B">ADS!$S$33</definedName>
    <definedName name="Ftm_M">ADS!$L$33</definedName>
    <definedName name="Ftm_rB">RGN!$L$33</definedName>
    <definedName name="Ftm_rT">RGN!$E$33</definedName>
    <definedName name="Ftm_T">ADS!$E$33</definedName>
    <definedName name="Ftt">ADS!$E$32</definedName>
    <definedName name="Ftt_B">ADS!$S$32</definedName>
    <definedName name="Ftt_M">ADS!$L$32</definedName>
    <definedName name="Ftt_rB">RGN!$L$32</definedName>
    <definedName name="Ftt_rT">RGN!$E$32</definedName>
    <definedName name="Ftt_T">ADS!$E$32</definedName>
    <definedName name="H">ADS!$E$6</definedName>
    <definedName name="H_aELE">ADS!$AN$8</definedName>
    <definedName name="H_B">ADS!$S$6</definedName>
    <definedName name="H_M">ADS!$L$6</definedName>
    <definedName name="H_rB">RGN!$L$6</definedName>
    <definedName name="H_rT">RGN!$E$6</definedName>
    <definedName name="H_T">ADS!$E$6</definedName>
    <definedName name="Lb">ADS!$E$5</definedName>
    <definedName name="Lb_B">ADS!$S$5</definedName>
    <definedName name="Lb_M">ADS!$L$5</definedName>
    <definedName name="Lb_rB">RGN!$L$5</definedName>
    <definedName name="Lb_rT">RGN!$E$5</definedName>
    <definedName name="Lb_T">ADS!$E$5</definedName>
    <definedName name="LEAN.LOADING">Interface!#REF!</definedName>
    <definedName name="MaintLaborCost">COE!$B$31</definedName>
    <definedName name="MaintLaborTOC_Case12">'Baseline Case 12'!$I$19</definedName>
    <definedName name="MaxCb_rG">RGN!$S$23</definedName>
    <definedName name="NU_aC">ADS!$AG$8</definedName>
    <definedName name="NU_aG">ADS!$Z$8</definedName>
    <definedName name="NU_rC">RGN!$Z$8</definedName>
    <definedName name="NU_rG">RGN!$S$8</definedName>
    <definedName name="Pd_B">ADS!$S$14</definedName>
    <definedName name="Pd_M">ADS!$L$14</definedName>
    <definedName name="Pd_rB">RGN!$L$14</definedName>
    <definedName name="Pd_rT">RGN!$E$14</definedName>
    <definedName name="Pd_T">ADS!$E$14</definedName>
    <definedName name="Pgas">ADS!$AU$8</definedName>
    <definedName name="Pin">ADS!$E$8</definedName>
    <definedName name="Pin_B">ADS!$S$8</definedName>
    <definedName name="Pin_M">ADS!$L$8</definedName>
    <definedName name="Pin_rB">RGN!$L$8</definedName>
    <definedName name="Pin_rT">RGN!$E$8</definedName>
    <definedName name="Pin_T">ADS!$E$8</definedName>
    <definedName name="Pout_aC">ADS!$AG$7</definedName>
    <definedName name="Pout_rC">RGN!$Z$7</definedName>
    <definedName name="Pshell_aG">ADS!$Z$7</definedName>
    <definedName name="Pshell_rG">RGN!$S$7</definedName>
    <definedName name="PW_aELE">ADS!$AN$23</definedName>
    <definedName name="PW_rELE">RGN!$AG$23</definedName>
    <definedName name="PWhp_aC">ADS!$AG$6</definedName>
    <definedName name="PWhp_rC">RGN!$Z$6</definedName>
    <definedName name="PWkw_aC">ADS!$AG$5</definedName>
    <definedName name="PWkw_rC">RGN!$Z$5</definedName>
    <definedName name="rgnN">COE!$C$3</definedName>
    <definedName name="S">ADS!$E$16</definedName>
    <definedName name="S_M">ADS!$L$16</definedName>
    <definedName name="SolidFm">ADS!$AN$5</definedName>
    <definedName name="TaxInsTOC_Case12">'Baseline Case 12'!$I$20</definedName>
    <definedName name="tc">ADS!$E$21</definedName>
    <definedName name="tc_B">ADS!$S$21</definedName>
    <definedName name="tc_M">ADS!$L$21</definedName>
    <definedName name="tc_rB">RGN!$L$21</definedName>
    <definedName name="tc_rT">RGN!$E$21</definedName>
    <definedName name="tc_T">ADS!$E$21</definedName>
    <definedName name="Tgas">ADS!$AU$7</definedName>
    <definedName name="tpadj_B">ADS!$S$18</definedName>
    <definedName name="tpadj_M">ADS!$L$18</definedName>
    <definedName name="tpadj_rB">RGN!$L$18</definedName>
    <definedName name="tpadj_rT">RGN!$E$18</definedName>
    <definedName name="tpadj_T">ADS!$E$18</definedName>
    <definedName name="tpcalc_B">ADS!$S$17</definedName>
    <definedName name="tpcalc_M">ADS!$L$17</definedName>
    <definedName name="tpcalc_rB">RGN!$L$17</definedName>
    <definedName name="tpcalc_rT">RGN!$E$17</definedName>
    <definedName name="tpcalc_T">ADS!$E$17</definedName>
    <definedName name="TrayCost_B">ADS!$S$34</definedName>
    <definedName name="TrayCost_M">ADS!$L$34</definedName>
    <definedName name="TrayCost_rB">RGN!$L$34</definedName>
    <definedName name="TrayCost_rT">RGN!$E$34</definedName>
    <definedName name="TrayCost_T">ADS!$E$34</definedName>
    <definedName name="ts">ADS!$E$23</definedName>
    <definedName name="ts_B">ADS!$S$23</definedName>
    <definedName name="ts_M">ADS!$L$23</definedName>
    <definedName name="ts_rB">RGN!$L$23</definedName>
    <definedName name="ts_rT">RGN!$E$23</definedName>
    <definedName name="ts_T">ADS!$E$23</definedName>
    <definedName name="tv">ADS!$E$20</definedName>
    <definedName name="tv_B">ADS!$S$20</definedName>
    <definedName name="tv_M">ADS!$L$20</definedName>
    <definedName name="tv_rB">RGN!$L$20</definedName>
    <definedName name="tv_rT">RGN!$E$20</definedName>
    <definedName name="tv_T">ADS!$E$20</definedName>
    <definedName name="tvtc">ADS!$E$22</definedName>
    <definedName name="tvtc_B">ADS!$S$22</definedName>
    <definedName name="tvtc_M">ADS!$L$22</definedName>
    <definedName name="tvtc_rB">RGN!$L$22</definedName>
    <definedName name="tvtc_rT">RGN!$E$22</definedName>
    <definedName name="tvtc_T">ADS!$E$22</definedName>
    <definedName name="tw">ADS!$E$19</definedName>
    <definedName name="tw_B">ADS!$S$19</definedName>
    <definedName name="tw_M">ADS!$L$19</definedName>
    <definedName name="tw_rB">RGN!$L$19</definedName>
    <definedName name="tw_rT">RGN!$E$19</definedName>
    <definedName name="tw_T">ADS!$E$19</definedName>
    <definedName name="VarMaintTOC_Case12">'Baseline Case 12'!$I$21</definedName>
    <definedName name="VesselCost_B">ADS!$S$27</definedName>
    <definedName name="VesselCost_M">ADS!$L$27</definedName>
    <definedName name="VesselCost_rB">RGN!$L$27</definedName>
    <definedName name="VesselCost_rT">RGN!$E$27</definedName>
    <definedName name="VesselCost_T">ADS!$E$27</definedName>
    <definedName name="W">ADS!$E$25</definedName>
    <definedName name="w_aELE">ADS!$AN$14</definedName>
    <definedName name="W_M">ADS!$L$25</definedName>
  </definedNames>
  <calcPr calcId="125725"/>
</workbook>
</file>

<file path=xl/calcChain.xml><?xml version="1.0" encoding="utf-8"?>
<calcChain xmlns="http://schemas.openxmlformats.org/spreadsheetml/2006/main">
  <c r="I40" i="16"/>
  <c r="I15"/>
  <c r="I2"/>
  <c r="C3"/>
  <c r="C2"/>
  <c r="AG5" i="10"/>
  <c r="AN5" i="9"/>
  <c r="L5" i="10"/>
  <c r="L7"/>
  <c r="E7"/>
  <c r="S5" i="9"/>
  <c r="L5"/>
  <c r="E5"/>
  <c r="S7"/>
  <c r="L7"/>
  <c r="E7"/>
  <c r="AU7"/>
  <c r="AU5"/>
  <c r="AN6"/>
  <c r="Z5"/>
  <c r="L9" i="10"/>
  <c r="E9"/>
  <c r="AG5" i="9"/>
  <c r="S9"/>
  <c r="L9"/>
  <c r="E9"/>
  <c r="S5" i="10" l="1"/>
  <c r="B21" i="16" l="1"/>
  <c r="B14" l="1"/>
  <c r="B22" s="1"/>
  <c r="B45" l="1"/>
  <c r="B41"/>
  <c r="B37"/>
  <c r="B42"/>
  <c r="B39"/>
  <c r="I3"/>
  <c r="F64" i="11" l="1"/>
  <c r="B64"/>
  <c r="E64" s="1"/>
  <c r="F62"/>
  <c r="E62"/>
  <c r="F61"/>
  <c r="E61"/>
  <c r="F58"/>
  <c r="E58"/>
  <c r="F57"/>
  <c r="E57"/>
  <c r="F56"/>
  <c r="E56"/>
  <c r="F53"/>
  <c r="E53"/>
  <c r="F52"/>
  <c r="F51"/>
  <c r="E51"/>
  <c r="F48"/>
  <c r="E48"/>
  <c r="F47"/>
  <c r="E47"/>
  <c r="F46"/>
  <c r="F45"/>
  <c r="E45"/>
  <c r="F44"/>
  <c r="E44"/>
  <c r="F43"/>
  <c r="E43"/>
  <c r="F42"/>
  <c r="E42"/>
  <c r="F41"/>
  <c r="E41"/>
  <c r="F40"/>
  <c r="E40"/>
  <c r="F37"/>
  <c r="E37"/>
  <c r="C22"/>
  <c r="F26" s="1"/>
  <c r="B22"/>
  <c r="B8"/>
  <c r="I6" i="16"/>
  <c r="I41"/>
  <c r="I42" s="1"/>
  <c r="I39" s="1"/>
  <c r="I16"/>
  <c r="I17"/>
  <c r="B38" l="1"/>
  <c r="I4"/>
  <c r="I7" s="1"/>
  <c r="I9" s="1"/>
  <c r="B40" s="1"/>
  <c r="F66" i="11"/>
  <c r="F67" s="1"/>
  <c r="F28"/>
  <c r="F30" s="1"/>
  <c r="B25" i="16" l="1"/>
  <c r="F68" i="12"/>
  <c r="E68"/>
  <c r="F66"/>
  <c r="E66"/>
  <c r="F65"/>
  <c r="E65"/>
  <c r="F62"/>
  <c r="E62"/>
  <c r="F61"/>
  <c r="E61"/>
  <c r="F60"/>
  <c r="E60"/>
  <c r="F57"/>
  <c r="E57"/>
  <c r="F56"/>
  <c r="F55"/>
  <c r="E55"/>
  <c r="F52"/>
  <c r="E52"/>
  <c r="F51"/>
  <c r="E51"/>
  <c r="F49"/>
  <c r="E49"/>
  <c r="F48"/>
  <c r="E48"/>
  <c r="F47"/>
  <c r="E47"/>
  <c r="F46"/>
  <c r="E46"/>
  <c r="F45"/>
  <c r="E45"/>
  <c r="F44"/>
  <c r="E44"/>
  <c r="F41"/>
  <c r="F70" s="1"/>
  <c r="F71" s="1"/>
  <c r="E41"/>
  <c r="E71" s="1"/>
  <c r="B16" s="1"/>
  <c r="C27"/>
  <c r="B27"/>
  <c r="I21"/>
  <c r="I20"/>
  <c r="I19"/>
  <c r="B11"/>
  <c r="B10"/>
  <c r="B17" s="1"/>
  <c r="B8"/>
  <c r="B12" s="1"/>
  <c r="F30" l="1"/>
  <c r="B30" i="16"/>
  <c r="F32" i="12"/>
  <c r="F34" s="1"/>
  <c r="AG6" i="10" l="1"/>
  <c r="Z7"/>
  <c r="Z5"/>
  <c r="S7"/>
  <c r="L8"/>
  <c r="E8"/>
  <c r="E5"/>
  <c r="AG7" i="9"/>
  <c r="Z7"/>
  <c r="S8"/>
  <c r="L8"/>
  <c r="E8"/>
  <c r="Z18" i="10" l="1"/>
  <c r="S23"/>
  <c r="Z23" i="9"/>
  <c r="S15" i="10"/>
  <c r="Z6"/>
  <c r="Z8" s="1"/>
  <c r="Z14" s="1"/>
  <c r="S6"/>
  <c r="S8" s="1"/>
  <c r="S14" s="1"/>
  <c r="AU6" i="9"/>
  <c r="AU14" s="1"/>
  <c r="AU16" s="1"/>
  <c r="AU2" s="1"/>
  <c r="AN7"/>
  <c r="AG6"/>
  <c r="AG23" s="1"/>
  <c r="AG26" s="1"/>
  <c r="Z6"/>
  <c r="S18" i="10" l="1"/>
  <c r="S20" s="1"/>
  <c r="S2" s="1"/>
  <c r="AG8" i="9"/>
  <c r="AG14" s="1"/>
  <c r="Z8"/>
  <c r="Z14" s="1"/>
  <c r="AG7" i="10"/>
  <c r="Z16"/>
  <c r="Z23"/>
  <c r="Z26" s="1"/>
  <c r="Z2" l="1"/>
  <c r="AG18" i="9"/>
  <c r="AG16" s="1"/>
  <c r="AG2" s="1"/>
  <c r="Z18"/>
  <c r="Z15"/>
  <c r="E6"/>
  <c r="Z20" l="1"/>
  <c r="Z2" s="1"/>
  <c r="L38" i="10"/>
  <c r="L14"/>
  <c r="L10"/>
  <c r="L41" s="1"/>
  <c r="L30"/>
  <c r="L34" s="1"/>
  <c r="L6"/>
  <c r="E10"/>
  <c r="E37" s="1"/>
  <c r="E30"/>
  <c r="E34" s="1"/>
  <c r="E6"/>
  <c r="E38"/>
  <c r="E14"/>
  <c r="L21"/>
  <c r="E21"/>
  <c r="AG8" l="1"/>
  <c r="E17"/>
  <c r="E18" s="1"/>
  <c r="E46"/>
  <c r="L37"/>
  <c r="L19"/>
  <c r="L46"/>
  <c r="L17"/>
  <c r="L18" s="1"/>
  <c r="E19"/>
  <c r="E20" l="1"/>
  <c r="E22" s="1"/>
  <c r="E23" s="1"/>
  <c r="E25" s="1"/>
  <c r="L20"/>
  <c r="L22" s="1"/>
  <c r="L23" s="1"/>
  <c r="L25" s="1"/>
  <c r="S38" i="9"/>
  <c r="S14"/>
  <c r="L38"/>
  <c r="S10"/>
  <c r="S41" s="1"/>
  <c r="S6"/>
  <c r="L14"/>
  <c r="L10"/>
  <c r="L6"/>
  <c r="S21"/>
  <c r="L21"/>
  <c r="E10"/>
  <c r="E38"/>
  <c r="E21"/>
  <c r="E14"/>
  <c r="AN8" l="1"/>
  <c r="L46"/>
  <c r="S19"/>
  <c r="L30"/>
  <c r="L34" s="1"/>
  <c r="L37"/>
  <c r="E17"/>
  <c r="L19"/>
  <c r="L17"/>
  <c r="S46"/>
  <c r="S37"/>
  <c r="S30"/>
  <c r="S34" s="1"/>
  <c r="S17"/>
  <c r="S18" s="1"/>
  <c r="L41"/>
  <c r="E30"/>
  <c r="E41"/>
  <c r="AG15" i="10" l="1"/>
  <c r="AG23"/>
  <c r="E19" i="9"/>
  <c r="AN23"/>
  <c r="S20"/>
  <c r="S22" s="1"/>
  <c r="S23" s="1"/>
  <c r="S25" s="1"/>
  <c r="E46"/>
  <c r="L43" i="10"/>
  <c r="E43"/>
  <c r="L18" i="9"/>
  <c r="L20" s="1"/>
  <c r="E37"/>
  <c r="L43" s="1"/>
  <c r="E41" i="10"/>
  <c r="S43" i="9"/>
  <c r="E18"/>
  <c r="E34"/>
  <c r="C6" i="1"/>
  <c r="I38" i="16" l="1"/>
  <c r="I43" s="1"/>
  <c r="AN24" i="9"/>
  <c r="AN26" s="1"/>
  <c r="AG24" i="10"/>
  <c r="AG26" s="1"/>
  <c r="AG2" s="1"/>
  <c r="E43" i="9"/>
  <c r="AN15"/>
  <c r="L22"/>
  <c r="E20"/>
  <c r="E22" s="1"/>
  <c r="L8" i="1"/>
  <c r="L2"/>
  <c r="L7"/>
  <c r="L6"/>
  <c r="L5"/>
  <c r="L4"/>
  <c r="L3"/>
  <c r="AN2" i="9" l="1"/>
  <c r="L23"/>
  <c r="E23"/>
  <c r="L25" l="1"/>
  <c r="E25"/>
  <c r="L27" i="10" l="1"/>
  <c r="L2" s="1"/>
  <c r="E27"/>
  <c r="E2" s="1"/>
  <c r="E27" i="9"/>
  <c r="S27"/>
  <c r="S2" s="1"/>
  <c r="L27"/>
  <c r="B51" l="1"/>
  <c r="B51" i="10"/>
  <c r="B3" i="16" s="1"/>
  <c r="L2" i="9"/>
  <c r="E2"/>
  <c r="B50" l="1"/>
  <c r="B2" i="16" s="1"/>
  <c r="B4" s="1"/>
  <c r="I30" l="1"/>
  <c r="I31" s="1"/>
  <c r="I32" s="1"/>
  <c r="B23"/>
  <c r="B26" s="1"/>
  <c r="B9"/>
  <c r="B12" s="1"/>
  <c r="B52" i="9"/>
  <c r="B50" i="10"/>
  <c r="B52" s="1"/>
  <c r="B31" i="16" l="1"/>
  <c r="B32" s="1"/>
  <c r="B33"/>
  <c r="B36"/>
  <c r="B43" s="1"/>
  <c r="B46" s="1"/>
  <c r="B34" l="1"/>
  <c r="B49" s="1"/>
</calcChain>
</file>

<file path=xl/comments1.xml><?xml version="1.0" encoding="utf-8"?>
<comments xmlns="http://schemas.openxmlformats.org/spreadsheetml/2006/main">
  <authors>
    <author>jeslick</author>
    <author>mdaly</author>
  </authors>
  <commentList>
    <comment ref="K2" authorId="0">
      <text>
        <r>
          <rPr>
            <b/>
            <sz val="8"/>
            <color indexed="81"/>
            <rFont val="Tahoma"/>
            <family val="2"/>
          </rPr>
          <t>Save the Excel sheet automatically after every run.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This option runs a simulation with the default inputs before running the requested simulation.  This can help get a simulation started from a reasonable initial point.</t>
        </r>
      </text>
    </comment>
    <comment ref="K4" authorId="0">
      <text>
        <r>
          <rPr>
            <b/>
            <sz val="8"/>
            <color indexed="81"/>
            <rFont val="Tahoma"/>
            <family val="2"/>
          </rPr>
          <t xml:space="preserve">Restart the simulation program before every run.  This option is the most reliable, but restarting the simulation every time can make a set of simulations take much more time.
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 xml:space="preserve">Restart when the run id is divisible by restart mod.  This can be helpful when a simulation program has bugs like memory leaks that can cause problems after a simulation has been run many times.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If 1, when a simulation fails the simulation will be restarted and run again.  This can help by returning to a sensible starting point.
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 xml:space="preserve">If a simulation fails, close the simulation program, but do not rerun it.
</t>
        </r>
      </text>
    </comment>
    <comment ref="K8" authorId="0">
      <text>
        <r>
          <rPr>
            <b/>
            <sz val="8"/>
            <color indexed="81"/>
            <rFont val="Tahoma"/>
            <family val="2"/>
          </rPr>
          <t>Close the simulation when you close this workbook</t>
        </r>
      </text>
    </comment>
    <comment ref="B10" authorId="1">
      <text>
        <r>
          <rPr>
            <sz val="8"/>
            <color indexed="81"/>
            <rFont val="Tahoma"/>
            <family val="2"/>
          </rPr>
          <t>Simulation specific setting: homotopy min: 0 max: 0 default: 1</t>
        </r>
      </text>
    </comment>
    <comment ref="F10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1" authorId="1">
      <text>
        <r>
          <rPr>
            <sz val="8"/>
            <color indexed="81"/>
            <rFont val="Tahoma"/>
            <family val="2"/>
          </rPr>
          <t>Simulation specific setting: printlevel min: 0 max: 0 default: 0</t>
        </r>
      </text>
    </comment>
    <comment ref="F11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2" authorId="1">
      <text>
        <r>
          <rPr>
            <sz val="8"/>
            <color indexed="81"/>
            <rFont val="Tahoma"/>
            <family val="2"/>
          </rPr>
          <t>rgnSF min: 0.1 max: 0.1 default: 0.3</t>
        </r>
      </text>
    </comment>
    <comment ref="F12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3" authorId="1">
      <text>
        <r>
          <rPr>
            <sz val="8"/>
            <color indexed="81"/>
            <rFont val="Tahoma"/>
            <family val="2"/>
          </rPr>
          <t>adsDt min: 11 max: 11 default: 15</t>
        </r>
      </text>
    </comment>
    <comment ref="F13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4" authorId="1">
      <text>
        <r>
          <rPr>
            <sz val="8"/>
            <color indexed="81"/>
            <rFont val="Tahoma"/>
            <family val="2"/>
          </rPr>
          <t>adslhx min: 0.35 max: 0.35 default: 0.5</t>
        </r>
      </text>
    </comment>
    <comment ref="F14" authorId="1">
      <text>
        <r>
          <rPr>
            <sz val="8"/>
            <color indexed="81"/>
            <rFont val="Tahoma"/>
            <family val="2"/>
          </rPr>
          <t>Nx</t>
        </r>
      </text>
    </comment>
    <comment ref="B15" authorId="1">
      <text>
        <r>
          <rPr>
            <sz val="8"/>
            <color indexed="81"/>
            <rFont val="Tahoma"/>
            <family val="2"/>
          </rPr>
          <t>adsdx min: 0.0175 max: 0.0175 default: 0.025</t>
        </r>
      </text>
    </comment>
    <comment ref="F15" authorId="1">
      <text>
        <r>
          <rPr>
            <sz val="8"/>
            <color indexed="81"/>
            <rFont val="Tahoma"/>
            <family val="2"/>
          </rPr>
          <t>J</t>
        </r>
      </text>
    </comment>
    <comment ref="B16" authorId="1">
      <text>
        <r>
          <rPr>
            <sz val="8"/>
            <color indexed="81"/>
            <rFont val="Tahoma"/>
            <family val="2"/>
          </rPr>
          <t>adsN min: 11 max: 11 default: 15</t>
        </r>
      </text>
    </comment>
    <comment ref="F16" authorId="1">
      <text>
        <r>
          <rPr>
            <sz val="8"/>
            <color indexed="81"/>
            <rFont val="Tahoma"/>
            <family val="2"/>
          </rPr>
          <t>J</t>
        </r>
      </text>
    </comment>
    <comment ref="B17" authorId="1">
      <text>
        <r>
          <rPr>
            <sz val="8"/>
            <color indexed="81"/>
            <rFont val="Tahoma"/>
            <family val="2"/>
          </rPr>
          <t>rgnDt min: 9 max: 9 default: 12</t>
        </r>
      </text>
    </comment>
    <comment ref="F17" authorId="1">
      <text>
        <r>
          <rPr>
            <sz val="8"/>
            <color indexed="81"/>
            <rFont val="Tahoma"/>
            <family val="2"/>
          </rPr>
          <t>P</t>
        </r>
      </text>
    </comment>
    <comment ref="B18" authorId="1">
      <text>
        <r>
          <rPr>
            <sz val="8"/>
            <color indexed="81"/>
            <rFont val="Tahoma"/>
            <family val="2"/>
          </rPr>
          <t>rgnlhx min: 0.07 max: 0.07 default: 0.1</t>
        </r>
      </text>
    </comment>
    <comment ref="F18" authorId="1">
      <text>
        <r>
          <rPr>
            <sz val="8"/>
            <color indexed="81"/>
            <rFont val="Tahoma"/>
            <family val="2"/>
          </rPr>
          <t>P</t>
        </r>
      </text>
    </comment>
    <comment ref="B19" authorId="1">
      <text>
        <r>
          <rPr>
            <sz val="8"/>
            <color indexed="81"/>
            <rFont val="Tahoma"/>
            <family val="2"/>
          </rPr>
          <t>rgndx min: 0.014 max: 0.014 default: 0.02</t>
        </r>
      </text>
    </comment>
    <comment ref="F19" authorId="1">
      <text>
        <r>
          <rPr>
            <sz val="8"/>
            <color indexed="81"/>
            <rFont val="Tahoma"/>
            <family val="2"/>
          </rPr>
          <t>P</t>
        </r>
      </text>
    </comment>
    <comment ref="B20" authorId="1">
      <text>
        <r>
          <rPr>
            <sz val="8"/>
            <color indexed="81"/>
            <rFont val="Tahoma"/>
            <family val="2"/>
          </rPr>
          <t>rgnN min: 11 max: 11 default: 15</t>
        </r>
      </text>
    </comment>
    <comment ref="F20" authorId="1">
      <text>
        <r>
          <rPr>
            <sz val="8"/>
            <color indexed="81"/>
            <rFont val="Tahoma"/>
            <family val="2"/>
          </rPr>
          <t>P</t>
        </r>
      </text>
    </comment>
    <comment ref="B21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1" authorId="1">
      <text>
        <r>
          <rPr>
            <sz val="8"/>
            <color indexed="81"/>
            <rFont val="Tahoma"/>
            <family val="2"/>
          </rPr>
          <t>T</t>
        </r>
      </text>
    </comment>
    <comment ref="B22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2" authorId="1">
      <text>
        <r>
          <rPr>
            <sz val="8"/>
            <color indexed="81"/>
            <rFont val="Tahoma"/>
            <family val="2"/>
          </rPr>
          <t>F</t>
        </r>
      </text>
    </comment>
    <comment ref="B23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3" authorId="1">
      <text>
        <r>
          <rPr>
            <sz val="8"/>
            <color indexed="81"/>
            <rFont val="Tahoma"/>
            <family val="2"/>
          </rPr>
          <t>rhos</t>
        </r>
      </text>
    </comment>
    <comment ref="B24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4" authorId="1">
      <text>
        <r>
          <rPr>
            <sz val="8"/>
            <color indexed="81"/>
            <rFont val="Tahoma"/>
            <family val="2"/>
          </rPr>
          <t>a_exch</t>
        </r>
      </text>
    </comment>
    <comment ref="B25" authorId="1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F25" authorId="1">
      <text>
        <r>
          <rPr>
            <sz val="8"/>
            <color indexed="81"/>
            <rFont val="Tahoma"/>
            <family val="2"/>
          </rPr>
          <t>a_exch</t>
        </r>
      </text>
    </comment>
    <comment ref="B26" authorId="1">
      <text>
        <r>
          <rPr>
            <sz val="8"/>
            <color indexed="81"/>
            <rFont val="Tahoma"/>
            <family val="2"/>
          </rPr>
          <t>F min: 400 max: 400 default: 700</t>
        </r>
      </text>
    </comment>
    <comment ref="F26" authorId="1">
      <text>
        <r>
          <rPr>
            <sz val="8"/>
            <color indexed="81"/>
            <rFont val="Tahoma"/>
            <family val="2"/>
          </rPr>
          <t>F</t>
        </r>
      </text>
    </comment>
    <comment ref="B27" authorId="1">
      <text>
        <r>
          <rPr>
            <sz val="8"/>
            <color indexed="81"/>
            <rFont val="Tahoma"/>
            <family val="2"/>
          </rPr>
          <t>Fm min: 400000 max: 400000 default: 600000</t>
        </r>
      </text>
    </comment>
    <comment ref="F27" authorId="1">
      <text>
        <r>
          <rPr>
            <sz val="8"/>
            <color indexed="81"/>
            <rFont val="Tahoma"/>
            <family val="2"/>
          </rPr>
          <t>F</t>
        </r>
      </text>
    </comment>
    <comment ref="B28" authorId="1">
      <text>
        <r>
          <rPr>
            <sz val="8"/>
            <color indexed="81"/>
            <rFont val="Tahoma"/>
            <family val="2"/>
          </rPr>
          <t>T min: 25 max: 25 default: 40</t>
        </r>
      </text>
    </comment>
    <comment ref="F28" authorId="1">
      <text>
        <r>
          <rPr>
            <sz val="8"/>
            <color indexed="81"/>
            <rFont val="Tahoma"/>
            <family val="2"/>
          </rPr>
          <t>F</t>
        </r>
      </text>
    </comment>
    <comment ref="F29" authorId="1">
      <text>
        <r>
          <rPr>
            <sz val="8"/>
            <color indexed="81"/>
            <rFont val="Tahoma"/>
            <family val="2"/>
          </rPr>
          <t>F</t>
        </r>
      </text>
    </comment>
    <comment ref="F30" authorId="1">
      <text>
        <r>
          <rPr>
            <sz val="8"/>
            <color indexed="81"/>
            <rFont val="Tahoma"/>
            <family val="2"/>
          </rPr>
          <t>F</t>
        </r>
      </text>
    </comment>
    <comment ref="F31" authorId="1">
      <text>
        <r>
          <rPr>
            <sz val="8"/>
            <color indexed="81"/>
            <rFont val="Tahoma"/>
            <family val="2"/>
          </rPr>
          <t>F</t>
        </r>
      </text>
    </comment>
    <comment ref="F32" authorId="1">
      <text>
        <r>
          <rPr>
            <sz val="8"/>
            <color indexed="81"/>
            <rFont val="Tahoma"/>
            <family val="2"/>
          </rPr>
          <t>removalH2O</t>
        </r>
      </text>
    </comment>
    <comment ref="F33" authorId="1">
      <text>
        <r>
          <rPr>
            <sz val="8"/>
            <color indexed="81"/>
            <rFont val="Tahoma"/>
            <family val="2"/>
          </rPr>
          <t>removalCO2</t>
        </r>
      </text>
    </comment>
  </commentList>
</comments>
</file>

<file path=xl/comments2.xml><?xml version="1.0" encoding="utf-8"?>
<comments xmlns="http://schemas.openxmlformats.org/spreadsheetml/2006/main">
  <authors>
    <author>jeslick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 xml:space="preserve">Input or Output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Show name and description comment in the cell to the left</t>
        </r>
      </text>
    </comment>
  </commentList>
</comments>
</file>

<file path=xl/comments3.xml><?xml version="1.0" encoding="utf-8"?>
<comments xmlns="http://schemas.openxmlformats.org/spreadsheetml/2006/main">
  <authors>
    <author>jeslick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jeslick:</t>
        </r>
        <r>
          <rPr>
            <sz val="8"/>
            <color indexed="81"/>
            <rFont val="Tahoma"/>
            <family val="2"/>
          </rPr>
          <t xml:space="preserve">
Put cell reference strings for inputs and outputs in this column.  Ex.: Interface!C11.
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jeslick:</t>
        </r>
        <r>
          <rPr>
            <sz val="8"/>
            <color indexed="81"/>
            <rFont val="Tahoma"/>
            <family val="2"/>
          </rPr>
          <t xml:space="preserve">
This column contains the string input or the string output depending on whether the variable is an input or output.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This serise of number is the run id for each run in the series.  The series runs until this row is empty
</t>
        </r>
      </text>
    </comment>
  </commentList>
</comments>
</file>

<file path=xl/comments4.xml><?xml version="1.0" encoding="utf-8"?>
<comments xmlns="http://schemas.openxmlformats.org/spreadsheetml/2006/main">
  <authors>
    <author>mdaly</author>
  </authors>
  <commentList>
    <comment ref="A3" authorId="0">
      <text>
        <r>
          <rPr>
            <sz val="8"/>
            <color indexed="81"/>
            <rFont val="Tahoma"/>
            <family val="2"/>
          </rPr>
          <t>Simulation specific setting: homotopy min: 0 max: 0 default: 1</t>
        </r>
      </text>
    </comment>
    <comment ref="A4" authorId="0">
      <text>
        <r>
          <rPr>
            <sz val="8"/>
            <color indexed="81"/>
            <rFont val="Tahoma"/>
            <family val="2"/>
          </rPr>
          <t>Simulation specific setting: printlevel min: 0 max: 0 default: 0</t>
        </r>
      </text>
    </comment>
    <comment ref="A5" authorId="0">
      <text>
        <r>
          <rPr>
            <sz val="8"/>
            <color indexed="81"/>
            <rFont val="Tahoma"/>
            <family val="2"/>
          </rPr>
          <t>rgnSF min: 0.1 max: 0.1 default: 0.3</t>
        </r>
      </text>
    </comment>
    <comment ref="A6" authorId="0">
      <text>
        <r>
          <rPr>
            <sz val="8"/>
            <color indexed="81"/>
            <rFont val="Tahoma"/>
            <family val="2"/>
          </rPr>
          <t>adsDt min: 11 max: 11 default: 15</t>
        </r>
      </text>
    </comment>
    <comment ref="A7" authorId="0">
      <text>
        <r>
          <rPr>
            <sz val="8"/>
            <color indexed="81"/>
            <rFont val="Tahoma"/>
            <family val="2"/>
          </rPr>
          <t>adslhx min: 0.35 max: 0.35 default: 0.5</t>
        </r>
      </text>
    </comment>
    <comment ref="A8" authorId="0">
      <text>
        <r>
          <rPr>
            <sz val="8"/>
            <color indexed="81"/>
            <rFont val="Tahoma"/>
            <family val="2"/>
          </rPr>
          <t>adsdx min: 0.0175 max: 0.0175 default: 0.025</t>
        </r>
      </text>
    </comment>
    <comment ref="A9" authorId="0">
      <text>
        <r>
          <rPr>
            <sz val="8"/>
            <color indexed="81"/>
            <rFont val="Tahoma"/>
            <family val="2"/>
          </rPr>
          <t>adsN min: 11 max: 11 default: 15</t>
        </r>
      </text>
    </comment>
    <comment ref="A10" authorId="0">
      <text>
        <r>
          <rPr>
            <sz val="8"/>
            <color indexed="81"/>
            <rFont val="Tahoma"/>
            <family val="2"/>
          </rPr>
          <t>rgnDt min: 9 max: 9 default: 12</t>
        </r>
      </text>
    </comment>
    <comment ref="A11" authorId="0">
      <text>
        <r>
          <rPr>
            <sz val="8"/>
            <color indexed="81"/>
            <rFont val="Tahoma"/>
            <family val="2"/>
          </rPr>
          <t>rgnlhx min: 0.07 max: 0.07 default: 0.1</t>
        </r>
      </text>
    </comment>
    <comment ref="A12" authorId="0">
      <text>
        <r>
          <rPr>
            <sz val="8"/>
            <color indexed="81"/>
            <rFont val="Tahoma"/>
            <family val="2"/>
          </rPr>
          <t>rgndx min: 0.014 max: 0.014 default: 0.02</t>
        </r>
      </text>
    </comment>
    <comment ref="A13" authorId="0">
      <text>
        <r>
          <rPr>
            <sz val="8"/>
            <color indexed="81"/>
            <rFont val="Tahoma"/>
            <family val="2"/>
          </rPr>
          <t>rgnN min: 11 max: 11 default: 15</t>
        </r>
      </text>
    </comment>
    <comment ref="A14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5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6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7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8" authorId="0">
      <text>
        <r>
          <rPr>
            <sz val="8"/>
            <color indexed="81"/>
            <rFont val="Tahoma"/>
            <family val="2"/>
          </rPr>
          <t>Lb min: 2.8 max: 2.8 default: 4</t>
        </r>
      </text>
    </comment>
    <comment ref="A19" authorId="0">
      <text>
        <r>
          <rPr>
            <sz val="8"/>
            <color indexed="81"/>
            <rFont val="Tahoma"/>
            <family val="2"/>
          </rPr>
          <t>F min: 400 max: 400 default: 700</t>
        </r>
      </text>
    </comment>
    <comment ref="A20" authorId="0">
      <text>
        <r>
          <rPr>
            <sz val="8"/>
            <color indexed="81"/>
            <rFont val="Tahoma"/>
            <family val="2"/>
          </rPr>
          <t>Fm min: 400000 max: 400000 default: 600000</t>
        </r>
      </text>
    </comment>
    <comment ref="A21" authorId="0">
      <text>
        <r>
          <rPr>
            <sz val="8"/>
            <color indexed="81"/>
            <rFont val="Tahoma"/>
            <family val="2"/>
          </rPr>
          <t>T min: 25 max: 25 default: 40</t>
        </r>
      </text>
    </comment>
  </commentList>
</comments>
</file>

<file path=xl/sharedStrings.xml><?xml version="1.0" encoding="utf-8"?>
<sst xmlns="http://schemas.openxmlformats.org/spreadsheetml/2006/main" count="1473" uniqueCount="506">
  <si>
    <t>Setup File:</t>
  </si>
  <si>
    <t>run id:</t>
  </si>
  <si>
    <t>end time:</t>
  </si>
  <si>
    <t>elapsed time (s):</t>
  </si>
  <si>
    <t>If you delete an input variable, the simulation will run with the default value.</t>
  </si>
  <si>
    <t>Before running auto layout, delete the existing layout and interface sheet.</t>
  </si>
  <si>
    <t>0 -- Index</t>
  </si>
  <si>
    <t>1 -- Name</t>
  </si>
  <si>
    <t>2 -- Mode</t>
  </si>
  <si>
    <t>3 -- Type1</t>
  </si>
  <si>
    <t>4 -- Sheet</t>
  </si>
  <si>
    <t>5 -- Cell</t>
  </si>
  <si>
    <t>6 -- Show Name</t>
  </si>
  <si>
    <t>8 -- Row</t>
  </si>
  <si>
    <t>9 -- Col</t>
  </si>
  <si>
    <t>10 -- Row Label</t>
  </si>
  <si>
    <t>11 -- Col Label</t>
  </si>
  <si>
    <t>7 -- Table Name</t>
  </si>
  <si>
    <t>output</t>
  </si>
  <si>
    <t>Run Options</t>
  </si>
  <si>
    <t>Restart every run:</t>
  </si>
  <si>
    <t>Run defaults first:</t>
  </si>
  <si>
    <t>status:</t>
  </si>
  <si>
    <t>Description</t>
  </si>
  <si>
    <t>Cell</t>
  </si>
  <si>
    <t>Type</t>
  </si>
  <si>
    <t>Elapsed Time (s)</t>
  </si>
  <si>
    <t>Interface!C6</t>
  </si>
  <si>
    <t>Run Status</t>
  </si>
  <si>
    <t>Interface!C7</t>
  </si>
  <si>
    <t>Restart mod:</t>
  </si>
  <si>
    <t>You can adjust the number formats manually</t>
  </si>
  <si>
    <t>Restart on Fail:</t>
  </si>
  <si>
    <t>Variables (If you make changes on the layout sheet delete below then redraw the layout):</t>
  </si>
  <si>
    <t>start time:</t>
  </si>
  <si>
    <t>After running auto layout you can modify the locations of variables, or delete rows entirely.</t>
  </si>
  <si>
    <t>After the layout is done, run the draw interface macro to put in initial values and labels.</t>
  </si>
  <si>
    <t>Run id --&gt;</t>
  </si>
  <si>
    <t>--</t>
  </si>
  <si>
    <t xml:space="preserve">Enter input and output cells bellow.  </t>
  </si>
  <si>
    <t>Fill out all input cells and the run id row.</t>
  </si>
  <si>
    <t>Close on Fail</t>
  </si>
  <si>
    <t>Save After Run:</t>
  </si>
  <si>
    <t>VBA Var Backup Index</t>
  </si>
  <si>
    <t>modeFRONTIER reopens the workbook everythime an Excel node runs.  This is a problem.</t>
  </si>
  <si>
    <t>The sim variable in the VBA code will be lost causeing the link to the simulation software</t>
  </si>
  <si>
    <t>to be lost.  If 0 &gt;= backup index &lt;= 10, the sim variable will be stored in dummy.xlsm,</t>
  </si>
  <si>
    <t>which will not be restarted.  When this workbook is reopened it can get the sim variable back</t>
  </si>
  <si>
    <t>from the dummy.xlsm sheet.  There are 11 backup spaces to avoid confilicts if more than</t>
  </si>
  <si>
    <t>one spreadsheet based on this tempalte is running at a time.  They will all use dummy.xlsm</t>
  </si>
  <si>
    <t>for backup.  The dummy.xlsm book needs to be open for this to work.</t>
  </si>
  <si>
    <t>sim open?</t>
  </si>
  <si>
    <t>Directory for dummy workbook</t>
  </si>
  <si>
    <t>C:\MovingB</t>
  </si>
  <si>
    <t>Close Sim on Exit</t>
  </si>
  <si>
    <t>homotopy</t>
  </si>
  <si>
    <t>Interface</t>
  </si>
  <si>
    <t>scalar</t>
  </si>
  <si>
    <t>input</t>
  </si>
  <si>
    <t>$C$10</t>
  </si>
  <si>
    <t>printlevel</t>
  </si>
  <si>
    <t>$C$11</t>
  </si>
  <si>
    <t>$C$12</t>
  </si>
  <si>
    <t>BFBadsT.Lb</t>
  </si>
  <si>
    <t>$C$13</t>
  </si>
  <si>
    <t>$C$14</t>
  </si>
  <si>
    <t>$C$15</t>
  </si>
  <si>
    <t>Fm</t>
  </si>
  <si>
    <t>$C$16</t>
  </si>
  <si>
    <t>$C$17</t>
  </si>
  <si>
    <t>BFBadsM.Lb</t>
  </si>
  <si>
    <t>$C$18</t>
  </si>
  <si>
    <t>$C$19</t>
  </si>
  <si>
    <t>$C$20</t>
  </si>
  <si>
    <t>$C$21</t>
  </si>
  <si>
    <t>BFBadsB.Lb</t>
  </si>
  <si>
    <t>$C$22</t>
  </si>
  <si>
    <t>$C$23</t>
  </si>
  <si>
    <t>$C$24</t>
  </si>
  <si>
    <t>$C$25</t>
  </si>
  <si>
    <t>BFBrgnT.Lb</t>
  </si>
  <si>
    <t>$C$26</t>
  </si>
  <si>
    <t>$C$27</t>
  </si>
  <si>
    <t>$C$28</t>
  </si>
  <si>
    <t>BFBrgnB.Lb</t>
  </si>
  <si>
    <t>adsN</t>
  </si>
  <si>
    <t>rgnN</t>
  </si>
  <si>
    <t>BFBadsT.Nx</t>
  </si>
  <si>
    <t>$G$10</t>
  </si>
  <si>
    <t>BFBadsM.Nx</t>
  </si>
  <si>
    <t>$G$11</t>
  </si>
  <si>
    <t>BFBadsB.Nx</t>
  </si>
  <si>
    <t>$G$12</t>
  </si>
  <si>
    <t>BFBrgnT.Nx</t>
  </si>
  <si>
    <t>$G$13</t>
  </si>
  <si>
    <t>BFBrgnB.Nx</t>
  </si>
  <si>
    <t>$G$14</t>
  </si>
  <si>
    <t>Unit Name</t>
  </si>
  <si>
    <t>Total Unit Cost (2006)</t>
  </si>
  <si>
    <t>Dimensions</t>
  </si>
  <si>
    <t>Variable</t>
  </si>
  <si>
    <t>Value</t>
  </si>
  <si>
    <t>Units</t>
  </si>
  <si>
    <t>Reference</t>
  </si>
  <si>
    <t>Height</t>
  </si>
  <si>
    <t>Diameter</t>
  </si>
  <si>
    <t>Bed Depth</t>
  </si>
  <si>
    <t>Inlet Pressure</t>
  </si>
  <si>
    <t>HX Area</t>
  </si>
  <si>
    <t>m^2</t>
  </si>
  <si>
    <t>ft^2</t>
  </si>
  <si>
    <t>bar, a</t>
  </si>
  <si>
    <t>m</t>
  </si>
  <si>
    <t>BFBadsT</t>
  </si>
  <si>
    <t>Costing</t>
  </si>
  <si>
    <t>Lb</t>
  </si>
  <si>
    <t>Dt</t>
  </si>
  <si>
    <t>Design Pressure</t>
  </si>
  <si>
    <t>E</t>
  </si>
  <si>
    <t>S</t>
  </si>
  <si>
    <t>psi</t>
  </si>
  <si>
    <t>H</t>
  </si>
  <si>
    <t>Pin</t>
  </si>
  <si>
    <t>AHX</t>
  </si>
  <si>
    <t>tp adj</t>
  </si>
  <si>
    <t>tp calc</t>
  </si>
  <si>
    <t>tw</t>
  </si>
  <si>
    <t>tv</t>
  </si>
  <si>
    <t>tc</t>
  </si>
  <si>
    <t>tv + tc</t>
  </si>
  <si>
    <t>ts</t>
  </si>
  <si>
    <t>Density of Steel</t>
  </si>
  <si>
    <t>dSteel</t>
  </si>
  <si>
    <t>W</t>
  </si>
  <si>
    <t>Vessel Cost (2006)</t>
  </si>
  <si>
    <t>in</t>
  </si>
  <si>
    <t>lb</t>
  </si>
  <si>
    <t>Distributor Plates (assume bubble cap trays)</t>
  </si>
  <si>
    <t>Cbt</t>
  </si>
  <si>
    <t>Fnt</t>
  </si>
  <si>
    <t>Ftt</t>
  </si>
  <si>
    <t>Ftm</t>
  </si>
  <si>
    <t>Tray Cost (2006)</t>
  </si>
  <si>
    <t>Assumed flating head shell and tube exchanger for internal HX</t>
  </si>
  <si>
    <t>Assume carbon steel for stress calculation, with wall thickness &lt; 1.25 inches</t>
  </si>
  <si>
    <t>Cb</t>
  </si>
  <si>
    <t>Fp</t>
  </si>
  <si>
    <t>a</t>
  </si>
  <si>
    <t>b</t>
  </si>
  <si>
    <t>Fl</t>
  </si>
  <si>
    <t>Cost per Unit (2006)</t>
  </si>
  <si>
    <t>Cost of Platforms and Ladders</t>
  </si>
  <si>
    <t>Cpl</t>
  </si>
  <si>
    <t>Weight of Shell/Heads</t>
  </si>
  <si>
    <t>Material Factor</t>
  </si>
  <si>
    <t>Tube-length Factor</t>
  </si>
  <si>
    <t>Material Factor a</t>
  </si>
  <si>
    <t>Material Factor b</t>
  </si>
  <si>
    <t>Pressure Factor</t>
  </si>
  <si>
    <t>Base fob Cost</t>
  </si>
  <si>
    <t>Pd</t>
  </si>
  <si>
    <t>Shell wall thickness</t>
  </si>
  <si>
    <t>Thickness for wind</t>
  </si>
  <si>
    <t>Necessary wall thickness</t>
  </si>
  <si>
    <t>Thickness correction</t>
  </si>
  <si>
    <t>Total Thickness</t>
  </si>
  <si>
    <t>Vessel thickness</t>
  </si>
  <si>
    <t>Mat. Of Construction Factor</t>
  </si>
  <si>
    <t>Base Cost</t>
  </si>
  <si>
    <t>Tray Type Factor</t>
  </si>
  <si>
    <t>No. Of Trays Factor</t>
  </si>
  <si>
    <t>BFBadsM</t>
  </si>
  <si>
    <t>BFBadsB</t>
  </si>
  <si>
    <t>Cost of P&amp;L</t>
  </si>
  <si>
    <t>BFBrgnT</t>
  </si>
  <si>
    <t>BFBrgnB</t>
  </si>
  <si>
    <t>SSL 22.61</t>
  </si>
  <si>
    <t>SSL 22.60</t>
  </si>
  <si>
    <t>SSL pg. 575</t>
  </si>
  <si>
    <t>SSL 22.62</t>
  </si>
  <si>
    <t>SSL pg. 576</t>
  </si>
  <si>
    <t>SSL 22.59</t>
  </si>
  <si>
    <t>SSL 22.39</t>
  </si>
  <si>
    <t>SSL 22.45</t>
  </si>
  <si>
    <t>SSL pg. 571</t>
  </si>
  <si>
    <t>SSL 22.44</t>
  </si>
  <si>
    <t>SSL 22.43</t>
  </si>
  <si>
    <t>SSL 22.68</t>
  </si>
  <si>
    <t>SSL pg. 577</t>
  </si>
  <si>
    <t>SSL 22.66</t>
  </si>
  <si>
    <t>SSL 22.67</t>
  </si>
  <si>
    <t>GHXfg</t>
  </si>
  <si>
    <t>Pshell</t>
  </si>
  <si>
    <t>Shell Side Pressure</t>
  </si>
  <si>
    <t>bar</t>
  </si>
  <si>
    <t>Assume floating head shell and tube exchanger</t>
  </si>
  <si>
    <t>CMPads</t>
  </si>
  <si>
    <t>GHXcmp</t>
  </si>
  <si>
    <t>CMPrgn</t>
  </si>
  <si>
    <t>HX Oversize Factor</t>
  </si>
  <si>
    <t>kmol/hr</t>
  </si>
  <si>
    <t>Power Per Unit</t>
  </si>
  <si>
    <t>kW</t>
  </si>
  <si>
    <t>Hp</t>
  </si>
  <si>
    <t>Outlet Pressure</t>
  </si>
  <si>
    <t>Power</t>
  </si>
  <si>
    <t>Pout</t>
  </si>
  <si>
    <t>Cost Per Unit (2006)</t>
  </si>
  <si>
    <t>SSL 22.31</t>
  </si>
  <si>
    <t>SSL 22.33</t>
  </si>
  <si>
    <t>Centrifugal compressor costing</t>
  </si>
  <si>
    <t>Fd</t>
  </si>
  <si>
    <t>CbMax</t>
  </si>
  <si>
    <t>Maximum Cb</t>
  </si>
  <si>
    <t>Rotary blower costing (If outlet pressure &lt; 2 bar,a use blowers)</t>
  </si>
  <si>
    <t>ELEads</t>
  </si>
  <si>
    <t>CYCads</t>
  </si>
  <si>
    <t>ELErgn</t>
  </si>
  <si>
    <t>Solids Flowrate</t>
  </si>
  <si>
    <t>Solids Density</t>
  </si>
  <si>
    <t>Volumetric Flowrate</t>
  </si>
  <si>
    <t>Elevation Height</t>
  </si>
  <si>
    <t>kg/hr</t>
  </si>
  <si>
    <t>kg/m^3</t>
  </si>
  <si>
    <t>m^3/hr</t>
  </si>
  <si>
    <t>Assume bucket elevator</t>
  </si>
  <si>
    <t>Est. Bucket Width</t>
  </si>
  <si>
    <t>Cp</t>
  </si>
  <si>
    <t>Drive motor</t>
  </si>
  <si>
    <t>PW</t>
  </si>
  <si>
    <t>SSL T22.29</t>
  </si>
  <si>
    <t>SSL 22.19</t>
  </si>
  <si>
    <t>Ft</t>
  </si>
  <si>
    <t>SSL T22.22</t>
  </si>
  <si>
    <t>SSL 22.20</t>
  </si>
  <si>
    <t>w</t>
  </si>
  <si>
    <t>Gas Flowrate</t>
  </si>
  <si>
    <t>Gas Temperature</t>
  </si>
  <si>
    <t>Gas Pressure</t>
  </si>
  <si>
    <t>ft^3/min</t>
  </si>
  <si>
    <t>Centrigrade</t>
  </si>
  <si>
    <t>dSolid</t>
  </si>
  <si>
    <t>Qvol</t>
  </si>
  <si>
    <t>Helev</t>
  </si>
  <si>
    <t>Tgas</t>
  </si>
  <si>
    <t>Pgas</t>
  </si>
  <si>
    <t>Fhx</t>
  </si>
  <si>
    <t>SolidIn.Fm</t>
  </si>
  <si>
    <t>Fgas</t>
  </si>
  <si>
    <t>Fsolid</t>
  </si>
  <si>
    <t>NU</t>
  </si>
  <si>
    <t>No. Units</t>
  </si>
  <si>
    <t>ghxfg.a_exch</t>
  </si>
  <si>
    <t>$G$15</t>
  </si>
  <si>
    <t>$G$16</t>
  </si>
  <si>
    <t>$G$17</t>
  </si>
  <si>
    <t>$G$18</t>
  </si>
  <si>
    <t>rhos</t>
  </si>
  <si>
    <t>$G$19</t>
  </si>
  <si>
    <t>$G$20</t>
  </si>
  <si>
    <t>$G$21</t>
  </si>
  <si>
    <t>CMPads.J</t>
  </si>
  <si>
    <t>CMPrgn.J</t>
  </si>
  <si>
    <t>CMPads.GasOut.P</t>
  </si>
  <si>
    <t>GHXfg.a_exch</t>
  </si>
  <si>
    <t>$G$22</t>
  </si>
  <si>
    <t>GHXcmp.a_exch</t>
  </si>
  <si>
    <t>$G$23</t>
  </si>
  <si>
    <t>GHXfg.GasIn.P</t>
  </si>
  <si>
    <t>GHXcmp.GasIn.P</t>
  </si>
  <si>
    <t>$G$24</t>
  </si>
  <si>
    <t>$G$25</t>
  </si>
  <si>
    <t>check this</t>
  </si>
  <si>
    <t>GHXfg.GasOut.T</t>
  </si>
  <si>
    <t>steam.F</t>
  </si>
  <si>
    <t>Total ADS Cost (2006)</t>
  </si>
  <si>
    <t>Total RGN Cost (2006)</t>
  </si>
  <si>
    <t xml:space="preserve">Total Capital Cost </t>
  </si>
  <si>
    <t>Total Capital Cost (2006)</t>
  </si>
  <si>
    <t>Cost Basis</t>
  </si>
  <si>
    <t>Gross Power</t>
  </si>
  <si>
    <t>MW</t>
  </si>
  <si>
    <t>Net Power</t>
  </si>
  <si>
    <t>CO2 Flow Rate Out of FGD</t>
  </si>
  <si>
    <t>lb/hr</t>
  </si>
  <si>
    <t>CO2 Capture Rate</t>
  </si>
  <si>
    <t>Total Overnight Cost</t>
  </si>
  <si>
    <t>Case 11 COE - w/o TS&amp;M</t>
  </si>
  <si>
    <t>$/MWh</t>
  </si>
  <si>
    <t>Operating Labor Rate(base)</t>
  </si>
  <si>
    <t>$/hour</t>
  </si>
  <si>
    <t>Operating Labor Burden</t>
  </si>
  <si>
    <t>% of base</t>
  </si>
  <si>
    <t>Labor O-H Charge Rate</t>
  </si>
  <si>
    <t>% of labor</t>
  </si>
  <si>
    <t>Unit/mod.</t>
  </si>
  <si>
    <t>Tot. Plant</t>
  </si>
  <si>
    <t>Skilled Operator</t>
  </si>
  <si>
    <t>Operator</t>
  </si>
  <si>
    <t>Foreman</t>
  </si>
  <si>
    <t>Lab Tech's, etc.</t>
  </si>
  <si>
    <t>TOTAL Operating Jobs</t>
  </si>
  <si>
    <t>An. Cost ($/yr)</t>
  </si>
  <si>
    <t>Annual Operating Labor Cost (calc'd)</t>
  </si>
  <si>
    <t>Maintenance Labor Cost (calc'd)</t>
  </si>
  <si>
    <t>Administrative &amp; Support Labor (calc'd)</t>
  </si>
  <si>
    <t>Property Taxes &amp; Insurance</t>
  </si>
  <si>
    <t>TOTAL FIXED OPERATING COSTS</t>
  </si>
  <si>
    <t>Variable Costs (85% Capacity)</t>
  </si>
  <si>
    <t>Maintenance Material Costs (calc'd)</t>
  </si>
  <si>
    <t>Initial Fill</t>
  </si>
  <si>
    <t>Used (unit/Day)</t>
  </si>
  <si>
    <t>Unit Cost</t>
  </si>
  <si>
    <t>Initial Cost</t>
  </si>
  <si>
    <t>A. Cost ($/yr)</t>
  </si>
  <si>
    <t>Water(/1000 gallons)</t>
  </si>
  <si>
    <t>Chemicals</t>
  </si>
  <si>
    <t>MU &amp; WT Chem.(lb)</t>
  </si>
  <si>
    <t>Limestone (ton)</t>
  </si>
  <si>
    <t>Carbon (Mercury Removal) (lb)</t>
  </si>
  <si>
    <t>MEA Solvent (ton)</t>
  </si>
  <si>
    <t>NaOH (tons)</t>
  </si>
  <si>
    <t>H2SO4 (tons)</t>
  </si>
  <si>
    <t>Corrosion Inhibitor</t>
  </si>
  <si>
    <t>Activated Carbon(lb)</t>
  </si>
  <si>
    <t>Ammonia (28% NH3) ton</t>
  </si>
  <si>
    <t>Other</t>
  </si>
  <si>
    <t>Supplemental Fuel(MBtu)</t>
  </si>
  <si>
    <t>SCR Catalyst(m3)</t>
  </si>
  <si>
    <t>w/equip</t>
  </si>
  <si>
    <t>Emission Penalties</t>
  </si>
  <si>
    <t>Waste Disposal</t>
  </si>
  <si>
    <t>Spent Mercury Catalyst (lb)</t>
  </si>
  <si>
    <t>Flyash (ton)</t>
  </si>
  <si>
    <t>Bottom Ash(ton)</t>
  </si>
  <si>
    <t>By-products &amp; Emissions</t>
  </si>
  <si>
    <t>Gypsum (tons)</t>
  </si>
  <si>
    <t>Sulfur (tons)</t>
  </si>
  <si>
    <t>Fuel</t>
  </si>
  <si>
    <t>TOTAL VARIABLE OPERATING COSTS</t>
  </si>
  <si>
    <t>TOTAL VARIABLE OPERATING COSTS Except Fuel</t>
  </si>
  <si>
    <t>Flow to Sequestration</t>
  </si>
  <si>
    <t>kg/MWh</t>
  </si>
  <si>
    <t>Case 12 COE - w/o TS&amp;M</t>
  </si>
  <si>
    <t>TS&amp;M Additional COE</t>
  </si>
  <si>
    <t>Case 12 COE - with TS&amp;M</t>
  </si>
  <si>
    <t>TS&amp;M</t>
  </si>
  <si>
    <t>$/kg</t>
  </si>
  <si>
    <t>Costs That Are Functions of TOC</t>
  </si>
  <si>
    <t>Mantance  Labor</t>
  </si>
  <si>
    <t>$/$TOC</t>
  </si>
  <si>
    <t>Tax/Ins.</t>
  </si>
  <si>
    <t>Var. Maintenance</t>
  </si>
  <si>
    <t>$/TOC</t>
  </si>
  <si>
    <t>Annual Operating Labor Cost</t>
  </si>
  <si>
    <t>Maintenance Labor Cost</t>
  </si>
  <si>
    <t>Administrative &amp; Support Labor</t>
  </si>
  <si>
    <t>Maintenance Material Costs</t>
  </si>
  <si>
    <t>Capital Cost (TOC)</t>
  </si>
  <si>
    <t>SC Plant Capital Cost</t>
  </si>
  <si>
    <t>Capture System Capital Cost</t>
  </si>
  <si>
    <t>Compression System Capital Cost</t>
  </si>
  <si>
    <t>Initial Adsorbent Cost</t>
  </si>
  <si>
    <t>Total</t>
  </si>
  <si>
    <t>ADS Cost (2006)</t>
  </si>
  <si>
    <t>RGN Cost (2006)</t>
  </si>
  <si>
    <t>2004 Cost Factor</t>
  </si>
  <si>
    <t>2006 Cost Factor</t>
  </si>
  <si>
    <t>2007 Cost Factor</t>
  </si>
  <si>
    <t>2010 Cost Factor</t>
  </si>
  <si>
    <t>Delivery Factor</t>
  </si>
  <si>
    <t>Lang Factor</t>
  </si>
  <si>
    <t>Overnight Cost (2010)</t>
  </si>
  <si>
    <t>Adsorbent Flowrate per ADS Unit</t>
  </si>
  <si>
    <t>tons/hr</t>
  </si>
  <si>
    <t>Cost</t>
  </si>
  <si>
    <t>$/tonne</t>
  </si>
  <si>
    <t>Total Circulation</t>
  </si>
  <si>
    <t>Cycle Duration</t>
  </si>
  <si>
    <t>hr</t>
  </si>
  <si>
    <t>Cycles</t>
  </si>
  <si>
    <t>cycles/day</t>
  </si>
  <si>
    <t>Reservoir</t>
  </si>
  <si>
    <t>tons</t>
  </si>
  <si>
    <t>Loss fraction</t>
  </si>
  <si>
    <t>%/cycle</t>
  </si>
  <si>
    <t>Loss per yr</t>
  </si>
  <si>
    <t>lb/s</t>
  </si>
  <si>
    <t>Total CW Flowrate</t>
  </si>
  <si>
    <t>Total CW Usage</t>
  </si>
  <si>
    <t>1E3 gal/hr</t>
  </si>
  <si>
    <t>CW Cost</t>
  </si>
  <si>
    <t>$/1E3 gal</t>
  </si>
  <si>
    <t>Unit Conversion</t>
  </si>
  <si>
    <t>kg/lb</t>
  </si>
  <si>
    <t>Sorbent Price from ADA</t>
  </si>
  <si>
    <t>$/lb</t>
  </si>
  <si>
    <t>Loss per cycle</t>
  </si>
  <si>
    <t>%</t>
  </si>
  <si>
    <t>Annual O&amp;M Cost</t>
  </si>
  <si>
    <t>Fixed Costs</t>
  </si>
  <si>
    <t>&gt; Annual Operating Labor Cost</t>
  </si>
  <si>
    <t>&gt; Administrative and Support</t>
  </si>
  <si>
    <t>&gt; Property Tax and Insurance</t>
  </si>
  <si>
    <t>Variable Costs</t>
  </si>
  <si>
    <t>&gt; Cooling Water Cost</t>
  </si>
  <si>
    <t>&gt; Variable Adsorbent Cost</t>
  </si>
  <si>
    <t>&gt; Other</t>
  </si>
  <si>
    <t>&gt; Waste Disposal</t>
  </si>
  <si>
    <t>Fuel Costs</t>
  </si>
  <si>
    <t>$/yr</t>
  </si>
  <si>
    <t>Basis</t>
  </si>
  <si>
    <t>Total Overnight Cost Plant</t>
  </si>
  <si>
    <t>Total Overnight Cost Capture &amp; Compression</t>
  </si>
  <si>
    <t>Case 12 labor</t>
  </si>
  <si>
    <t>Total labor costs</t>
  </si>
  <si>
    <t>Case 12, factor *TOC</t>
  </si>
  <si>
    <t>Major Equipment Purchase Costs</t>
  </si>
  <si>
    <t>&gt; Process Water Cost</t>
  </si>
  <si>
    <t>Capital Charge Factor (High Risk)</t>
  </si>
  <si>
    <t>Capital Charge Factor (Low Risk)</t>
  </si>
  <si>
    <t>Total Variable Costs (w/o Fuel)</t>
  </si>
  <si>
    <t>Total Fixed Costs</t>
  </si>
  <si>
    <t>&gt; Annual Fuel Cost</t>
  </si>
  <si>
    <t>Total Variable Costs (w/ Fuel)</t>
  </si>
  <si>
    <t>2007, 550MW</t>
  </si>
  <si>
    <t>2007, 650MW</t>
  </si>
  <si>
    <t>*assume $0 for now</t>
  </si>
  <si>
    <t>Scaled from Case 12</t>
  </si>
  <si>
    <t>removalCO2</t>
  </si>
  <si>
    <t>$G$26</t>
  </si>
  <si>
    <t>removalH2O</t>
  </si>
  <si>
    <t>$G$27</t>
  </si>
  <si>
    <t>GHXfg.HXIn.F</t>
  </si>
  <si>
    <t>$G$28</t>
  </si>
  <si>
    <t>GHXcmp.HXIn.F</t>
  </si>
  <si>
    <t>$G$29</t>
  </si>
  <si>
    <t>CW_SHXlean.HXIn.F</t>
  </si>
  <si>
    <t>$G$30</t>
  </si>
  <si>
    <t>BFBadsT.HXIn.F</t>
  </si>
  <si>
    <t>$G$31</t>
  </si>
  <si>
    <t>&gt; Variable Chemical Cost</t>
  </si>
  <si>
    <t>$G$32</t>
  </si>
  <si>
    <t>$G$33</t>
  </si>
  <si>
    <t>Net Power Output w/o Capture</t>
  </si>
  <si>
    <t>Power Demand for CO2 Compression</t>
  </si>
  <si>
    <t>Power Demand for Auxilliary Equipment</t>
  </si>
  <si>
    <t>Power Loss due to Steam Extraction</t>
  </si>
  <si>
    <t>Net Power Output w/ Capture</t>
  </si>
  <si>
    <t>BFBrgnT.HXIn.F</t>
  </si>
  <si>
    <t>BFBrgnB.HXIn.F</t>
  </si>
  <si>
    <t>&gt;Steam Usage per Unit</t>
  </si>
  <si>
    <t>&gt;Total Steam Usage</t>
  </si>
  <si>
    <t>MEMCAP Base Plant</t>
  </si>
  <si>
    <t xml:space="preserve">Power Demand </t>
  </si>
  <si>
    <t>Maintenance/Property Tax/Insurance</t>
  </si>
  <si>
    <t>Scaling Factor (550-&gt;650 MW)</t>
  </si>
  <si>
    <t>&gt; Maintenance Labor Cost</t>
  </si>
  <si>
    <t>&gt; Maintenance Cost</t>
  </si>
  <si>
    <t>Scaled from Case 11</t>
  </si>
  <si>
    <t>Cooling Water Calcs</t>
  </si>
  <si>
    <t>Adsorbent Var Calcs</t>
  </si>
  <si>
    <t>Operating Jobs</t>
  </si>
  <si>
    <t xml:space="preserve">Bituminous Baseline Case 12, Supercritical PC MEA 90% Capture </t>
  </si>
  <si>
    <t>Bituminous Baseline Case 11, Supercritical PC No Capture</t>
  </si>
  <si>
    <t>*2007?</t>
  </si>
  <si>
    <t>MEMCAP</t>
  </si>
  <si>
    <t>Capital Cost for Capture System</t>
  </si>
  <si>
    <t>Total Purchase Cost (2006)</t>
  </si>
  <si>
    <t>Total Purchase Cost  (2010)</t>
  </si>
  <si>
    <t>Cost of Electricity</t>
  </si>
  <si>
    <t>COE for TS&amp;M</t>
  </si>
  <si>
    <t>Cooling Water Costs (2007, 550MW)</t>
  </si>
  <si>
    <t>Capacity Factor</t>
  </si>
  <si>
    <t>COE w/ Capture (no Cmp or TS&amp;M)</t>
  </si>
  <si>
    <t>Assumed floating head shell and tube exchanger for internal HX</t>
  </si>
  <si>
    <t>Frac. weld efficiency</t>
  </si>
  <si>
    <t>Max. stress</t>
  </si>
  <si>
    <t>SSL 22.56</t>
  </si>
  <si>
    <t>Motor-type factor</t>
  </si>
  <si>
    <t>fob purchase cost</t>
  </si>
  <si>
    <t>Drive factor</t>
  </si>
  <si>
    <t>SSL pg. 569</t>
  </si>
  <si>
    <t>SSL 22.36</t>
  </si>
  <si>
    <t>SSL 22.35</t>
  </si>
  <si>
    <t>SSL T22.32</t>
  </si>
  <si>
    <t>Adsorbent Costs (2010, 550MW)</t>
  </si>
  <si>
    <t>SSL 22.54</t>
  </si>
  <si>
    <t>Cv</t>
  </si>
  <si>
    <t>Ct</t>
  </si>
  <si>
    <t>Pc</t>
  </si>
  <si>
    <t>BFBv5.2.3_new.json</t>
  </si>
  <si>
    <t>rgnSF</t>
  </si>
  <si>
    <t>adsDt</t>
  </si>
  <si>
    <t>adslhx</t>
  </si>
  <si>
    <t>adsdx</t>
  </si>
  <si>
    <t>rgnDt</t>
  </si>
  <si>
    <t>rgnlhx</t>
  </si>
  <si>
    <t>rgndx</t>
  </si>
  <si>
    <t>CMPrgn.GasOut.P</t>
  </si>
  <si>
    <t>GasOut.T</t>
  </si>
  <si>
    <t>GasOut.F</t>
  </si>
  <si>
    <t>Inputs</t>
  </si>
  <si>
    <t>99% removalCO2</t>
  </si>
  <si>
    <t>COE</t>
  </si>
  <si>
    <t>min trains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</si>
</sst>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8" formatCode="&quot;$&quot;#,##0.00_);[Red]\(&quot;$&quot;#,##0.00\)"/>
    <numFmt numFmtId="164" formatCode="0.0"/>
    <numFmt numFmtId="165" formatCode="0.000"/>
    <numFmt numFmtId="166" formatCode="0.00000"/>
    <numFmt numFmtId="167" formatCode="&quot;$&quot;#,##0"/>
    <numFmt numFmtId="168" formatCode="&quot;$&quot;#,##0.00"/>
    <numFmt numFmtId="169" formatCode="0.000000"/>
    <numFmt numFmtId="170" formatCode="0.00000000"/>
    <numFmt numFmtId="171" formatCode="&quot;$&quot;#,##0.0"/>
  </numFmts>
  <fonts count="18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rgb="FFC00000"/>
      <name val="Calibri"/>
      <family val="2"/>
    </font>
    <font>
      <sz val="9"/>
      <name val="Calibri"/>
      <family val="3"/>
      <charset val="129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/>
      <diagonal/>
    </border>
    <border>
      <left style="mediumDashed">
        <color auto="1"/>
      </left>
      <right/>
      <top/>
      <bottom style="thin">
        <color indexed="64"/>
      </bottom>
      <diagonal/>
    </border>
    <border>
      <left/>
      <right style="mediumDashed">
        <color auto="1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right"/>
    </xf>
    <xf numFmtId="0" fontId="2" fillId="0" borderId="0" xfId="0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0" fillId="0" borderId="0" xfId="0" quotePrefix="1"/>
    <xf numFmtId="0" fontId="1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Border="1"/>
    <xf numFmtId="0" fontId="8" fillId="0" borderId="0" xfId="0" applyFont="1" applyBorder="1"/>
    <xf numFmtId="0" fontId="9" fillId="0" borderId="2" xfId="0" applyFont="1" applyBorder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10" fillId="0" borderId="0" xfId="0" applyFont="1" applyBorder="1"/>
    <xf numFmtId="0" fontId="8" fillId="2" borderId="0" xfId="0" applyFont="1" applyFill="1" applyBorder="1"/>
    <xf numFmtId="0" fontId="9" fillId="2" borderId="0" xfId="0" applyFont="1" applyFill="1"/>
    <xf numFmtId="0" fontId="11" fillId="2" borderId="0" xfId="0" applyFont="1" applyFill="1" applyBorder="1"/>
    <xf numFmtId="0" fontId="8" fillId="0" borderId="4" xfId="0" applyFont="1" applyBorder="1"/>
    <xf numFmtId="0" fontId="8" fillId="0" borderId="5" xfId="0" applyFont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11" fillId="2" borderId="3" xfId="0" applyFont="1" applyFill="1" applyBorder="1"/>
    <xf numFmtId="0" fontId="8" fillId="2" borderId="7" xfId="0" applyFont="1" applyFill="1" applyBorder="1"/>
    <xf numFmtId="0" fontId="8" fillId="0" borderId="8" xfId="0" applyFont="1" applyBorder="1"/>
    <xf numFmtId="0" fontId="8" fillId="0" borderId="9" xfId="0" applyFont="1" applyBorder="1"/>
    <xf numFmtId="165" fontId="8" fillId="0" borderId="0" xfId="0" applyNumberFormat="1" applyFont="1" applyBorder="1"/>
    <xf numFmtId="2" fontId="10" fillId="0" borderId="0" xfId="0" applyNumberFormat="1" applyFont="1" applyBorder="1"/>
    <xf numFmtId="2" fontId="8" fillId="0" borderId="0" xfId="0" applyNumberFormat="1" applyFont="1" applyBorder="1"/>
    <xf numFmtId="166" fontId="8" fillId="0" borderId="0" xfId="0" applyNumberFormat="1" applyFont="1" applyBorder="1"/>
    <xf numFmtId="167" fontId="12" fillId="3" borderId="0" xfId="0" applyNumberFormat="1" applyFont="1" applyFill="1" applyBorder="1"/>
    <xf numFmtId="167" fontId="8" fillId="4" borderId="0" xfId="0" applyNumberFormat="1" applyFont="1" applyFill="1" applyBorder="1"/>
    <xf numFmtId="167" fontId="8" fillId="0" borderId="0" xfId="0" applyNumberFormat="1" applyFont="1" applyBorder="1"/>
    <xf numFmtId="1" fontId="8" fillId="0" borderId="0" xfId="0" applyNumberFormat="1" applyFont="1" applyBorder="1"/>
    <xf numFmtId="0" fontId="8" fillId="5" borderId="4" xfId="0" applyFont="1" applyFill="1" applyBorder="1"/>
    <xf numFmtId="0" fontId="8" fillId="5" borderId="0" xfId="0" applyFont="1" applyFill="1" applyBorder="1"/>
    <xf numFmtId="0" fontId="8" fillId="5" borderId="5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13" fillId="0" borderId="0" xfId="1" applyFont="1" applyBorder="1"/>
    <xf numFmtId="0" fontId="9" fillId="0" borderId="0" xfId="0" applyFont="1"/>
    <xf numFmtId="0" fontId="8" fillId="5" borderId="0" xfId="0" applyFont="1" applyFill="1"/>
    <xf numFmtId="0" fontId="8" fillId="2" borderId="3" xfId="0" applyFont="1" applyFill="1" applyBorder="1"/>
    <xf numFmtId="167" fontId="8" fillId="3" borderId="0" xfId="0" applyNumberFormat="1" applyFont="1" applyFill="1" applyBorder="1"/>
    <xf numFmtId="167" fontId="9" fillId="3" borderId="0" xfId="0" applyNumberFormat="1" applyFont="1" applyFill="1" applyBorder="1"/>
    <xf numFmtId="0" fontId="10" fillId="0" borderId="0" xfId="0" applyFont="1"/>
    <xf numFmtId="167" fontId="9" fillId="3" borderId="0" xfId="0" applyNumberFormat="1" applyFont="1" applyFill="1"/>
    <xf numFmtId="167" fontId="8" fillId="3" borderId="0" xfId="0" applyNumberFormat="1" applyFont="1" applyFill="1"/>
    <xf numFmtId="167" fontId="8" fillId="0" borderId="0" xfId="0" applyNumberFormat="1" applyFont="1"/>
    <xf numFmtId="2" fontId="8" fillId="0" borderId="0" xfId="0" applyNumberFormat="1" applyFont="1"/>
    <xf numFmtId="0" fontId="8" fillId="0" borderId="0" xfId="0" applyFont="1" applyFill="1"/>
    <xf numFmtId="0" fontId="13" fillId="0" borderId="0" xfId="1" applyFont="1" applyFill="1" applyBorder="1"/>
    <xf numFmtId="0" fontId="8" fillId="0" borderId="0" xfId="0" applyFont="1" applyFill="1" applyBorder="1"/>
    <xf numFmtId="0" fontId="8" fillId="0" borderId="2" xfId="0" applyFont="1" applyFill="1" applyBorder="1"/>
    <xf numFmtId="1" fontId="10" fillId="0" borderId="0" xfId="0" applyNumberFormat="1" applyFont="1" applyBorder="1"/>
    <xf numFmtId="165" fontId="10" fillId="0" borderId="0" xfId="0" applyNumberFormat="1" applyFont="1" applyBorder="1"/>
    <xf numFmtId="167" fontId="9" fillId="0" borderId="2" xfId="0" applyNumberFormat="1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14" xfId="0" applyFont="1" applyBorder="1"/>
    <xf numFmtId="167" fontId="9" fillId="4" borderId="11" xfId="0" applyNumberFormat="1" applyFont="1" applyFill="1" applyBorder="1"/>
    <xf numFmtId="167" fontId="9" fillId="4" borderId="15" xfId="0" applyNumberFormat="1" applyFont="1" applyFill="1" applyBorder="1"/>
    <xf numFmtId="167" fontId="9" fillId="4" borderId="13" xfId="0" applyNumberFormat="1" applyFont="1" applyFill="1" applyBorder="1"/>
    <xf numFmtId="0" fontId="13" fillId="0" borderId="19" xfId="1" applyFont="1" applyBorder="1"/>
    <xf numFmtId="0" fontId="14" fillId="0" borderId="17" xfId="1" applyFont="1" applyBorder="1"/>
    <xf numFmtId="0" fontId="14" fillId="0" borderId="3" xfId="1" applyFont="1" applyBorder="1"/>
    <xf numFmtId="0" fontId="15" fillId="0" borderId="3" xfId="1" applyFont="1" applyBorder="1"/>
    <xf numFmtId="0" fontId="14" fillId="0" borderId="18" xfId="1" applyFont="1" applyBorder="1"/>
    <xf numFmtId="0" fontId="14" fillId="0" borderId="19" xfId="1" applyFont="1" applyBorder="1"/>
    <xf numFmtId="0" fontId="14" fillId="0" borderId="0" xfId="1" applyFont="1" applyBorder="1"/>
    <xf numFmtId="0" fontId="14" fillId="0" borderId="20" xfId="1" applyFont="1" applyBorder="1"/>
    <xf numFmtId="0" fontId="14" fillId="0" borderId="21" xfId="1" applyFont="1" applyBorder="1"/>
    <xf numFmtId="0" fontId="14" fillId="0" borderId="2" xfId="1" applyFont="1" applyBorder="1"/>
    <xf numFmtId="0" fontId="14" fillId="0" borderId="22" xfId="1" applyFont="1" applyBorder="1"/>
    <xf numFmtId="0" fontId="14" fillId="0" borderId="23" xfId="1" applyFont="1" applyBorder="1"/>
    <xf numFmtId="0" fontId="14" fillId="0" borderId="25" xfId="1" applyFont="1" applyBorder="1"/>
    <xf numFmtId="0" fontId="14" fillId="0" borderId="24" xfId="1" applyFont="1" applyBorder="1"/>
    <xf numFmtId="0" fontId="16" fillId="0" borderId="3" xfId="1" applyFont="1" applyBorder="1"/>
    <xf numFmtId="0" fontId="16" fillId="0" borderId="2" xfId="1" applyFont="1" applyBorder="1"/>
    <xf numFmtId="0" fontId="14" fillId="0" borderId="2" xfId="1" applyNumberFormat="1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21" xfId="0" applyFont="1" applyBorder="1"/>
    <xf numFmtId="0" fontId="8" fillId="0" borderId="22" xfId="0" applyFont="1" applyBorder="1"/>
    <xf numFmtId="0" fontId="8" fillId="2" borderId="23" xfId="0" applyFont="1" applyFill="1" applyBorder="1"/>
    <xf numFmtId="0" fontId="8" fillId="2" borderId="25" xfId="0" applyFont="1" applyFill="1" applyBorder="1"/>
    <xf numFmtId="0" fontId="8" fillId="2" borderId="24" xfId="0" applyFont="1" applyFill="1" applyBorder="1"/>
    <xf numFmtId="0" fontId="8" fillId="6" borderId="23" xfId="0" applyFont="1" applyFill="1" applyBorder="1"/>
    <xf numFmtId="0" fontId="8" fillId="6" borderId="25" xfId="0" applyFont="1" applyFill="1" applyBorder="1"/>
    <xf numFmtId="0" fontId="8" fillId="6" borderId="24" xfId="0" applyFont="1" applyFill="1" applyBorder="1"/>
    <xf numFmtId="167" fontId="8" fillId="0" borderId="3" xfId="0" applyNumberFormat="1" applyFont="1" applyBorder="1"/>
    <xf numFmtId="165" fontId="8" fillId="0" borderId="20" xfId="0" applyNumberFormat="1" applyFont="1" applyBorder="1"/>
    <xf numFmtId="0" fontId="8" fillId="4" borderId="21" xfId="0" applyFont="1" applyFill="1" applyBorder="1"/>
    <xf numFmtId="167" fontId="8" fillId="4" borderId="2" xfId="0" applyNumberFormat="1" applyFont="1" applyFill="1" applyBorder="1"/>
    <xf numFmtId="0" fontId="8" fillId="4" borderId="2" xfId="0" applyFont="1" applyFill="1" applyBorder="1"/>
    <xf numFmtId="0" fontId="8" fillId="4" borderId="22" xfId="0" applyFont="1" applyFill="1" applyBorder="1"/>
    <xf numFmtId="0" fontId="8" fillId="5" borderId="17" xfId="0" applyFont="1" applyFill="1" applyBorder="1"/>
    <xf numFmtId="0" fontId="8" fillId="5" borderId="3" xfId="0" applyFont="1" applyFill="1" applyBorder="1"/>
    <xf numFmtId="0" fontId="8" fillId="5" borderId="18" xfId="0" applyFont="1" applyFill="1" applyBorder="1"/>
    <xf numFmtId="0" fontId="8" fillId="4" borderId="19" xfId="0" applyFont="1" applyFill="1" applyBorder="1"/>
    <xf numFmtId="0" fontId="8" fillId="4" borderId="0" xfId="0" applyFont="1" applyFill="1" applyBorder="1"/>
    <xf numFmtId="0" fontId="8" fillId="4" borderId="20" xfId="0" applyFont="1" applyFill="1" applyBorder="1"/>
    <xf numFmtId="0" fontId="8" fillId="5" borderId="19" xfId="0" applyFont="1" applyFill="1" applyBorder="1"/>
    <xf numFmtId="167" fontId="8" fillId="5" borderId="0" xfId="0" applyNumberFormat="1" applyFont="1" applyFill="1" applyBorder="1"/>
    <xf numFmtId="0" fontId="8" fillId="5" borderId="20" xfId="0" applyFont="1" applyFill="1" applyBorder="1"/>
    <xf numFmtId="0" fontId="13" fillId="4" borderId="19" xfId="1" applyFont="1" applyFill="1" applyBorder="1"/>
    <xf numFmtId="167" fontId="8" fillId="4" borderId="20" xfId="0" applyNumberFormat="1" applyFont="1" applyFill="1" applyBorder="1"/>
    <xf numFmtId="6" fontId="8" fillId="0" borderId="0" xfId="0" applyNumberFormat="1" applyFont="1" applyBorder="1"/>
    <xf numFmtId="1" fontId="15" fillId="0" borderId="3" xfId="1" applyNumberFormat="1" applyFont="1" applyBorder="1"/>
    <xf numFmtId="1" fontId="14" fillId="0" borderId="0" xfId="1" applyNumberFormat="1" applyFont="1" applyBorder="1"/>
    <xf numFmtId="167" fontId="14" fillId="0" borderId="0" xfId="1" applyNumberFormat="1" applyFont="1" applyBorder="1"/>
    <xf numFmtId="164" fontId="8" fillId="0" borderId="0" xfId="0" applyNumberFormat="1" applyFont="1" applyBorder="1"/>
    <xf numFmtId="1" fontId="15" fillId="0" borderId="0" xfId="1" applyNumberFormat="1" applyFont="1" applyBorder="1"/>
    <xf numFmtId="0" fontId="12" fillId="0" borderId="0" xfId="0" applyFont="1"/>
    <xf numFmtId="0" fontId="17" fillId="0" borderId="0" xfId="0" applyFont="1"/>
    <xf numFmtId="0" fontId="17" fillId="2" borderId="23" xfId="0" applyFont="1" applyFill="1" applyBorder="1"/>
    <xf numFmtId="0" fontId="17" fillId="2" borderId="25" xfId="0" applyFont="1" applyFill="1" applyBorder="1"/>
    <xf numFmtId="0" fontId="17" fillId="2" borderId="24" xfId="0" applyFont="1" applyFill="1" applyBorder="1"/>
    <xf numFmtId="0" fontId="9" fillId="0" borderId="17" xfId="0" applyFont="1" applyBorder="1" applyAlignment="1">
      <alignment horizontal="right"/>
    </xf>
    <xf numFmtId="17" fontId="17" fillId="0" borderId="3" xfId="0" applyNumberFormat="1" applyFont="1" applyBorder="1"/>
    <xf numFmtId="0" fontId="17" fillId="0" borderId="18" xfId="0" applyFont="1" applyBorder="1"/>
    <xf numFmtId="0" fontId="9" fillId="0" borderId="19" xfId="0" applyFont="1" applyBorder="1" applyAlignment="1">
      <alignment horizontal="right"/>
    </xf>
    <xf numFmtId="164" fontId="17" fillId="0" borderId="0" xfId="0" applyNumberFormat="1" applyFont="1" applyBorder="1"/>
    <xf numFmtId="0" fontId="17" fillId="0" borderId="20" xfId="0" applyFont="1" applyBorder="1"/>
    <xf numFmtId="3" fontId="17" fillId="0" borderId="0" xfId="0" applyNumberFormat="1" applyFont="1" applyBorder="1"/>
    <xf numFmtId="0" fontId="17" fillId="0" borderId="19" xfId="0" applyFont="1" applyBorder="1"/>
    <xf numFmtId="167" fontId="17" fillId="0" borderId="0" xfId="0" applyNumberFormat="1" applyFont="1" applyBorder="1"/>
    <xf numFmtId="0" fontId="9" fillId="0" borderId="21" xfId="0" applyFont="1" applyBorder="1" applyAlignment="1">
      <alignment horizontal="right"/>
    </xf>
    <xf numFmtId="2" fontId="17" fillId="0" borderId="2" xfId="0" applyNumberFormat="1" applyFont="1" applyBorder="1"/>
    <xf numFmtId="0" fontId="17" fillId="0" borderId="22" xfId="0" applyFont="1" applyBorder="1"/>
    <xf numFmtId="2" fontId="17" fillId="0" borderId="3" xfId="0" applyNumberFormat="1" applyFont="1" applyBorder="1"/>
    <xf numFmtId="2" fontId="17" fillId="0" borderId="0" xfId="0" applyNumberFormat="1" applyFont="1" applyBorder="1"/>
    <xf numFmtId="169" fontId="17" fillId="0" borderId="2" xfId="0" applyNumberFormat="1" applyFont="1" applyBorder="1"/>
    <xf numFmtId="0" fontId="9" fillId="0" borderId="17" xfId="0" applyFont="1" applyBorder="1"/>
    <xf numFmtId="0" fontId="17" fillId="0" borderId="3" xfId="0" applyFont="1" applyBorder="1"/>
    <xf numFmtId="0" fontId="9" fillId="2" borderId="23" xfId="0" applyFont="1" applyFill="1" applyBorder="1"/>
    <xf numFmtId="0" fontId="9" fillId="0" borderId="19" xfId="0" applyFont="1" applyBorder="1"/>
    <xf numFmtId="0" fontId="17" fillId="0" borderId="0" xfId="0" applyFont="1" applyBorder="1"/>
    <xf numFmtId="2" fontId="9" fillId="0" borderId="17" xfId="0" applyNumberFormat="1" applyFont="1" applyBorder="1" applyAlignment="1">
      <alignment horizontal="right"/>
    </xf>
    <xf numFmtId="170" fontId="17" fillId="0" borderId="3" xfId="0" applyNumberFormat="1" applyFont="1" applyBorder="1"/>
    <xf numFmtId="2" fontId="17" fillId="0" borderId="18" xfId="0" applyNumberFormat="1" applyFont="1" applyBorder="1"/>
    <xf numFmtId="0" fontId="9" fillId="0" borderId="21" xfId="0" applyFont="1" applyBorder="1"/>
    <xf numFmtId="0" fontId="17" fillId="0" borderId="2" xfId="0" applyFont="1" applyBorder="1"/>
    <xf numFmtId="2" fontId="9" fillId="0" borderId="19" xfId="0" applyNumberFormat="1" applyFont="1" applyBorder="1" applyAlignment="1">
      <alignment horizontal="right"/>
    </xf>
    <xf numFmtId="170" fontId="17" fillId="0" borderId="0" xfId="0" applyNumberFormat="1" applyFont="1" applyBorder="1"/>
    <xf numFmtId="2" fontId="17" fillId="0" borderId="20" xfId="0" applyNumberFormat="1" applyFont="1" applyBorder="1"/>
    <xf numFmtId="2" fontId="9" fillId="0" borderId="21" xfId="0" applyNumberFormat="1" applyFont="1" applyBorder="1" applyAlignment="1">
      <alignment horizontal="right"/>
    </xf>
    <xf numFmtId="170" fontId="17" fillId="0" borderId="2" xfId="0" applyNumberFormat="1" applyFont="1" applyBorder="1"/>
    <xf numFmtId="2" fontId="17" fillId="0" borderId="22" xfId="0" applyNumberFormat="1" applyFont="1" applyBorder="1"/>
    <xf numFmtId="0" fontId="9" fillId="2" borderId="25" xfId="0" applyFont="1" applyFill="1" applyBorder="1" applyAlignment="1">
      <alignment horizontal="right"/>
    </xf>
    <xf numFmtId="0" fontId="9" fillId="2" borderId="24" xfId="0" applyFont="1" applyFill="1" applyBorder="1" applyAlignment="1">
      <alignment horizontal="right"/>
    </xf>
    <xf numFmtId="0" fontId="17" fillId="0" borderId="16" xfId="0" applyFont="1" applyBorder="1"/>
    <xf numFmtId="167" fontId="17" fillId="0" borderId="20" xfId="0" applyNumberFormat="1" applyFont="1" applyBorder="1"/>
    <xf numFmtId="167" fontId="17" fillId="0" borderId="22" xfId="0" applyNumberFormat="1" applyFont="1" applyBorder="1"/>
    <xf numFmtId="2" fontId="9" fillId="0" borderId="0" xfId="0" applyNumberFormat="1" applyFont="1" applyBorder="1" applyAlignment="1">
      <alignment horizontal="right"/>
    </xf>
    <xf numFmtId="0" fontId="9" fillId="0" borderId="20" xfId="0" applyFont="1" applyBorder="1" applyAlignment="1">
      <alignment horizontal="right"/>
    </xf>
    <xf numFmtId="0" fontId="9" fillId="5" borderId="19" xfId="0" applyFont="1" applyFill="1" applyBorder="1"/>
    <xf numFmtId="0" fontId="17" fillId="5" borderId="0" xfId="0" applyFont="1" applyFill="1" applyBorder="1"/>
    <xf numFmtId="167" fontId="17" fillId="5" borderId="20" xfId="0" applyNumberFormat="1" applyFont="1" applyFill="1" applyBorder="1"/>
    <xf numFmtId="0" fontId="9" fillId="0" borderId="0" xfId="0" applyFont="1" applyBorder="1" applyAlignment="1">
      <alignment horizontal="right"/>
    </xf>
    <xf numFmtId="3" fontId="17" fillId="5" borderId="0" xfId="0" applyNumberFormat="1" applyFont="1" applyFill="1" applyBorder="1"/>
    <xf numFmtId="168" fontId="17" fillId="5" borderId="0" xfId="0" applyNumberFormat="1" applyFont="1" applyFill="1" applyBorder="1"/>
    <xf numFmtId="167" fontId="17" fillId="5" borderId="0" xfId="0" applyNumberFormat="1" applyFont="1" applyFill="1" applyBorder="1"/>
    <xf numFmtId="168" fontId="17" fillId="0" borderId="0" xfId="0" applyNumberFormat="1" applyFont="1" applyBorder="1"/>
    <xf numFmtId="4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0" fontId="9" fillId="4" borderId="19" xfId="0" applyFont="1" applyFill="1" applyBorder="1"/>
    <xf numFmtId="0" fontId="17" fillId="4" borderId="0" xfId="0" applyFont="1" applyFill="1" applyBorder="1"/>
    <xf numFmtId="167" fontId="17" fillId="4" borderId="0" xfId="0" applyNumberFormat="1" applyFont="1" applyFill="1" applyBorder="1"/>
    <xf numFmtId="167" fontId="17" fillId="4" borderId="20" xfId="0" applyNumberFormat="1" applyFont="1" applyFill="1" applyBorder="1"/>
    <xf numFmtId="0" fontId="9" fillId="4" borderId="21" xfId="0" applyFont="1" applyFill="1" applyBorder="1"/>
    <xf numFmtId="0" fontId="17" fillId="4" borderId="2" xfId="0" applyFont="1" applyFill="1" applyBorder="1"/>
    <xf numFmtId="167" fontId="17" fillId="4" borderId="2" xfId="0" applyNumberFormat="1" applyFont="1" applyFill="1" applyBorder="1"/>
    <xf numFmtId="167" fontId="17" fillId="4" borderId="22" xfId="0" applyNumberFormat="1" applyFont="1" applyFill="1" applyBorder="1"/>
    <xf numFmtId="17" fontId="17" fillId="0" borderId="0" xfId="0" applyNumberFormat="1" applyFont="1" applyBorder="1"/>
    <xf numFmtId="0" fontId="12" fillId="2" borderId="23" xfId="0" applyFont="1" applyFill="1" applyBorder="1"/>
    <xf numFmtId="167" fontId="17" fillId="2" borderId="24" xfId="0" applyNumberFormat="1" applyFont="1" applyFill="1" applyBorder="1"/>
    <xf numFmtId="0" fontId="8" fillId="0" borderId="0" xfId="0" applyNumberFormat="1" applyFont="1" applyBorder="1"/>
    <xf numFmtId="0" fontId="8" fillId="7" borderId="21" xfId="0" applyFont="1" applyFill="1" applyBorder="1"/>
    <xf numFmtId="0" fontId="8" fillId="7" borderId="2" xfId="0" applyFont="1" applyFill="1" applyBorder="1"/>
    <xf numFmtId="164" fontId="8" fillId="7" borderId="2" xfId="0" applyNumberFormat="1" applyFont="1" applyFill="1" applyBorder="1"/>
    <xf numFmtId="0" fontId="8" fillId="7" borderId="22" xfId="0" applyFont="1" applyFill="1" applyBorder="1"/>
    <xf numFmtId="0" fontId="8" fillId="7" borderId="17" xfId="0" applyFont="1" applyFill="1" applyBorder="1"/>
    <xf numFmtId="0" fontId="8" fillId="7" borderId="3" xfId="0" applyFont="1" applyFill="1" applyBorder="1"/>
    <xf numFmtId="0" fontId="8" fillId="7" borderId="18" xfId="0" applyFont="1" applyFill="1" applyBorder="1"/>
    <xf numFmtId="167" fontId="8" fillId="7" borderId="2" xfId="0" applyNumberFormat="1" applyFont="1" applyFill="1" applyBorder="1"/>
    <xf numFmtId="171" fontId="8" fillId="0" borderId="0" xfId="0" applyNumberFormat="1" applyFont="1" applyBorder="1"/>
    <xf numFmtId="171" fontId="8" fillId="0" borderId="2" xfId="0" applyNumberFormat="1" applyFont="1" applyBorder="1"/>
    <xf numFmtId="8" fontId="0" fillId="0" borderId="0" xfId="0" applyNumberFormat="1"/>
    <xf numFmtId="0" fontId="8" fillId="0" borderId="3" xfId="0" applyNumberFormat="1" applyFont="1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666750</xdr:colOff>
      <xdr:row>3</xdr:row>
      <xdr:rowOff>0</xdr:rowOff>
    </xdr:to>
    <xdr:sp macro="[0]!openSim" textlink="">
      <xdr:nvSpPr>
        <xdr:cNvPr id="2" name="Rounded Rectangle 1"/>
        <xdr:cNvSpPr/>
      </xdr:nvSpPr>
      <xdr:spPr>
        <a:xfrm>
          <a:off x="4191000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Open</a:t>
          </a:r>
          <a:r>
            <a:rPr lang="en-US" sz="1100" baseline="0"/>
            <a:t> Simulation</a:t>
          </a:r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5</xdr:col>
      <xdr:colOff>666750</xdr:colOff>
      <xdr:row>6</xdr:row>
      <xdr:rowOff>0</xdr:rowOff>
    </xdr:to>
    <xdr:sp macro="[0]!closeSim" textlink="">
      <xdr:nvSpPr>
        <xdr:cNvPr id="3" name="Rounded Rectangle 2"/>
        <xdr:cNvSpPr/>
      </xdr:nvSpPr>
      <xdr:spPr>
        <a:xfrm>
          <a:off x="4191000" y="7620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Close</a:t>
          </a:r>
          <a:r>
            <a:rPr lang="en-US" sz="1100" baseline="0"/>
            <a:t> Simulation</a:t>
          </a:r>
          <a:endParaRPr lang="en-US" sz="1100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666750</xdr:colOff>
      <xdr:row>3</xdr:row>
      <xdr:rowOff>0</xdr:rowOff>
    </xdr:to>
    <xdr:sp macro="[0]!runSim" textlink="">
      <xdr:nvSpPr>
        <xdr:cNvPr id="4" name="Rounded Rectangle 3"/>
        <xdr:cNvSpPr/>
      </xdr:nvSpPr>
      <xdr:spPr>
        <a:xfrm>
          <a:off x="6286500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Run Simulation</a:t>
          </a:r>
          <a:endParaRPr lang="en-US" sz="1100"/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666750</xdr:colOff>
      <xdr:row>6</xdr:row>
      <xdr:rowOff>0</xdr:rowOff>
    </xdr:to>
    <xdr:sp macro="[0]!reopenSim" textlink="">
      <xdr:nvSpPr>
        <xdr:cNvPr id="5" name="Rounded Rectangle 4"/>
        <xdr:cNvSpPr/>
      </xdr:nvSpPr>
      <xdr:spPr>
        <a:xfrm>
          <a:off x="6286500" y="7620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Reopen Simulation</a:t>
          </a:r>
          <a:endParaRPr lang="en-US" sz="1100"/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666750</xdr:colOff>
      <xdr:row>3</xdr:row>
      <xdr:rowOff>0</xdr:rowOff>
    </xdr:to>
    <xdr:sp macro="[0]!loadDefaults" textlink="">
      <xdr:nvSpPr>
        <xdr:cNvPr id="6" name="Rounded Rectangle 5"/>
        <xdr:cNvSpPr/>
      </xdr:nvSpPr>
      <xdr:spPr>
        <a:xfrm>
          <a:off x="8382000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Load Defaults</a:t>
          </a:r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666750</xdr:colOff>
      <xdr:row>6</xdr:row>
      <xdr:rowOff>0</xdr:rowOff>
    </xdr:to>
    <xdr:sp macro="[0]!drawInterfaceButon" textlink="">
      <xdr:nvSpPr>
        <xdr:cNvPr id="7" name="Rounded Rectangle 6"/>
        <xdr:cNvSpPr/>
      </xdr:nvSpPr>
      <xdr:spPr>
        <a:xfrm>
          <a:off x="8382000" y="762000"/>
          <a:ext cx="1714500" cy="3810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Draw Interface 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0</xdr:rowOff>
    </xdr:from>
    <xdr:to>
      <xdr:col>1</xdr:col>
      <xdr:colOff>885825</xdr:colOff>
      <xdr:row>3</xdr:row>
      <xdr:rowOff>0</xdr:rowOff>
    </xdr:to>
    <xdr:sp macro="[0]!autoLayoutButton" textlink="">
      <xdr:nvSpPr>
        <xdr:cNvPr id="4" name="Rounded Rectangle 3"/>
        <xdr:cNvSpPr/>
      </xdr:nvSpPr>
      <xdr:spPr>
        <a:xfrm>
          <a:off x="219075" y="19050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Auto Layout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5</xdr:col>
      <xdr:colOff>666750</xdr:colOff>
      <xdr:row>2</xdr:row>
      <xdr:rowOff>0</xdr:rowOff>
    </xdr:to>
    <xdr:sp macro="[0]!runSeries" textlink="">
      <xdr:nvSpPr>
        <xdr:cNvPr id="3" name="Rounded Rectangle 2"/>
        <xdr:cNvSpPr/>
      </xdr:nvSpPr>
      <xdr:spPr>
        <a:xfrm>
          <a:off x="3057525" y="0"/>
          <a:ext cx="1714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aseline="0"/>
            <a:t>Run Series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daly/My%20Documents/MEMCAP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 Notes"/>
      <sheetName val="ACM"/>
      <sheetName val="Base Plant"/>
      <sheetName val="Baseline Case 11"/>
      <sheetName val="Baseline Case 12"/>
      <sheetName val="Calculations"/>
      <sheetName val="Fixed Costs"/>
      <sheetName val="Variable Costs"/>
      <sheetName val="COE Summary"/>
      <sheetName val="Optimus Variables"/>
    </sheetNames>
    <sheetDataSet>
      <sheetData sheetId="0"/>
      <sheetData sheetId="1"/>
      <sheetData sheetId="2"/>
      <sheetData sheetId="3"/>
      <sheetData sheetId="4"/>
      <sheetData sheetId="5">
        <row r="65">
          <cell r="E65">
            <v>0.85</v>
          </cell>
        </row>
      </sheetData>
      <sheetData sheetId="6"/>
      <sheetData sheetId="7"/>
      <sheetData sheetId="8">
        <row r="1">
          <cell r="D1">
            <v>0.124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tabSelected="1" workbookViewId="0">
      <selection activeCell="E15" sqref="E15"/>
    </sheetView>
  </sheetViews>
  <sheetFormatPr defaultRowHeight="15"/>
  <cols>
    <col min="1" max="26" width="15.7109375" customWidth="1"/>
  </cols>
  <sheetData>
    <row r="1" spans="1:15">
      <c r="K1" s="10" t="s">
        <v>19</v>
      </c>
    </row>
    <row r="2" spans="1:15">
      <c r="B2" s="2" t="s">
        <v>0</v>
      </c>
      <c r="C2" s="1" t="s">
        <v>491</v>
      </c>
      <c r="K2" s="9" t="s">
        <v>42</v>
      </c>
      <c r="L2" s="14" t="b">
        <f>FALSE</f>
        <v>0</v>
      </c>
      <c r="N2" s="9" t="s">
        <v>51</v>
      </c>
      <c r="O2" s="15" t="b">
        <v>0</v>
      </c>
    </row>
    <row r="3" spans="1:15">
      <c r="B3" s="2" t="s">
        <v>1</v>
      </c>
      <c r="C3" s="1">
        <v>9</v>
      </c>
      <c r="K3" s="9" t="s">
        <v>21</v>
      </c>
      <c r="L3" s="14" t="b">
        <f>FALSE</f>
        <v>0</v>
      </c>
    </row>
    <row r="4" spans="1:15">
      <c r="B4" s="2" t="s">
        <v>34</v>
      </c>
      <c r="C4" s="3">
        <v>41480.544490740744</v>
      </c>
      <c r="K4" s="9" t="s">
        <v>20</v>
      </c>
      <c r="L4" s="14" t="b">
        <f>FALSE</f>
        <v>0</v>
      </c>
    </row>
    <row r="5" spans="1:15">
      <c r="B5" s="2" t="s">
        <v>2</v>
      </c>
      <c r="C5" s="3">
        <v>41480.547326388885</v>
      </c>
      <c r="K5" s="9" t="s">
        <v>30</v>
      </c>
      <c r="L5" s="14">
        <f>0</f>
        <v>0</v>
      </c>
    </row>
    <row r="6" spans="1:15">
      <c r="B6" s="2" t="s">
        <v>3</v>
      </c>
      <c r="C6" s="4">
        <f>(C5-C4)*24*60</f>
        <v>4.0833333239424974</v>
      </c>
      <c r="K6" s="9" t="s">
        <v>32</v>
      </c>
      <c r="L6" s="14" t="b">
        <f>FALSE</f>
        <v>0</v>
      </c>
    </row>
    <row r="7" spans="1:15">
      <c r="B7" s="2" t="s">
        <v>22</v>
      </c>
      <c r="C7" s="12">
        <v>0</v>
      </c>
      <c r="K7" s="9" t="s">
        <v>41</v>
      </c>
      <c r="L7" s="14" t="b">
        <f>FALSE</f>
        <v>0</v>
      </c>
    </row>
    <row r="8" spans="1:15" ht="15.75" thickBot="1">
      <c r="A8" s="6" t="s">
        <v>33</v>
      </c>
      <c r="B8" s="6"/>
      <c r="C8" s="6"/>
      <c r="D8" s="6"/>
      <c r="E8" s="6"/>
      <c r="F8" s="6"/>
      <c r="G8" s="6"/>
      <c r="H8" s="6"/>
      <c r="I8" s="6"/>
      <c r="J8" s="7"/>
      <c r="K8" s="9" t="s">
        <v>54</v>
      </c>
      <c r="L8" s="14" t="b">
        <f>TRUE</f>
        <v>1</v>
      </c>
    </row>
    <row r="9" spans="1:15" ht="15.75" thickTop="1"/>
    <row r="10" spans="1:15">
      <c r="B10" s="9" t="s">
        <v>55</v>
      </c>
      <c r="C10" s="17">
        <v>1</v>
      </c>
      <c r="F10" s="9" t="s">
        <v>87</v>
      </c>
      <c r="G10" s="18">
        <v>641.14135787546797</v>
      </c>
    </row>
    <row r="11" spans="1:15">
      <c r="B11" s="9" t="s">
        <v>60</v>
      </c>
      <c r="C11" s="17">
        <v>0</v>
      </c>
      <c r="F11" s="9" t="s">
        <v>89</v>
      </c>
      <c r="G11" s="18">
        <v>641.14135787546797</v>
      </c>
    </row>
    <row r="12" spans="1:15">
      <c r="B12" s="9" t="s">
        <v>492</v>
      </c>
      <c r="C12" s="17">
        <v>0.3</v>
      </c>
      <c r="F12" s="9" t="s">
        <v>91</v>
      </c>
      <c r="G12" s="18">
        <v>641.14135787546797</v>
      </c>
    </row>
    <row r="13" spans="1:15">
      <c r="B13" s="9" t="s">
        <v>493</v>
      </c>
      <c r="C13" s="17">
        <v>15</v>
      </c>
      <c r="F13" s="9" t="s">
        <v>93</v>
      </c>
      <c r="G13" s="18">
        <v>7853.9816339744802</v>
      </c>
    </row>
    <row r="14" spans="1:15">
      <c r="B14" s="9" t="s">
        <v>494</v>
      </c>
      <c r="C14" s="17">
        <v>0.5</v>
      </c>
      <c r="F14" s="9" t="s">
        <v>95</v>
      </c>
      <c r="G14" s="18">
        <v>7853.9816339744802</v>
      </c>
    </row>
    <row r="15" spans="1:15">
      <c r="B15" s="9" t="s">
        <v>495</v>
      </c>
      <c r="C15" s="17">
        <v>2.5000000000000001E-2</v>
      </c>
      <c r="F15" s="9" t="s">
        <v>261</v>
      </c>
      <c r="G15" s="18">
        <v>1704.4043432763453</v>
      </c>
    </row>
    <row r="16" spans="1:15">
      <c r="B16" s="9" t="s">
        <v>85</v>
      </c>
      <c r="C16" s="17">
        <v>15</v>
      </c>
      <c r="F16" s="9" t="s">
        <v>262</v>
      </c>
      <c r="G16" s="18">
        <v>159.86442220711848</v>
      </c>
    </row>
    <row r="17" spans="2:7">
      <c r="B17" s="9" t="s">
        <v>496</v>
      </c>
      <c r="C17" s="17">
        <v>12</v>
      </c>
      <c r="F17" s="9" t="s">
        <v>268</v>
      </c>
      <c r="G17" s="18">
        <v>1.01325</v>
      </c>
    </row>
    <row r="18" spans="2:7">
      <c r="B18" s="9" t="s">
        <v>497</v>
      </c>
      <c r="C18" s="17">
        <v>0.1</v>
      </c>
      <c r="F18" s="9" t="s">
        <v>269</v>
      </c>
      <c r="G18" s="18">
        <v>1.01325</v>
      </c>
    </row>
    <row r="19" spans="2:7">
      <c r="B19" s="9" t="s">
        <v>498</v>
      </c>
      <c r="C19" s="17">
        <v>0.02</v>
      </c>
      <c r="F19" s="9" t="s">
        <v>263</v>
      </c>
      <c r="G19" s="18">
        <v>1.3354192452282421</v>
      </c>
    </row>
    <row r="20" spans="2:7">
      <c r="B20" s="9" t="s">
        <v>86</v>
      </c>
      <c r="C20" s="17">
        <v>15</v>
      </c>
      <c r="F20" s="9" t="s">
        <v>499</v>
      </c>
      <c r="G20" s="18">
        <v>1.2292790272885457</v>
      </c>
    </row>
    <row r="21" spans="2:7">
      <c r="B21" s="9" t="s">
        <v>63</v>
      </c>
      <c r="C21" s="17">
        <v>4</v>
      </c>
      <c r="F21" s="9" t="s">
        <v>500</v>
      </c>
      <c r="G21" s="18">
        <v>85.21264217155624</v>
      </c>
    </row>
    <row r="22" spans="2:7">
      <c r="B22" s="9" t="s">
        <v>70</v>
      </c>
      <c r="C22" s="17">
        <v>4</v>
      </c>
      <c r="F22" s="9" t="s">
        <v>501</v>
      </c>
      <c r="G22" s="18">
        <v>5466.0676711355709</v>
      </c>
    </row>
    <row r="23" spans="2:7">
      <c r="B23" s="9" t="s">
        <v>75</v>
      </c>
      <c r="C23" s="17">
        <v>4</v>
      </c>
      <c r="F23" s="9" t="s">
        <v>257</v>
      </c>
      <c r="G23" s="18">
        <v>442</v>
      </c>
    </row>
    <row r="24" spans="2:7">
      <c r="B24" s="9" t="s">
        <v>80</v>
      </c>
      <c r="C24" s="17">
        <v>4</v>
      </c>
      <c r="F24" s="9" t="s">
        <v>264</v>
      </c>
      <c r="G24" s="18">
        <v>5749.6649487641889</v>
      </c>
    </row>
    <row r="25" spans="2:7">
      <c r="B25" s="9" t="s">
        <v>84</v>
      </c>
      <c r="C25" s="17">
        <v>4</v>
      </c>
      <c r="F25" s="9" t="s">
        <v>266</v>
      </c>
      <c r="G25" s="18">
        <v>1401.4708703119102</v>
      </c>
    </row>
    <row r="26" spans="2:7">
      <c r="B26" s="9" t="s">
        <v>274</v>
      </c>
      <c r="C26" s="17">
        <v>700</v>
      </c>
      <c r="F26" s="9" t="s">
        <v>433</v>
      </c>
      <c r="G26" s="18">
        <v>28737.646294112128</v>
      </c>
    </row>
    <row r="27" spans="2:7">
      <c r="B27" s="9" t="s">
        <v>247</v>
      </c>
      <c r="C27" s="17">
        <v>600000</v>
      </c>
      <c r="F27" s="9" t="s">
        <v>435</v>
      </c>
      <c r="G27" s="18">
        <v>40274.233752907145</v>
      </c>
    </row>
    <row r="28" spans="2:7">
      <c r="B28" s="9" t="s">
        <v>273</v>
      </c>
      <c r="C28" s="17">
        <v>40</v>
      </c>
      <c r="F28" s="9" t="s">
        <v>437</v>
      </c>
      <c r="G28" s="18">
        <v>18208.898928963426</v>
      </c>
    </row>
    <row r="29" spans="2:7">
      <c r="F29" s="9" t="s">
        <v>439</v>
      </c>
      <c r="G29" s="18">
        <v>76659.004411732516</v>
      </c>
    </row>
    <row r="30" spans="2:7">
      <c r="F30" s="9" t="s">
        <v>449</v>
      </c>
      <c r="G30" s="18">
        <v>1000.4230012865833</v>
      </c>
    </row>
    <row r="31" spans="2:7">
      <c r="F31" s="9" t="s">
        <v>450</v>
      </c>
      <c r="G31" s="18">
        <v>389.26550903270049</v>
      </c>
    </row>
    <row r="32" spans="2:7">
      <c r="F32" s="9" t="s">
        <v>431</v>
      </c>
      <c r="G32" s="18">
        <v>0.28891601582444915</v>
      </c>
    </row>
    <row r="33" spans="6:7">
      <c r="F33" s="9" t="s">
        <v>429</v>
      </c>
      <c r="G33" s="18">
        <v>0.66485040506668369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J71"/>
  <sheetViews>
    <sheetView workbookViewId="0">
      <selection activeCell="H18" sqref="H18"/>
    </sheetView>
  </sheetViews>
  <sheetFormatPr defaultRowHeight="12.75"/>
  <cols>
    <col min="1" max="1" width="30.7109375" style="129" customWidth="1"/>
    <col min="2" max="7" width="15.7109375" style="129" customWidth="1"/>
    <col min="8" max="8" width="17.5703125" style="129" customWidth="1"/>
    <col min="9" max="14" width="15.7109375" style="129" customWidth="1"/>
    <col min="15" max="16384" width="9.140625" style="129"/>
  </cols>
  <sheetData>
    <row r="1" spans="1:3">
      <c r="A1" s="128" t="s">
        <v>463</v>
      </c>
    </row>
    <row r="3" spans="1:3">
      <c r="A3" s="130"/>
      <c r="B3" s="131"/>
      <c r="C3" s="132"/>
    </row>
    <row r="4" spans="1:3">
      <c r="A4" s="133" t="s">
        <v>279</v>
      </c>
      <c r="B4" s="134">
        <v>39234</v>
      </c>
      <c r="C4" s="135"/>
    </row>
    <row r="5" spans="1:3">
      <c r="A5" s="136" t="s">
        <v>280</v>
      </c>
      <c r="B5" s="137">
        <v>662.8</v>
      </c>
      <c r="C5" s="138" t="s">
        <v>281</v>
      </c>
    </row>
    <row r="6" spans="1:3">
      <c r="A6" s="136" t="s">
        <v>282</v>
      </c>
      <c r="B6" s="137">
        <v>550</v>
      </c>
      <c r="C6" s="138" t="s">
        <v>281</v>
      </c>
    </row>
    <row r="7" spans="1:3">
      <c r="A7" s="136" t="s">
        <v>283</v>
      </c>
      <c r="B7" s="139">
        <v>609274</v>
      </c>
      <c r="C7" s="138" t="s">
        <v>222</v>
      </c>
    </row>
    <row r="8" spans="1:3">
      <c r="A8" s="140"/>
      <c r="B8" s="139">
        <f>B7*2.2046226</f>
        <v>1343219.2299923999</v>
      </c>
      <c r="C8" s="138" t="s">
        <v>284</v>
      </c>
    </row>
    <row r="9" spans="1:3">
      <c r="A9" s="136" t="s">
        <v>341</v>
      </c>
      <c r="B9" s="139">
        <v>548802</v>
      </c>
      <c r="C9" s="138" t="s">
        <v>222</v>
      </c>
    </row>
    <row r="10" spans="1:3">
      <c r="A10" s="140"/>
      <c r="B10" s="139">
        <f>B9/B6</f>
        <v>997.82181818181823</v>
      </c>
      <c r="C10" s="138" t="s">
        <v>342</v>
      </c>
    </row>
    <row r="11" spans="1:3">
      <c r="A11" s="136" t="s">
        <v>285</v>
      </c>
      <c r="B11" s="139">
        <f>0.9*B7</f>
        <v>548346.6</v>
      </c>
      <c r="C11" s="138" t="s">
        <v>222</v>
      </c>
    </row>
    <row r="12" spans="1:3">
      <c r="A12" s="140"/>
      <c r="B12" s="139">
        <f>0.9*B8</f>
        <v>1208897.3069931599</v>
      </c>
      <c r="C12" s="138" t="s">
        <v>284</v>
      </c>
    </row>
    <row r="13" spans="1:3">
      <c r="A13" s="136" t="s">
        <v>286</v>
      </c>
      <c r="B13" s="141">
        <v>1963644000</v>
      </c>
      <c r="C13" s="138"/>
    </row>
    <row r="14" spans="1:3">
      <c r="A14" s="142" t="s">
        <v>343</v>
      </c>
      <c r="B14" s="143">
        <v>67.35571542869144</v>
      </c>
      <c r="C14" s="144" t="s">
        <v>288</v>
      </c>
    </row>
    <row r="15" spans="1:3">
      <c r="A15" s="133" t="s">
        <v>344</v>
      </c>
      <c r="B15" s="145">
        <v>5.6</v>
      </c>
      <c r="C15" s="135" t="s">
        <v>288</v>
      </c>
    </row>
    <row r="16" spans="1:3">
      <c r="A16" s="136" t="s">
        <v>345</v>
      </c>
      <c r="B16" s="146">
        <f>SUM(B14:B15)</f>
        <v>72.955715428691434</v>
      </c>
      <c r="C16" s="138" t="s">
        <v>288</v>
      </c>
    </row>
    <row r="17" spans="1:10">
      <c r="A17" s="142" t="s">
        <v>346</v>
      </c>
      <c r="B17" s="147">
        <f>B15/B10</f>
        <v>5.6122244452461905E-3</v>
      </c>
      <c r="C17" s="144" t="s">
        <v>347</v>
      </c>
    </row>
    <row r="18" spans="1:10">
      <c r="A18" s="148" t="s">
        <v>289</v>
      </c>
      <c r="B18" s="149">
        <v>34.65</v>
      </c>
      <c r="C18" s="135" t="s">
        <v>290</v>
      </c>
      <c r="H18" s="150" t="s">
        <v>348</v>
      </c>
      <c r="I18" s="131"/>
      <c r="J18" s="132"/>
    </row>
    <row r="19" spans="1:10">
      <c r="A19" s="151" t="s">
        <v>291</v>
      </c>
      <c r="B19" s="152">
        <v>30</v>
      </c>
      <c r="C19" s="138" t="s">
        <v>292</v>
      </c>
      <c r="D19" s="152"/>
      <c r="E19" s="152"/>
      <c r="F19" s="152"/>
      <c r="H19" s="153" t="s">
        <v>349</v>
      </c>
      <c r="I19" s="154">
        <f>F31/B13</f>
        <v>5.3375785020095294E-3</v>
      </c>
      <c r="J19" s="155" t="s">
        <v>350</v>
      </c>
    </row>
    <row r="20" spans="1:10">
      <c r="A20" s="156" t="s">
        <v>293</v>
      </c>
      <c r="B20" s="157">
        <v>25</v>
      </c>
      <c r="C20" s="144" t="s">
        <v>294</v>
      </c>
      <c r="D20" s="152"/>
      <c r="E20" s="152"/>
      <c r="F20" s="152"/>
      <c r="H20" s="158" t="s">
        <v>351</v>
      </c>
      <c r="I20" s="159">
        <f>F33/B13</f>
        <v>1.6316841036358932E-2</v>
      </c>
      <c r="J20" s="160" t="s">
        <v>350</v>
      </c>
    </row>
    <row r="21" spans="1:10">
      <c r="D21" s="152"/>
      <c r="E21" s="152"/>
      <c r="F21" s="152"/>
      <c r="H21" s="161" t="s">
        <v>352</v>
      </c>
      <c r="I21" s="162">
        <f>F38/B13</f>
        <v>8.0063677530142936E-3</v>
      </c>
      <c r="J21" s="163" t="s">
        <v>353</v>
      </c>
    </row>
    <row r="22" spans="1:10">
      <c r="A22" s="130"/>
      <c r="B22" s="164" t="s">
        <v>295</v>
      </c>
      <c r="C22" s="165" t="s">
        <v>296</v>
      </c>
      <c r="D22" s="152"/>
      <c r="E22" s="152"/>
      <c r="F22" s="152"/>
    </row>
    <row r="23" spans="1:10">
      <c r="A23" s="151" t="s">
        <v>297</v>
      </c>
      <c r="B23" s="152">
        <v>2</v>
      </c>
      <c r="C23" s="138">
        <v>2</v>
      </c>
      <c r="D23" s="152"/>
      <c r="E23" s="152"/>
      <c r="F23" s="152"/>
    </row>
    <row r="24" spans="1:10">
      <c r="A24" s="151" t="s">
        <v>298</v>
      </c>
      <c r="B24" s="152">
        <v>11.3</v>
      </c>
      <c r="C24" s="138">
        <v>11.3</v>
      </c>
      <c r="D24" s="152"/>
      <c r="E24" s="152"/>
      <c r="F24" s="152"/>
    </row>
    <row r="25" spans="1:10">
      <c r="A25" s="151" t="s">
        <v>299</v>
      </c>
      <c r="B25" s="152">
        <v>1</v>
      </c>
      <c r="C25" s="138">
        <v>1</v>
      </c>
      <c r="D25" s="152"/>
      <c r="E25" s="152"/>
      <c r="F25" s="152"/>
    </row>
    <row r="26" spans="1:10">
      <c r="A26" s="151" t="s">
        <v>300</v>
      </c>
      <c r="B26" s="152">
        <v>2</v>
      </c>
      <c r="C26" s="138">
        <v>2</v>
      </c>
      <c r="D26" s="152"/>
      <c r="E26" s="152"/>
      <c r="F26" s="152"/>
    </row>
    <row r="27" spans="1:10">
      <c r="A27" s="156" t="s">
        <v>301</v>
      </c>
      <c r="B27" s="157">
        <f>SUM(B23:B26)</f>
        <v>16.3</v>
      </c>
      <c r="C27" s="144">
        <f>SUM(C23:C26)</f>
        <v>16.3</v>
      </c>
      <c r="D27" s="152"/>
      <c r="E27" s="152"/>
      <c r="F27" s="152"/>
    </row>
    <row r="28" spans="1:10">
      <c r="A28" s="166"/>
      <c r="B28" s="152"/>
      <c r="C28" s="152"/>
      <c r="D28" s="152"/>
      <c r="E28" s="152"/>
      <c r="F28" s="152"/>
    </row>
    <row r="29" spans="1:10">
      <c r="A29" s="130"/>
      <c r="B29" s="131"/>
      <c r="C29" s="131"/>
      <c r="D29" s="131"/>
      <c r="E29" s="131"/>
      <c r="F29" s="165" t="s">
        <v>302</v>
      </c>
    </row>
    <row r="30" spans="1:10">
      <c r="A30" s="151" t="s">
        <v>354</v>
      </c>
      <c r="B30" s="152"/>
      <c r="C30" s="152"/>
      <c r="D30" s="152"/>
      <c r="E30" s="152"/>
      <c r="F30" s="167">
        <f>C27*B18*365*24*(1+B19/100)</f>
        <v>6431885.459999999</v>
      </c>
    </row>
    <row r="31" spans="1:10">
      <c r="A31" s="151" t="s">
        <v>355</v>
      </c>
      <c r="B31" s="152"/>
      <c r="C31" s="152"/>
      <c r="D31" s="152"/>
      <c r="E31" s="152"/>
      <c r="F31" s="167">
        <v>10481104</v>
      </c>
    </row>
    <row r="32" spans="1:10">
      <c r="A32" s="151" t="s">
        <v>356</v>
      </c>
      <c r="B32" s="152"/>
      <c r="C32" s="152"/>
      <c r="D32" s="152"/>
      <c r="E32" s="152"/>
      <c r="F32" s="167">
        <f>(F30+F31)*B20/100</f>
        <v>4228247.3650000002</v>
      </c>
    </row>
    <row r="33" spans="1:10">
      <c r="A33" s="151" t="s">
        <v>306</v>
      </c>
      <c r="B33" s="152"/>
      <c r="C33" s="152"/>
      <c r="D33" s="152"/>
      <c r="E33" s="152"/>
      <c r="F33" s="167">
        <v>32040467</v>
      </c>
    </row>
    <row r="34" spans="1:10">
      <c r="A34" s="156" t="s">
        <v>307</v>
      </c>
      <c r="B34" s="157"/>
      <c r="C34" s="157"/>
      <c r="D34" s="157"/>
      <c r="E34" s="157"/>
      <c r="F34" s="168">
        <f>SUM(F30:F33)</f>
        <v>53181703.825000003</v>
      </c>
    </row>
    <row r="35" spans="1:10">
      <c r="H35" s="169"/>
      <c r="I35" s="146"/>
      <c r="J35" s="146"/>
    </row>
    <row r="36" spans="1:10">
      <c r="A36" s="150" t="s">
        <v>308</v>
      </c>
      <c r="B36" s="131"/>
      <c r="C36" s="131"/>
      <c r="D36" s="131"/>
      <c r="E36" s="131"/>
      <c r="F36" s="191"/>
      <c r="H36" s="169"/>
      <c r="I36" s="146"/>
      <c r="J36" s="146"/>
    </row>
    <row r="37" spans="1:10">
      <c r="A37" s="140"/>
      <c r="B37" s="152"/>
      <c r="C37" s="152"/>
      <c r="D37" s="152"/>
      <c r="E37" s="152"/>
      <c r="F37" s="170" t="s">
        <v>302</v>
      </c>
      <c r="H37" s="169"/>
      <c r="I37" s="146"/>
      <c r="J37" s="146"/>
    </row>
    <row r="38" spans="1:10">
      <c r="A38" s="171" t="s">
        <v>357</v>
      </c>
      <c r="B38" s="172"/>
      <c r="C38" s="172"/>
      <c r="D38" s="172"/>
      <c r="E38" s="172"/>
      <c r="F38" s="173">
        <v>15721656</v>
      </c>
    </row>
    <row r="39" spans="1:10">
      <c r="A39" s="140"/>
      <c r="B39" s="152"/>
      <c r="C39" s="152"/>
      <c r="D39" s="152"/>
      <c r="E39" s="152"/>
      <c r="F39" s="138"/>
    </row>
    <row r="40" spans="1:10">
      <c r="A40" s="140"/>
      <c r="B40" s="174" t="s">
        <v>310</v>
      </c>
      <c r="C40" s="174" t="s">
        <v>311</v>
      </c>
      <c r="D40" s="174" t="s">
        <v>312</v>
      </c>
      <c r="E40" s="174" t="s">
        <v>313</v>
      </c>
      <c r="F40" s="170" t="s">
        <v>314</v>
      </c>
    </row>
    <row r="41" spans="1:10">
      <c r="A41" s="171" t="s">
        <v>315</v>
      </c>
      <c r="B41" s="172">
        <v>0</v>
      </c>
      <c r="C41" s="175">
        <v>7324</v>
      </c>
      <c r="D41" s="176">
        <v>1.0820000000000001</v>
      </c>
      <c r="E41" s="177">
        <f>B41*D41</f>
        <v>0</v>
      </c>
      <c r="F41" s="173">
        <f>C41*D41*365*0.85</f>
        <v>2458597.2220000001</v>
      </c>
    </row>
    <row r="42" spans="1:10">
      <c r="A42" s="151"/>
      <c r="B42" s="152"/>
      <c r="C42" s="139"/>
      <c r="D42" s="178"/>
      <c r="E42" s="141"/>
      <c r="F42" s="167"/>
    </row>
    <row r="43" spans="1:10">
      <c r="A43" s="171" t="s">
        <v>316</v>
      </c>
      <c r="B43" s="172"/>
      <c r="C43" s="175"/>
      <c r="D43" s="176"/>
      <c r="E43" s="177"/>
      <c r="F43" s="173"/>
    </row>
    <row r="44" spans="1:10">
      <c r="A44" s="136" t="s">
        <v>317</v>
      </c>
      <c r="B44" s="152">
        <v>0</v>
      </c>
      <c r="C44" s="139">
        <v>35452</v>
      </c>
      <c r="D44" s="178">
        <v>0.17</v>
      </c>
      <c r="E44" s="141">
        <f t="shared" ref="E44:E66" si="0">B44*D44</f>
        <v>0</v>
      </c>
      <c r="F44" s="167">
        <f>C44*D44*365*0.85</f>
        <v>1869827.11</v>
      </c>
    </row>
    <row r="45" spans="1:10">
      <c r="A45" s="136" t="s">
        <v>318</v>
      </c>
      <c r="B45" s="152">
        <v>0</v>
      </c>
      <c r="C45" s="139">
        <v>687</v>
      </c>
      <c r="D45" s="178">
        <v>21.63</v>
      </c>
      <c r="E45" s="141">
        <f>B45*D45</f>
        <v>0</v>
      </c>
      <c r="F45" s="167">
        <f>C45*D45*365*0.85</f>
        <v>4610256.0524999993</v>
      </c>
    </row>
    <row r="46" spans="1:10">
      <c r="A46" s="136" t="s">
        <v>319</v>
      </c>
      <c r="B46" s="152">
        <v>0</v>
      </c>
      <c r="C46" s="179">
        <v>0</v>
      </c>
      <c r="D46" s="178">
        <v>1.05</v>
      </c>
      <c r="E46" s="141">
        <f t="shared" si="0"/>
        <v>0</v>
      </c>
      <c r="F46" s="167">
        <f t="shared" ref="F46:F66" si="1">C46*D46*365*0.85</f>
        <v>0</v>
      </c>
    </row>
    <row r="47" spans="1:10">
      <c r="A47" s="136" t="s">
        <v>320</v>
      </c>
      <c r="B47" s="152">
        <v>1028</v>
      </c>
      <c r="C47" s="179">
        <v>1.46</v>
      </c>
      <c r="D47" s="178">
        <v>2249.89</v>
      </c>
      <c r="E47" s="141">
        <f>B47*D47</f>
        <v>2312886.92</v>
      </c>
      <c r="F47" s="167">
        <f t="shared" si="1"/>
        <v>1019121.42385</v>
      </c>
    </row>
    <row r="48" spans="1:10">
      <c r="A48" s="136" t="s">
        <v>321</v>
      </c>
      <c r="B48" s="152">
        <v>73</v>
      </c>
      <c r="C48" s="179">
        <v>7.26</v>
      </c>
      <c r="D48" s="178">
        <v>433.68</v>
      </c>
      <c r="E48" s="141">
        <f t="shared" si="0"/>
        <v>31658.639999999999</v>
      </c>
      <c r="F48" s="167">
        <f t="shared" si="1"/>
        <v>976827.33719999995</v>
      </c>
    </row>
    <row r="49" spans="1:6">
      <c r="A49" s="136" t="s">
        <v>322</v>
      </c>
      <c r="B49" s="152">
        <v>69</v>
      </c>
      <c r="C49" s="179">
        <v>6.93</v>
      </c>
      <c r="D49" s="178">
        <v>138.78</v>
      </c>
      <c r="E49" s="141">
        <f t="shared" si="0"/>
        <v>9575.82</v>
      </c>
      <c r="F49" s="167">
        <f t="shared" si="1"/>
        <v>298381.51035</v>
      </c>
    </row>
    <row r="50" spans="1:6">
      <c r="A50" s="136" t="s">
        <v>323</v>
      </c>
      <c r="B50" s="152"/>
      <c r="C50" s="179"/>
      <c r="D50" s="178"/>
      <c r="E50" s="141">
        <v>142156</v>
      </c>
      <c r="F50" s="167">
        <v>6769</v>
      </c>
    </row>
    <row r="51" spans="1:6">
      <c r="A51" s="136" t="s">
        <v>324</v>
      </c>
      <c r="B51" s="152">
        <v>0</v>
      </c>
      <c r="C51" s="139">
        <v>1741</v>
      </c>
      <c r="D51" s="178">
        <v>1.05</v>
      </c>
      <c r="E51" s="141">
        <f t="shared" si="0"/>
        <v>0</v>
      </c>
      <c r="F51" s="167">
        <f t="shared" si="1"/>
        <v>567152.51250000007</v>
      </c>
    </row>
    <row r="52" spans="1:6">
      <c r="A52" s="136" t="s">
        <v>325</v>
      </c>
      <c r="B52" s="152">
        <v>0</v>
      </c>
      <c r="C52" s="139">
        <v>102</v>
      </c>
      <c r="D52" s="178">
        <v>129.80000000000001</v>
      </c>
      <c r="E52" s="141">
        <f t="shared" si="0"/>
        <v>0</v>
      </c>
      <c r="F52" s="167">
        <f t="shared" si="1"/>
        <v>4107585.9</v>
      </c>
    </row>
    <row r="53" spans="1:6">
      <c r="A53" s="136"/>
      <c r="B53" s="152"/>
      <c r="C53" s="139"/>
      <c r="D53" s="178"/>
      <c r="E53" s="141"/>
      <c r="F53" s="167"/>
    </row>
    <row r="54" spans="1:6">
      <c r="A54" s="171" t="s">
        <v>326</v>
      </c>
      <c r="B54" s="172"/>
      <c r="C54" s="175"/>
      <c r="D54" s="176"/>
      <c r="E54" s="177"/>
      <c r="F54" s="173"/>
    </row>
    <row r="55" spans="1:6">
      <c r="A55" s="136" t="s">
        <v>327</v>
      </c>
      <c r="B55" s="152">
        <v>0</v>
      </c>
      <c r="C55" s="139">
        <v>0</v>
      </c>
      <c r="D55" s="178">
        <v>0</v>
      </c>
      <c r="E55" s="141">
        <f t="shared" si="0"/>
        <v>0</v>
      </c>
      <c r="F55" s="167">
        <f t="shared" si="1"/>
        <v>0</v>
      </c>
    </row>
    <row r="56" spans="1:6">
      <c r="A56" s="136" t="s">
        <v>328</v>
      </c>
      <c r="B56" s="180" t="s">
        <v>329</v>
      </c>
      <c r="C56" s="179">
        <v>0.43</v>
      </c>
      <c r="D56" s="178">
        <v>5775.94</v>
      </c>
      <c r="E56" s="141">
        <v>0</v>
      </c>
      <c r="F56" s="167">
        <f t="shared" si="1"/>
        <v>770553.71554999996</v>
      </c>
    </row>
    <row r="57" spans="1:6">
      <c r="A57" s="136" t="s">
        <v>330</v>
      </c>
      <c r="B57" s="152">
        <v>0</v>
      </c>
      <c r="C57" s="139">
        <v>0</v>
      </c>
      <c r="D57" s="178">
        <v>0</v>
      </c>
      <c r="E57" s="141">
        <f t="shared" si="0"/>
        <v>0</v>
      </c>
      <c r="F57" s="167">
        <f t="shared" si="1"/>
        <v>0</v>
      </c>
    </row>
    <row r="58" spans="1:6">
      <c r="A58" s="136"/>
      <c r="B58" s="152"/>
      <c r="C58" s="139"/>
      <c r="D58" s="178"/>
      <c r="E58" s="141"/>
      <c r="F58" s="167"/>
    </row>
    <row r="59" spans="1:6">
      <c r="A59" s="171" t="s">
        <v>331</v>
      </c>
      <c r="B59" s="172"/>
      <c r="C59" s="175"/>
      <c r="D59" s="176"/>
      <c r="E59" s="177"/>
      <c r="F59" s="173"/>
    </row>
    <row r="60" spans="1:6">
      <c r="A60" s="136" t="s">
        <v>332</v>
      </c>
      <c r="B60" s="152">
        <v>0</v>
      </c>
      <c r="C60" s="139">
        <v>0</v>
      </c>
      <c r="D60" s="178">
        <v>0.31</v>
      </c>
      <c r="E60" s="141">
        <f t="shared" si="0"/>
        <v>0</v>
      </c>
      <c r="F60" s="167">
        <f t="shared" si="1"/>
        <v>0</v>
      </c>
    </row>
    <row r="61" spans="1:6">
      <c r="A61" s="136" t="s">
        <v>333</v>
      </c>
      <c r="B61" s="152">
        <v>0</v>
      </c>
      <c r="C61" s="139">
        <v>527</v>
      </c>
      <c r="D61" s="178">
        <v>16.23</v>
      </c>
      <c r="E61" s="141">
        <f t="shared" si="0"/>
        <v>0</v>
      </c>
      <c r="F61" s="167">
        <f t="shared" si="1"/>
        <v>2653633.4025000003</v>
      </c>
    </row>
    <row r="62" spans="1:6">
      <c r="A62" s="136" t="s">
        <v>334</v>
      </c>
      <c r="B62" s="152">
        <v>0</v>
      </c>
      <c r="C62" s="139">
        <v>132</v>
      </c>
      <c r="D62" s="178">
        <v>16.23</v>
      </c>
      <c r="E62" s="141">
        <f t="shared" si="0"/>
        <v>0</v>
      </c>
      <c r="F62" s="167">
        <f t="shared" si="1"/>
        <v>664667.19000000006</v>
      </c>
    </row>
    <row r="63" spans="1:6">
      <c r="A63" s="136"/>
      <c r="B63" s="152"/>
      <c r="C63" s="139"/>
      <c r="D63" s="178"/>
      <c r="E63" s="141"/>
      <c r="F63" s="167"/>
    </row>
    <row r="64" spans="1:6">
      <c r="A64" s="171" t="s">
        <v>335</v>
      </c>
      <c r="B64" s="172"/>
      <c r="C64" s="175"/>
      <c r="D64" s="176"/>
      <c r="E64" s="177"/>
      <c r="F64" s="173"/>
    </row>
    <row r="65" spans="1:6">
      <c r="A65" s="136" t="s">
        <v>336</v>
      </c>
      <c r="B65" s="152">
        <v>0</v>
      </c>
      <c r="C65" s="139">
        <v>1062</v>
      </c>
      <c r="D65" s="178">
        <v>0</v>
      </c>
      <c r="E65" s="141">
        <f t="shared" si="0"/>
        <v>0</v>
      </c>
      <c r="F65" s="167">
        <f t="shared" si="1"/>
        <v>0</v>
      </c>
    </row>
    <row r="66" spans="1:6">
      <c r="A66" s="136" t="s">
        <v>337</v>
      </c>
      <c r="B66" s="152">
        <v>0</v>
      </c>
      <c r="C66" s="139">
        <v>0</v>
      </c>
      <c r="D66" s="178">
        <v>0</v>
      </c>
      <c r="E66" s="141">
        <f t="shared" si="0"/>
        <v>0</v>
      </c>
      <c r="F66" s="167">
        <f t="shared" si="1"/>
        <v>0</v>
      </c>
    </row>
    <row r="67" spans="1:6">
      <c r="A67" s="136"/>
      <c r="B67" s="152"/>
      <c r="C67" s="139"/>
      <c r="D67" s="178"/>
      <c r="E67" s="141"/>
      <c r="F67" s="167"/>
    </row>
    <row r="68" spans="1:6">
      <c r="A68" s="171" t="s">
        <v>338</v>
      </c>
      <c r="B68" s="172">
        <v>0</v>
      </c>
      <c r="C68" s="175">
        <v>6790</v>
      </c>
      <c r="D68" s="176">
        <v>38.19</v>
      </c>
      <c r="E68" s="177">
        <f>B68*D68</f>
        <v>0</v>
      </c>
      <c r="F68" s="173">
        <f>C68*D68*365*0.85</f>
        <v>80450958.524999991</v>
      </c>
    </row>
    <row r="69" spans="1:6">
      <c r="A69" s="151"/>
      <c r="B69" s="152"/>
      <c r="C69" s="152"/>
      <c r="D69" s="178"/>
      <c r="E69" s="141"/>
      <c r="F69" s="167"/>
    </row>
    <row r="70" spans="1:6">
      <c r="A70" s="181" t="s">
        <v>339</v>
      </c>
      <c r="B70" s="182"/>
      <c r="C70" s="182"/>
      <c r="D70" s="182"/>
      <c r="E70" s="183"/>
      <c r="F70" s="184">
        <f>SUM(F38:F68)</f>
        <v>116175986.90144998</v>
      </c>
    </row>
    <row r="71" spans="1:6">
      <c r="A71" s="185" t="s">
        <v>340</v>
      </c>
      <c r="B71" s="186"/>
      <c r="C71" s="186"/>
      <c r="D71" s="186"/>
      <c r="E71" s="187">
        <f>SUM(E41:E68)</f>
        <v>2496277.38</v>
      </c>
      <c r="F71" s="188">
        <f>F70-F68</f>
        <v>35725028.376449987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E23"/>
  <sheetViews>
    <sheetView workbookViewId="0">
      <selection activeCell="B3" sqref="B3:B21"/>
    </sheetView>
  </sheetViews>
  <sheetFormatPr defaultRowHeight="15"/>
  <cols>
    <col min="1" max="1" width="18.42578125" customWidth="1"/>
  </cols>
  <sheetData>
    <row r="1" spans="1:5">
      <c r="A1" t="s">
        <v>502</v>
      </c>
      <c r="B1" t="s">
        <v>503</v>
      </c>
      <c r="E1" t="s">
        <v>505</v>
      </c>
    </row>
    <row r="3" spans="1:5">
      <c r="A3" s="9" t="s">
        <v>55</v>
      </c>
      <c r="B3" s="17">
        <v>1</v>
      </c>
      <c r="E3" s="17">
        <v>1</v>
      </c>
    </row>
    <row r="4" spans="1:5">
      <c r="A4" s="9" t="s">
        <v>60</v>
      </c>
      <c r="B4" s="17">
        <v>0</v>
      </c>
      <c r="E4" s="17">
        <v>0</v>
      </c>
    </row>
    <row r="5" spans="1:5">
      <c r="A5" s="9" t="s">
        <v>492</v>
      </c>
      <c r="B5" s="17">
        <v>0.11797388</v>
      </c>
      <c r="E5" s="17">
        <v>0.1</v>
      </c>
    </row>
    <row r="6" spans="1:5">
      <c r="A6" s="9" t="s">
        <v>493</v>
      </c>
      <c r="B6" s="17">
        <v>13.5458</v>
      </c>
      <c r="E6" s="17">
        <v>17.582538784099999</v>
      </c>
    </row>
    <row r="7" spans="1:5">
      <c r="A7" s="9" t="s">
        <v>494</v>
      </c>
      <c r="B7" s="17">
        <v>0.25</v>
      </c>
      <c r="E7" s="17">
        <v>0.25</v>
      </c>
    </row>
    <row r="8" spans="1:5">
      <c r="A8" s="9" t="s">
        <v>495</v>
      </c>
      <c r="B8" s="17">
        <v>2.7801780000000002E-2</v>
      </c>
      <c r="E8" s="17">
        <v>3.0929081939E-2</v>
      </c>
    </row>
    <row r="9" spans="1:5">
      <c r="A9" s="9" t="s">
        <v>85</v>
      </c>
      <c r="B9" s="17">
        <v>17.20354</v>
      </c>
      <c r="E9" s="17">
        <v>9.4297322417299991</v>
      </c>
    </row>
    <row r="10" spans="1:5">
      <c r="A10" s="9" t="s">
        <v>496</v>
      </c>
      <c r="B10" s="17">
        <v>15.686816</v>
      </c>
      <c r="E10" s="17">
        <v>14.0817675438</v>
      </c>
    </row>
    <row r="11" spans="1:5">
      <c r="A11" s="9" t="s">
        <v>497</v>
      </c>
      <c r="B11" s="17">
        <v>7.3086999999999999E-2</v>
      </c>
      <c r="E11" s="17">
        <v>7.1947305013300003E-2</v>
      </c>
    </row>
    <row r="12" spans="1:5">
      <c r="A12" s="9" t="s">
        <v>498</v>
      </c>
      <c r="B12" s="17">
        <v>2.2823699999999999E-2</v>
      </c>
      <c r="E12" s="17">
        <v>1.9859452572299999E-2</v>
      </c>
    </row>
    <row r="13" spans="1:5">
      <c r="A13" s="9" t="s">
        <v>86</v>
      </c>
      <c r="B13" s="17">
        <v>19</v>
      </c>
      <c r="E13" s="17">
        <v>8</v>
      </c>
    </row>
    <row r="14" spans="1:5">
      <c r="A14" s="9" t="s">
        <v>63</v>
      </c>
      <c r="B14" s="17">
        <v>4.5339590000000003</v>
      </c>
      <c r="E14" s="17">
        <v>3.8301146796099999</v>
      </c>
    </row>
    <row r="15" spans="1:5">
      <c r="A15" s="9" t="s">
        <v>70</v>
      </c>
      <c r="B15" s="17">
        <v>3.05986</v>
      </c>
      <c r="E15" s="17">
        <v>3.0422984350000002</v>
      </c>
    </row>
    <row r="16" spans="1:5">
      <c r="A16" s="9" t="s">
        <v>75</v>
      </c>
      <c r="B16" s="17">
        <v>4.5820699999999999</v>
      </c>
      <c r="E16" s="17">
        <v>5.0971791795700003</v>
      </c>
    </row>
    <row r="17" spans="1:5">
      <c r="A17" s="9" t="s">
        <v>80</v>
      </c>
      <c r="B17" s="17">
        <v>4.9409330000000002</v>
      </c>
      <c r="E17" s="17">
        <v>4.8183153111800001</v>
      </c>
    </row>
    <row r="18" spans="1:5">
      <c r="A18" s="9" t="s">
        <v>84</v>
      </c>
      <c r="B18" s="17">
        <v>3.6829480000000001</v>
      </c>
      <c r="E18" s="17">
        <v>4.0603094319800004</v>
      </c>
    </row>
    <row r="19" spans="1:5">
      <c r="A19" s="9" t="s">
        <v>274</v>
      </c>
      <c r="B19" s="17">
        <v>870.54300000000001</v>
      </c>
      <c r="E19" s="17">
        <v>963.00924098899998</v>
      </c>
    </row>
    <row r="20" spans="1:5">
      <c r="A20" s="9" t="s">
        <v>247</v>
      </c>
      <c r="B20" s="17">
        <v>856774.799</v>
      </c>
      <c r="E20" s="17">
        <v>900000</v>
      </c>
    </row>
    <row r="21" spans="1:5">
      <c r="A21" s="9" t="s">
        <v>273</v>
      </c>
      <c r="B21" s="17">
        <v>40</v>
      </c>
      <c r="E21" s="17">
        <v>40</v>
      </c>
    </row>
    <row r="23" spans="1:5">
      <c r="A23" s="9" t="s">
        <v>504</v>
      </c>
      <c r="B23" s="203">
        <v>205.09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2:L52"/>
  <sheetViews>
    <sheetView topLeftCell="A19" zoomScaleNormal="100" workbookViewId="0">
      <selection activeCell="F28" sqref="F28"/>
    </sheetView>
  </sheetViews>
  <sheetFormatPr defaultRowHeight="15"/>
  <cols>
    <col min="1" max="1" width="15.7109375" customWidth="1"/>
    <col min="2" max="2" width="40.7109375" customWidth="1"/>
    <col min="3" max="7" width="15.7109375" customWidth="1"/>
    <col min="8" max="8" width="30.7109375" customWidth="1"/>
    <col min="9" max="14" width="15.7109375" customWidth="1"/>
  </cols>
  <sheetData>
    <row r="2" spans="1:12">
      <c r="C2" t="s">
        <v>5</v>
      </c>
    </row>
    <row r="3" spans="1:12">
      <c r="C3" t="s">
        <v>35</v>
      </c>
    </row>
    <row r="4" spans="1:12">
      <c r="C4" t="s">
        <v>4</v>
      </c>
    </row>
    <row r="5" spans="1:12">
      <c r="C5" t="s">
        <v>36</v>
      </c>
    </row>
    <row r="6" spans="1:12">
      <c r="C6" t="s">
        <v>31</v>
      </c>
    </row>
    <row r="8" spans="1:12"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15.75" thickBot="1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17</v>
      </c>
      <c r="I9" s="8" t="s">
        <v>13</v>
      </c>
      <c r="J9" s="8" t="s">
        <v>14</v>
      </c>
      <c r="K9" s="8" t="s">
        <v>15</v>
      </c>
      <c r="L9" s="8" t="s">
        <v>16</v>
      </c>
    </row>
    <row r="10" spans="1:12" ht="15.75" thickTop="1">
      <c r="A10">
        <v>1</v>
      </c>
      <c r="B10" t="s">
        <v>55</v>
      </c>
      <c r="C10" t="s">
        <v>58</v>
      </c>
      <c r="D10" t="s">
        <v>57</v>
      </c>
      <c r="E10" t="s">
        <v>56</v>
      </c>
      <c r="F10" t="s">
        <v>59</v>
      </c>
      <c r="G10" t="b">
        <v>1</v>
      </c>
    </row>
    <row r="11" spans="1:12">
      <c r="A11">
        <v>2</v>
      </c>
      <c r="B11" t="s">
        <v>60</v>
      </c>
      <c r="C11" t="s">
        <v>58</v>
      </c>
      <c r="D11" t="s">
        <v>57</v>
      </c>
      <c r="E11" t="s">
        <v>56</v>
      </c>
      <c r="F11" t="s">
        <v>61</v>
      </c>
      <c r="G11" t="b">
        <v>1</v>
      </c>
    </row>
    <row r="12" spans="1:12">
      <c r="A12">
        <v>3</v>
      </c>
      <c r="B12" t="s">
        <v>492</v>
      </c>
      <c r="C12" t="s">
        <v>58</v>
      </c>
      <c r="D12" t="s">
        <v>57</v>
      </c>
      <c r="E12" t="s">
        <v>56</v>
      </c>
      <c r="F12" t="s">
        <v>62</v>
      </c>
      <c r="G12" t="b">
        <v>1</v>
      </c>
    </row>
    <row r="13" spans="1:12">
      <c r="A13">
        <v>4</v>
      </c>
      <c r="B13" t="s">
        <v>493</v>
      </c>
      <c r="C13" t="s">
        <v>58</v>
      </c>
      <c r="D13" t="s">
        <v>57</v>
      </c>
      <c r="E13" t="s">
        <v>56</v>
      </c>
      <c r="F13" t="s">
        <v>64</v>
      </c>
      <c r="G13" t="b">
        <v>1</v>
      </c>
    </row>
    <row r="14" spans="1:12">
      <c r="A14">
        <v>5</v>
      </c>
      <c r="B14" t="s">
        <v>494</v>
      </c>
      <c r="C14" t="s">
        <v>58</v>
      </c>
      <c r="D14" t="s">
        <v>57</v>
      </c>
      <c r="E14" t="s">
        <v>56</v>
      </c>
      <c r="F14" t="s">
        <v>65</v>
      </c>
      <c r="G14" t="b">
        <v>1</v>
      </c>
    </row>
    <row r="15" spans="1:12">
      <c r="A15">
        <v>6</v>
      </c>
      <c r="B15" t="s">
        <v>495</v>
      </c>
      <c r="C15" t="s">
        <v>58</v>
      </c>
      <c r="D15" t="s">
        <v>57</v>
      </c>
      <c r="E15" t="s">
        <v>56</v>
      </c>
      <c r="F15" t="s">
        <v>66</v>
      </c>
      <c r="G15" t="b">
        <v>1</v>
      </c>
    </row>
    <row r="16" spans="1:12">
      <c r="A16">
        <v>7</v>
      </c>
      <c r="B16" t="s">
        <v>85</v>
      </c>
      <c r="C16" t="s">
        <v>58</v>
      </c>
      <c r="D16" t="s">
        <v>57</v>
      </c>
      <c r="E16" t="s">
        <v>56</v>
      </c>
      <c r="F16" t="s">
        <v>68</v>
      </c>
      <c r="G16" t="b">
        <v>1</v>
      </c>
    </row>
    <row r="17" spans="1:7">
      <c r="A17">
        <v>8</v>
      </c>
      <c r="B17" t="s">
        <v>496</v>
      </c>
      <c r="C17" t="s">
        <v>58</v>
      </c>
      <c r="D17" t="s">
        <v>57</v>
      </c>
      <c r="E17" t="s">
        <v>56</v>
      </c>
      <c r="F17" t="s">
        <v>69</v>
      </c>
      <c r="G17" t="b">
        <v>1</v>
      </c>
    </row>
    <row r="18" spans="1:7">
      <c r="A18">
        <v>9</v>
      </c>
      <c r="B18" t="s">
        <v>497</v>
      </c>
      <c r="C18" t="s">
        <v>58</v>
      </c>
      <c r="D18" t="s">
        <v>57</v>
      </c>
      <c r="E18" t="s">
        <v>56</v>
      </c>
      <c r="F18" t="s">
        <v>71</v>
      </c>
      <c r="G18" t="b">
        <v>1</v>
      </c>
    </row>
    <row r="19" spans="1:7">
      <c r="A19">
        <v>10</v>
      </c>
      <c r="B19" t="s">
        <v>498</v>
      </c>
      <c r="C19" t="s">
        <v>58</v>
      </c>
      <c r="D19" t="s">
        <v>57</v>
      </c>
      <c r="E19" t="s">
        <v>56</v>
      </c>
      <c r="F19" t="s">
        <v>72</v>
      </c>
      <c r="G19" t="b">
        <v>1</v>
      </c>
    </row>
    <row r="20" spans="1:7">
      <c r="A20">
        <v>11</v>
      </c>
      <c r="B20" t="s">
        <v>86</v>
      </c>
      <c r="C20" t="s">
        <v>58</v>
      </c>
      <c r="D20" t="s">
        <v>57</v>
      </c>
      <c r="E20" t="s">
        <v>56</v>
      </c>
      <c r="F20" t="s">
        <v>73</v>
      </c>
      <c r="G20" t="b">
        <v>1</v>
      </c>
    </row>
    <row r="21" spans="1:7">
      <c r="A21">
        <v>12</v>
      </c>
      <c r="B21" t="s">
        <v>63</v>
      </c>
      <c r="C21" t="s">
        <v>58</v>
      </c>
      <c r="D21" t="s">
        <v>57</v>
      </c>
      <c r="E21" t="s">
        <v>56</v>
      </c>
      <c r="F21" t="s">
        <v>74</v>
      </c>
      <c r="G21" t="b">
        <v>1</v>
      </c>
    </row>
    <row r="22" spans="1:7">
      <c r="A22">
        <v>13</v>
      </c>
      <c r="B22" t="s">
        <v>70</v>
      </c>
      <c r="C22" t="s">
        <v>58</v>
      </c>
      <c r="D22" t="s">
        <v>57</v>
      </c>
      <c r="E22" t="s">
        <v>56</v>
      </c>
      <c r="F22" t="s">
        <v>76</v>
      </c>
      <c r="G22" t="b">
        <v>1</v>
      </c>
    </row>
    <row r="23" spans="1:7">
      <c r="A23">
        <v>14</v>
      </c>
      <c r="B23" t="s">
        <v>75</v>
      </c>
      <c r="C23" t="s">
        <v>58</v>
      </c>
      <c r="D23" t="s">
        <v>57</v>
      </c>
      <c r="E23" t="s">
        <v>56</v>
      </c>
      <c r="F23" t="s">
        <v>77</v>
      </c>
      <c r="G23" t="b">
        <v>1</v>
      </c>
    </row>
    <row r="24" spans="1:7">
      <c r="A24">
        <v>15</v>
      </c>
      <c r="B24" t="s">
        <v>80</v>
      </c>
      <c r="C24" t="s">
        <v>58</v>
      </c>
      <c r="D24" t="s">
        <v>57</v>
      </c>
      <c r="E24" t="s">
        <v>56</v>
      </c>
      <c r="F24" t="s">
        <v>78</v>
      </c>
      <c r="G24" t="b">
        <v>1</v>
      </c>
    </row>
    <row r="25" spans="1:7">
      <c r="A25">
        <v>16</v>
      </c>
      <c r="B25" t="s">
        <v>84</v>
      </c>
      <c r="C25" t="s">
        <v>58</v>
      </c>
      <c r="D25" t="s">
        <v>57</v>
      </c>
      <c r="E25" t="s">
        <v>56</v>
      </c>
      <c r="F25" t="s">
        <v>79</v>
      </c>
      <c r="G25" t="b">
        <v>1</v>
      </c>
    </row>
    <row r="26" spans="1:7">
      <c r="A26">
        <v>17</v>
      </c>
      <c r="B26" t="s">
        <v>274</v>
      </c>
      <c r="C26" t="s">
        <v>58</v>
      </c>
      <c r="D26" t="s">
        <v>57</v>
      </c>
      <c r="E26" t="s">
        <v>56</v>
      </c>
      <c r="F26" t="s">
        <v>81</v>
      </c>
      <c r="G26" t="b">
        <v>1</v>
      </c>
    </row>
    <row r="27" spans="1:7">
      <c r="A27">
        <v>18</v>
      </c>
      <c r="B27" t="s">
        <v>247</v>
      </c>
      <c r="C27" t="s">
        <v>58</v>
      </c>
      <c r="D27" t="s">
        <v>57</v>
      </c>
      <c r="E27" t="s">
        <v>56</v>
      </c>
      <c r="F27" t="s">
        <v>82</v>
      </c>
      <c r="G27" t="b">
        <v>1</v>
      </c>
    </row>
    <row r="28" spans="1:7">
      <c r="A28">
        <v>19</v>
      </c>
      <c r="B28" t="s">
        <v>273</v>
      </c>
      <c r="C28" t="s">
        <v>58</v>
      </c>
      <c r="D28" t="s">
        <v>57</v>
      </c>
      <c r="E28" t="s">
        <v>56</v>
      </c>
      <c r="F28" t="s">
        <v>83</v>
      </c>
      <c r="G28" t="b">
        <v>1</v>
      </c>
    </row>
    <row r="29" spans="1:7">
      <c r="A29">
        <v>20</v>
      </c>
      <c r="B29" t="s">
        <v>87</v>
      </c>
      <c r="C29" t="s">
        <v>18</v>
      </c>
      <c r="D29" t="s">
        <v>57</v>
      </c>
      <c r="E29" t="s">
        <v>56</v>
      </c>
      <c r="F29" t="s">
        <v>88</v>
      </c>
      <c r="G29" t="b">
        <v>1</v>
      </c>
    </row>
    <row r="30" spans="1:7">
      <c r="A30">
        <v>21</v>
      </c>
      <c r="B30" t="s">
        <v>89</v>
      </c>
      <c r="C30" t="s">
        <v>18</v>
      </c>
      <c r="D30" t="s">
        <v>57</v>
      </c>
      <c r="E30" t="s">
        <v>56</v>
      </c>
      <c r="F30" t="s">
        <v>90</v>
      </c>
      <c r="G30" t="b">
        <v>1</v>
      </c>
    </row>
    <row r="31" spans="1:7">
      <c r="A31">
        <v>22</v>
      </c>
      <c r="B31" t="s">
        <v>91</v>
      </c>
      <c r="C31" t="s">
        <v>18</v>
      </c>
      <c r="D31" t="s">
        <v>57</v>
      </c>
      <c r="E31" t="s">
        <v>56</v>
      </c>
      <c r="F31" t="s">
        <v>92</v>
      </c>
      <c r="G31" t="b">
        <v>1</v>
      </c>
    </row>
    <row r="32" spans="1:7">
      <c r="A32">
        <v>23</v>
      </c>
      <c r="B32" t="s">
        <v>93</v>
      </c>
      <c r="C32" t="s">
        <v>18</v>
      </c>
      <c r="D32" t="s">
        <v>57</v>
      </c>
      <c r="E32" t="s">
        <v>56</v>
      </c>
      <c r="F32" t="s">
        <v>94</v>
      </c>
      <c r="G32" t="b">
        <v>1</v>
      </c>
    </row>
    <row r="33" spans="1:7">
      <c r="A33">
        <v>24</v>
      </c>
      <c r="B33" t="s">
        <v>95</v>
      </c>
      <c r="C33" t="s">
        <v>18</v>
      </c>
      <c r="D33" t="s">
        <v>57</v>
      </c>
      <c r="E33" t="s">
        <v>56</v>
      </c>
      <c r="F33" t="s">
        <v>96</v>
      </c>
      <c r="G33" t="b">
        <v>1</v>
      </c>
    </row>
    <row r="34" spans="1:7">
      <c r="A34">
        <v>25</v>
      </c>
      <c r="B34" t="s">
        <v>261</v>
      </c>
      <c r="C34" t="s">
        <v>18</v>
      </c>
      <c r="D34" t="s">
        <v>57</v>
      </c>
      <c r="E34" t="s">
        <v>56</v>
      </c>
      <c r="F34" t="s">
        <v>253</v>
      </c>
      <c r="G34" t="b">
        <v>1</v>
      </c>
    </row>
    <row r="35" spans="1:7">
      <c r="A35">
        <v>26</v>
      </c>
      <c r="B35" t="s">
        <v>262</v>
      </c>
      <c r="C35" t="s">
        <v>18</v>
      </c>
      <c r="D35" t="s">
        <v>57</v>
      </c>
      <c r="E35" t="s">
        <v>56</v>
      </c>
      <c r="F35" t="s">
        <v>254</v>
      </c>
      <c r="G35" t="b">
        <v>1</v>
      </c>
    </row>
    <row r="36" spans="1:7">
      <c r="A36">
        <v>27</v>
      </c>
      <c r="B36" t="s">
        <v>268</v>
      </c>
      <c r="C36" t="s">
        <v>18</v>
      </c>
      <c r="D36" t="s">
        <v>57</v>
      </c>
      <c r="E36" t="s">
        <v>56</v>
      </c>
      <c r="F36" t="s">
        <v>255</v>
      </c>
      <c r="G36" t="b">
        <v>1</v>
      </c>
    </row>
    <row r="37" spans="1:7">
      <c r="A37">
        <v>28</v>
      </c>
      <c r="B37" t="s">
        <v>269</v>
      </c>
      <c r="C37" t="s">
        <v>18</v>
      </c>
      <c r="D37" t="s">
        <v>57</v>
      </c>
      <c r="E37" t="s">
        <v>56</v>
      </c>
      <c r="F37" t="s">
        <v>256</v>
      </c>
      <c r="G37" t="b">
        <v>1</v>
      </c>
    </row>
    <row r="38" spans="1:7">
      <c r="A38">
        <v>29</v>
      </c>
      <c r="B38" t="s">
        <v>263</v>
      </c>
      <c r="C38" t="s">
        <v>18</v>
      </c>
      <c r="D38" t="s">
        <v>57</v>
      </c>
      <c r="E38" t="s">
        <v>56</v>
      </c>
      <c r="F38" t="s">
        <v>258</v>
      </c>
      <c r="G38" t="b">
        <v>1</v>
      </c>
    </row>
    <row r="39" spans="1:7">
      <c r="A39">
        <v>30</v>
      </c>
      <c r="B39" t="s">
        <v>499</v>
      </c>
      <c r="C39" t="s">
        <v>18</v>
      </c>
      <c r="D39" t="s">
        <v>57</v>
      </c>
      <c r="E39" t="s">
        <v>56</v>
      </c>
      <c r="F39" t="s">
        <v>259</v>
      </c>
      <c r="G39" t="b">
        <v>1</v>
      </c>
    </row>
    <row r="40" spans="1:7">
      <c r="A40">
        <v>31</v>
      </c>
      <c r="B40" t="s">
        <v>500</v>
      </c>
      <c r="C40" t="s">
        <v>18</v>
      </c>
      <c r="D40" t="s">
        <v>57</v>
      </c>
      <c r="E40" t="s">
        <v>56</v>
      </c>
      <c r="F40" t="s">
        <v>260</v>
      </c>
      <c r="G40" t="b">
        <v>1</v>
      </c>
    </row>
    <row r="41" spans="1:7">
      <c r="A41">
        <v>32</v>
      </c>
      <c r="B41" t="s">
        <v>501</v>
      </c>
      <c r="C41" t="s">
        <v>18</v>
      </c>
      <c r="D41" t="s">
        <v>57</v>
      </c>
      <c r="E41" t="s">
        <v>56</v>
      </c>
      <c r="F41" t="s">
        <v>265</v>
      </c>
      <c r="G41" t="b">
        <v>1</v>
      </c>
    </row>
    <row r="42" spans="1:7">
      <c r="A42">
        <v>33</v>
      </c>
      <c r="B42" t="s">
        <v>257</v>
      </c>
      <c r="C42" t="s">
        <v>18</v>
      </c>
      <c r="D42" t="s">
        <v>57</v>
      </c>
      <c r="E42" t="s">
        <v>56</v>
      </c>
      <c r="F42" t="s">
        <v>267</v>
      </c>
      <c r="G42" t="b">
        <v>1</v>
      </c>
    </row>
    <row r="43" spans="1:7">
      <c r="A43">
        <v>34</v>
      </c>
      <c r="B43" t="s">
        <v>264</v>
      </c>
      <c r="C43" t="s">
        <v>18</v>
      </c>
      <c r="D43" t="s">
        <v>57</v>
      </c>
      <c r="E43" t="s">
        <v>56</v>
      </c>
      <c r="F43" t="s">
        <v>270</v>
      </c>
      <c r="G43" t="b">
        <v>1</v>
      </c>
    </row>
    <row r="44" spans="1:7">
      <c r="A44">
        <v>35</v>
      </c>
      <c r="B44" t="s">
        <v>266</v>
      </c>
      <c r="C44" t="s">
        <v>18</v>
      </c>
      <c r="D44" t="s">
        <v>57</v>
      </c>
      <c r="E44" t="s">
        <v>56</v>
      </c>
      <c r="F44" t="s">
        <v>271</v>
      </c>
      <c r="G44" t="b">
        <v>1</v>
      </c>
    </row>
    <row r="45" spans="1:7">
      <c r="A45">
        <v>36</v>
      </c>
      <c r="B45" t="s">
        <v>433</v>
      </c>
      <c r="C45" t="s">
        <v>18</v>
      </c>
      <c r="D45" t="s">
        <v>57</v>
      </c>
      <c r="E45" t="s">
        <v>56</v>
      </c>
      <c r="F45" t="s">
        <v>430</v>
      </c>
      <c r="G45" t="b">
        <v>1</v>
      </c>
    </row>
    <row r="46" spans="1:7">
      <c r="A46">
        <v>37</v>
      </c>
      <c r="B46" t="s">
        <v>435</v>
      </c>
      <c r="C46" t="s">
        <v>18</v>
      </c>
      <c r="D46" t="s">
        <v>57</v>
      </c>
      <c r="E46" t="s">
        <v>56</v>
      </c>
      <c r="F46" t="s">
        <v>432</v>
      </c>
      <c r="G46" t="b">
        <v>1</v>
      </c>
    </row>
    <row r="47" spans="1:7">
      <c r="A47">
        <v>38</v>
      </c>
      <c r="B47" t="s">
        <v>437</v>
      </c>
      <c r="C47" t="s">
        <v>18</v>
      </c>
      <c r="D47" t="s">
        <v>57</v>
      </c>
      <c r="E47" t="s">
        <v>56</v>
      </c>
      <c r="F47" t="s">
        <v>434</v>
      </c>
      <c r="G47" t="b">
        <v>1</v>
      </c>
    </row>
    <row r="48" spans="1:7">
      <c r="A48">
        <v>39</v>
      </c>
      <c r="B48" t="s">
        <v>439</v>
      </c>
      <c r="C48" t="s">
        <v>18</v>
      </c>
      <c r="D48" t="s">
        <v>57</v>
      </c>
      <c r="E48" t="s">
        <v>56</v>
      </c>
      <c r="F48" t="s">
        <v>436</v>
      </c>
      <c r="G48" t="b">
        <v>1</v>
      </c>
    </row>
    <row r="49" spans="1:7">
      <c r="A49">
        <v>40</v>
      </c>
      <c r="B49" t="s">
        <v>449</v>
      </c>
      <c r="C49" t="s">
        <v>18</v>
      </c>
      <c r="D49" t="s">
        <v>57</v>
      </c>
      <c r="E49" t="s">
        <v>56</v>
      </c>
      <c r="F49" t="s">
        <v>438</v>
      </c>
      <c r="G49" t="b">
        <v>1</v>
      </c>
    </row>
    <row r="50" spans="1:7">
      <c r="A50">
        <v>41</v>
      </c>
      <c r="B50" t="s">
        <v>450</v>
      </c>
      <c r="C50" t="s">
        <v>18</v>
      </c>
      <c r="D50" t="s">
        <v>57</v>
      </c>
      <c r="E50" t="s">
        <v>56</v>
      </c>
      <c r="F50" t="s">
        <v>440</v>
      </c>
      <c r="G50" t="b">
        <v>1</v>
      </c>
    </row>
    <row r="51" spans="1:7">
      <c r="A51">
        <v>42</v>
      </c>
      <c r="B51" t="s">
        <v>431</v>
      </c>
      <c r="C51" t="s">
        <v>18</v>
      </c>
      <c r="D51" t="s">
        <v>57</v>
      </c>
      <c r="E51" t="s">
        <v>56</v>
      </c>
      <c r="F51" t="s">
        <v>442</v>
      </c>
      <c r="G51" t="b">
        <v>1</v>
      </c>
    </row>
    <row r="52" spans="1:7">
      <c r="A52">
        <v>43</v>
      </c>
      <c r="B52" t="s">
        <v>429</v>
      </c>
      <c r="C52" t="s">
        <v>18</v>
      </c>
      <c r="D52" t="s">
        <v>57</v>
      </c>
      <c r="E52" t="s">
        <v>56</v>
      </c>
      <c r="F52" t="s">
        <v>443</v>
      </c>
      <c r="G52" t="b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N150"/>
    </sheetView>
  </sheetViews>
  <sheetFormatPr defaultRowHeight="15"/>
  <cols>
    <col min="1" max="16" width="15.7109375" customWidth="1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C1:G6"/>
  <sheetViews>
    <sheetView workbookViewId="0">
      <selection activeCell="D12" sqref="D12"/>
    </sheetView>
  </sheetViews>
  <sheetFormatPr defaultRowHeight="15"/>
  <cols>
    <col min="1" max="2" width="4.7109375" customWidth="1"/>
    <col min="3" max="3" width="15.7109375" customWidth="1"/>
    <col min="4" max="4" width="20.7109375" customWidth="1"/>
    <col min="5" max="17" width="15.7109375" customWidth="1"/>
  </cols>
  <sheetData>
    <row r="1" spans="3:7">
      <c r="C1" t="s">
        <v>39</v>
      </c>
    </row>
    <row r="2" spans="3:7">
      <c r="C2" s="11" t="s">
        <v>40</v>
      </c>
    </row>
    <row r="3" spans="3:7">
      <c r="C3" s="2" t="s">
        <v>23</v>
      </c>
      <c r="D3" s="2" t="s">
        <v>24</v>
      </c>
      <c r="E3" s="2" t="s">
        <v>25</v>
      </c>
    </row>
    <row r="4" spans="3:7">
      <c r="C4" s="13" t="s">
        <v>38</v>
      </c>
      <c r="D4" s="13" t="s">
        <v>38</v>
      </c>
      <c r="E4" s="2" t="s">
        <v>37</v>
      </c>
      <c r="F4">
        <v>1</v>
      </c>
      <c r="G4">
        <v>2</v>
      </c>
    </row>
    <row r="5" spans="3:7">
      <c r="C5" s="9" t="s">
        <v>26</v>
      </c>
      <c r="D5" s="13" t="s">
        <v>27</v>
      </c>
      <c r="E5" s="9" t="s">
        <v>18</v>
      </c>
      <c r="F5">
        <v>4.000000306405127</v>
      </c>
      <c r="G5">
        <v>9.9999998230487108</v>
      </c>
    </row>
    <row r="6" spans="3:7">
      <c r="C6" s="9" t="s">
        <v>28</v>
      </c>
      <c r="D6" s="13" t="s">
        <v>29</v>
      </c>
      <c r="E6" s="9" t="s">
        <v>18</v>
      </c>
      <c r="F6">
        <v>1</v>
      </c>
      <c r="G6">
        <v>1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E10"/>
  <sheetViews>
    <sheetView workbookViewId="0">
      <selection activeCell="H17" sqref="H17"/>
    </sheetView>
  </sheetViews>
  <sheetFormatPr defaultRowHeight="15"/>
  <sheetData>
    <row r="1" spans="1:5">
      <c r="D1" s="9" t="s">
        <v>52</v>
      </c>
      <c r="E1" s="16" t="s">
        <v>53</v>
      </c>
    </row>
    <row r="2" spans="1:5">
      <c r="D2" s="9" t="s">
        <v>43</v>
      </c>
      <c r="E2">
        <v>1</v>
      </c>
    </row>
    <row r="3" spans="1:5">
      <c r="D3" s="9"/>
    </row>
    <row r="4" spans="1:5">
      <c r="A4" t="s">
        <v>44</v>
      </c>
    </row>
    <row r="5" spans="1:5">
      <c r="A5" t="s">
        <v>45</v>
      </c>
    </row>
    <row r="6" spans="1:5">
      <c r="A6" t="s">
        <v>46</v>
      </c>
    </row>
    <row r="7" spans="1:5">
      <c r="A7" t="s">
        <v>47</v>
      </c>
    </row>
    <row r="8" spans="1:5">
      <c r="A8" t="s">
        <v>48</v>
      </c>
    </row>
    <row r="9" spans="1:5">
      <c r="A9" t="s">
        <v>49</v>
      </c>
    </row>
    <row r="10" spans="1:5">
      <c r="A10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K51"/>
  <sheetViews>
    <sheetView topLeftCell="A22" workbookViewId="0">
      <selection activeCell="C56" sqref="C56"/>
    </sheetView>
  </sheetViews>
  <sheetFormatPr defaultRowHeight="12.75"/>
  <cols>
    <col min="1" max="1" width="28" style="19" customWidth="1"/>
    <col min="2" max="2" width="13.42578125" style="19" bestFit="1" customWidth="1"/>
    <col min="3" max="3" width="16.85546875" style="19" customWidth="1"/>
    <col min="4" max="6" width="9.140625" style="19"/>
    <col min="7" max="7" width="26.5703125" style="19" customWidth="1"/>
    <col min="8" max="8" width="9.140625" style="19"/>
    <col min="9" max="9" width="15" style="19" bestFit="1" customWidth="1"/>
    <col min="10" max="10" width="12.28515625" style="19" customWidth="1"/>
    <col min="11" max="16384" width="9.140625" style="19"/>
  </cols>
  <sheetData>
    <row r="1" spans="1:10">
      <c r="A1" s="102" t="s">
        <v>467</v>
      </c>
      <c r="B1" s="103"/>
      <c r="C1" s="104"/>
      <c r="G1" s="102" t="s">
        <v>486</v>
      </c>
      <c r="H1" s="103"/>
      <c r="I1" s="103"/>
      <c r="J1" s="104"/>
    </row>
    <row r="2" spans="1:10">
      <c r="A2" s="95" t="s">
        <v>364</v>
      </c>
      <c r="B2" s="105">
        <f>ADS!B50</f>
        <v>3622619.4445690797</v>
      </c>
      <c r="C2" s="96">
        <f>Interface!C16</f>
        <v>15</v>
      </c>
      <c r="G2" s="77" t="s">
        <v>373</v>
      </c>
      <c r="H2" s="78"/>
      <c r="I2" s="79">
        <f>Interface!C27/1000</f>
        <v>600</v>
      </c>
      <c r="J2" s="80" t="s">
        <v>374</v>
      </c>
    </row>
    <row r="3" spans="1:10">
      <c r="A3" s="93" t="s">
        <v>365</v>
      </c>
      <c r="B3" s="45">
        <f>RGN!B51</f>
        <v>1779346.9179696282</v>
      </c>
      <c r="C3" s="98">
        <f>Interface!C20</f>
        <v>15</v>
      </c>
      <c r="G3" s="81" t="s">
        <v>375</v>
      </c>
      <c r="H3" s="82"/>
      <c r="I3" s="125">
        <f>I11/I10*1000</f>
        <v>11022.927689594357</v>
      </c>
      <c r="J3" s="83" t="s">
        <v>376</v>
      </c>
    </row>
    <row r="4" spans="1:10">
      <c r="A4" s="115" t="s">
        <v>468</v>
      </c>
      <c r="B4" s="121">
        <f>B2*C2+B3*C3</f>
        <v>81029495.438080609</v>
      </c>
      <c r="G4" s="81" t="s">
        <v>377</v>
      </c>
      <c r="H4" s="82"/>
      <c r="I4" s="82">
        <f>I2*COE!C2</f>
        <v>9000</v>
      </c>
      <c r="J4" s="83" t="s">
        <v>374</v>
      </c>
    </row>
    <row r="5" spans="1:10">
      <c r="A5" s="76" t="s">
        <v>366</v>
      </c>
      <c r="B5" s="94">
        <v>400</v>
      </c>
      <c r="G5" s="81" t="s">
        <v>378</v>
      </c>
      <c r="H5" s="82"/>
      <c r="I5" s="82">
        <v>0.6</v>
      </c>
      <c r="J5" s="83" t="s">
        <v>379</v>
      </c>
    </row>
    <row r="6" spans="1:10">
      <c r="A6" s="76" t="s">
        <v>367</v>
      </c>
      <c r="B6" s="94">
        <v>500</v>
      </c>
      <c r="G6" s="81" t="s">
        <v>380</v>
      </c>
      <c r="H6" s="82"/>
      <c r="I6" s="82">
        <f>24/I5</f>
        <v>40</v>
      </c>
      <c r="J6" s="83" t="s">
        <v>381</v>
      </c>
    </row>
    <row r="7" spans="1:10">
      <c r="A7" s="76" t="s">
        <v>368</v>
      </c>
      <c r="B7" s="94">
        <v>527</v>
      </c>
      <c r="G7" s="81" t="s">
        <v>382</v>
      </c>
      <c r="H7" s="82"/>
      <c r="I7" s="82">
        <f>I4*I5</f>
        <v>5400</v>
      </c>
      <c r="J7" s="83" t="s">
        <v>383</v>
      </c>
    </row>
    <row r="8" spans="1:10">
      <c r="A8" s="76" t="s">
        <v>369</v>
      </c>
      <c r="B8" s="94">
        <v>550</v>
      </c>
      <c r="G8" s="81" t="s">
        <v>384</v>
      </c>
      <c r="H8" s="82"/>
      <c r="I8" s="82">
        <v>5.0000000000000001E-3</v>
      </c>
      <c r="J8" s="83" t="s">
        <v>385</v>
      </c>
    </row>
    <row r="9" spans="1:10">
      <c r="A9" s="120" t="s">
        <v>469</v>
      </c>
      <c r="B9" s="121">
        <f>B4*B8/B6</f>
        <v>89132444.981888667</v>
      </c>
      <c r="G9" s="84" t="s">
        <v>386</v>
      </c>
      <c r="H9" s="85"/>
      <c r="I9" s="85">
        <f>I7*I8*I6/100*365</f>
        <v>3942.0000000000005</v>
      </c>
      <c r="J9" s="86" t="s">
        <v>383</v>
      </c>
    </row>
    <row r="10" spans="1:10">
      <c r="A10" s="76" t="s">
        <v>370</v>
      </c>
      <c r="B10" s="94">
        <v>1.05</v>
      </c>
      <c r="G10" s="87" t="s">
        <v>393</v>
      </c>
      <c r="H10" s="88"/>
      <c r="I10" s="88">
        <v>0.4536</v>
      </c>
      <c r="J10" s="89" t="s">
        <v>394</v>
      </c>
    </row>
    <row r="11" spans="1:10">
      <c r="A11" s="76" t="s">
        <v>371</v>
      </c>
      <c r="B11" s="94">
        <v>5.04</v>
      </c>
      <c r="G11" s="77" t="s">
        <v>395</v>
      </c>
      <c r="H11" s="90"/>
      <c r="I11" s="78">
        <v>5</v>
      </c>
      <c r="J11" s="80" t="s">
        <v>396</v>
      </c>
    </row>
    <row r="12" spans="1:10">
      <c r="A12" s="120" t="s">
        <v>372</v>
      </c>
      <c r="B12" s="121">
        <f>B9*B10*B11</f>
        <v>471688898.84415489</v>
      </c>
      <c r="G12" s="84" t="s">
        <v>397</v>
      </c>
      <c r="H12" s="91"/>
      <c r="I12" s="92">
        <v>5.0000000000000001E-3</v>
      </c>
      <c r="J12" s="86" t="s">
        <v>398</v>
      </c>
    </row>
    <row r="13" spans="1:10">
      <c r="A13" s="19" t="s">
        <v>473</v>
      </c>
      <c r="B13" s="94">
        <v>0.85</v>
      </c>
    </row>
    <row r="14" spans="1:10">
      <c r="A14" s="93" t="s">
        <v>456</v>
      </c>
      <c r="B14" s="106">
        <f>I36/550</f>
        <v>1.1823636363636363</v>
      </c>
      <c r="G14" s="102" t="s">
        <v>472</v>
      </c>
      <c r="H14" s="103"/>
      <c r="I14" s="103"/>
      <c r="J14" s="104"/>
    </row>
    <row r="15" spans="1:10">
      <c r="A15" s="93" t="s">
        <v>419</v>
      </c>
      <c r="B15" s="94">
        <v>0.124</v>
      </c>
      <c r="G15" s="77" t="s">
        <v>388</v>
      </c>
      <c r="H15" s="78"/>
      <c r="I15" s="123">
        <f>(Interface!G29*3+Interface!G26)*Interface!C16+(Interface!G28+Interface!G27)*Interface!C20</f>
        <v>4757966.8831677036</v>
      </c>
      <c r="J15" s="80" t="s">
        <v>200</v>
      </c>
    </row>
    <row r="16" spans="1:10">
      <c r="A16" s="97" t="s">
        <v>420</v>
      </c>
      <c r="B16" s="98">
        <v>0.11600000000000001</v>
      </c>
      <c r="G16" s="81" t="s">
        <v>389</v>
      </c>
      <c r="H16" s="82"/>
      <c r="I16" s="124">
        <f>I15/0.21/1000</f>
        <v>22656.985157941446</v>
      </c>
      <c r="J16" s="83" t="s">
        <v>390</v>
      </c>
    </row>
    <row r="17" spans="1:10">
      <c r="G17" s="84" t="s">
        <v>391</v>
      </c>
      <c r="H17" s="85"/>
      <c r="I17" s="85">
        <f>0.075*1.03/0.75</f>
        <v>0.10299999999999999</v>
      </c>
      <c r="J17" s="86" t="s">
        <v>392</v>
      </c>
    </row>
    <row r="20" spans="1:10">
      <c r="A20" s="99" t="s">
        <v>358</v>
      </c>
      <c r="B20" s="100"/>
      <c r="C20" s="100"/>
      <c r="D20" s="100"/>
      <c r="E20" s="101"/>
    </row>
    <row r="21" spans="1:10">
      <c r="A21" s="93" t="s">
        <v>359</v>
      </c>
      <c r="B21" s="45">
        <f>'Baseline Case 11'!B11</f>
        <v>1113445000</v>
      </c>
      <c r="C21" s="21" t="s">
        <v>425</v>
      </c>
      <c r="D21" s="21"/>
      <c r="E21" s="94"/>
    </row>
    <row r="22" spans="1:10">
      <c r="A22" s="93"/>
      <c r="B22" s="45">
        <f>B21*Fscaling</f>
        <v>1316496879.090909</v>
      </c>
      <c r="C22" s="21" t="s">
        <v>426</v>
      </c>
      <c r="D22" s="21"/>
      <c r="E22" s="94"/>
    </row>
    <row r="23" spans="1:10">
      <c r="A23" s="93" t="s">
        <v>360</v>
      </c>
      <c r="B23" s="45">
        <f>B4*Fdel*Flang*B7/B6</f>
        <v>451963726.71067208</v>
      </c>
      <c r="C23" s="21" t="s">
        <v>426</v>
      </c>
      <c r="D23" s="21"/>
      <c r="E23" s="94"/>
    </row>
    <row r="24" spans="1:10">
      <c r="A24" s="93" t="s">
        <v>361</v>
      </c>
      <c r="B24" s="45">
        <v>0</v>
      </c>
      <c r="C24" s="21" t="s">
        <v>426</v>
      </c>
      <c r="D24" s="21" t="s">
        <v>427</v>
      </c>
      <c r="E24" s="94"/>
    </row>
    <row r="25" spans="1:10">
      <c r="A25" s="93" t="s">
        <v>362</v>
      </c>
      <c r="B25" s="45">
        <f>I3*I7*B7/B8</f>
        <v>57034632.034632042</v>
      </c>
      <c r="C25" s="21" t="s">
        <v>426</v>
      </c>
      <c r="D25" s="21"/>
      <c r="E25" s="94"/>
    </row>
    <row r="26" spans="1:10">
      <c r="A26" s="107" t="s">
        <v>363</v>
      </c>
      <c r="B26" s="108">
        <f>SUM(B22:B25)</f>
        <v>1825495237.8362131</v>
      </c>
      <c r="C26" s="109" t="s">
        <v>426</v>
      </c>
      <c r="D26" s="109"/>
      <c r="E26" s="110"/>
    </row>
    <row r="28" spans="1:10">
      <c r="A28" s="99" t="s">
        <v>399</v>
      </c>
      <c r="B28" s="100" t="s">
        <v>410</v>
      </c>
      <c r="C28" s="100" t="s">
        <v>411</v>
      </c>
      <c r="D28" s="100" t="s">
        <v>103</v>
      </c>
      <c r="E28" s="101"/>
    </row>
    <row r="29" spans="1:10">
      <c r="A29" s="111" t="s">
        <v>400</v>
      </c>
      <c r="B29" s="112"/>
      <c r="C29" s="112"/>
      <c r="D29" s="112"/>
      <c r="E29" s="113"/>
      <c r="G29" s="102" t="s">
        <v>455</v>
      </c>
      <c r="H29" s="103"/>
      <c r="I29" s="103" t="s">
        <v>101</v>
      </c>
      <c r="J29" s="104" t="s">
        <v>411</v>
      </c>
    </row>
    <row r="30" spans="1:10">
      <c r="A30" s="93" t="s">
        <v>401</v>
      </c>
      <c r="B30" s="45">
        <f>'Baseline Case 12'!C27*'Baseline Case 12'!B18*365*24*(1+'Baseline Case 12'!B19/100)</f>
        <v>6431885.459999999</v>
      </c>
      <c r="C30" s="21" t="s">
        <v>426</v>
      </c>
      <c r="D30" s="21" t="s">
        <v>414</v>
      </c>
      <c r="E30" s="94"/>
      <c r="G30" s="93" t="s">
        <v>417</v>
      </c>
      <c r="H30" s="21"/>
      <c r="I30" s="122">
        <f>B4*B7/B6</f>
        <v>85405088.191736966</v>
      </c>
      <c r="J30" s="94" t="s">
        <v>425</v>
      </c>
    </row>
    <row r="31" spans="1:10">
      <c r="A31" s="93" t="s">
        <v>457</v>
      </c>
      <c r="B31" s="45">
        <f>MaintLaborTOC_Case12*I32</f>
        <v>9439297.3111772668</v>
      </c>
      <c r="C31" s="21" t="s">
        <v>426</v>
      </c>
      <c r="D31" s="21" t="s">
        <v>416</v>
      </c>
      <c r="E31" s="94"/>
      <c r="G31" s="93" t="s">
        <v>413</v>
      </c>
      <c r="H31" s="21"/>
      <c r="I31" s="122">
        <f>I30*Flang*Fdel</f>
        <v>451963726.71067202</v>
      </c>
      <c r="J31" s="94" t="s">
        <v>425</v>
      </c>
    </row>
    <row r="32" spans="1:10">
      <c r="A32" s="93" t="s">
        <v>402</v>
      </c>
      <c r="B32" s="45">
        <f>(AnOpLaborCost+MaintLaborCost)*'Baseline Case 12'!B20/100</f>
        <v>3967795.6927943164</v>
      </c>
      <c r="C32" s="21" t="s">
        <v>426</v>
      </c>
      <c r="D32" s="21" t="s">
        <v>415</v>
      </c>
      <c r="E32" s="94"/>
      <c r="G32" s="193" t="s">
        <v>412</v>
      </c>
      <c r="H32" s="194"/>
      <c r="I32" s="200">
        <f>I31+Fscaling*'Baseline Case 11'!B11</f>
        <v>1768460605.8015809</v>
      </c>
      <c r="J32" s="196" t="s">
        <v>426</v>
      </c>
    </row>
    <row r="33" spans="1:11">
      <c r="A33" s="93" t="s">
        <v>403</v>
      </c>
      <c r="B33" s="45">
        <f>TaxInsTOC_Case12*I32</f>
        <v>28855690.583927412</v>
      </c>
      <c r="C33" s="21" t="s">
        <v>426</v>
      </c>
      <c r="D33" s="21" t="s">
        <v>416</v>
      </c>
      <c r="E33" s="94"/>
      <c r="G33" s="19" t="s">
        <v>465</v>
      </c>
      <c r="I33" s="19" t="s">
        <v>466</v>
      </c>
    </row>
    <row r="34" spans="1:11">
      <c r="A34" s="114" t="s">
        <v>422</v>
      </c>
      <c r="B34" s="44">
        <f>SUM(B30:B33)</f>
        <v>48694669.047898993</v>
      </c>
      <c r="C34" s="115"/>
      <c r="D34" s="115"/>
      <c r="E34" s="116"/>
    </row>
    <row r="35" spans="1:11">
      <c r="A35" s="117" t="s">
        <v>404</v>
      </c>
      <c r="B35" s="118"/>
      <c r="C35" s="48"/>
      <c r="D35" s="48"/>
      <c r="E35" s="119"/>
      <c r="G35" s="102" t="s">
        <v>454</v>
      </c>
      <c r="H35" s="103"/>
      <c r="I35" s="103"/>
      <c r="J35" s="104"/>
    </row>
    <row r="36" spans="1:11">
      <c r="A36" s="93" t="s">
        <v>458</v>
      </c>
      <c r="B36" s="45">
        <f>VarMaintTOC_Case12*I32</f>
        <v>14158945.966765899</v>
      </c>
      <c r="C36" s="19" t="s">
        <v>426</v>
      </c>
      <c r="D36" s="21" t="s">
        <v>428</v>
      </c>
      <c r="E36" s="94"/>
      <c r="G36" s="197" t="s">
        <v>444</v>
      </c>
      <c r="H36" s="198"/>
      <c r="I36" s="198">
        <v>650.29999999999995</v>
      </c>
      <c r="J36" s="199" t="s">
        <v>281</v>
      </c>
      <c r="K36" s="19" t="s">
        <v>453</v>
      </c>
    </row>
    <row r="37" spans="1:11">
      <c r="A37" s="93" t="s">
        <v>418</v>
      </c>
      <c r="B37" s="45">
        <f>Fscaling*AnWaterCost_Case11</f>
        <v>1541591.6052192727</v>
      </c>
      <c r="C37" s="19" t="s">
        <v>426</v>
      </c>
      <c r="D37" s="21" t="s">
        <v>459</v>
      </c>
      <c r="E37" s="94"/>
      <c r="G37" s="93" t="s">
        <v>445</v>
      </c>
      <c r="H37" s="21"/>
      <c r="I37" s="192">
        <v>0</v>
      </c>
      <c r="J37" s="94" t="s">
        <v>281</v>
      </c>
      <c r="K37" s="19" t="s">
        <v>427</v>
      </c>
    </row>
    <row r="38" spans="1:11">
      <c r="A38" s="93" t="s">
        <v>405</v>
      </c>
      <c r="B38" s="45">
        <f>I16*I17*24*365*Fscaling</f>
        <v>24170994.27776419</v>
      </c>
      <c r="C38" s="19" t="s">
        <v>426</v>
      </c>
      <c r="D38" s="21" t="s">
        <v>460</v>
      </c>
      <c r="E38" s="94"/>
      <c r="G38" s="93" t="s">
        <v>446</v>
      </c>
      <c r="H38" s="21"/>
      <c r="I38" s="126">
        <f>((PWkw_aC+PW_aELE/1.341)*adsN+(PWkw_rC+PW_rELE/1.341)*rgnN)/1000</f>
        <v>30.993781483200635</v>
      </c>
      <c r="J38" s="94" t="s">
        <v>281</v>
      </c>
    </row>
    <row r="39" spans="1:11">
      <c r="A39" s="93" t="s">
        <v>441</v>
      </c>
      <c r="B39" s="45">
        <f>Fscaling*SUM('Baseline Case 11'!F40:F41,'Baseline Case 11'!F48)</f>
        <v>8567814.6087640915</v>
      </c>
      <c r="C39" s="19" t="s">
        <v>426</v>
      </c>
      <c r="D39" s="21" t="s">
        <v>459</v>
      </c>
      <c r="E39" s="94"/>
      <c r="G39" s="93" t="s">
        <v>447</v>
      </c>
      <c r="H39" s="21"/>
      <c r="I39" s="126">
        <f>420.42*I42/1000</f>
        <v>145.26237491872243</v>
      </c>
      <c r="J39" s="94" t="s">
        <v>281</v>
      </c>
    </row>
    <row r="40" spans="1:11">
      <c r="A40" s="93" t="s">
        <v>406</v>
      </c>
      <c r="B40" s="45">
        <f>I3*I9*Fscaling*B7/B8</f>
        <v>49228042.699724533</v>
      </c>
      <c r="C40" s="19" t="s">
        <v>426</v>
      </c>
      <c r="D40" s="21" t="s">
        <v>461</v>
      </c>
      <c r="E40" s="94"/>
      <c r="G40" s="81" t="s">
        <v>451</v>
      </c>
      <c r="H40" s="82"/>
      <c r="I40" s="127">
        <f>(Interface!G30+Interface!G31+Interface!C26)</f>
        <v>2089.6885103192835</v>
      </c>
      <c r="J40" s="83" t="s">
        <v>200</v>
      </c>
    </row>
    <row r="41" spans="1:11">
      <c r="A41" s="93" t="s">
        <v>407</v>
      </c>
      <c r="B41" s="45">
        <f>Fscaling*SUM('Baseline Case 11'!F51:F53)</f>
        <v>656821.29039691808</v>
      </c>
      <c r="C41" s="19" t="s">
        <v>426</v>
      </c>
      <c r="D41" s="21" t="s">
        <v>459</v>
      </c>
      <c r="E41" s="94"/>
      <c r="G41" s="81"/>
      <c r="H41" s="82"/>
      <c r="I41" s="124">
        <f>I40*18/I10/3600</f>
        <v>23.034485343025612</v>
      </c>
      <c r="J41" s="83" t="s">
        <v>387</v>
      </c>
    </row>
    <row r="42" spans="1:11">
      <c r="A42" s="93" t="s">
        <v>408</v>
      </c>
      <c r="B42" s="45">
        <f>Fscaling*SUM('Baseline Case 11'!F56:F62)</f>
        <v>2833924.8355472726</v>
      </c>
      <c r="C42" s="19" t="s">
        <v>426</v>
      </c>
      <c r="D42" s="21" t="s">
        <v>459</v>
      </c>
      <c r="E42" s="94"/>
      <c r="G42" s="81" t="s">
        <v>452</v>
      </c>
      <c r="H42" s="82"/>
      <c r="I42" s="124">
        <f>I41*C3</f>
        <v>345.51728014538418</v>
      </c>
      <c r="J42" s="83" t="s">
        <v>387</v>
      </c>
    </row>
    <row r="43" spans="1:11">
      <c r="A43" s="114" t="s">
        <v>421</v>
      </c>
      <c r="B43" s="44">
        <f>SUM(B36:B42)</f>
        <v>101158135.28418218</v>
      </c>
      <c r="C43" s="115"/>
      <c r="D43" s="115"/>
      <c r="E43" s="116"/>
      <c r="G43" s="193" t="s">
        <v>448</v>
      </c>
      <c r="H43" s="194"/>
      <c r="I43" s="195">
        <f>I36-SUM(I37:I39)</f>
        <v>474.04384359807688</v>
      </c>
      <c r="J43" s="196" t="s">
        <v>281</v>
      </c>
    </row>
    <row r="44" spans="1:11">
      <c r="A44" s="117" t="s">
        <v>409</v>
      </c>
      <c r="B44" s="118"/>
      <c r="C44" s="48"/>
      <c r="D44" s="48"/>
      <c r="E44" s="119"/>
    </row>
    <row r="45" spans="1:11">
      <c r="A45" s="93" t="s">
        <v>423</v>
      </c>
      <c r="B45" s="45">
        <f>Fscaling*'Baseline Case 11'!F64</f>
        <v>68841078.438280895</v>
      </c>
      <c r="C45" s="21" t="s">
        <v>426</v>
      </c>
      <c r="D45" s="21"/>
      <c r="E45" s="94"/>
    </row>
    <row r="46" spans="1:11">
      <c r="A46" s="107" t="s">
        <v>424</v>
      </c>
      <c r="B46" s="108">
        <f>B43+B45</f>
        <v>169999213.72246307</v>
      </c>
      <c r="C46" s="109"/>
      <c r="D46" s="109"/>
      <c r="E46" s="110"/>
    </row>
    <row r="48" spans="1:11">
      <c r="A48" s="99" t="s">
        <v>470</v>
      </c>
      <c r="B48" s="100" t="s">
        <v>288</v>
      </c>
      <c r="C48" s="100" t="s">
        <v>411</v>
      </c>
      <c r="D48" s="100" t="s">
        <v>103</v>
      </c>
      <c r="E48" s="101"/>
    </row>
    <row r="49" spans="1:5">
      <c r="A49" s="95" t="s">
        <v>474</v>
      </c>
      <c r="B49" s="204">
        <f>(B26*B15+B34+B46)/(I43*365*24*Fcap)</f>
        <v>126.08761416126971</v>
      </c>
      <c r="C49" s="24"/>
      <c r="D49" s="24"/>
      <c r="E49" s="96"/>
    </row>
    <row r="50" spans="1:5">
      <c r="A50" s="97" t="s">
        <v>471</v>
      </c>
      <c r="B50" s="202"/>
      <c r="C50" s="23"/>
      <c r="D50" s="23"/>
      <c r="E50" s="98"/>
    </row>
    <row r="51" spans="1:5">
      <c r="A51" s="21"/>
      <c r="B51" s="201"/>
      <c r="C51" s="21"/>
      <c r="D51" s="21"/>
      <c r="E51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AX52"/>
  <sheetViews>
    <sheetView zoomScale="80" zoomScaleNormal="80" workbookViewId="0">
      <selection activeCell="AQ57" sqref="AQ57"/>
    </sheetView>
  </sheetViews>
  <sheetFormatPr defaultRowHeight="12.75"/>
  <cols>
    <col min="1" max="1" width="19.5703125" style="19" customWidth="1"/>
    <col min="2" max="2" width="11.85546875" style="19" customWidth="1"/>
    <col min="3" max="3" width="9.140625" style="19" customWidth="1"/>
    <col min="4" max="4" width="16.28515625" style="19" customWidth="1"/>
    <col min="5" max="10" width="9.140625" style="19"/>
    <col min="11" max="11" width="16.5703125" style="19" customWidth="1"/>
    <col min="12" max="17" width="9.140625" style="19"/>
    <col min="18" max="18" width="17.140625" style="19" customWidth="1"/>
    <col min="19" max="19" width="10.85546875" style="19" customWidth="1"/>
    <col min="20" max="24" width="9.140625" style="19"/>
    <col min="25" max="25" width="17.28515625" style="19" customWidth="1"/>
    <col min="26" max="26" width="9.28515625" style="19" bestFit="1" customWidth="1"/>
    <col min="27" max="31" width="9.140625" style="19"/>
    <col min="32" max="32" width="17.28515625" style="19" customWidth="1"/>
    <col min="33" max="33" width="11.5703125" style="19" customWidth="1"/>
    <col min="34" max="38" width="9.140625" style="19"/>
    <col min="39" max="39" width="16.7109375" style="19" customWidth="1"/>
    <col min="40" max="45" width="9.140625" style="19"/>
    <col min="46" max="46" width="17.5703125" style="19" customWidth="1"/>
    <col min="47" max="16384" width="9.140625" style="19"/>
  </cols>
  <sheetData>
    <row r="1" spans="1:50">
      <c r="A1" s="20" t="s">
        <v>97</v>
      </c>
      <c r="B1" s="30"/>
      <c r="C1" s="21"/>
      <c r="D1" s="21"/>
      <c r="E1" s="20" t="s">
        <v>113</v>
      </c>
      <c r="F1" s="21"/>
      <c r="G1" s="21"/>
      <c r="H1" s="31"/>
      <c r="I1" s="24"/>
      <c r="J1" s="24"/>
      <c r="K1" s="24"/>
      <c r="L1" s="25" t="s">
        <v>171</v>
      </c>
      <c r="M1" s="24"/>
      <c r="N1" s="24"/>
      <c r="O1" s="24"/>
      <c r="P1" s="30"/>
      <c r="Q1" s="21"/>
      <c r="R1" s="21"/>
      <c r="S1" s="20" t="s">
        <v>172</v>
      </c>
      <c r="T1" s="21"/>
      <c r="U1" s="21"/>
      <c r="V1" s="31"/>
      <c r="W1" s="30"/>
      <c r="X1" s="21"/>
      <c r="Y1" s="21"/>
      <c r="Z1" s="20" t="s">
        <v>191</v>
      </c>
      <c r="AA1" s="21"/>
      <c r="AB1" s="21"/>
      <c r="AC1" s="31"/>
      <c r="AD1" s="30"/>
      <c r="AE1" s="21"/>
      <c r="AF1" s="21"/>
      <c r="AG1" s="20" t="s">
        <v>196</v>
      </c>
      <c r="AH1" s="21"/>
      <c r="AI1" s="21"/>
      <c r="AJ1" s="31"/>
      <c r="AN1" s="53" t="s">
        <v>215</v>
      </c>
      <c r="AQ1" s="31"/>
      <c r="AR1" s="30"/>
      <c r="AS1" s="21"/>
      <c r="AT1" s="21"/>
      <c r="AU1" s="20" t="s">
        <v>216</v>
      </c>
      <c r="AV1" s="21"/>
      <c r="AW1" s="21"/>
      <c r="AX1" s="31"/>
    </row>
    <row r="2" spans="1:50">
      <c r="A2" s="20" t="s">
        <v>98</v>
      </c>
      <c r="B2" s="30"/>
      <c r="C2" s="21"/>
      <c r="D2" s="21"/>
      <c r="E2" s="43">
        <f>VesselCost_T+TrayCost_T+CostPerUnit_T+CostPL_T</f>
        <v>703463.81602748937</v>
      </c>
      <c r="F2" s="21"/>
      <c r="G2" s="21"/>
      <c r="H2" s="31"/>
      <c r="I2" s="21"/>
      <c r="J2" s="21"/>
      <c r="K2" s="21"/>
      <c r="L2" s="43">
        <f>VesselCost_M+TrayCost_M+CostPerUnit_M+CostPL_M</f>
        <v>703463.81602748937</v>
      </c>
      <c r="M2" s="21"/>
      <c r="N2" s="21"/>
      <c r="O2" s="21"/>
      <c r="P2" s="30"/>
      <c r="Q2" s="21"/>
      <c r="R2" s="21"/>
      <c r="S2" s="43">
        <f>VesselCost_B+TrayCost_B+CostPerUnit_B+CostPL_B</f>
        <v>703463.81602748937</v>
      </c>
      <c r="T2" s="21"/>
      <c r="U2" s="21"/>
      <c r="V2" s="31"/>
      <c r="W2" s="30"/>
      <c r="X2" s="21"/>
      <c r="Y2" s="21"/>
      <c r="Z2" s="57">
        <f>Z20</f>
        <v>765924.81432368851</v>
      </c>
      <c r="AA2" s="21"/>
      <c r="AB2" s="21"/>
      <c r="AC2" s="31"/>
      <c r="AD2" s="30"/>
      <c r="AE2" s="21"/>
      <c r="AF2" s="21"/>
      <c r="AG2" s="57">
        <f>IF(Pout_aC&lt;2,AG16,AG26)</f>
        <v>629655.52353348548</v>
      </c>
      <c r="AH2" s="21"/>
      <c r="AI2" s="21"/>
      <c r="AJ2" s="31"/>
      <c r="AN2" s="59">
        <f>AN15+AN26</f>
        <v>32795.995010606319</v>
      </c>
      <c r="AQ2" s="31"/>
      <c r="AR2" s="30"/>
      <c r="AS2" s="21"/>
      <c r="AT2" s="21"/>
      <c r="AU2" s="57">
        <f>AU16</f>
        <v>83851.663618831444</v>
      </c>
      <c r="AV2" s="21"/>
      <c r="AW2" s="21"/>
      <c r="AX2" s="31"/>
    </row>
    <row r="3" spans="1:50">
      <c r="A3" s="22"/>
      <c r="B3" s="30"/>
      <c r="C3" s="21"/>
      <c r="D3" s="21"/>
      <c r="E3" s="21"/>
      <c r="F3" s="21"/>
      <c r="G3" s="21"/>
      <c r="H3" s="31"/>
      <c r="I3" s="23"/>
      <c r="J3" s="23"/>
      <c r="K3" s="23"/>
      <c r="L3" s="23"/>
      <c r="M3" s="23"/>
      <c r="N3" s="23"/>
      <c r="O3" s="23"/>
      <c r="P3" s="37"/>
      <c r="Q3" s="23"/>
      <c r="R3" s="23"/>
      <c r="S3" s="23"/>
      <c r="T3" s="23"/>
      <c r="U3" s="23"/>
      <c r="V3" s="38"/>
      <c r="W3" s="37"/>
      <c r="X3" s="23"/>
      <c r="Y3" s="23"/>
      <c r="Z3" s="23"/>
      <c r="AA3" s="23"/>
      <c r="AB3" s="23"/>
      <c r="AC3" s="38"/>
      <c r="AD3" s="30"/>
      <c r="AE3" s="21"/>
      <c r="AF3" s="21"/>
      <c r="AG3" s="21"/>
      <c r="AH3" s="21"/>
      <c r="AI3" s="21"/>
      <c r="AJ3" s="31"/>
      <c r="AQ3" s="31"/>
      <c r="AR3" s="30"/>
      <c r="AS3" s="21"/>
      <c r="AT3" s="21"/>
      <c r="AU3" s="21"/>
      <c r="AV3" s="21"/>
      <c r="AW3" s="21"/>
      <c r="AX3" s="31"/>
    </row>
    <row r="4" spans="1:50">
      <c r="A4" s="28" t="s">
        <v>99</v>
      </c>
      <c r="B4" s="34"/>
      <c r="C4" s="35" t="s">
        <v>100</v>
      </c>
      <c r="D4" s="35" t="s">
        <v>23</v>
      </c>
      <c r="E4" s="35" t="s">
        <v>101</v>
      </c>
      <c r="F4" s="35" t="s">
        <v>102</v>
      </c>
      <c r="G4" s="35" t="s">
        <v>103</v>
      </c>
      <c r="H4" s="36"/>
      <c r="I4" s="27"/>
      <c r="J4" s="29" t="s">
        <v>100</v>
      </c>
      <c r="K4" s="29" t="s">
        <v>23</v>
      </c>
      <c r="L4" s="29" t="s">
        <v>101</v>
      </c>
      <c r="M4" s="29" t="s">
        <v>102</v>
      </c>
      <c r="N4" s="29" t="s">
        <v>103</v>
      </c>
      <c r="O4" s="27"/>
      <c r="P4" s="32"/>
      <c r="Q4" s="29" t="s">
        <v>100</v>
      </c>
      <c r="R4" s="29" t="s">
        <v>23</v>
      </c>
      <c r="S4" s="29" t="s">
        <v>101</v>
      </c>
      <c r="T4" s="29" t="s">
        <v>102</v>
      </c>
      <c r="U4" s="29" t="s">
        <v>103</v>
      </c>
      <c r="V4" s="33"/>
      <c r="W4" s="32"/>
      <c r="X4" s="29" t="s">
        <v>100</v>
      </c>
      <c r="Y4" s="29" t="s">
        <v>23</v>
      </c>
      <c r="Z4" s="29" t="s">
        <v>101</v>
      </c>
      <c r="AA4" s="29" t="s">
        <v>102</v>
      </c>
      <c r="AB4" s="29" t="s">
        <v>103</v>
      </c>
      <c r="AC4" s="33"/>
      <c r="AD4" s="34"/>
      <c r="AE4" s="35" t="s">
        <v>100</v>
      </c>
      <c r="AF4" s="35" t="s">
        <v>23</v>
      </c>
      <c r="AG4" s="35" t="s">
        <v>101</v>
      </c>
      <c r="AH4" s="35" t="s">
        <v>102</v>
      </c>
      <c r="AI4" s="35" t="s">
        <v>103</v>
      </c>
      <c r="AJ4" s="36"/>
      <c r="AK4" s="34"/>
      <c r="AL4" s="35" t="s">
        <v>100</v>
      </c>
      <c r="AM4" s="35" t="s">
        <v>23</v>
      </c>
      <c r="AN4" s="35" t="s">
        <v>101</v>
      </c>
      <c r="AO4" s="35" t="s">
        <v>102</v>
      </c>
      <c r="AP4" s="35" t="s">
        <v>103</v>
      </c>
      <c r="AQ4" s="36"/>
      <c r="AR4" s="34"/>
      <c r="AS4" s="35" t="s">
        <v>100</v>
      </c>
      <c r="AT4" s="35" t="s">
        <v>23</v>
      </c>
      <c r="AU4" s="35" t="s">
        <v>101</v>
      </c>
      <c r="AV4" s="35" t="s">
        <v>102</v>
      </c>
      <c r="AW4" s="35" t="s">
        <v>103</v>
      </c>
      <c r="AX4" s="36"/>
    </row>
    <row r="5" spans="1:50">
      <c r="B5" s="30"/>
      <c r="C5" s="21" t="s">
        <v>115</v>
      </c>
      <c r="D5" s="21" t="s">
        <v>106</v>
      </c>
      <c r="E5" s="26">
        <f>Interface!C21</f>
        <v>4</v>
      </c>
      <c r="F5" s="21" t="s">
        <v>112</v>
      </c>
      <c r="G5" s="21"/>
      <c r="H5" s="31"/>
      <c r="I5" s="21"/>
      <c r="J5" s="21" t="s">
        <v>115</v>
      </c>
      <c r="K5" s="21" t="s">
        <v>106</v>
      </c>
      <c r="L5" s="26">
        <f>Interface!C22</f>
        <v>4</v>
      </c>
      <c r="M5" s="21" t="s">
        <v>112</v>
      </c>
      <c r="N5" s="21"/>
      <c r="O5" s="21"/>
      <c r="P5" s="30"/>
      <c r="Q5" s="21" t="s">
        <v>115</v>
      </c>
      <c r="R5" s="21" t="s">
        <v>106</v>
      </c>
      <c r="S5" s="26">
        <f>Interface!C23</f>
        <v>4</v>
      </c>
      <c r="T5" s="21" t="s">
        <v>112</v>
      </c>
      <c r="U5" s="21"/>
      <c r="V5" s="31"/>
      <c r="W5" s="30"/>
      <c r="X5" s="21" t="s">
        <v>123</v>
      </c>
      <c r="Y5" s="21" t="s">
        <v>108</v>
      </c>
      <c r="Z5" s="67">
        <f>Interface!G24*Fhx</f>
        <v>6612.1146910788166</v>
      </c>
      <c r="AA5" s="21" t="s">
        <v>109</v>
      </c>
      <c r="AB5" s="21" t="s">
        <v>252</v>
      </c>
      <c r="AC5" s="31"/>
      <c r="AD5" s="30"/>
      <c r="AE5" s="21" t="s">
        <v>490</v>
      </c>
      <c r="AF5" s="21" t="s">
        <v>201</v>
      </c>
      <c r="AG5" s="67">
        <f>Interface!G15</f>
        <v>1704.4043432763453</v>
      </c>
      <c r="AH5" s="21" t="s">
        <v>202</v>
      </c>
      <c r="AI5" s="21"/>
      <c r="AJ5" s="31"/>
      <c r="AL5" s="19" t="s">
        <v>249</v>
      </c>
      <c r="AM5" s="19" t="s">
        <v>218</v>
      </c>
      <c r="AN5" s="58">
        <f>Interface!C27</f>
        <v>600000</v>
      </c>
      <c r="AO5" s="19" t="s">
        <v>222</v>
      </c>
      <c r="AQ5" s="31"/>
      <c r="AR5" s="30"/>
      <c r="AS5" s="21" t="s">
        <v>248</v>
      </c>
      <c r="AT5" s="21" t="s">
        <v>236</v>
      </c>
      <c r="AU5" s="26">
        <f>Interface!G22</f>
        <v>5466.0676711355709</v>
      </c>
      <c r="AV5" s="21" t="s">
        <v>200</v>
      </c>
      <c r="AW5" s="21"/>
      <c r="AX5" s="31"/>
    </row>
    <row r="6" spans="1:50">
      <c r="B6" s="30"/>
      <c r="C6" s="21" t="s">
        <v>121</v>
      </c>
      <c r="D6" s="21" t="s">
        <v>104</v>
      </c>
      <c r="E6" s="21">
        <f>Lb_T+2</f>
        <v>6</v>
      </c>
      <c r="F6" s="21" t="s">
        <v>112</v>
      </c>
      <c r="G6" s="21"/>
      <c r="H6" s="31"/>
      <c r="I6" s="21"/>
      <c r="J6" s="21" t="s">
        <v>121</v>
      </c>
      <c r="K6" s="21" t="s">
        <v>104</v>
      </c>
      <c r="L6" s="21">
        <f>Lb_M+2</f>
        <v>6</v>
      </c>
      <c r="M6" s="21" t="s">
        <v>112</v>
      </c>
      <c r="N6" s="21"/>
      <c r="O6" s="21"/>
      <c r="P6" s="30"/>
      <c r="Q6" s="21" t="s">
        <v>121</v>
      </c>
      <c r="R6" s="21" t="s">
        <v>104</v>
      </c>
      <c r="S6" s="21">
        <f>S5+2</f>
        <v>6</v>
      </c>
      <c r="T6" s="21" t="s">
        <v>112</v>
      </c>
      <c r="U6" s="21"/>
      <c r="V6" s="31"/>
      <c r="W6" s="30"/>
      <c r="X6" s="21"/>
      <c r="Y6" s="21"/>
      <c r="Z6" s="46">
        <f>AHXm_aG*10.7639104</f>
        <v>71172.210089296059</v>
      </c>
      <c r="AA6" s="21" t="s">
        <v>110</v>
      </c>
      <c r="AB6" s="21"/>
      <c r="AC6" s="31"/>
      <c r="AD6" s="30"/>
      <c r="AE6" s="21"/>
      <c r="AF6" s="21"/>
      <c r="AG6" s="46">
        <f>PWkw_aC*1.341</f>
        <v>2285.6062243335791</v>
      </c>
      <c r="AH6" s="21" t="s">
        <v>203</v>
      </c>
      <c r="AI6" s="21"/>
      <c r="AJ6" s="31"/>
      <c r="AL6" s="19" t="s">
        <v>241</v>
      </c>
      <c r="AM6" s="19" t="s">
        <v>219</v>
      </c>
      <c r="AN6" s="58">
        <f>Interface!G23</f>
        <v>442</v>
      </c>
      <c r="AO6" s="19" t="s">
        <v>223</v>
      </c>
      <c r="AQ6" s="31"/>
      <c r="AR6" s="30"/>
      <c r="AS6" s="21"/>
      <c r="AU6" s="46">
        <f>(Fgas*1000/60)*8.314*(Tgas+273.15)/(Pgas*100000)*35.314</f>
        <v>95852.493806944607</v>
      </c>
      <c r="AV6" s="21" t="s">
        <v>239</v>
      </c>
      <c r="AW6" s="21"/>
      <c r="AX6" s="31"/>
    </row>
    <row r="7" spans="1:50">
      <c r="B7" s="30"/>
      <c r="C7" s="21" t="s">
        <v>116</v>
      </c>
      <c r="D7" s="21" t="s">
        <v>105</v>
      </c>
      <c r="E7" s="26">
        <f>Interface!C13</f>
        <v>15</v>
      </c>
      <c r="F7" s="21" t="s">
        <v>112</v>
      </c>
      <c r="G7" s="21"/>
      <c r="H7" s="31"/>
      <c r="I7" s="21"/>
      <c r="J7" s="21" t="s">
        <v>116</v>
      </c>
      <c r="K7" s="21" t="s">
        <v>105</v>
      </c>
      <c r="L7" s="26">
        <f>Interface!C13</f>
        <v>15</v>
      </c>
      <c r="M7" s="21" t="s">
        <v>112</v>
      </c>
      <c r="N7" s="21"/>
      <c r="O7" s="21"/>
      <c r="P7" s="30"/>
      <c r="Q7" s="21" t="s">
        <v>116</v>
      </c>
      <c r="R7" s="21" t="s">
        <v>105</v>
      </c>
      <c r="S7" s="26">
        <f>Interface!C13</f>
        <v>15</v>
      </c>
      <c r="T7" s="21" t="s">
        <v>112</v>
      </c>
      <c r="U7" s="21"/>
      <c r="V7" s="31"/>
      <c r="W7" s="30"/>
      <c r="X7" s="21" t="s">
        <v>192</v>
      </c>
      <c r="Y7" s="21" t="s">
        <v>193</v>
      </c>
      <c r="Z7" s="40">
        <f>Interface!G17</f>
        <v>1.01325</v>
      </c>
      <c r="AA7" s="21" t="s">
        <v>194</v>
      </c>
      <c r="AB7" s="21" t="s">
        <v>272</v>
      </c>
      <c r="AC7" s="31"/>
      <c r="AD7" s="30"/>
      <c r="AE7" s="21" t="s">
        <v>206</v>
      </c>
      <c r="AF7" s="21" t="s">
        <v>204</v>
      </c>
      <c r="AG7" s="68">
        <f>Interface!G19</f>
        <v>1.3354192452282421</v>
      </c>
      <c r="AH7" s="21" t="s">
        <v>111</v>
      </c>
      <c r="AI7" s="21"/>
      <c r="AJ7" s="31"/>
      <c r="AL7" s="19" t="s">
        <v>242</v>
      </c>
      <c r="AM7" s="19" t="s">
        <v>220</v>
      </c>
      <c r="AN7" s="19">
        <f>Fsolid/dSolid</f>
        <v>1357.4660633484164</v>
      </c>
      <c r="AO7" s="19" t="s">
        <v>224</v>
      </c>
      <c r="AQ7" s="31"/>
      <c r="AR7" s="30"/>
      <c r="AS7" s="21" t="s">
        <v>244</v>
      </c>
      <c r="AT7" s="21" t="s">
        <v>237</v>
      </c>
      <c r="AU7" s="40">
        <f>Interface!G21</f>
        <v>85.21264217155624</v>
      </c>
      <c r="AV7" s="21" t="s">
        <v>240</v>
      </c>
      <c r="AW7" s="21"/>
      <c r="AX7" s="31"/>
    </row>
    <row r="8" spans="1:50">
      <c r="B8" s="30"/>
      <c r="C8" s="21" t="s">
        <v>122</v>
      </c>
      <c r="D8" s="21" t="s">
        <v>107</v>
      </c>
      <c r="E8" s="68">
        <f>Interface!G19</f>
        <v>1.3354192452282421</v>
      </c>
      <c r="F8" s="21" t="s">
        <v>111</v>
      </c>
      <c r="G8" s="21"/>
      <c r="H8" s="31"/>
      <c r="I8" s="21"/>
      <c r="J8" s="21" t="s">
        <v>122</v>
      </c>
      <c r="K8" s="21" t="s">
        <v>107</v>
      </c>
      <c r="L8" s="68">
        <f>Interface!G19</f>
        <v>1.3354192452282421</v>
      </c>
      <c r="M8" s="21" t="s">
        <v>111</v>
      </c>
      <c r="N8" s="21"/>
      <c r="O8" s="21"/>
      <c r="P8" s="30"/>
      <c r="Q8" s="21" t="s">
        <v>122</v>
      </c>
      <c r="R8" s="21" t="s">
        <v>107</v>
      </c>
      <c r="S8" s="68">
        <f>Interface!G19</f>
        <v>1.3354192452282421</v>
      </c>
      <c r="T8" s="21" t="s">
        <v>111</v>
      </c>
      <c r="U8" s="21"/>
      <c r="V8" s="31"/>
      <c r="W8" s="30"/>
      <c r="X8" s="21" t="s">
        <v>250</v>
      </c>
      <c r="Y8" s="21" t="s">
        <v>251</v>
      </c>
      <c r="Z8" s="21">
        <f>INT(AHXft_aG/12000)+1</f>
        <v>6</v>
      </c>
      <c r="AA8" s="21"/>
      <c r="AB8" s="21"/>
      <c r="AC8" s="31"/>
      <c r="AD8" s="30"/>
      <c r="AE8" s="21" t="s">
        <v>250</v>
      </c>
      <c r="AF8" s="21" t="s">
        <v>251</v>
      </c>
      <c r="AG8" s="21">
        <f>INT(PWhp_aC/1000)+1</f>
        <v>3</v>
      </c>
      <c r="AH8" s="21"/>
      <c r="AI8" s="21"/>
      <c r="AJ8" s="31"/>
      <c r="AL8" s="19" t="s">
        <v>243</v>
      </c>
      <c r="AM8" s="19" t="s">
        <v>221</v>
      </c>
      <c r="AN8" s="19">
        <f>H_B+H_M+H_T</f>
        <v>18</v>
      </c>
      <c r="AO8" s="19" t="s">
        <v>112</v>
      </c>
      <c r="AQ8" s="31"/>
      <c r="AR8" s="30"/>
      <c r="AS8" s="21" t="s">
        <v>245</v>
      </c>
      <c r="AT8" s="21" t="s">
        <v>238</v>
      </c>
      <c r="AU8" s="21">
        <v>1</v>
      </c>
      <c r="AV8" s="21" t="s">
        <v>194</v>
      </c>
      <c r="AW8" s="21"/>
      <c r="AX8" s="31"/>
    </row>
    <row r="9" spans="1:50">
      <c r="B9" s="30"/>
      <c r="C9" s="21" t="s">
        <v>123</v>
      </c>
      <c r="D9" s="21" t="s">
        <v>108</v>
      </c>
      <c r="E9" s="40">
        <f>PI()*Interface!G10*Interface!C21*Interface!C15</f>
        <v>201.42049798141548</v>
      </c>
      <c r="F9" s="21" t="s">
        <v>109</v>
      </c>
      <c r="G9" s="21"/>
      <c r="H9" s="31"/>
      <c r="I9" s="21"/>
      <c r="J9" s="21" t="s">
        <v>123</v>
      </c>
      <c r="K9" s="21" t="s">
        <v>108</v>
      </c>
      <c r="L9" s="40">
        <f>PI()*Interface!G11*Interface!C15*Interface!C22</f>
        <v>201.42049798141548</v>
      </c>
      <c r="M9" s="21" t="s">
        <v>109</v>
      </c>
      <c r="N9" s="21"/>
      <c r="O9" s="21"/>
      <c r="P9" s="30"/>
      <c r="Q9" s="21" t="s">
        <v>123</v>
      </c>
      <c r="R9" s="21" t="s">
        <v>108</v>
      </c>
      <c r="S9" s="40">
        <f>PI()*Interface!G12*Interface!C21*Interface!C15</f>
        <v>201.42049798141548</v>
      </c>
      <c r="T9" s="21" t="s">
        <v>109</v>
      </c>
      <c r="U9" s="21"/>
      <c r="V9" s="31"/>
      <c r="W9" s="30"/>
      <c r="X9" s="21"/>
      <c r="Y9" s="21"/>
      <c r="Z9" s="21"/>
      <c r="AA9" s="21"/>
      <c r="AB9" s="21"/>
      <c r="AC9" s="31"/>
      <c r="AD9" s="30"/>
      <c r="AE9" s="21"/>
      <c r="AF9" s="21"/>
      <c r="AG9" s="21"/>
      <c r="AH9" s="21"/>
      <c r="AI9" s="21"/>
      <c r="AJ9" s="31"/>
      <c r="AQ9" s="31"/>
      <c r="AR9" s="30"/>
      <c r="AS9" s="21"/>
      <c r="AT9" s="21"/>
      <c r="AU9" s="21"/>
      <c r="AV9" s="21"/>
      <c r="AW9" s="21"/>
      <c r="AX9" s="31"/>
    </row>
    <row r="10" spans="1:50">
      <c r="B10" s="30"/>
      <c r="C10" s="21"/>
      <c r="D10" s="21"/>
      <c r="E10" s="41">
        <f>AHXm_T*10.7639104</f>
        <v>2168.072192995337</v>
      </c>
      <c r="F10" s="21" t="s">
        <v>110</v>
      </c>
      <c r="G10" s="21"/>
      <c r="H10" s="31"/>
      <c r="I10" s="21"/>
      <c r="J10" s="21"/>
      <c r="K10" s="21"/>
      <c r="L10" s="41">
        <f>AHXm_M*10.7639104</f>
        <v>2168.072192995337</v>
      </c>
      <c r="M10" s="21" t="s">
        <v>110</v>
      </c>
      <c r="N10" s="21"/>
      <c r="O10" s="21"/>
      <c r="P10" s="30"/>
      <c r="Q10" s="21"/>
      <c r="R10" s="21"/>
      <c r="S10" s="41">
        <f>AHXm_B*10.7639104</f>
        <v>2168.072192995337</v>
      </c>
      <c r="T10" s="21" t="s">
        <v>110</v>
      </c>
      <c r="U10" s="21"/>
      <c r="V10" s="31"/>
      <c r="W10" s="30"/>
      <c r="X10" s="21"/>
      <c r="Y10" s="21"/>
      <c r="Z10" s="21"/>
      <c r="AA10" s="21"/>
      <c r="AB10" s="21"/>
      <c r="AC10" s="31"/>
      <c r="AD10" s="30"/>
      <c r="AE10" s="21"/>
      <c r="AF10" s="21"/>
      <c r="AG10" s="21"/>
      <c r="AH10" s="21"/>
      <c r="AI10" s="21"/>
      <c r="AJ10" s="31"/>
      <c r="AQ10" s="31"/>
      <c r="AR10" s="30"/>
      <c r="AS10" s="21"/>
      <c r="AT10" s="21"/>
      <c r="AU10" s="21"/>
      <c r="AV10" s="21"/>
      <c r="AW10" s="21"/>
      <c r="AX10" s="31"/>
    </row>
    <row r="11" spans="1:50">
      <c r="A11" s="23"/>
      <c r="B11" s="37"/>
      <c r="C11" s="23"/>
      <c r="D11" s="23"/>
      <c r="E11" s="23"/>
      <c r="F11" s="23"/>
      <c r="G11" s="23"/>
      <c r="H11" s="38"/>
      <c r="I11" s="23"/>
      <c r="J11" s="23"/>
      <c r="K11" s="23"/>
      <c r="L11" s="23"/>
      <c r="M11" s="23"/>
      <c r="N11" s="23"/>
      <c r="O11" s="23"/>
      <c r="P11" s="37"/>
      <c r="Q11" s="23"/>
      <c r="R11" s="23"/>
      <c r="S11" s="23"/>
      <c r="T11" s="23"/>
      <c r="U11" s="23"/>
      <c r="V11" s="38"/>
      <c r="W11" s="37"/>
      <c r="X11" s="23"/>
      <c r="Y11" s="23"/>
      <c r="Z11" s="23"/>
      <c r="AA11" s="23"/>
      <c r="AB11" s="23"/>
      <c r="AC11" s="38"/>
      <c r="AD11" s="37"/>
      <c r="AE11" s="23"/>
      <c r="AF11" s="23"/>
      <c r="AG11" s="23"/>
      <c r="AH11" s="23"/>
      <c r="AI11" s="23"/>
      <c r="AJ11" s="38"/>
      <c r="AQ11" s="31"/>
      <c r="AR11" s="30"/>
      <c r="AS11" s="21"/>
      <c r="AT11" s="21"/>
      <c r="AU11" s="21"/>
      <c r="AV11" s="21"/>
      <c r="AW11" s="21"/>
      <c r="AX11" s="31"/>
    </row>
    <row r="12" spans="1:50">
      <c r="A12" s="28" t="s">
        <v>114</v>
      </c>
      <c r="B12" s="32"/>
      <c r="C12" s="27"/>
      <c r="D12" s="27"/>
      <c r="E12" s="27"/>
      <c r="F12" s="27"/>
      <c r="G12" s="27"/>
      <c r="H12" s="33"/>
      <c r="I12" s="27"/>
      <c r="J12" s="27"/>
      <c r="K12" s="27"/>
      <c r="L12" s="27"/>
      <c r="M12" s="27"/>
      <c r="N12" s="27"/>
      <c r="O12" s="27"/>
      <c r="P12" s="32"/>
      <c r="Q12" s="27"/>
      <c r="R12" s="27"/>
      <c r="S12" s="27"/>
      <c r="T12" s="27"/>
      <c r="U12" s="27"/>
      <c r="V12" s="33"/>
      <c r="W12" s="32"/>
      <c r="X12" s="27"/>
      <c r="Y12" s="27"/>
      <c r="Z12" s="27"/>
      <c r="AA12" s="27"/>
      <c r="AB12" s="27"/>
      <c r="AC12" s="33"/>
      <c r="AD12" s="32"/>
      <c r="AE12" s="27"/>
      <c r="AF12" s="27"/>
      <c r="AG12" s="27"/>
      <c r="AH12" s="27"/>
      <c r="AI12" s="27"/>
      <c r="AJ12" s="33"/>
      <c r="AK12" s="34"/>
      <c r="AL12" s="55"/>
      <c r="AM12" s="55"/>
      <c r="AN12" s="55"/>
      <c r="AO12" s="55"/>
      <c r="AP12" s="55"/>
      <c r="AQ12" s="36"/>
      <c r="AR12" s="34"/>
      <c r="AS12" s="55"/>
      <c r="AT12" s="55"/>
      <c r="AU12" s="55"/>
      <c r="AV12" s="55"/>
      <c r="AW12" s="55"/>
      <c r="AX12" s="36"/>
    </row>
    <row r="13" spans="1:50">
      <c r="B13" s="47" t="s">
        <v>144</v>
      </c>
      <c r="C13" s="48"/>
      <c r="D13" s="48"/>
      <c r="E13" s="48"/>
      <c r="F13" s="48"/>
      <c r="G13" s="48"/>
      <c r="H13" s="49"/>
      <c r="I13" s="48" t="s">
        <v>144</v>
      </c>
      <c r="J13" s="48"/>
      <c r="K13" s="48"/>
      <c r="L13" s="48"/>
      <c r="M13" s="48"/>
      <c r="N13" s="48"/>
      <c r="O13" s="48"/>
      <c r="P13" s="47" t="s">
        <v>144</v>
      </c>
      <c r="Q13" s="48"/>
      <c r="R13" s="48"/>
      <c r="S13" s="48"/>
      <c r="T13" s="48"/>
      <c r="U13" s="48"/>
      <c r="V13" s="49"/>
      <c r="W13" s="47" t="s">
        <v>195</v>
      </c>
      <c r="X13" s="48"/>
      <c r="Y13" s="48"/>
      <c r="Z13" s="48"/>
      <c r="AA13" s="48"/>
      <c r="AB13" s="48"/>
      <c r="AC13" s="49"/>
      <c r="AD13" s="47" t="s">
        <v>214</v>
      </c>
      <c r="AE13" s="48"/>
      <c r="AF13" s="48"/>
      <c r="AG13" s="48"/>
      <c r="AH13" s="48"/>
      <c r="AI13" s="48"/>
      <c r="AJ13" s="49"/>
      <c r="AK13" s="54" t="s">
        <v>225</v>
      </c>
      <c r="AL13" s="54"/>
      <c r="AM13" s="54"/>
      <c r="AN13" s="54"/>
      <c r="AO13" s="54"/>
      <c r="AP13" s="54"/>
      <c r="AQ13" s="49"/>
      <c r="AR13" s="47"/>
      <c r="AS13" s="48"/>
      <c r="AT13" s="48"/>
      <c r="AU13" s="48"/>
      <c r="AV13" s="48"/>
      <c r="AW13" s="48"/>
      <c r="AX13" s="49"/>
    </row>
    <row r="14" spans="1:50">
      <c r="B14" s="30"/>
      <c r="C14" s="21" t="s">
        <v>160</v>
      </c>
      <c r="D14" s="21" t="s">
        <v>117</v>
      </c>
      <c r="E14" s="39">
        <f>IF(((Pin-1)*14.5)&gt;5,(1+EXP(0.60608+0.91615*LN((Pin-1)*14.5)+0.0015655*(LN((Pin-1)*14.5)^2))/14.5),1+10/14.5)</f>
        <v>1.6896551724137931</v>
      </c>
      <c r="F14" s="21" t="s">
        <v>111</v>
      </c>
      <c r="G14" s="52" t="s">
        <v>176</v>
      </c>
      <c r="H14" s="31"/>
      <c r="I14" s="21"/>
      <c r="J14" s="21" t="s">
        <v>160</v>
      </c>
      <c r="K14" s="21" t="s">
        <v>117</v>
      </c>
      <c r="L14" s="39">
        <f>IF(((Pin_M-1)*14.5)&gt;5,(1+EXP(0.60608+0.91615*LN((Pin_M-1)*14.5)+0.0015655*(LN((Pin_M-1)*14.5)^2))/14.5),1+10/14.5)</f>
        <v>1.6896551724137931</v>
      </c>
      <c r="M14" s="21" t="s">
        <v>111</v>
      </c>
      <c r="N14" s="52" t="s">
        <v>176</v>
      </c>
      <c r="O14" s="21"/>
      <c r="P14" s="30"/>
      <c r="Q14" s="21" t="s">
        <v>160</v>
      </c>
      <c r="R14" s="21" t="s">
        <v>117</v>
      </c>
      <c r="S14" s="39">
        <f>IF(((Pin_B-1)*14.5)&gt;5,(1+EXP(0.60608+0.91615*LN((Pin_B-1)*14.5)+0.0015655*(LN((Pin_B-1)*14.5)^2))/14.5),1+10/14.5)</f>
        <v>1.6896551724137931</v>
      </c>
      <c r="T14" s="21" t="s">
        <v>111</v>
      </c>
      <c r="U14" s="52" t="s">
        <v>176</v>
      </c>
      <c r="V14" s="31"/>
      <c r="W14" s="30"/>
      <c r="X14" s="21" t="s">
        <v>145</v>
      </c>
      <c r="Y14" s="21" t="s">
        <v>159</v>
      </c>
      <c r="Z14" s="45">
        <f>(NU_aG-1)*CbMax_aG+EXP(11.9052-0.8709*LN(AHXft_aG-12000*(NU_aG-1))+0.09005*(LN(AHXft_aG-12000*(NU_aG-1))^2))</f>
        <v>695107.58670929912</v>
      </c>
      <c r="AA14" s="21"/>
      <c r="AB14" s="52" t="s">
        <v>182</v>
      </c>
      <c r="AC14" s="31"/>
      <c r="AD14" s="30"/>
      <c r="AE14" s="21" t="s">
        <v>145</v>
      </c>
      <c r="AF14" s="21" t="s">
        <v>168</v>
      </c>
      <c r="AG14" s="45">
        <f>(NU_aC-1)*CbMax_aC+EXP(7.59176+0.7932*LN(PWhp_aC-1000*(NU_aC-1))-0.0129*(LN(PWhp_aC-1000*(NU_aC-1))^2))</f>
        <v>629655.52353348548</v>
      </c>
      <c r="AH14" s="21"/>
      <c r="AI14" s="21" t="s">
        <v>209</v>
      </c>
      <c r="AJ14" s="31"/>
      <c r="AL14" s="19" t="s">
        <v>235</v>
      </c>
      <c r="AM14" s="19" t="s">
        <v>226</v>
      </c>
      <c r="AN14" s="19">
        <v>0.3</v>
      </c>
      <c r="AO14" s="19" t="s">
        <v>112</v>
      </c>
      <c r="AQ14" s="31"/>
      <c r="AR14" s="30"/>
      <c r="AS14" s="21" t="s">
        <v>227</v>
      </c>
      <c r="AT14" s="21" t="s">
        <v>159</v>
      </c>
      <c r="AU14" s="45">
        <f>EXP(9.2227-0.7892*LN(AU6)+0.08487*(LN(AU6)^2))</f>
        <v>83851.663618831444</v>
      </c>
      <c r="AV14" s="21"/>
      <c r="AW14" s="21" t="s">
        <v>485</v>
      </c>
      <c r="AX14" s="31"/>
    </row>
    <row r="15" spans="1:50">
      <c r="B15" s="30"/>
      <c r="C15" s="21" t="s">
        <v>118</v>
      </c>
      <c r="D15" s="21" t="s">
        <v>476</v>
      </c>
      <c r="E15" s="21">
        <v>0.85</v>
      </c>
      <c r="F15" s="21"/>
      <c r="G15" s="52"/>
      <c r="H15" s="31"/>
      <c r="I15" s="21"/>
      <c r="J15" s="21" t="s">
        <v>118</v>
      </c>
      <c r="K15" s="21" t="s">
        <v>476</v>
      </c>
      <c r="L15" s="21">
        <v>0.85</v>
      </c>
      <c r="M15" s="21"/>
      <c r="N15" s="52"/>
      <c r="O15" s="21"/>
      <c r="P15" s="30"/>
      <c r="Q15" s="21" t="s">
        <v>118</v>
      </c>
      <c r="R15" s="21" t="s">
        <v>476</v>
      </c>
      <c r="S15" s="21">
        <v>0.85</v>
      </c>
      <c r="T15" s="21"/>
      <c r="U15" s="52"/>
      <c r="V15" s="31"/>
      <c r="W15" s="30"/>
      <c r="X15" s="21" t="s">
        <v>146</v>
      </c>
      <c r="Y15" s="21" t="s">
        <v>158</v>
      </c>
      <c r="Z15" s="41">
        <f>0.9803+0.018*((Pshell_aG-1)*14.5)+0.0017*(((Pshell_aG-1)*14.5)^2)</f>
        <v>0.9838210004265624</v>
      </c>
      <c r="AA15" s="21"/>
      <c r="AB15" s="52" t="s">
        <v>183</v>
      </c>
      <c r="AC15" s="31"/>
      <c r="AD15" s="30"/>
      <c r="AE15" s="21" t="s">
        <v>67</v>
      </c>
      <c r="AF15" s="21" t="s">
        <v>154</v>
      </c>
      <c r="AG15" s="21">
        <v>1</v>
      </c>
      <c r="AH15" s="21"/>
      <c r="AI15" s="21" t="s">
        <v>185</v>
      </c>
      <c r="AJ15" s="31"/>
      <c r="AL15" s="19" t="s">
        <v>227</v>
      </c>
      <c r="AM15" s="19" t="s">
        <v>159</v>
      </c>
      <c r="AN15" s="60">
        <f>610*((w_aELE*39.37)^0.5)*((H_aELE*3.28)^0.57)</f>
        <v>21430.217982378734</v>
      </c>
      <c r="AP15" s="19" t="s">
        <v>485</v>
      </c>
      <c r="AQ15" s="31"/>
      <c r="AR15" s="30"/>
      <c r="AS15" s="21" t="s">
        <v>67</v>
      </c>
      <c r="AT15" s="21" t="s">
        <v>154</v>
      </c>
      <c r="AU15" s="21">
        <v>1</v>
      </c>
      <c r="AV15" s="21"/>
      <c r="AW15" s="52" t="s">
        <v>185</v>
      </c>
      <c r="AX15" s="31"/>
    </row>
    <row r="16" spans="1:50">
      <c r="B16" s="30"/>
      <c r="C16" s="21" t="s">
        <v>119</v>
      </c>
      <c r="D16" s="21" t="s">
        <v>477</v>
      </c>
      <c r="E16" s="21">
        <v>13750</v>
      </c>
      <c r="F16" s="21" t="s">
        <v>120</v>
      </c>
      <c r="G16" s="52"/>
      <c r="H16" s="31"/>
      <c r="I16" s="21"/>
      <c r="J16" s="21" t="s">
        <v>119</v>
      </c>
      <c r="K16" s="21" t="s">
        <v>477</v>
      </c>
      <c r="L16" s="21">
        <v>13750</v>
      </c>
      <c r="M16" s="21" t="s">
        <v>120</v>
      </c>
      <c r="N16" s="52"/>
      <c r="O16" s="21"/>
      <c r="P16" s="30"/>
      <c r="Q16" s="21" t="s">
        <v>119</v>
      </c>
      <c r="R16" s="21" t="s">
        <v>477</v>
      </c>
      <c r="S16" s="21">
        <v>13750</v>
      </c>
      <c r="T16" s="21" t="s">
        <v>120</v>
      </c>
      <c r="U16" s="52"/>
      <c r="V16" s="31"/>
      <c r="W16" s="30"/>
      <c r="X16" s="21" t="s">
        <v>147</v>
      </c>
      <c r="Y16" s="21" t="s">
        <v>156</v>
      </c>
      <c r="Z16" s="21">
        <v>0</v>
      </c>
      <c r="AA16" s="21"/>
      <c r="AB16" s="52" t="s">
        <v>184</v>
      </c>
      <c r="AC16" s="31"/>
      <c r="AD16" s="30"/>
      <c r="AE16" s="21" t="s">
        <v>227</v>
      </c>
      <c r="AF16" s="21" t="s">
        <v>207</v>
      </c>
      <c r="AG16" s="56">
        <f>AG14*AG15</f>
        <v>629655.52353348548</v>
      </c>
      <c r="AH16" s="21"/>
      <c r="AI16" s="21" t="s">
        <v>208</v>
      </c>
      <c r="AJ16" s="31"/>
      <c r="AQ16" s="31"/>
      <c r="AR16" s="30"/>
      <c r="AS16" s="21"/>
      <c r="AT16" s="21" t="s">
        <v>207</v>
      </c>
      <c r="AU16" s="56">
        <f>AU14*AU15</f>
        <v>83851.663618831444</v>
      </c>
      <c r="AV16" s="21"/>
      <c r="AW16" s="21"/>
      <c r="AX16" s="31"/>
    </row>
    <row r="17" spans="2:50">
      <c r="B17" s="30"/>
      <c r="C17" s="21" t="s">
        <v>125</v>
      </c>
      <c r="D17" s="21" t="s">
        <v>161</v>
      </c>
      <c r="E17" s="21">
        <f>((Pin_T-1)*14.5)*(Dt_T*39.37)/(2*S*E-1.2*((Pd_T-1)*14.5))</f>
        <v>0.12293740578728354</v>
      </c>
      <c r="F17" s="21" t="s">
        <v>135</v>
      </c>
      <c r="G17" s="52" t="s">
        <v>177</v>
      </c>
      <c r="H17" s="31"/>
      <c r="I17" s="21"/>
      <c r="J17" s="21" t="s">
        <v>125</v>
      </c>
      <c r="K17" s="21" t="s">
        <v>161</v>
      </c>
      <c r="L17" s="21">
        <f>((Pin_M-1)*14.5)*(Dt_M*39.37)/(2*S*E-1.2*((Pd_M-1)*14.5))</f>
        <v>0.12293740578728354</v>
      </c>
      <c r="M17" s="21" t="s">
        <v>135</v>
      </c>
      <c r="N17" s="52" t="s">
        <v>177</v>
      </c>
      <c r="O17" s="21"/>
      <c r="P17" s="30"/>
      <c r="Q17" s="21" t="s">
        <v>125</v>
      </c>
      <c r="R17" s="21" t="s">
        <v>161</v>
      </c>
      <c r="S17" s="21">
        <f>((Pin_B-1)*14.5)*(Dt_B*39.37)/(2*S*E-1.2*((Pd_B-1)*14.5))</f>
        <v>0.12293740578728354</v>
      </c>
      <c r="T17" s="21" t="s">
        <v>135</v>
      </c>
      <c r="U17" s="52" t="s">
        <v>177</v>
      </c>
      <c r="V17" s="31"/>
      <c r="W17" s="30"/>
      <c r="X17" s="21" t="s">
        <v>148</v>
      </c>
      <c r="Y17" s="21" t="s">
        <v>157</v>
      </c>
      <c r="Z17" s="21">
        <v>0</v>
      </c>
      <c r="AA17" s="21"/>
      <c r="AB17" s="52" t="s">
        <v>184</v>
      </c>
      <c r="AC17" s="21"/>
      <c r="AD17" s="30"/>
      <c r="AE17" s="21"/>
      <c r="AF17" s="21"/>
      <c r="AG17" s="21"/>
      <c r="AH17" s="21"/>
      <c r="AI17" s="21"/>
      <c r="AJ17" s="31"/>
      <c r="AQ17" s="31"/>
      <c r="AR17" s="30"/>
      <c r="AS17" s="21"/>
      <c r="AT17" s="21"/>
      <c r="AU17" s="21"/>
      <c r="AV17" s="21"/>
      <c r="AW17" s="21"/>
      <c r="AX17" s="31"/>
    </row>
    <row r="18" spans="2:50">
      <c r="B18" s="30"/>
      <c r="C18" s="21" t="s">
        <v>124</v>
      </c>
      <c r="D18" s="21" t="s">
        <v>161</v>
      </c>
      <c r="E18" s="21">
        <f>IF(tpcalc_T&lt;0.5,0.5)</f>
        <v>0.5</v>
      </c>
      <c r="F18" s="21" t="s">
        <v>135</v>
      </c>
      <c r="G18" s="52" t="s">
        <v>178</v>
      </c>
      <c r="H18" s="31"/>
      <c r="I18" s="21"/>
      <c r="J18" s="21" t="s">
        <v>124</v>
      </c>
      <c r="K18" s="21" t="s">
        <v>161</v>
      </c>
      <c r="L18" s="21">
        <f>IF(tpcalc_M&lt;0.5,0.5)</f>
        <v>0.5</v>
      </c>
      <c r="M18" s="21" t="s">
        <v>135</v>
      </c>
      <c r="N18" s="52" t="s">
        <v>178</v>
      </c>
      <c r="O18" s="21"/>
      <c r="P18" s="30"/>
      <c r="Q18" s="21" t="s">
        <v>124</v>
      </c>
      <c r="R18" s="21" t="s">
        <v>161</v>
      </c>
      <c r="S18" s="21">
        <f>IF(tpcalc_B&lt;0.5,0.5)</f>
        <v>0.5</v>
      </c>
      <c r="T18" s="21" t="s">
        <v>135</v>
      </c>
      <c r="U18" s="52" t="s">
        <v>178</v>
      </c>
      <c r="V18" s="31"/>
      <c r="W18" s="30"/>
      <c r="X18" s="21" t="s">
        <v>67</v>
      </c>
      <c r="Y18" s="21" t="s">
        <v>154</v>
      </c>
      <c r="Z18" s="21">
        <f>IF(AHXm_aG=0,0,a_aG+((AHXft_aG/100)^b_aG))</f>
        <v>1</v>
      </c>
      <c r="AA18" s="21"/>
      <c r="AB18" s="52" t="s">
        <v>185</v>
      </c>
      <c r="AC18" s="21"/>
      <c r="AD18" s="30"/>
      <c r="AE18" s="21" t="s">
        <v>212</v>
      </c>
      <c r="AF18" s="21" t="s">
        <v>213</v>
      </c>
      <c r="AG18" s="45">
        <f>EXP(7.59176+0.7932*LN(1000)-0.0129*(LN(1000)^2))</f>
        <v>256642.95471379117</v>
      </c>
      <c r="AH18" s="21"/>
      <c r="AI18" s="21" t="s">
        <v>209</v>
      </c>
      <c r="AJ18" s="31"/>
      <c r="AQ18" s="31"/>
      <c r="AR18" s="30"/>
      <c r="AS18" s="21"/>
      <c r="AT18" s="21"/>
      <c r="AU18" s="21"/>
      <c r="AV18" s="21"/>
      <c r="AW18" s="21"/>
      <c r="AX18" s="31"/>
    </row>
    <row r="19" spans="2:50">
      <c r="B19" s="30"/>
      <c r="C19" s="21" t="s">
        <v>126</v>
      </c>
      <c r="D19" s="21" t="s">
        <v>162</v>
      </c>
      <c r="E19" s="42">
        <f>0.22*((H_T*39.37)^2)*((Dt_T*39.37)+18)/(S*((Dt_T*39.37)^2))</f>
        <v>1.5578879999999999E-3</v>
      </c>
      <c r="F19" s="21" t="s">
        <v>135</v>
      </c>
      <c r="G19" s="52" t="s">
        <v>179</v>
      </c>
      <c r="H19" s="31"/>
      <c r="I19" s="21"/>
      <c r="J19" s="21" t="s">
        <v>126</v>
      </c>
      <c r="K19" s="21" t="s">
        <v>162</v>
      </c>
      <c r="L19" s="42">
        <f>0.22*((H_M*39.37)^2)*((Dt_M*39.37)+18)/(S*((Dt_M*39.37)^2))</f>
        <v>1.5578879999999999E-3</v>
      </c>
      <c r="M19" s="21" t="s">
        <v>135</v>
      </c>
      <c r="N19" s="52" t="s">
        <v>179</v>
      </c>
      <c r="O19" s="21"/>
      <c r="P19" s="30"/>
      <c r="Q19" s="21" t="s">
        <v>126</v>
      </c>
      <c r="R19" s="21" t="s">
        <v>162</v>
      </c>
      <c r="S19" s="42">
        <f>0.22*((H_B*39.37)^2)*((Dt_B*39.37)+18)/(S*((Dt_B*39.37)^2))</f>
        <v>1.5578879999999999E-3</v>
      </c>
      <c r="T19" s="21" t="s">
        <v>135</v>
      </c>
      <c r="U19" s="52" t="s">
        <v>179</v>
      </c>
      <c r="V19" s="31"/>
      <c r="W19" s="30"/>
      <c r="X19" s="21" t="s">
        <v>149</v>
      </c>
      <c r="Y19" s="21" t="s">
        <v>155</v>
      </c>
      <c r="Z19" s="21">
        <v>1.1200000000000001</v>
      </c>
      <c r="AA19" s="21"/>
      <c r="AB19" s="52" t="s">
        <v>184</v>
      </c>
      <c r="AC19" s="21"/>
      <c r="AD19" s="30"/>
      <c r="AE19" s="21"/>
      <c r="AF19" s="21"/>
      <c r="AG19" s="21"/>
      <c r="AH19" s="21"/>
      <c r="AI19" s="21"/>
      <c r="AJ19" s="31"/>
      <c r="AQ19" s="31"/>
      <c r="AR19" s="30"/>
      <c r="AS19" s="21"/>
      <c r="AT19" s="21"/>
      <c r="AU19" s="21"/>
      <c r="AV19" s="21"/>
      <c r="AW19" s="21"/>
      <c r="AX19" s="31"/>
    </row>
    <row r="20" spans="2:50">
      <c r="B20" s="30"/>
      <c r="C20" s="21" t="s">
        <v>127</v>
      </c>
      <c r="D20" s="21" t="s">
        <v>163</v>
      </c>
      <c r="E20" s="39">
        <f>(tpadj_T+(tw_T+tpcalc_T))/2</f>
        <v>0.31224764689364176</v>
      </c>
      <c r="F20" s="21" t="s">
        <v>135</v>
      </c>
      <c r="G20" s="52" t="s">
        <v>180</v>
      </c>
      <c r="H20" s="31"/>
      <c r="I20" s="21"/>
      <c r="J20" s="21" t="s">
        <v>127</v>
      </c>
      <c r="K20" s="21" t="s">
        <v>163</v>
      </c>
      <c r="L20" s="39">
        <f>(tpadj_M+(tw_M+tpcalc_M))/2</f>
        <v>0.31224764689364176</v>
      </c>
      <c r="M20" s="21" t="s">
        <v>135</v>
      </c>
      <c r="N20" s="52" t="s">
        <v>180</v>
      </c>
      <c r="O20" s="21"/>
      <c r="P20" s="30"/>
      <c r="Q20" s="21" t="s">
        <v>127</v>
      </c>
      <c r="R20" s="21" t="s">
        <v>163</v>
      </c>
      <c r="S20" s="39">
        <f>(tpadj_B+(tw_B+tpcalc_B))/2</f>
        <v>0.31224764689364176</v>
      </c>
      <c r="T20" s="21" t="s">
        <v>135</v>
      </c>
      <c r="U20" s="52" t="s">
        <v>180</v>
      </c>
      <c r="V20" s="31"/>
      <c r="W20" s="30"/>
      <c r="X20" s="21" t="s">
        <v>227</v>
      </c>
      <c r="Y20" s="21" t="s">
        <v>150</v>
      </c>
      <c r="Z20" s="56">
        <f>Cb_aG*Fp_aG*Fm_aG*Fl_aG</f>
        <v>765924.81432368851</v>
      </c>
      <c r="AA20" s="21"/>
      <c r="AB20" s="52" t="s">
        <v>186</v>
      </c>
      <c r="AC20" s="21"/>
      <c r="AD20" s="30"/>
      <c r="AE20" s="21"/>
      <c r="AF20" s="21"/>
      <c r="AG20" s="21"/>
      <c r="AH20" s="21"/>
      <c r="AI20" s="21"/>
      <c r="AJ20" s="31"/>
      <c r="AQ20" s="31"/>
      <c r="AR20" s="30"/>
      <c r="AS20" s="21"/>
      <c r="AT20" s="21"/>
      <c r="AU20" s="21"/>
      <c r="AV20" s="21"/>
      <c r="AW20" s="21"/>
      <c r="AX20" s="31"/>
    </row>
    <row r="21" spans="2:50">
      <c r="B21" s="30"/>
      <c r="C21" s="21" t="s">
        <v>128</v>
      </c>
      <c r="D21" s="21" t="s">
        <v>164</v>
      </c>
      <c r="E21" s="21">
        <f>1/8</f>
        <v>0.125</v>
      </c>
      <c r="F21" s="21" t="s">
        <v>135</v>
      </c>
      <c r="G21" s="52" t="s">
        <v>180</v>
      </c>
      <c r="H21" s="31"/>
      <c r="I21" s="21"/>
      <c r="J21" s="21" t="s">
        <v>128</v>
      </c>
      <c r="K21" s="21" t="s">
        <v>164</v>
      </c>
      <c r="L21" s="21">
        <f>1/8</f>
        <v>0.125</v>
      </c>
      <c r="M21" s="21" t="s">
        <v>135</v>
      </c>
      <c r="N21" s="52" t="s">
        <v>180</v>
      </c>
      <c r="O21" s="21"/>
      <c r="P21" s="30"/>
      <c r="Q21" s="21" t="s">
        <v>128</v>
      </c>
      <c r="R21" s="21" t="s">
        <v>164</v>
      </c>
      <c r="S21" s="21">
        <f>1/8</f>
        <v>0.125</v>
      </c>
      <c r="T21" s="21" t="s">
        <v>135</v>
      </c>
      <c r="U21" s="52" t="s">
        <v>180</v>
      </c>
      <c r="V21" s="31"/>
      <c r="AD21" s="30"/>
      <c r="AE21" s="21"/>
      <c r="AF21" s="21"/>
      <c r="AG21" s="21"/>
      <c r="AH21" s="21"/>
      <c r="AI21" s="21"/>
      <c r="AJ21" s="31"/>
      <c r="AQ21" s="31"/>
      <c r="AR21" s="30"/>
      <c r="AS21" s="21"/>
      <c r="AT21" s="21"/>
      <c r="AU21" s="21"/>
      <c r="AV21" s="21"/>
      <c r="AW21" s="21"/>
      <c r="AX21" s="31"/>
    </row>
    <row r="22" spans="2:50">
      <c r="B22" s="30"/>
      <c r="C22" s="21" t="s">
        <v>129</v>
      </c>
      <c r="D22" s="21" t="s">
        <v>165</v>
      </c>
      <c r="E22" s="39">
        <f>tv+tc</f>
        <v>0.43724764689364176</v>
      </c>
      <c r="F22" s="21" t="s">
        <v>135</v>
      </c>
      <c r="G22" s="52"/>
      <c r="H22" s="31"/>
      <c r="I22" s="21"/>
      <c r="J22" s="21" t="s">
        <v>129</v>
      </c>
      <c r="K22" s="21" t="s">
        <v>165</v>
      </c>
      <c r="L22" s="39">
        <f>tv_M+tc_M</f>
        <v>0.43724764689364176</v>
      </c>
      <c r="M22" s="21" t="s">
        <v>135</v>
      </c>
      <c r="N22" s="52"/>
      <c r="O22" s="21"/>
      <c r="P22" s="30"/>
      <c r="Q22" s="21" t="s">
        <v>129</v>
      </c>
      <c r="R22" s="21" t="s">
        <v>165</v>
      </c>
      <c r="S22" s="39">
        <f>tv_B+tc_B</f>
        <v>0.43724764689364176</v>
      </c>
      <c r="T22" s="21" t="s">
        <v>135</v>
      </c>
      <c r="U22" s="52"/>
      <c r="V22" s="31"/>
      <c r="W22" s="47"/>
      <c r="X22" s="48"/>
      <c r="Y22" s="54"/>
      <c r="Z22" s="54"/>
      <c r="AA22" s="48"/>
      <c r="AB22" s="48"/>
      <c r="AC22" s="49"/>
      <c r="AD22" s="47" t="s">
        <v>210</v>
      </c>
      <c r="AE22" s="48"/>
      <c r="AF22" s="48"/>
      <c r="AG22" s="48"/>
      <c r="AH22" s="48"/>
      <c r="AI22" s="48"/>
      <c r="AJ22" s="49"/>
      <c r="AK22" s="54" t="s">
        <v>228</v>
      </c>
      <c r="AL22" s="54"/>
      <c r="AM22" s="54"/>
      <c r="AN22" s="54"/>
      <c r="AO22" s="54"/>
      <c r="AP22" s="54"/>
      <c r="AQ22" s="49"/>
      <c r="AR22" s="30"/>
      <c r="AS22" s="21"/>
      <c r="AT22" s="21"/>
      <c r="AU22" s="21"/>
      <c r="AV22" s="21"/>
      <c r="AW22" s="21"/>
      <c r="AX22" s="31"/>
    </row>
    <row r="23" spans="2:50">
      <c r="B23" s="30"/>
      <c r="C23" s="21" t="s">
        <v>130</v>
      </c>
      <c r="D23" s="21" t="s">
        <v>166</v>
      </c>
      <c r="E23" s="21">
        <f>ROUNDUP(tvtc_T/0.125,0)*0.125</f>
        <v>0.5</v>
      </c>
      <c r="F23" s="21" t="s">
        <v>135</v>
      </c>
      <c r="G23" s="52" t="s">
        <v>180</v>
      </c>
      <c r="H23" s="31"/>
      <c r="I23" s="21"/>
      <c r="J23" s="21" t="s">
        <v>130</v>
      </c>
      <c r="K23" s="21" t="s">
        <v>166</v>
      </c>
      <c r="L23" s="21">
        <f>ROUNDUP(tvtc_M/0.125,0)*0.125</f>
        <v>0.5</v>
      </c>
      <c r="M23" s="21" t="s">
        <v>135</v>
      </c>
      <c r="N23" s="52" t="s">
        <v>180</v>
      </c>
      <c r="O23" s="21"/>
      <c r="P23" s="30"/>
      <c r="Q23" s="21" t="s">
        <v>130</v>
      </c>
      <c r="R23" s="21" t="s">
        <v>166</v>
      </c>
      <c r="S23" s="21">
        <f>ROUNDUP(tvtc_B/0.125,0)*0.125</f>
        <v>0.5</v>
      </c>
      <c r="T23" s="21" t="s">
        <v>135</v>
      </c>
      <c r="U23" s="52" t="s">
        <v>180</v>
      </c>
      <c r="V23" s="31"/>
      <c r="X23" s="19" t="s">
        <v>212</v>
      </c>
      <c r="Y23" s="19" t="s">
        <v>213</v>
      </c>
      <c r="Z23" s="61">
        <f>EXP(11.9052-0.8709*LN(12000)+0.09005*(LN(12000)^2))</f>
        <v>116953.37860124618</v>
      </c>
      <c r="AB23" s="19" t="s">
        <v>182</v>
      </c>
      <c r="AD23" s="30"/>
      <c r="AE23" s="21" t="s">
        <v>145</v>
      </c>
      <c r="AF23" s="21" t="s">
        <v>168</v>
      </c>
      <c r="AG23" s="45">
        <f>EXP(7.58+0.8*LN(PWhp_aC))</f>
        <v>953132.54933085595</v>
      </c>
      <c r="AH23" s="21"/>
      <c r="AI23" s="21" t="s">
        <v>483</v>
      </c>
      <c r="AJ23" s="31"/>
      <c r="AL23" s="19" t="s">
        <v>490</v>
      </c>
      <c r="AM23" s="19" t="s">
        <v>205</v>
      </c>
      <c r="AN23" s="62">
        <f>0.02*(Fsolid*2.20462/3600)*((H_aELE*3.28)^0.63)+0.00182*(Fsolid*2.20462/3600)*(H_aELE*3.28)</f>
        <v>135.42982504240587</v>
      </c>
      <c r="AO23" s="19" t="s">
        <v>203</v>
      </c>
      <c r="AP23" s="19" t="s">
        <v>230</v>
      </c>
      <c r="AQ23" s="31"/>
      <c r="AR23" s="30"/>
      <c r="AS23" s="21"/>
      <c r="AT23" s="21"/>
      <c r="AU23" s="21"/>
      <c r="AV23" s="21"/>
      <c r="AW23" s="21"/>
      <c r="AX23" s="31"/>
    </row>
    <row r="24" spans="2:50">
      <c r="B24" s="30"/>
      <c r="C24" s="21" t="s">
        <v>132</v>
      </c>
      <c r="D24" s="21" t="s">
        <v>131</v>
      </c>
      <c r="E24" s="21">
        <v>0.28399999999999997</v>
      </c>
      <c r="F24" s="21"/>
      <c r="G24" s="52"/>
      <c r="H24" s="31"/>
      <c r="I24" s="21"/>
      <c r="J24" s="21" t="s">
        <v>132</v>
      </c>
      <c r="K24" s="21" t="s">
        <v>131</v>
      </c>
      <c r="L24" s="21">
        <v>0.28399999999999997</v>
      </c>
      <c r="M24" s="21"/>
      <c r="N24" s="52"/>
      <c r="O24" s="21"/>
      <c r="P24" s="30"/>
      <c r="Q24" s="21" t="s">
        <v>132</v>
      </c>
      <c r="R24" s="21" t="s">
        <v>131</v>
      </c>
      <c r="S24" s="21">
        <v>0.28399999999999997</v>
      </c>
      <c r="T24" s="21"/>
      <c r="U24" s="52"/>
      <c r="V24" s="31"/>
      <c r="X24" s="19" t="s">
        <v>246</v>
      </c>
      <c r="Y24" s="21" t="s">
        <v>199</v>
      </c>
      <c r="Z24" s="21">
        <v>1.1499999999999999</v>
      </c>
      <c r="AD24" s="30"/>
      <c r="AE24" s="21" t="s">
        <v>211</v>
      </c>
      <c r="AF24" s="21" t="s">
        <v>481</v>
      </c>
      <c r="AG24" s="21">
        <v>1</v>
      </c>
      <c r="AH24" s="21"/>
      <c r="AI24" s="21" t="s">
        <v>482</v>
      </c>
      <c r="AJ24" s="31"/>
      <c r="AL24" s="19" t="s">
        <v>145</v>
      </c>
      <c r="AM24" s="19" t="s">
        <v>168</v>
      </c>
      <c r="AN24" s="61">
        <f>EXP(5.8259+0.13141*LN(PW_aELE)+0.053255*(LN(PW_aELE)^2)+0.028628*(LN(PW_aELE)^3)-0.0035549*(LN(PW_aELE)^4))</f>
        <v>8742.9054063289095</v>
      </c>
      <c r="AP24" s="19" t="s">
        <v>231</v>
      </c>
      <c r="AQ24" s="31"/>
      <c r="AR24" s="30"/>
      <c r="AS24" s="21"/>
      <c r="AT24" s="21"/>
      <c r="AU24" s="21"/>
      <c r="AV24" s="21"/>
      <c r="AW24" s="21"/>
      <c r="AX24" s="31"/>
    </row>
    <row r="25" spans="2:50">
      <c r="B25" s="30"/>
      <c r="C25" s="21" t="s">
        <v>133</v>
      </c>
      <c r="D25" s="21" t="s">
        <v>153</v>
      </c>
      <c r="E25" s="46">
        <f>PI()*((Dt_T*39.37)+ts_T)*((H_T*39.37)+0.8*(Dt_T*39.37))*ts_T*dSteel</f>
        <v>186853.12202856975</v>
      </c>
      <c r="F25" s="21" t="s">
        <v>136</v>
      </c>
      <c r="G25" s="52" t="s">
        <v>181</v>
      </c>
      <c r="H25" s="31"/>
      <c r="I25" s="21"/>
      <c r="J25" s="21" t="s">
        <v>133</v>
      </c>
      <c r="K25" s="21" t="s">
        <v>153</v>
      </c>
      <c r="L25" s="46">
        <f>PI()*((Dt_M*39.37)+ts_M)*((H_M*39.37)+0.8*(Dt_M*39.37))*ts_M*dSteel</f>
        <v>186853.12202856975</v>
      </c>
      <c r="M25" s="21" t="s">
        <v>136</v>
      </c>
      <c r="N25" s="52" t="s">
        <v>181</v>
      </c>
      <c r="O25" s="21"/>
      <c r="P25" s="30"/>
      <c r="Q25" s="21" t="s">
        <v>133</v>
      </c>
      <c r="R25" s="21" t="s">
        <v>153</v>
      </c>
      <c r="S25" s="46">
        <f>PI()*((Dt_B*39.37)+ts_B)*((H_B*39.37)+0.8*(Dt_B*39.37))*ts_B*dSteel</f>
        <v>186853.12202856975</v>
      </c>
      <c r="T25" s="21" t="s">
        <v>136</v>
      </c>
      <c r="U25" s="52" t="s">
        <v>181</v>
      </c>
      <c r="V25" s="31"/>
      <c r="W25" s="63"/>
      <c r="X25" s="63"/>
      <c r="Y25" s="64"/>
      <c r="Z25" s="63"/>
      <c r="AA25" s="64"/>
      <c r="AB25" s="63"/>
      <c r="AC25" s="63"/>
      <c r="AD25" s="30"/>
      <c r="AE25" s="21" t="s">
        <v>67</v>
      </c>
      <c r="AF25" s="21" t="s">
        <v>154</v>
      </c>
      <c r="AG25" s="21">
        <v>1</v>
      </c>
      <c r="AH25" s="21"/>
      <c r="AI25" s="52" t="s">
        <v>185</v>
      </c>
      <c r="AJ25" s="31"/>
      <c r="AL25" s="19" t="s">
        <v>232</v>
      </c>
      <c r="AM25" s="19" t="s">
        <v>479</v>
      </c>
      <c r="AN25" s="19">
        <v>1.3</v>
      </c>
      <c r="AP25" s="19" t="s">
        <v>233</v>
      </c>
      <c r="AQ25" s="31"/>
      <c r="AR25" s="30"/>
      <c r="AS25" s="21"/>
      <c r="AT25" s="21"/>
      <c r="AU25" s="21"/>
      <c r="AV25" s="21"/>
      <c r="AW25" s="21"/>
      <c r="AX25" s="31"/>
    </row>
    <row r="26" spans="2:50">
      <c r="B26" s="30"/>
      <c r="C26" s="21" t="s">
        <v>67</v>
      </c>
      <c r="D26" s="21" t="s">
        <v>167</v>
      </c>
      <c r="E26" s="21">
        <v>1</v>
      </c>
      <c r="F26" s="21"/>
      <c r="G26" s="21"/>
      <c r="H26" s="31"/>
      <c r="I26" s="21"/>
      <c r="J26" s="21" t="s">
        <v>67</v>
      </c>
      <c r="K26" s="21" t="s">
        <v>167</v>
      </c>
      <c r="L26" s="21">
        <v>1</v>
      </c>
      <c r="M26" s="21"/>
      <c r="N26" s="21"/>
      <c r="O26" s="21"/>
      <c r="P26" s="30"/>
      <c r="Q26" s="21" t="s">
        <v>67</v>
      </c>
      <c r="R26" s="21" t="s">
        <v>167</v>
      </c>
      <c r="S26" s="21">
        <v>1</v>
      </c>
      <c r="T26" s="21"/>
      <c r="U26" s="21"/>
      <c r="V26" s="31"/>
      <c r="W26" s="63"/>
      <c r="X26" s="63"/>
      <c r="Y26" s="64"/>
      <c r="Z26" s="63"/>
      <c r="AA26" s="64"/>
      <c r="AB26" s="63"/>
      <c r="AC26" s="63"/>
      <c r="AD26" s="30"/>
      <c r="AE26" s="21" t="s">
        <v>227</v>
      </c>
      <c r="AF26" s="21" t="s">
        <v>207</v>
      </c>
      <c r="AG26" s="56">
        <f>AG23*AG24*AG25</f>
        <v>953132.54933085595</v>
      </c>
      <c r="AH26" s="21"/>
      <c r="AI26" s="21" t="s">
        <v>484</v>
      </c>
      <c r="AJ26" s="31"/>
      <c r="AL26" s="19" t="s">
        <v>227</v>
      </c>
      <c r="AM26" s="19" t="s">
        <v>480</v>
      </c>
      <c r="AN26" s="60">
        <f>AN24*AN25</f>
        <v>11365.777028227583</v>
      </c>
      <c r="AP26" s="19" t="s">
        <v>234</v>
      </c>
      <c r="AQ26" s="31"/>
      <c r="AR26" s="30"/>
      <c r="AS26" s="21"/>
      <c r="AT26" s="21"/>
      <c r="AU26" s="21"/>
      <c r="AV26" s="21"/>
      <c r="AW26" s="21"/>
      <c r="AX26" s="31"/>
    </row>
    <row r="27" spans="2:50">
      <c r="B27" s="30"/>
      <c r="C27" s="21" t="s">
        <v>488</v>
      </c>
      <c r="D27" s="21" t="s">
        <v>134</v>
      </c>
      <c r="E27" s="44">
        <f>EXP(7.0132+0.18255*LN(W)+0.02297*(LN(W)^2))*E26</f>
        <v>300512.25684195111</v>
      </c>
      <c r="F27" s="21"/>
      <c r="G27" s="21" t="s">
        <v>487</v>
      </c>
      <c r="H27" s="31"/>
      <c r="I27" s="21"/>
      <c r="J27" s="21" t="s">
        <v>488</v>
      </c>
      <c r="K27" s="21" t="s">
        <v>134</v>
      </c>
      <c r="L27" s="44">
        <f>EXP(7.0132+0.18255*LN(W)+0.02297*(LN(W)^2))*L26</f>
        <v>300512.25684195111</v>
      </c>
      <c r="M27" s="21"/>
      <c r="N27" s="21" t="s">
        <v>487</v>
      </c>
      <c r="O27" s="21"/>
      <c r="P27" s="30"/>
      <c r="Q27" s="21" t="s">
        <v>488</v>
      </c>
      <c r="R27" s="21" t="s">
        <v>134</v>
      </c>
      <c r="S27" s="44">
        <f>EXP(7.0132+0.18255*LN(W)+0.02297*(LN(W)^2))*S26</f>
        <v>300512.25684195111</v>
      </c>
      <c r="T27" s="21"/>
      <c r="U27" s="21" t="s">
        <v>487</v>
      </c>
      <c r="V27" s="31"/>
      <c r="W27" s="63"/>
      <c r="X27" s="63"/>
      <c r="Y27" s="64"/>
      <c r="Z27" s="63"/>
      <c r="AA27" s="64"/>
      <c r="AB27" s="63"/>
      <c r="AC27" s="63"/>
      <c r="AD27" s="30"/>
      <c r="AE27" s="21"/>
      <c r="AF27" s="21"/>
      <c r="AG27" s="21"/>
      <c r="AH27" s="21"/>
      <c r="AI27" s="21"/>
      <c r="AJ27" s="31"/>
      <c r="AQ27" s="31"/>
      <c r="AR27" s="30"/>
      <c r="AS27" s="21"/>
      <c r="AT27" s="21"/>
      <c r="AU27" s="21"/>
      <c r="AV27" s="21"/>
      <c r="AW27" s="21"/>
      <c r="AX27" s="31"/>
    </row>
    <row r="28" spans="2:50">
      <c r="B28" s="30"/>
      <c r="C28" s="21"/>
      <c r="D28" s="21"/>
      <c r="E28" s="21"/>
      <c r="F28" s="21"/>
      <c r="G28" s="21"/>
      <c r="H28" s="31"/>
      <c r="I28" s="21"/>
      <c r="J28" s="21"/>
      <c r="K28" s="21"/>
      <c r="L28" s="21"/>
      <c r="M28" s="21"/>
      <c r="N28" s="21"/>
      <c r="O28" s="21"/>
      <c r="P28" s="30"/>
      <c r="Q28" s="21"/>
      <c r="R28" s="21"/>
      <c r="S28" s="21"/>
      <c r="T28" s="21"/>
      <c r="U28" s="21"/>
      <c r="V28" s="31"/>
      <c r="W28" s="63"/>
      <c r="X28" s="63"/>
      <c r="Y28" s="64"/>
      <c r="Z28" s="63"/>
      <c r="AA28" s="64"/>
      <c r="AB28" s="63"/>
      <c r="AC28" s="63"/>
      <c r="AD28" s="30"/>
      <c r="AH28" s="21"/>
      <c r="AI28" s="21"/>
      <c r="AJ28" s="31"/>
      <c r="AQ28" s="31"/>
      <c r="AR28" s="30"/>
      <c r="AS28" s="21"/>
      <c r="AT28" s="21"/>
      <c r="AU28" s="21"/>
      <c r="AV28" s="21"/>
      <c r="AW28" s="21"/>
      <c r="AX28" s="31"/>
    </row>
    <row r="29" spans="2:50">
      <c r="B29" s="47" t="s">
        <v>137</v>
      </c>
      <c r="C29" s="48"/>
      <c r="D29" s="48"/>
      <c r="E29" s="48"/>
      <c r="F29" s="48"/>
      <c r="G29" s="48"/>
      <c r="H29" s="49"/>
      <c r="I29" s="48" t="s">
        <v>137</v>
      </c>
      <c r="J29" s="48"/>
      <c r="K29" s="48"/>
      <c r="L29" s="48"/>
      <c r="M29" s="48"/>
      <c r="N29" s="48"/>
      <c r="O29" s="48"/>
      <c r="P29" s="47" t="s">
        <v>137</v>
      </c>
      <c r="Q29" s="48"/>
      <c r="R29" s="48"/>
      <c r="S29" s="48"/>
      <c r="T29" s="48"/>
      <c r="U29" s="48"/>
      <c r="V29" s="49"/>
      <c r="W29" s="63"/>
      <c r="X29" s="63"/>
      <c r="Y29" s="64"/>
      <c r="Z29" s="63"/>
      <c r="AA29" s="64"/>
      <c r="AB29" s="63"/>
      <c r="AC29" s="63"/>
      <c r="AD29" s="30"/>
      <c r="AE29" s="21"/>
      <c r="AF29" s="21"/>
      <c r="AG29" s="21"/>
      <c r="AH29" s="21"/>
      <c r="AI29" s="21"/>
      <c r="AJ29" s="31"/>
      <c r="AQ29" s="31"/>
      <c r="AR29" s="30"/>
      <c r="AS29" s="21"/>
      <c r="AT29" s="21"/>
      <c r="AU29" s="21"/>
      <c r="AV29" s="21"/>
      <c r="AW29" s="21"/>
      <c r="AX29" s="31"/>
    </row>
    <row r="30" spans="2:50">
      <c r="B30" s="30"/>
      <c r="C30" s="21" t="s">
        <v>138</v>
      </c>
      <c r="D30" s="21" t="s">
        <v>168</v>
      </c>
      <c r="E30" s="45">
        <f>587.97*(Dt_T^2.0049)*500/400</f>
        <v>167575.50850153726</v>
      </c>
      <c r="F30" s="21"/>
      <c r="G30" s="21" t="s">
        <v>190</v>
      </c>
      <c r="H30" s="31"/>
      <c r="I30" s="21"/>
      <c r="J30" s="21" t="s">
        <v>138</v>
      </c>
      <c r="K30" s="21" t="s">
        <v>168</v>
      </c>
      <c r="L30" s="45">
        <f>587.97*(Dt_M^2.0049)*500/400</f>
        <v>167575.50850153726</v>
      </c>
      <c r="M30" s="21"/>
      <c r="N30" s="21" t="s">
        <v>190</v>
      </c>
      <c r="O30" s="21"/>
      <c r="P30" s="30"/>
      <c r="Q30" s="21" t="s">
        <v>138</v>
      </c>
      <c r="R30" s="21" t="s">
        <v>168</v>
      </c>
      <c r="S30" s="45">
        <f>587.97*(Dt_B^2.0049)*500/400</f>
        <v>167575.50850153726</v>
      </c>
      <c r="T30" s="21"/>
      <c r="U30" s="21" t="s">
        <v>190</v>
      </c>
      <c r="V30" s="31"/>
      <c r="W30" s="63"/>
      <c r="X30" s="63"/>
      <c r="Y30" s="64"/>
      <c r="Z30" s="63"/>
      <c r="AA30" s="64"/>
      <c r="AB30" s="63"/>
      <c r="AC30" s="63"/>
      <c r="AD30" s="30"/>
      <c r="AE30" s="21"/>
      <c r="AF30" s="21"/>
      <c r="AG30" s="21"/>
      <c r="AH30" s="21"/>
      <c r="AI30" s="21"/>
      <c r="AJ30" s="31"/>
      <c r="AQ30" s="31"/>
      <c r="AR30" s="30"/>
      <c r="AS30" s="21"/>
      <c r="AT30" s="21"/>
      <c r="AU30" s="21"/>
      <c r="AV30" s="21"/>
      <c r="AW30" s="21"/>
      <c r="AX30" s="31"/>
    </row>
    <row r="31" spans="2:50">
      <c r="B31" s="30"/>
      <c r="C31" s="21" t="s">
        <v>139</v>
      </c>
      <c r="D31" s="21" t="s">
        <v>170</v>
      </c>
      <c r="E31" s="21">
        <v>1</v>
      </c>
      <c r="F31" s="21"/>
      <c r="G31" s="52" t="s">
        <v>187</v>
      </c>
      <c r="H31" s="31"/>
      <c r="I31" s="21"/>
      <c r="J31" s="21" t="s">
        <v>139</v>
      </c>
      <c r="K31" s="21" t="s">
        <v>170</v>
      </c>
      <c r="L31" s="21">
        <v>1</v>
      </c>
      <c r="M31" s="21"/>
      <c r="N31" s="52" t="s">
        <v>187</v>
      </c>
      <c r="O31" s="21"/>
      <c r="P31" s="30"/>
      <c r="Q31" s="21" t="s">
        <v>139</v>
      </c>
      <c r="R31" s="21" t="s">
        <v>170</v>
      </c>
      <c r="S31" s="21">
        <v>1</v>
      </c>
      <c r="T31" s="21"/>
      <c r="U31" s="52" t="s">
        <v>187</v>
      </c>
      <c r="V31" s="31"/>
      <c r="W31" s="63"/>
      <c r="X31" s="63"/>
      <c r="Y31" s="64"/>
      <c r="Z31" s="63"/>
      <c r="AA31" s="64"/>
      <c r="AB31" s="63"/>
      <c r="AC31" s="63"/>
      <c r="AD31" s="30"/>
      <c r="AE31" s="21"/>
      <c r="AF31" s="21"/>
      <c r="AG31" s="21"/>
      <c r="AH31" s="21"/>
      <c r="AI31" s="21"/>
      <c r="AJ31" s="31"/>
      <c r="AQ31" s="31"/>
      <c r="AR31" s="30"/>
      <c r="AS31" s="21"/>
      <c r="AT31" s="21"/>
      <c r="AU31" s="21"/>
      <c r="AV31" s="21"/>
      <c r="AW31" s="21"/>
      <c r="AX31" s="31"/>
    </row>
    <row r="32" spans="2:50">
      <c r="B32" s="30"/>
      <c r="C32" s="21" t="s">
        <v>140</v>
      </c>
      <c r="D32" s="21" t="s">
        <v>169</v>
      </c>
      <c r="E32" s="21">
        <v>1.87</v>
      </c>
      <c r="F32" s="21"/>
      <c r="G32" s="52" t="s">
        <v>188</v>
      </c>
      <c r="H32" s="31"/>
      <c r="I32" s="21"/>
      <c r="J32" s="21" t="s">
        <v>140</v>
      </c>
      <c r="K32" s="21" t="s">
        <v>169</v>
      </c>
      <c r="L32" s="21">
        <v>1.87</v>
      </c>
      <c r="M32" s="21"/>
      <c r="N32" s="52" t="s">
        <v>188</v>
      </c>
      <c r="O32" s="21"/>
      <c r="P32" s="30"/>
      <c r="Q32" s="21" t="s">
        <v>140</v>
      </c>
      <c r="R32" s="21" t="s">
        <v>169</v>
      </c>
      <c r="S32" s="21">
        <v>1.87</v>
      </c>
      <c r="T32" s="21"/>
      <c r="U32" s="52" t="s">
        <v>188</v>
      </c>
      <c r="V32" s="31"/>
      <c r="W32" s="63"/>
      <c r="X32" s="63"/>
      <c r="Y32" s="65"/>
      <c r="Z32" s="63"/>
      <c r="AA32" s="64"/>
      <c r="AB32" s="63"/>
      <c r="AC32" s="63"/>
      <c r="AD32" s="30"/>
      <c r="AE32" s="21"/>
      <c r="AF32" s="21"/>
      <c r="AG32" s="21"/>
      <c r="AH32" s="21"/>
      <c r="AI32" s="21"/>
      <c r="AJ32" s="31"/>
      <c r="AQ32" s="31"/>
      <c r="AR32" s="30"/>
      <c r="AS32" s="21"/>
      <c r="AT32" s="21"/>
      <c r="AU32" s="21"/>
      <c r="AV32" s="21"/>
      <c r="AW32" s="21"/>
      <c r="AX32" s="31"/>
    </row>
    <row r="33" spans="1:50">
      <c r="B33" s="30"/>
      <c r="C33" s="21" t="s">
        <v>141</v>
      </c>
      <c r="D33" s="21" t="s">
        <v>167</v>
      </c>
      <c r="E33" s="21">
        <v>1</v>
      </c>
      <c r="F33" s="21"/>
      <c r="G33" s="52" t="s">
        <v>188</v>
      </c>
      <c r="H33" s="31"/>
      <c r="I33" s="21"/>
      <c r="J33" s="21" t="s">
        <v>141</v>
      </c>
      <c r="K33" s="21" t="s">
        <v>167</v>
      </c>
      <c r="L33" s="21">
        <v>1</v>
      </c>
      <c r="M33" s="21"/>
      <c r="N33" s="52" t="s">
        <v>188</v>
      </c>
      <c r="O33" s="21"/>
      <c r="P33" s="30"/>
      <c r="Q33" s="21" t="s">
        <v>141</v>
      </c>
      <c r="R33" s="21" t="s">
        <v>167</v>
      </c>
      <c r="S33" s="21">
        <v>1</v>
      </c>
      <c r="T33" s="21"/>
      <c r="U33" s="52" t="s">
        <v>188</v>
      </c>
      <c r="V33" s="31"/>
      <c r="W33" s="63"/>
      <c r="X33" s="63"/>
      <c r="Y33" s="63"/>
      <c r="Z33" s="63"/>
      <c r="AA33" s="65"/>
      <c r="AB33" s="63"/>
      <c r="AC33" s="63"/>
      <c r="AD33" s="30"/>
      <c r="AE33" s="21"/>
      <c r="AF33" s="21"/>
      <c r="AG33" s="21"/>
      <c r="AH33" s="21"/>
      <c r="AI33" s="21"/>
      <c r="AJ33" s="31"/>
      <c r="AQ33" s="31"/>
      <c r="AR33" s="30"/>
      <c r="AS33" s="21"/>
      <c r="AT33" s="21"/>
      <c r="AU33" s="21"/>
      <c r="AV33" s="21"/>
      <c r="AW33" s="21"/>
      <c r="AX33" s="31"/>
    </row>
    <row r="34" spans="1:50">
      <c r="B34" s="30"/>
      <c r="C34" s="21" t="s">
        <v>489</v>
      </c>
      <c r="D34" s="21" t="s">
        <v>142</v>
      </c>
      <c r="E34" s="44">
        <f>Cbt_T*Fnt*Ftt*Ftm</f>
        <v>313366.20089787472</v>
      </c>
      <c r="F34" s="21"/>
      <c r="G34" s="52" t="s">
        <v>189</v>
      </c>
      <c r="H34" s="31"/>
      <c r="I34" s="21"/>
      <c r="J34" s="21" t="s">
        <v>489</v>
      </c>
      <c r="K34" s="21" t="s">
        <v>142</v>
      </c>
      <c r="L34" s="44">
        <f>Cbt_M*Fnt_M*Ftt_M*Ftm_M</f>
        <v>313366.20089787472</v>
      </c>
      <c r="M34" s="21"/>
      <c r="N34" s="52" t="s">
        <v>189</v>
      </c>
      <c r="O34" s="21"/>
      <c r="P34" s="30"/>
      <c r="Q34" s="21" t="s">
        <v>489</v>
      </c>
      <c r="R34" s="21" t="s">
        <v>142</v>
      </c>
      <c r="S34" s="44">
        <f>Cbt_B*Fnt_B*Ftt_B*Ftm_B</f>
        <v>313366.20089787472</v>
      </c>
      <c r="T34" s="21"/>
      <c r="U34" s="52" t="s">
        <v>189</v>
      </c>
      <c r="V34" s="31"/>
      <c r="W34" s="63"/>
      <c r="X34" s="63"/>
      <c r="Y34" s="64"/>
      <c r="Z34" s="63"/>
      <c r="AA34" s="65"/>
      <c r="AB34" s="63"/>
      <c r="AC34" s="63"/>
      <c r="AD34" s="30"/>
      <c r="AE34" s="21"/>
      <c r="AF34" s="21"/>
      <c r="AG34" s="21"/>
      <c r="AH34" s="21"/>
      <c r="AI34" s="21"/>
      <c r="AJ34" s="31"/>
      <c r="AQ34" s="31"/>
      <c r="AR34" s="30"/>
      <c r="AS34" s="21"/>
      <c r="AT34" s="21"/>
      <c r="AU34" s="21"/>
      <c r="AV34" s="21"/>
      <c r="AW34" s="21"/>
      <c r="AX34" s="31"/>
    </row>
    <row r="35" spans="1:50">
      <c r="B35" s="30"/>
      <c r="C35" s="21"/>
      <c r="D35" s="21"/>
      <c r="E35" s="21"/>
      <c r="F35" s="21"/>
      <c r="G35" s="21"/>
      <c r="H35" s="31"/>
      <c r="I35" s="21"/>
      <c r="J35" s="21"/>
      <c r="K35" s="21"/>
      <c r="L35" s="21"/>
      <c r="M35" s="21"/>
      <c r="N35" s="21"/>
      <c r="O35" s="21"/>
      <c r="P35" s="30"/>
      <c r="Q35" s="21"/>
      <c r="R35" s="21"/>
      <c r="S35" s="21"/>
      <c r="T35" s="21"/>
      <c r="U35" s="21"/>
      <c r="V35" s="31"/>
      <c r="W35" s="63"/>
      <c r="X35" s="63"/>
      <c r="Y35" s="64"/>
      <c r="Z35" s="63"/>
      <c r="AA35" s="64"/>
      <c r="AB35" s="63"/>
      <c r="AC35" s="63"/>
      <c r="AD35" s="30"/>
      <c r="AE35" s="21"/>
      <c r="AF35" s="21"/>
      <c r="AG35" s="21"/>
      <c r="AH35" s="21"/>
      <c r="AI35" s="21"/>
      <c r="AJ35" s="31"/>
      <c r="AQ35" s="31"/>
      <c r="AR35" s="30"/>
      <c r="AS35" s="21"/>
      <c r="AT35" s="21"/>
      <c r="AU35" s="21"/>
      <c r="AV35" s="21"/>
      <c r="AW35" s="21"/>
      <c r="AX35" s="31"/>
    </row>
    <row r="36" spans="1:50">
      <c r="B36" s="47" t="s">
        <v>475</v>
      </c>
      <c r="C36" s="48"/>
      <c r="D36" s="48"/>
      <c r="E36" s="48"/>
      <c r="F36" s="48"/>
      <c r="G36" s="48"/>
      <c r="H36" s="49"/>
      <c r="I36" s="48" t="s">
        <v>475</v>
      </c>
      <c r="J36" s="48"/>
      <c r="K36" s="48"/>
      <c r="L36" s="48"/>
      <c r="M36" s="48"/>
      <c r="N36" s="48"/>
      <c r="O36" s="48"/>
      <c r="P36" s="47" t="s">
        <v>475</v>
      </c>
      <c r="Q36" s="48"/>
      <c r="R36" s="48"/>
      <c r="S36" s="48"/>
      <c r="T36" s="48"/>
      <c r="U36" s="48"/>
      <c r="V36" s="49"/>
      <c r="W36" s="63"/>
      <c r="X36" s="63"/>
      <c r="Y36" s="64"/>
      <c r="Z36" s="63"/>
      <c r="AA36" s="64"/>
      <c r="AB36" s="63"/>
      <c r="AC36" s="63"/>
      <c r="AD36" s="30"/>
      <c r="AE36" s="21"/>
      <c r="AF36" s="21"/>
      <c r="AG36" s="21"/>
      <c r="AH36" s="21"/>
      <c r="AI36" s="21"/>
      <c r="AJ36" s="31"/>
      <c r="AQ36" s="31"/>
      <c r="AR36" s="30"/>
      <c r="AS36" s="21"/>
      <c r="AT36" s="21"/>
      <c r="AU36" s="21"/>
      <c r="AV36" s="21"/>
      <c r="AW36" s="21"/>
      <c r="AX36" s="31"/>
    </row>
    <row r="37" spans="1:50">
      <c r="B37" s="30"/>
      <c r="C37" s="21" t="s">
        <v>145</v>
      </c>
      <c r="D37" s="21" t="s">
        <v>159</v>
      </c>
      <c r="E37" s="45">
        <f>IF(AHXft_T=0,0,EXP(11.667-0.8709*LN(AHXft_T)+0.09005*(LN(AHXft_T)^2)))</f>
        <v>29456.495658760956</v>
      </c>
      <c r="F37" s="21"/>
      <c r="G37" s="52" t="s">
        <v>182</v>
      </c>
      <c r="H37" s="31"/>
      <c r="I37" s="21"/>
      <c r="J37" s="21" t="s">
        <v>145</v>
      </c>
      <c r="K37" s="21" t="s">
        <v>159</v>
      </c>
      <c r="L37" s="45">
        <f>IF(AHXft_M=0,0,EXP(11.667-0.8709*LN(AHXft_M)+0.09005*(LN(AHXft_M)^2)))</f>
        <v>29456.495658760956</v>
      </c>
      <c r="M37" s="21"/>
      <c r="N37" s="52" t="s">
        <v>182</v>
      </c>
      <c r="O37" s="21"/>
      <c r="P37" s="30"/>
      <c r="Q37" s="21" t="s">
        <v>145</v>
      </c>
      <c r="R37" s="21" t="s">
        <v>159</v>
      </c>
      <c r="S37" s="45">
        <f>IF(AHXft_B=0,0,EXP(11.667-0.8709*LN(AHXft_B)+0.09005*(LN(AHXft_B)^2)))</f>
        <v>29456.495658760956</v>
      </c>
      <c r="T37" s="21"/>
      <c r="U37" s="52" t="s">
        <v>182</v>
      </c>
      <c r="V37" s="31"/>
      <c r="W37" s="63"/>
      <c r="X37" s="63"/>
      <c r="Y37" s="65"/>
      <c r="Z37" s="63"/>
      <c r="AA37" s="64"/>
      <c r="AB37" s="63"/>
      <c r="AC37" s="63"/>
      <c r="AD37" s="30"/>
      <c r="AE37" s="21"/>
      <c r="AF37" s="21"/>
      <c r="AG37" s="21"/>
      <c r="AH37" s="21"/>
      <c r="AI37" s="21"/>
      <c r="AJ37" s="31"/>
      <c r="AQ37" s="31"/>
      <c r="AR37" s="30"/>
      <c r="AS37" s="21"/>
      <c r="AT37" s="21"/>
      <c r="AU37" s="21"/>
      <c r="AV37" s="21"/>
      <c r="AW37" s="21"/>
      <c r="AX37" s="31"/>
    </row>
    <row r="38" spans="1:50">
      <c r="B38" s="30"/>
      <c r="C38" s="21" t="s">
        <v>146</v>
      </c>
      <c r="D38" s="21" t="s">
        <v>158</v>
      </c>
      <c r="E38" s="39">
        <f>0.9803+0.018*((Pin_T-1)*14.5)+0.0017*(((Pin_T-1)*14.5)^2)</f>
        <v>1.1080569050991562</v>
      </c>
      <c r="F38" s="21"/>
      <c r="G38" s="52" t="s">
        <v>183</v>
      </c>
      <c r="H38" s="31"/>
      <c r="I38" s="21"/>
      <c r="J38" s="21" t="s">
        <v>146</v>
      </c>
      <c r="K38" s="21" t="s">
        <v>158</v>
      </c>
      <c r="L38" s="39">
        <f>0.9803+0.018*((Pin_M-1)*14.5)+0.0017*(((Pin_M-1)*14.5)^2)</f>
        <v>1.1080569050991562</v>
      </c>
      <c r="M38" s="21"/>
      <c r="N38" s="52" t="s">
        <v>183</v>
      </c>
      <c r="O38" s="21"/>
      <c r="P38" s="30"/>
      <c r="Q38" s="21" t="s">
        <v>146</v>
      </c>
      <c r="R38" s="21" t="s">
        <v>158</v>
      </c>
      <c r="S38" s="39">
        <f>0.9803+0.018*((Pin_B-1)*14.5)+0.0017*(((Pin_B-1)*14.5)^2)</f>
        <v>1.1080569050991562</v>
      </c>
      <c r="T38" s="21"/>
      <c r="U38" s="52" t="s">
        <v>183</v>
      </c>
      <c r="V38" s="31"/>
      <c r="W38" s="63"/>
      <c r="X38" s="63"/>
      <c r="Y38" s="64"/>
      <c r="Z38" s="63"/>
      <c r="AA38" s="65"/>
      <c r="AB38" s="63"/>
      <c r="AC38" s="63"/>
      <c r="AD38" s="30"/>
      <c r="AE38" s="21"/>
      <c r="AF38" s="21"/>
      <c r="AG38" s="21"/>
      <c r="AH38" s="21"/>
      <c r="AI38" s="21"/>
      <c r="AJ38" s="31"/>
      <c r="AQ38" s="31"/>
      <c r="AR38" s="30"/>
      <c r="AS38" s="21"/>
      <c r="AT38" s="21"/>
      <c r="AU38" s="21"/>
      <c r="AV38" s="21"/>
      <c r="AW38" s="21"/>
      <c r="AX38" s="31"/>
    </row>
    <row r="39" spans="1:50">
      <c r="B39" s="30"/>
      <c r="C39" s="21" t="s">
        <v>147</v>
      </c>
      <c r="D39" s="21" t="s">
        <v>156</v>
      </c>
      <c r="E39" s="21">
        <v>0</v>
      </c>
      <c r="F39" s="21"/>
      <c r="G39" s="52" t="s">
        <v>184</v>
      </c>
      <c r="H39" s="31"/>
      <c r="I39" s="21"/>
      <c r="J39" s="21" t="s">
        <v>147</v>
      </c>
      <c r="K39" s="21" t="s">
        <v>156</v>
      </c>
      <c r="L39" s="21">
        <v>0</v>
      </c>
      <c r="M39" s="21"/>
      <c r="N39" s="52" t="s">
        <v>184</v>
      </c>
      <c r="O39" s="21"/>
      <c r="P39" s="30"/>
      <c r="Q39" s="21" t="s">
        <v>147</v>
      </c>
      <c r="R39" s="21" t="s">
        <v>156</v>
      </c>
      <c r="S39" s="21">
        <v>0</v>
      </c>
      <c r="T39" s="21"/>
      <c r="U39" s="52" t="s">
        <v>184</v>
      </c>
      <c r="V39" s="31"/>
      <c r="W39" s="63"/>
      <c r="X39" s="63"/>
      <c r="Y39" s="64"/>
      <c r="Z39" s="63"/>
      <c r="AA39" s="64"/>
      <c r="AB39" s="63"/>
      <c r="AC39" s="63"/>
      <c r="AD39" s="30"/>
      <c r="AE39" s="21"/>
      <c r="AF39" s="21"/>
      <c r="AG39" s="21"/>
      <c r="AH39" s="21"/>
      <c r="AI39" s="21"/>
      <c r="AJ39" s="31"/>
      <c r="AQ39" s="31"/>
      <c r="AR39" s="30"/>
      <c r="AS39" s="21"/>
      <c r="AT39" s="21"/>
      <c r="AU39" s="21"/>
      <c r="AV39" s="21"/>
      <c r="AW39" s="21"/>
      <c r="AX39" s="31"/>
    </row>
    <row r="40" spans="1:50">
      <c r="B40" s="30"/>
      <c r="C40" s="21" t="s">
        <v>148</v>
      </c>
      <c r="D40" s="21" t="s">
        <v>157</v>
      </c>
      <c r="E40" s="21">
        <v>0</v>
      </c>
      <c r="F40" s="21"/>
      <c r="G40" s="52" t="s">
        <v>184</v>
      </c>
      <c r="H40" s="31"/>
      <c r="I40" s="21"/>
      <c r="J40" s="21" t="s">
        <v>148</v>
      </c>
      <c r="K40" s="21" t="s">
        <v>157</v>
      </c>
      <c r="L40" s="21">
        <v>0</v>
      </c>
      <c r="M40" s="21"/>
      <c r="N40" s="52" t="s">
        <v>184</v>
      </c>
      <c r="O40" s="21"/>
      <c r="P40" s="30"/>
      <c r="Q40" s="21" t="s">
        <v>148</v>
      </c>
      <c r="R40" s="21" t="s">
        <v>157</v>
      </c>
      <c r="S40" s="21">
        <v>0</v>
      </c>
      <c r="T40" s="21"/>
      <c r="U40" s="52" t="s">
        <v>184</v>
      </c>
      <c r="V40" s="31"/>
      <c r="W40" s="63"/>
      <c r="X40" s="63"/>
      <c r="Y40" s="64"/>
      <c r="Z40" s="63"/>
      <c r="AA40" s="64"/>
      <c r="AB40" s="63"/>
      <c r="AC40" s="63"/>
      <c r="AD40" s="30"/>
      <c r="AE40" s="21"/>
      <c r="AF40" s="21"/>
      <c r="AG40" s="21"/>
      <c r="AH40" s="21"/>
      <c r="AI40" s="21"/>
      <c r="AJ40" s="31"/>
      <c r="AQ40" s="31"/>
      <c r="AR40" s="30"/>
      <c r="AS40" s="21"/>
      <c r="AT40" s="21"/>
      <c r="AU40" s="21"/>
      <c r="AV40" s="21"/>
      <c r="AW40" s="21"/>
      <c r="AX40" s="31"/>
    </row>
    <row r="41" spans="1:50">
      <c r="B41" s="30"/>
      <c r="C41" s="21" t="s">
        <v>67</v>
      </c>
      <c r="D41" s="21" t="s">
        <v>154</v>
      </c>
      <c r="E41" s="21">
        <f>a+((AHXft_T/100)^b)</f>
        <v>1</v>
      </c>
      <c r="F41" s="21"/>
      <c r="G41" s="52" t="s">
        <v>185</v>
      </c>
      <c r="H41" s="31"/>
      <c r="I41" s="21"/>
      <c r="J41" s="21" t="s">
        <v>67</v>
      </c>
      <c r="K41" s="21" t="s">
        <v>154</v>
      </c>
      <c r="L41" s="21">
        <f>a+((AHXft_T/100)^b)</f>
        <v>1</v>
      </c>
      <c r="M41" s="21"/>
      <c r="N41" s="52" t="s">
        <v>185</v>
      </c>
      <c r="O41" s="21"/>
      <c r="P41" s="30"/>
      <c r="Q41" s="21" t="s">
        <v>67</v>
      </c>
      <c r="R41" s="21" t="s">
        <v>154</v>
      </c>
      <c r="S41" s="21">
        <f>a+((AHXft_B/100)^b)</f>
        <v>1</v>
      </c>
      <c r="T41" s="21"/>
      <c r="U41" s="52" t="s">
        <v>185</v>
      </c>
      <c r="V41" s="31"/>
      <c r="W41" s="63"/>
      <c r="X41" s="63"/>
      <c r="Y41" s="65"/>
      <c r="Z41" s="63"/>
      <c r="AA41" s="64"/>
      <c r="AB41" s="63"/>
      <c r="AC41" s="63"/>
      <c r="AD41" s="30"/>
      <c r="AE41" s="21"/>
      <c r="AF41" s="21"/>
      <c r="AG41" s="21"/>
      <c r="AH41" s="21"/>
      <c r="AI41" s="21"/>
      <c r="AJ41" s="31"/>
      <c r="AQ41" s="31"/>
      <c r="AR41" s="30"/>
      <c r="AS41" s="21"/>
      <c r="AT41" s="21"/>
      <c r="AU41" s="21"/>
      <c r="AV41" s="21"/>
      <c r="AW41" s="21"/>
      <c r="AX41" s="31"/>
    </row>
    <row r="42" spans="1:50">
      <c r="B42" s="30"/>
      <c r="C42" s="21" t="s">
        <v>149</v>
      </c>
      <c r="D42" s="21" t="s">
        <v>155</v>
      </c>
      <c r="E42" s="21">
        <v>1.1200000000000001</v>
      </c>
      <c r="F42" s="21"/>
      <c r="G42" s="52" t="s">
        <v>184</v>
      </c>
      <c r="H42" s="31"/>
      <c r="I42" s="21"/>
      <c r="J42" s="21" t="s">
        <v>149</v>
      </c>
      <c r="K42" s="21" t="s">
        <v>155</v>
      </c>
      <c r="L42" s="21">
        <v>1.1200000000000001</v>
      </c>
      <c r="M42" s="21"/>
      <c r="N42" s="52" t="s">
        <v>184</v>
      </c>
      <c r="O42" s="21"/>
      <c r="P42" s="30"/>
      <c r="Q42" s="21" t="s">
        <v>149</v>
      </c>
      <c r="R42" s="21" t="s">
        <v>155</v>
      </c>
      <c r="S42" s="21">
        <v>1.1200000000000001</v>
      </c>
      <c r="T42" s="21"/>
      <c r="U42" s="52" t="s">
        <v>184</v>
      </c>
      <c r="V42" s="31"/>
      <c r="W42" s="63"/>
      <c r="X42" s="63"/>
      <c r="Y42" s="63"/>
      <c r="Z42" s="63"/>
      <c r="AA42" s="65"/>
      <c r="AB42" s="63"/>
      <c r="AC42" s="63"/>
      <c r="AD42" s="30"/>
      <c r="AE42" s="21"/>
      <c r="AF42" s="21"/>
      <c r="AG42" s="21"/>
      <c r="AH42" s="21"/>
      <c r="AI42" s="21"/>
      <c r="AJ42" s="31"/>
      <c r="AQ42" s="31"/>
      <c r="AR42" s="30"/>
      <c r="AS42" s="21"/>
      <c r="AT42" s="21"/>
      <c r="AU42" s="21"/>
      <c r="AV42" s="21"/>
      <c r="AW42" s="21"/>
      <c r="AX42" s="31"/>
    </row>
    <row r="43" spans="1:50">
      <c r="B43" s="30"/>
      <c r="C43" s="21" t="s">
        <v>227</v>
      </c>
      <c r="D43" s="21" t="s">
        <v>150</v>
      </c>
      <c r="E43" s="44">
        <f>Cb_T*Fp_T*Fm*Fl</f>
        <v>36556.210224479008</v>
      </c>
      <c r="F43" s="21"/>
      <c r="G43" s="52" t="s">
        <v>186</v>
      </c>
      <c r="H43" s="31"/>
      <c r="I43" s="21"/>
      <c r="J43" s="21" t="s">
        <v>227</v>
      </c>
      <c r="K43" s="21" t="s">
        <v>150</v>
      </c>
      <c r="L43" s="44">
        <f>Cb*Fp*Fm*Fl</f>
        <v>36556.210224479008</v>
      </c>
      <c r="M43" s="21"/>
      <c r="N43" s="52" t="s">
        <v>186</v>
      </c>
      <c r="O43" s="21"/>
      <c r="P43" s="30"/>
      <c r="Q43" s="21" t="s">
        <v>227</v>
      </c>
      <c r="R43" s="21" t="s">
        <v>150</v>
      </c>
      <c r="S43" s="44">
        <f>Cb_B*Fp_B*Fm*Fl</f>
        <v>36556.210224479008</v>
      </c>
      <c r="T43" s="21"/>
      <c r="U43" s="52" t="s">
        <v>186</v>
      </c>
      <c r="V43" s="31"/>
      <c r="W43" s="63"/>
      <c r="X43" s="63"/>
      <c r="Y43" s="64"/>
      <c r="Z43" s="63"/>
      <c r="AA43" s="65"/>
      <c r="AB43" s="63"/>
      <c r="AC43" s="63"/>
      <c r="AD43" s="30"/>
      <c r="AE43" s="21"/>
      <c r="AF43" s="21"/>
      <c r="AG43" s="21"/>
      <c r="AH43" s="21"/>
      <c r="AI43" s="21"/>
      <c r="AJ43" s="31"/>
      <c r="AQ43" s="31"/>
      <c r="AR43" s="30"/>
      <c r="AS43" s="21"/>
      <c r="AT43" s="21"/>
      <c r="AU43" s="21"/>
      <c r="AV43" s="21"/>
      <c r="AW43" s="21"/>
      <c r="AX43" s="31"/>
    </row>
    <row r="44" spans="1:50">
      <c r="B44" s="30"/>
      <c r="C44" s="21"/>
      <c r="D44" s="21"/>
      <c r="E44" s="21"/>
      <c r="F44" s="21"/>
      <c r="G44" s="21"/>
      <c r="H44" s="31"/>
      <c r="I44" s="21"/>
      <c r="J44" s="21"/>
      <c r="K44" s="21"/>
      <c r="L44" s="21"/>
      <c r="M44" s="21"/>
      <c r="N44" s="21"/>
      <c r="O44" s="21"/>
      <c r="P44" s="30"/>
      <c r="Q44" s="21"/>
      <c r="R44" s="21"/>
      <c r="S44" s="21"/>
      <c r="T44" s="21"/>
      <c r="U44" s="21"/>
      <c r="V44" s="31"/>
      <c r="W44" s="63"/>
      <c r="X44" s="63"/>
      <c r="Y44" s="64"/>
      <c r="Z44" s="63"/>
      <c r="AA44" s="64"/>
      <c r="AB44" s="63"/>
      <c r="AC44" s="63"/>
      <c r="AD44" s="30"/>
      <c r="AE44" s="21"/>
      <c r="AF44" s="21"/>
      <c r="AG44" s="21"/>
      <c r="AH44" s="21"/>
      <c r="AI44" s="21"/>
      <c r="AJ44" s="31"/>
      <c r="AQ44" s="31"/>
      <c r="AR44" s="30"/>
      <c r="AS44" s="21"/>
      <c r="AT44" s="21"/>
      <c r="AU44" s="21"/>
      <c r="AV44" s="21"/>
      <c r="AW44" s="21"/>
      <c r="AX44" s="31"/>
    </row>
    <row r="45" spans="1:50">
      <c r="B45" s="47" t="s">
        <v>151</v>
      </c>
      <c r="C45" s="48"/>
      <c r="D45" s="48"/>
      <c r="E45" s="48"/>
      <c r="F45" s="48"/>
      <c r="G45" s="48"/>
      <c r="H45" s="49"/>
      <c r="I45" s="48" t="s">
        <v>151</v>
      </c>
      <c r="J45" s="48"/>
      <c r="K45" s="48"/>
      <c r="L45" s="48"/>
      <c r="M45" s="48"/>
      <c r="N45" s="48"/>
      <c r="O45" s="48"/>
      <c r="P45" s="47" t="s">
        <v>151</v>
      </c>
      <c r="Q45" s="48"/>
      <c r="R45" s="48"/>
      <c r="S45" s="48"/>
      <c r="T45" s="48"/>
      <c r="U45" s="48"/>
      <c r="V45" s="49"/>
      <c r="W45" s="63"/>
      <c r="X45" s="63"/>
      <c r="Y45" s="64"/>
      <c r="Z45" s="63"/>
      <c r="AA45" s="64"/>
      <c r="AB45" s="63"/>
      <c r="AC45" s="63"/>
      <c r="AD45" s="30"/>
      <c r="AE45" s="21"/>
      <c r="AF45" s="21"/>
      <c r="AG45" s="21"/>
      <c r="AH45" s="21"/>
      <c r="AI45" s="21"/>
      <c r="AJ45" s="31"/>
      <c r="AQ45" s="31"/>
      <c r="AR45" s="30"/>
      <c r="AS45" s="21"/>
      <c r="AT45" s="21"/>
      <c r="AU45" s="21"/>
      <c r="AV45" s="21"/>
      <c r="AW45" s="21"/>
      <c r="AX45" s="31"/>
    </row>
    <row r="46" spans="1:50">
      <c r="B46" s="30"/>
      <c r="C46" s="21" t="s">
        <v>152</v>
      </c>
      <c r="D46" s="21" t="s">
        <v>173</v>
      </c>
      <c r="E46" s="44">
        <f>361.8*((Dt_T*3.28)^0.7396)*((H_T*3.28)^0.70684)</f>
        <v>53029.148063184541</v>
      </c>
      <c r="F46" s="21"/>
      <c r="G46" s="21" t="s">
        <v>478</v>
      </c>
      <c r="H46" s="31"/>
      <c r="I46" s="21"/>
      <c r="J46" s="21" t="s">
        <v>152</v>
      </c>
      <c r="K46" s="21" t="s">
        <v>173</v>
      </c>
      <c r="L46" s="44">
        <f>361.8*((Dt_M*3.28)^0.7396)*((H_M*3.28)^0.70684)</f>
        <v>53029.148063184541</v>
      </c>
      <c r="M46" s="21"/>
      <c r="N46" s="21" t="s">
        <v>478</v>
      </c>
      <c r="O46" s="21"/>
      <c r="P46" s="30"/>
      <c r="Q46" s="21" t="s">
        <v>152</v>
      </c>
      <c r="R46" s="21" t="s">
        <v>173</v>
      </c>
      <c r="S46" s="44">
        <f>361.8*((Dt_B*3.28)^0.7396)*((H_B*3.28)^0.70684)</f>
        <v>53029.148063184541</v>
      </c>
      <c r="T46" s="21"/>
      <c r="U46" s="21" t="s">
        <v>478</v>
      </c>
      <c r="V46" s="31"/>
      <c r="W46" s="63"/>
      <c r="AA46" s="64"/>
      <c r="AB46" s="63"/>
      <c r="AC46" s="63"/>
      <c r="AD46" s="30"/>
      <c r="AE46" s="21"/>
      <c r="AF46" s="21"/>
      <c r="AG46" s="21"/>
      <c r="AH46" s="21"/>
      <c r="AI46" s="21"/>
      <c r="AJ46" s="31"/>
      <c r="AQ46" s="31"/>
      <c r="AR46" s="30"/>
      <c r="AS46" s="21"/>
      <c r="AT46" s="21"/>
      <c r="AU46" s="21"/>
      <c r="AV46" s="21"/>
      <c r="AW46" s="21"/>
      <c r="AX46" s="31"/>
    </row>
    <row r="47" spans="1:50">
      <c r="B47" s="30"/>
      <c r="C47" s="21"/>
      <c r="D47" s="21"/>
      <c r="E47" s="21"/>
      <c r="F47" s="21"/>
      <c r="G47" s="21"/>
      <c r="H47" s="31"/>
      <c r="I47" s="21"/>
      <c r="J47" s="21"/>
      <c r="K47" s="21"/>
      <c r="L47" s="21"/>
      <c r="M47" s="21"/>
      <c r="N47" s="21"/>
      <c r="O47" s="21"/>
      <c r="P47" s="30"/>
      <c r="Q47" s="21"/>
      <c r="R47" s="21"/>
      <c r="S47" s="21"/>
      <c r="T47" s="21"/>
      <c r="U47" s="21"/>
      <c r="V47" s="31"/>
      <c r="W47" s="63"/>
      <c r="X47" s="66"/>
      <c r="Y47" s="66"/>
      <c r="Z47" s="66"/>
      <c r="AA47" s="63"/>
      <c r="AB47" s="63"/>
      <c r="AC47" s="63"/>
      <c r="AD47" s="30"/>
      <c r="AE47" s="21"/>
      <c r="AF47" s="21"/>
      <c r="AG47" s="21"/>
      <c r="AH47" s="21"/>
      <c r="AI47" s="21"/>
      <c r="AJ47" s="31"/>
      <c r="AQ47" s="31"/>
      <c r="AR47" s="30"/>
      <c r="AS47" s="21"/>
      <c r="AT47" s="21"/>
      <c r="AU47" s="21"/>
      <c r="AV47" s="21"/>
      <c r="AW47" s="21"/>
      <c r="AX47" s="31"/>
    </row>
    <row r="48" spans="1:50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</row>
    <row r="49" spans="1:15">
      <c r="I49" s="21"/>
      <c r="J49" s="21"/>
      <c r="K49" s="21"/>
      <c r="L49" s="21"/>
      <c r="M49" s="21"/>
      <c r="N49" s="21"/>
      <c r="O49" s="21"/>
    </row>
    <row r="50" spans="1:15">
      <c r="A50" s="70" t="s">
        <v>275</v>
      </c>
      <c r="B50" s="73">
        <f>E2+L2+S2+Z2+AG2+AN2+AU2</f>
        <v>3622619.4445690797</v>
      </c>
    </row>
    <row r="51" spans="1:15">
      <c r="A51" s="71" t="s">
        <v>276</v>
      </c>
      <c r="B51" s="75">
        <f>RGN!E2+RGN!L2+RGN!S2+RGN!Z2+RGN!AG2</f>
        <v>1779346.9179696282</v>
      </c>
    </row>
    <row r="52" spans="1:15">
      <c r="A52" s="72" t="s">
        <v>277</v>
      </c>
      <c r="B52" s="74">
        <f>B50+B51</f>
        <v>5401966.3625387084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Q52"/>
  <sheetViews>
    <sheetView topLeftCell="S1" zoomScale="80" zoomScaleNormal="80" workbookViewId="0">
      <selection activeCell="Z7" sqref="Z7"/>
    </sheetView>
  </sheetViews>
  <sheetFormatPr defaultRowHeight="12.75"/>
  <cols>
    <col min="1" max="1" width="19.5703125" style="19" customWidth="1"/>
    <col min="2" max="2" width="11.7109375" style="19" customWidth="1"/>
    <col min="3" max="3" width="9.140625" style="19"/>
    <col min="4" max="4" width="16.28515625" style="19" customWidth="1"/>
    <col min="5" max="10" width="9.140625" style="19"/>
    <col min="11" max="11" width="16.42578125" style="19" customWidth="1"/>
    <col min="12" max="17" width="9.140625" style="19"/>
    <col min="18" max="18" width="16.42578125" style="19" customWidth="1"/>
    <col min="19" max="19" width="9.28515625" style="19" bestFit="1" customWidth="1"/>
    <col min="20" max="24" width="9.140625" style="19"/>
    <col min="25" max="25" width="16.85546875" style="19" customWidth="1"/>
    <col min="26" max="26" width="11.85546875" style="19" customWidth="1"/>
    <col min="27" max="31" width="9.140625" style="19"/>
    <col min="32" max="32" width="13.7109375" style="19" customWidth="1"/>
    <col min="33" max="16384" width="9.140625" style="19"/>
  </cols>
  <sheetData>
    <row r="1" spans="1:43">
      <c r="A1" s="20" t="s">
        <v>97</v>
      </c>
      <c r="B1" s="30"/>
      <c r="C1" s="21"/>
      <c r="D1" s="21"/>
      <c r="E1" s="20" t="s">
        <v>174</v>
      </c>
      <c r="F1" s="21"/>
      <c r="G1" s="21"/>
      <c r="H1" s="31"/>
      <c r="I1" s="50"/>
      <c r="J1" s="24"/>
      <c r="K1" s="24"/>
      <c r="L1" s="25" t="s">
        <v>175</v>
      </c>
      <c r="M1" s="24"/>
      <c r="N1" s="24"/>
      <c r="O1" s="51"/>
      <c r="S1" s="53" t="s">
        <v>197</v>
      </c>
      <c r="W1" s="30"/>
      <c r="X1" s="21"/>
      <c r="Y1" s="21"/>
      <c r="Z1" s="20" t="s">
        <v>198</v>
      </c>
      <c r="AA1" s="21"/>
      <c r="AB1" s="21"/>
      <c r="AC1" s="31"/>
      <c r="AG1" s="53" t="s">
        <v>217</v>
      </c>
      <c r="AJ1" s="31"/>
      <c r="AK1" s="24"/>
      <c r="AL1" s="24"/>
      <c r="AM1" s="24"/>
      <c r="AN1" s="24"/>
      <c r="AO1" s="24"/>
      <c r="AP1" s="24"/>
      <c r="AQ1" s="24"/>
    </row>
    <row r="2" spans="1:43">
      <c r="A2" s="20" t="s">
        <v>98</v>
      </c>
      <c r="B2" s="30"/>
      <c r="C2" s="21"/>
      <c r="D2" s="21"/>
      <c r="E2" s="43">
        <f>VesselCost_rT+TrayCost_rT+CostPerUnit_rT+CosTPL_rT</f>
        <v>725716.68415589933</v>
      </c>
      <c r="F2" s="21"/>
      <c r="G2" s="21"/>
      <c r="H2" s="31"/>
      <c r="I2" s="30"/>
      <c r="J2" s="21"/>
      <c r="K2" s="21"/>
      <c r="L2" s="43">
        <f>VesselCost_rB+TrayCost_rB+CostPerUnit_rB+CostPL_rB</f>
        <v>725716.68415589933</v>
      </c>
      <c r="M2" s="21"/>
      <c r="N2" s="21"/>
      <c r="O2" s="31"/>
      <c r="S2" s="59">
        <f>S20</f>
        <v>198572.07012272105</v>
      </c>
      <c r="W2" s="30"/>
      <c r="X2" s="21"/>
      <c r="Y2" s="21"/>
      <c r="Z2" s="57">
        <f>IF(Pout_rC&lt;2,Z16,Z26)</f>
        <v>96545.484524502215</v>
      </c>
      <c r="AA2" s="21"/>
      <c r="AB2" s="21"/>
      <c r="AC2" s="31"/>
      <c r="AG2" s="59">
        <f>AG15+AG26</f>
        <v>32795.995010606319</v>
      </c>
      <c r="AJ2" s="31"/>
    </row>
    <row r="3" spans="1:43">
      <c r="A3" s="69"/>
      <c r="B3" s="30"/>
      <c r="C3" s="21"/>
      <c r="D3" s="21"/>
      <c r="E3" s="21"/>
      <c r="F3" s="21"/>
      <c r="G3" s="21"/>
      <c r="H3" s="31"/>
      <c r="I3" s="37"/>
      <c r="J3" s="23"/>
      <c r="K3" s="23"/>
      <c r="L3" s="23"/>
      <c r="M3" s="23"/>
      <c r="N3" s="23"/>
      <c r="O3" s="38"/>
      <c r="W3" s="30"/>
      <c r="X3" s="21"/>
      <c r="Y3" s="21"/>
      <c r="Z3" s="21"/>
      <c r="AA3" s="21"/>
      <c r="AB3" s="21"/>
      <c r="AC3" s="31"/>
      <c r="AJ3" s="31"/>
    </row>
    <row r="4" spans="1:43">
      <c r="A4" s="28" t="s">
        <v>99</v>
      </c>
      <c r="B4" s="34"/>
      <c r="C4" s="35" t="s">
        <v>100</v>
      </c>
      <c r="D4" s="35" t="s">
        <v>23</v>
      </c>
      <c r="E4" s="35" t="s">
        <v>101</v>
      </c>
      <c r="F4" s="35" t="s">
        <v>102</v>
      </c>
      <c r="G4" s="35" t="s">
        <v>103</v>
      </c>
      <c r="H4" s="36"/>
      <c r="I4" s="32"/>
      <c r="J4" s="29" t="s">
        <v>100</v>
      </c>
      <c r="K4" s="29" t="s">
        <v>23</v>
      </c>
      <c r="L4" s="29" t="s">
        <v>101</v>
      </c>
      <c r="M4" s="29" t="s">
        <v>102</v>
      </c>
      <c r="N4" s="29" t="s">
        <v>103</v>
      </c>
      <c r="O4" s="33"/>
      <c r="P4" s="34"/>
      <c r="Q4" s="35" t="s">
        <v>100</v>
      </c>
      <c r="R4" s="35" t="s">
        <v>23</v>
      </c>
      <c r="S4" s="35" t="s">
        <v>101</v>
      </c>
      <c r="T4" s="35" t="s">
        <v>102</v>
      </c>
      <c r="U4" s="35" t="s">
        <v>103</v>
      </c>
      <c r="V4" s="36"/>
      <c r="W4" s="34"/>
      <c r="X4" s="35" t="s">
        <v>100</v>
      </c>
      <c r="Y4" s="35" t="s">
        <v>23</v>
      </c>
      <c r="Z4" s="35" t="s">
        <v>101</v>
      </c>
      <c r="AA4" s="35" t="s">
        <v>102</v>
      </c>
      <c r="AB4" s="35" t="s">
        <v>103</v>
      </c>
      <c r="AC4" s="36"/>
      <c r="AD4" s="34"/>
      <c r="AE4" s="35" t="s">
        <v>100</v>
      </c>
      <c r="AF4" s="35" t="s">
        <v>23</v>
      </c>
      <c r="AG4" s="35" t="s">
        <v>101</v>
      </c>
      <c r="AH4" s="35" t="s">
        <v>102</v>
      </c>
      <c r="AI4" s="35" t="s">
        <v>103</v>
      </c>
      <c r="AJ4" s="36"/>
    </row>
    <row r="5" spans="1:43">
      <c r="B5" s="30"/>
      <c r="C5" s="21" t="s">
        <v>115</v>
      </c>
      <c r="D5" s="21" t="s">
        <v>106</v>
      </c>
      <c r="E5" s="26">
        <f>Interface!C25</f>
        <v>4</v>
      </c>
      <c r="F5" s="21" t="s">
        <v>112</v>
      </c>
      <c r="G5" s="21"/>
      <c r="H5" s="31"/>
      <c r="I5" s="30"/>
      <c r="J5" s="21" t="s">
        <v>115</v>
      </c>
      <c r="K5" s="21" t="s">
        <v>106</v>
      </c>
      <c r="L5" s="26">
        <f>Interface!C25</f>
        <v>4</v>
      </c>
      <c r="M5" s="21" t="s">
        <v>112</v>
      </c>
      <c r="N5" s="21"/>
      <c r="O5" s="31"/>
      <c r="P5" s="30"/>
      <c r="Q5" s="21" t="s">
        <v>123</v>
      </c>
      <c r="R5" s="21" t="s">
        <v>108</v>
      </c>
      <c r="S5" s="40">
        <f>Interface!G25*Fhx</f>
        <v>1611.6915008586966</v>
      </c>
      <c r="T5" s="21" t="s">
        <v>109</v>
      </c>
      <c r="U5" s="21"/>
      <c r="V5" s="31"/>
      <c r="W5" s="30"/>
      <c r="X5" s="21" t="s">
        <v>229</v>
      </c>
      <c r="Y5" s="21" t="s">
        <v>201</v>
      </c>
      <c r="Z5" s="40">
        <f>Interface!G16</f>
        <v>159.86442220711848</v>
      </c>
      <c r="AA5" s="21" t="s">
        <v>202</v>
      </c>
      <c r="AB5" s="21"/>
      <c r="AC5" s="31"/>
      <c r="AE5" s="19" t="s">
        <v>249</v>
      </c>
      <c r="AF5" s="19" t="s">
        <v>218</v>
      </c>
      <c r="AG5" s="58">
        <f>Interface!C27</f>
        <v>600000</v>
      </c>
      <c r="AH5" s="19" t="s">
        <v>222</v>
      </c>
      <c r="AJ5" s="31"/>
    </row>
    <row r="6" spans="1:43">
      <c r="B6" s="30"/>
      <c r="C6" s="21" t="s">
        <v>121</v>
      </c>
      <c r="D6" s="21" t="s">
        <v>104</v>
      </c>
      <c r="E6" s="21">
        <f>Lb_rT+2</f>
        <v>6</v>
      </c>
      <c r="F6" s="21" t="s">
        <v>112</v>
      </c>
      <c r="G6" s="21"/>
      <c r="H6" s="31"/>
      <c r="I6" s="30"/>
      <c r="J6" s="21" t="s">
        <v>121</v>
      </c>
      <c r="K6" s="21" t="s">
        <v>104</v>
      </c>
      <c r="L6" s="21">
        <f>Lb_rB+2</f>
        <v>6</v>
      </c>
      <c r="M6" s="21" t="s">
        <v>112</v>
      </c>
      <c r="N6" s="21"/>
      <c r="O6" s="31"/>
      <c r="P6" s="30"/>
      <c r="Q6" s="21"/>
      <c r="R6" s="21"/>
      <c r="S6" s="41">
        <f>S5*10.7639104</f>
        <v>17348.102907684533</v>
      </c>
      <c r="T6" s="21" t="s">
        <v>110</v>
      </c>
      <c r="U6" s="21"/>
      <c r="V6" s="31"/>
      <c r="W6" s="30"/>
      <c r="X6" s="21"/>
      <c r="Y6" s="21"/>
      <c r="Z6" s="41">
        <f>PWkw_rC*1.341</f>
        <v>214.37819017974587</v>
      </c>
      <c r="AA6" s="21" t="s">
        <v>203</v>
      </c>
      <c r="AB6" s="21"/>
      <c r="AC6" s="31"/>
      <c r="AE6" s="19" t="s">
        <v>241</v>
      </c>
      <c r="AF6" s="19" t="s">
        <v>219</v>
      </c>
      <c r="AG6" s="58">
        <f>Interface!G23</f>
        <v>442</v>
      </c>
      <c r="AH6" s="19" t="s">
        <v>223</v>
      </c>
      <c r="AJ6" s="31"/>
    </row>
    <row r="7" spans="1:43">
      <c r="B7" s="30"/>
      <c r="C7" s="21" t="s">
        <v>116</v>
      </c>
      <c r="D7" s="21" t="s">
        <v>105</v>
      </c>
      <c r="E7" s="26">
        <f>Interface!C17</f>
        <v>12</v>
      </c>
      <c r="F7" s="21" t="s">
        <v>112</v>
      </c>
      <c r="G7" s="21"/>
      <c r="H7" s="31"/>
      <c r="I7" s="30"/>
      <c r="J7" s="21" t="s">
        <v>116</v>
      </c>
      <c r="K7" s="21" t="s">
        <v>105</v>
      </c>
      <c r="L7" s="26">
        <f>Interface!C17</f>
        <v>12</v>
      </c>
      <c r="M7" s="21" t="s">
        <v>112</v>
      </c>
      <c r="N7" s="21"/>
      <c r="O7" s="31"/>
      <c r="P7" s="30"/>
      <c r="Q7" s="21" t="s">
        <v>192</v>
      </c>
      <c r="R7" s="21" t="s">
        <v>193</v>
      </c>
      <c r="S7" s="26">
        <f>Interface!G18</f>
        <v>1.01325</v>
      </c>
      <c r="T7" s="21" t="s">
        <v>194</v>
      </c>
      <c r="U7" s="21"/>
      <c r="V7" s="31"/>
      <c r="W7" s="30"/>
      <c r="X7" s="21" t="s">
        <v>206</v>
      </c>
      <c r="Y7" s="21" t="s">
        <v>204</v>
      </c>
      <c r="Z7" s="40">
        <f>Interface!G20</f>
        <v>1.2292790272885457</v>
      </c>
      <c r="AA7" s="21" t="s">
        <v>111</v>
      </c>
      <c r="AB7" s="21"/>
      <c r="AC7" s="31"/>
      <c r="AE7" s="19" t="s">
        <v>242</v>
      </c>
      <c r="AF7" s="19" t="s">
        <v>220</v>
      </c>
      <c r="AG7" s="62">
        <f>Fsolid/dSolid</f>
        <v>1357.4660633484164</v>
      </c>
      <c r="AH7" s="19" t="s">
        <v>224</v>
      </c>
      <c r="AJ7" s="31"/>
    </row>
    <row r="8" spans="1:43">
      <c r="B8" s="30"/>
      <c r="C8" s="21" t="s">
        <v>122</v>
      </c>
      <c r="D8" s="21" t="s">
        <v>107</v>
      </c>
      <c r="E8" s="40">
        <f>Interface!G20</f>
        <v>1.2292790272885457</v>
      </c>
      <c r="F8" s="21" t="s">
        <v>111</v>
      </c>
      <c r="G8" s="21"/>
      <c r="H8" s="31"/>
      <c r="I8" s="30"/>
      <c r="J8" s="21" t="s">
        <v>122</v>
      </c>
      <c r="K8" s="21" t="s">
        <v>107</v>
      </c>
      <c r="L8" s="40">
        <f>Interface!G20</f>
        <v>1.2292790272885457</v>
      </c>
      <c r="M8" s="21" t="s">
        <v>111</v>
      </c>
      <c r="N8" s="21"/>
      <c r="O8" s="31"/>
      <c r="P8" s="30"/>
      <c r="Q8" s="21" t="s">
        <v>250</v>
      </c>
      <c r="R8" s="21" t="s">
        <v>251</v>
      </c>
      <c r="S8" s="21">
        <f>INT(AHXft_rG/12000)+1</f>
        <v>2</v>
      </c>
      <c r="T8" s="21"/>
      <c r="U8" s="21"/>
      <c r="V8" s="31"/>
      <c r="W8" s="30"/>
      <c r="X8" s="21" t="s">
        <v>250</v>
      </c>
      <c r="Y8" s="21" t="s">
        <v>251</v>
      </c>
      <c r="Z8" s="21">
        <f>INT(PWhp_rC/1000)+1</f>
        <v>1</v>
      </c>
      <c r="AA8" s="21"/>
      <c r="AB8" s="21"/>
      <c r="AC8" s="31"/>
      <c r="AE8" s="19" t="s">
        <v>243</v>
      </c>
      <c r="AF8" s="19" t="s">
        <v>221</v>
      </c>
      <c r="AG8" s="19">
        <f>H_rB+H_rT</f>
        <v>12</v>
      </c>
      <c r="AH8" s="19" t="s">
        <v>112</v>
      </c>
      <c r="AJ8" s="31"/>
    </row>
    <row r="9" spans="1:43">
      <c r="B9" s="30"/>
      <c r="C9" s="21" t="s">
        <v>123</v>
      </c>
      <c r="D9" s="21" t="s">
        <v>108</v>
      </c>
      <c r="E9" s="40">
        <f>PI()*Interface!G13*Interface!C24*Interface!C19</f>
        <v>1973.9208802178709</v>
      </c>
      <c r="F9" s="21" t="s">
        <v>109</v>
      </c>
      <c r="G9" s="21"/>
      <c r="H9" s="31"/>
      <c r="I9" s="30"/>
      <c r="J9" s="21" t="s">
        <v>123</v>
      </c>
      <c r="K9" s="21" t="s">
        <v>108</v>
      </c>
      <c r="L9" s="40">
        <f>PI()*Interface!G14*Interface!C19*Interface!C25</f>
        <v>1973.9208802178709</v>
      </c>
      <c r="M9" s="21" t="s">
        <v>109</v>
      </c>
      <c r="N9" s="21"/>
      <c r="O9" s="31"/>
      <c r="P9" s="30"/>
      <c r="Q9" s="21"/>
      <c r="R9" s="21"/>
      <c r="S9" s="21"/>
      <c r="T9" s="21"/>
      <c r="U9" s="21"/>
      <c r="V9" s="31"/>
      <c r="W9" s="30"/>
      <c r="X9" s="21"/>
      <c r="Y9" s="21"/>
      <c r="Z9" s="21"/>
      <c r="AA9" s="21"/>
      <c r="AB9" s="21"/>
      <c r="AC9" s="31"/>
      <c r="AJ9" s="31"/>
    </row>
    <row r="10" spans="1:43">
      <c r="B10" s="30"/>
      <c r="C10" s="21"/>
      <c r="D10" s="21"/>
      <c r="E10" s="41">
        <f>AHXm_rT*10.7639104</f>
        <v>21247.107491354294</v>
      </c>
      <c r="F10" s="21" t="s">
        <v>110</v>
      </c>
      <c r="G10" s="21"/>
      <c r="H10" s="31"/>
      <c r="I10" s="30"/>
      <c r="J10" s="21"/>
      <c r="K10" s="21"/>
      <c r="L10" s="41">
        <f>AHXm_rB*10.7639104</f>
        <v>21247.107491354294</v>
      </c>
      <c r="M10" s="21" t="s">
        <v>110</v>
      </c>
      <c r="N10" s="21"/>
      <c r="O10" s="31"/>
      <c r="P10" s="30"/>
      <c r="Q10" s="21"/>
      <c r="R10" s="21"/>
      <c r="S10" s="21"/>
      <c r="T10" s="21"/>
      <c r="U10" s="21"/>
      <c r="V10" s="31"/>
      <c r="W10" s="30"/>
      <c r="X10" s="21"/>
      <c r="Y10" s="21"/>
      <c r="Z10" s="21"/>
      <c r="AA10" s="21"/>
      <c r="AB10" s="21"/>
      <c r="AC10" s="31"/>
      <c r="AJ10" s="31"/>
    </row>
    <row r="11" spans="1:43">
      <c r="A11" s="23"/>
      <c r="B11" s="37"/>
      <c r="C11" s="23"/>
      <c r="D11" s="23"/>
      <c r="E11" s="23"/>
      <c r="F11" s="23"/>
      <c r="G11" s="23"/>
      <c r="H11" s="38"/>
      <c r="I11" s="37"/>
      <c r="J11" s="23"/>
      <c r="K11" s="23"/>
      <c r="L11" s="23"/>
      <c r="M11" s="23"/>
      <c r="N11" s="23"/>
      <c r="O11" s="38"/>
      <c r="P11" s="37"/>
      <c r="Q11" s="23"/>
      <c r="R11" s="23"/>
      <c r="S11" s="23"/>
      <c r="T11" s="23"/>
      <c r="U11" s="23"/>
      <c r="V11" s="38"/>
      <c r="W11" s="37"/>
      <c r="X11" s="23"/>
      <c r="Y11" s="23"/>
      <c r="Z11" s="23"/>
      <c r="AA11" s="23"/>
      <c r="AB11" s="23"/>
      <c r="AC11" s="38"/>
      <c r="AJ11" s="31"/>
    </row>
    <row r="12" spans="1:43">
      <c r="A12" s="28" t="s">
        <v>114</v>
      </c>
      <c r="B12" s="32"/>
      <c r="C12" s="27"/>
      <c r="D12" s="27"/>
      <c r="E12" s="27"/>
      <c r="F12" s="27"/>
      <c r="G12" s="27"/>
      <c r="H12" s="33"/>
      <c r="I12" s="32"/>
      <c r="J12" s="27"/>
      <c r="K12" s="27"/>
      <c r="L12" s="27"/>
      <c r="M12" s="27"/>
      <c r="N12" s="27"/>
      <c r="O12" s="33"/>
      <c r="P12" s="32"/>
      <c r="Q12" s="27"/>
      <c r="R12" s="27"/>
      <c r="S12" s="27"/>
      <c r="T12" s="27"/>
      <c r="U12" s="27"/>
      <c r="V12" s="33"/>
      <c r="W12" s="32"/>
      <c r="X12" s="27"/>
      <c r="Y12" s="27"/>
      <c r="Z12" s="27"/>
      <c r="AA12" s="27"/>
      <c r="AB12" s="27"/>
      <c r="AC12" s="33"/>
      <c r="AD12" s="34"/>
      <c r="AE12" s="55"/>
      <c r="AF12" s="55"/>
      <c r="AG12" s="55"/>
      <c r="AH12" s="55"/>
      <c r="AI12" s="55"/>
      <c r="AJ12" s="36"/>
    </row>
    <row r="13" spans="1:43">
      <c r="B13" s="47" t="s">
        <v>144</v>
      </c>
      <c r="C13" s="48"/>
      <c r="D13" s="48"/>
      <c r="E13" s="48"/>
      <c r="F13" s="48"/>
      <c r="G13" s="48"/>
      <c r="H13" s="49"/>
      <c r="I13" s="47" t="s">
        <v>144</v>
      </c>
      <c r="J13" s="48"/>
      <c r="K13" s="48"/>
      <c r="L13" s="48"/>
      <c r="M13" s="48"/>
      <c r="N13" s="48"/>
      <c r="O13" s="49"/>
      <c r="P13" s="47" t="s">
        <v>195</v>
      </c>
      <c r="Q13" s="48"/>
      <c r="R13" s="48"/>
      <c r="S13" s="48"/>
      <c r="T13" s="48"/>
      <c r="U13" s="48"/>
      <c r="V13" s="49"/>
      <c r="W13" s="47" t="s">
        <v>214</v>
      </c>
      <c r="X13" s="48"/>
      <c r="Y13" s="48"/>
      <c r="Z13" s="48"/>
      <c r="AA13" s="48"/>
      <c r="AB13" s="48"/>
      <c r="AC13" s="49"/>
      <c r="AD13" s="54" t="s">
        <v>225</v>
      </c>
      <c r="AE13" s="54"/>
      <c r="AF13" s="54"/>
      <c r="AG13" s="54"/>
      <c r="AH13" s="54"/>
      <c r="AI13" s="54"/>
      <c r="AJ13" s="49"/>
    </row>
    <row r="14" spans="1:43">
      <c r="B14" s="30"/>
      <c r="C14" s="21" t="s">
        <v>160</v>
      </c>
      <c r="D14" s="21" t="s">
        <v>117</v>
      </c>
      <c r="E14" s="39">
        <f>IF(((Pin_rT-1)*14.5)&gt;5,(1+EXP(0.60608+0.91615*LN((Pin_rT-1)*14.5)+0.0015655*(LN((Pin_rT-1)*14.5)^2))/14.5),1+10/14.5)</f>
        <v>1.6896551724137931</v>
      </c>
      <c r="F14" s="21" t="s">
        <v>111</v>
      </c>
      <c r="G14" s="52" t="s">
        <v>176</v>
      </c>
      <c r="H14" s="31"/>
      <c r="I14" s="30"/>
      <c r="J14" s="21" t="s">
        <v>160</v>
      </c>
      <c r="K14" s="21" t="s">
        <v>117</v>
      </c>
      <c r="L14" s="39">
        <f>IF(((Pin_rB-1)*14.5)&gt;5,(1+EXP(0.60608+0.91615*LN((Pin_rB-1)*14.5)+0.0015655*(LN((Pin_rB-1)*14.5)^2))/14.5),1+10/14.5)</f>
        <v>1.6896551724137931</v>
      </c>
      <c r="M14" s="21" t="s">
        <v>111</v>
      </c>
      <c r="N14" s="52" t="s">
        <v>176</v>
      </c>
      <c r="O14" s="31"/>
      <c r="P14" s="30"/>
      <c r="Q14" s="21" t="s">
        <v>145</v>
      </c>
      <c r="R14" s="21" t="s">
        <v>159</v>
      </c>
      <c r="S14" s="45">
        <f>(NU_rG-1)*CbMax_rG+EXP(11.9052-0.8709*LN(AHXft_rG-12000*(NU_rG-1))+0.09005*(LN(AHXft_rG-12000*(NU_rG-1))^2))</f>
        <v>180853.04059559724</v>
      </c>
      <c r="T14" s="21"/>
      <c r="U14" s="52" t="s">
        <v>182</v>
      </c>
      <c r="V14" s="31"/>
      <c r="W14" s="30"/>
      <c r="X14" s="21" t="s">
        <v>145</v>
      </c>
      <c r="Y14" s="21" t="s">
        <v>168</v>
      </c>
      <c r="Z14" s="45">
        <f>(NU_rC-1)*CbMax_rC+EXP(7.59176+0.7932*LN(PWhp_rC-1000*(NU_rC-1))-0.0129*(LN(PWhp_rC-1000*(NU_rC-1))^2))</f>
        <v>96545.484524502215</v>
      </c>
      <c r="AA14" s="21"/>
      <c r="AB14" s="21" t="s">
        <v>209</v>
      </c>
      <c r="AC14" s="31"/>
      <c r="AE14" s="19" t="s">
        <v>235</v>
      </c>
      <c r="AF14" s="19" t="s">
        <v>226</v>
      </c>
      <c r="AG14" s="19">
        <v>0.3</v>
      </c>
      <c r="AH14" s="19" t="s">
        <v>112</v>
      </c>
      <c r="AJ14" s="31"/>
    </row>
    <row r="15" spans="1:43">
      <c r="B15" s="30"/>
      <c r="C15" s="21" t="s">
        <v>118</v>
      </c>
      <c r="D15" s="21" t="s">
        <v>476</v>
      </c>
      <c r="E15" s="21">
        <v>0.85</v>
      </c>
      <c r="F15" s="21"/>
      <c r="G15" s="52"/>
      <c r="H15" s="31"/>
      <c r="I15" s="30"/>
      <c r="J15" s="21" t="s">
        <v>118</v>
      </c>
      <c r="K15" s="21" t="s">
        <v>476</v>
      </c>
      <c r="L15" s="21">
        <v>0.85</v>
      </c>
      <c r="M15" s="21"/>
      <c r="N15" s="52"/>
      <c r="O15" s="31"/>
      <c r="P15" s="30"/>
      <c r="Q15" s="21" t="s">
        <v>146</v>
      </c>
      <c r="R15" s="21" t="s">
        <v>158</v>
      </c>
      <c r="S15" s="21">
        <f>0.9803+0.018*((Pshell_rG-1)*14.5/100)+0.0017*(((Pshell_rG-1)*14.5/100)^2)</f>
        <v>0.98033458877504265</v>
      </c>
      <c r="T15" s="21"/>
      <c r="U15" s="52" t="s">
        <v>183</v>
      </c>
      <c r="V15" s="31"/>
      <c r="W15" s="30"/>
      <c r="X15" s="21" t="s">
        <v>67</v>
      </c>
      <c r="Y15" s="21" t="s">
        <v>154</v>
      </c>
      <c r="Z15" s="21">
        <v>1</v>
      </c>
      <c r="AA15" s="21"/>
      <c r="AB15" s="21" t="s">
        <v>185</v>
      </c>
      <c r="AC15" s="31"/>
      <c r="AE15" s="19" t="s">
        <v>227</v>
      </c>
      <c r="AF15" s="19" t="s">
        <v>159</v>
      </c>
      <c r="AG15" s="60">
        <f>610*((w_aELE*39.37)^0.5)*((H_aELE*3.28)^0.57)</f>
        <v>21430.217982378734</v>
      </c>
      <c r="AI15" s="19" t="s">
        <v>485</v>
      </c>
      <c r="AJ15" s="31"/>
    </row>
    <row r="16" spans="1:43">
      <c r="B16" s="30"/>
      <c r="C16" s="21" t="s">
        <v>119</v>
      </c>
      <c r="D16" s="21" t="s">
        <v>477</v>
      </c>
      <c r="E16" s="21">
        <v>13750</v>
      </c>
      <c r="F16" s="21" t="s">
        <v>120</v>
      </c>
      <c r="G16" s="52"/>
      <c r="H16" s="31"/>
      <c r="I16" s="30"/>
      <c r="J16" s="21" t="s">
        <v>119</v>
      </c>
      <c r="K16" s="21" t="s">
        <v>477</v>
      </c>
      <c r="L16" s="21">
        <v>13750</v>
      </c>
      <c r="M16" s="21" t="s">
        <v>120</v>
      </c>
      <c r="N16" s="52"/>
      <c r="O16" s="31"/>
      <c r="P16" s="30"/>
      <c r="Q16" s="21" t="s">
        <v>147</v>
      </c>
      <c r="R16" s="21" t="s">
        <v>156</v>
      </c>
      <c r="S16" s="21">
        <v>0</v>
      </c>
      <c r="T16" s="21"/>
      <c r="U16" s="52" t="s">
        <v>184</v>
      </c>
      <c r="V16" s="31"/>
      <c r="W16" s="30"/>
      <c r="X16" s="21" t="s">
        <v>227</v>
      </c>
      <c r="Y16" s="21" t="s">
        <v>207</v>
      </c>
      <c r="Z16" s="56">
        <f>Z14*Z15</f>
        <v>96545.484524502215</v>
      </c>
      <c r="AA16" s="21"/>
      <c r="AB16" s="21" t="s">
        <v>208</v>
      </c>
      <c r="AC16" s="31"/>
      <c r="AJ16" s="31"/>
    </row>
    <row r="17" spans="2:36">
      <c r="B17" s="30"/>
      <c r="C17" s="21" t="s">
        <v>125</v>
      </c>
      <c r="D17" s="21" t="s">
        <v>161</v>
      </c>
      <c r="E17" s="21">
        <f>((Pin_rT-1)*14.5)*(Dt_rT*39.37)/(2*S*E-1.2*((Pd_rT-1)*14.5))</f>
        <v>6.7228029917258361E-2</v>
      </c>
      <c r="F17" s="21" t="s">
        <v>135</v>
      </c>
      <c r="G17" s="52" t="s">
        <v>177</v>
      </c>
      <c r="H17" s="31"/>
      <c r="I17" s="30"/>
      <c r="J17" s="21" t="s">
        <v>125</v>
      </c>
      <c r="K17" s="21" t="s">
        <v>161</v>
      </c>
      <c r="L17" s="21">
        <f>((Pin_rB-1)*14.5)*(Dt_rB*39.37)/(2*S*E-1.2*((Pd_rB-1)*14.5))</f>
        <v>6.7228029917258361E-2</v>
      </c>
      <c r="M17" s="21" t="s">
        <v>135</v>
      </c>
      <c r="N17" s="52" t="s">
        <v>177</v>
      </c>
      <c r="O17" s="31"/>
      <c r="P17" s="30"/>
      <c r="Q17" s="21" t="s">
        <v>148</v>
      </c>
      <c r="R17" s="21" t="s">
        <v>157</v>
      </c>
      <c r="S17" s="21">
        <v>0</v>
      </c>
      <c r="T17" s="21"/>
      <c r="U17" s="52" t="s">
        <v>184</v>
      </c>
      <c r="V17" s="31"/>
      <c r="W17" s="30"/>
      <c r="X17" s="21"/>
      <c r="Y17" s="21"/>
      <c r="Z17" s="21"/>
      <c r="AA17" s="21"/>
      <c r="AB17" s="21"/>
      <c r="AC17" s="31"/>
      <c r="AJ17" s="31"/>
    </row>
    <row r="18" spans="2:36">
      <c r="B18" s="30"/>
      <c r="C18" s="21" t="s">
        <v>124</v>
      </c>
      <c r="D18" s="21" t="s">
        <v>161</v>
      </c>
      <c r="E18" s="21">
        <f>IF(tpcalc_rT&lt;0.5,0.5)</f>
        <v>0.5</v>
      </c>
      <c r="F18" s="21" t="s">
        <v>135</v>
      </c>
      <c r="G18" s="52" t="s">
        <v>178</v>
      </c>
      <c r="H18" s="31"/>
      <c r="I18" s="30"/>
      <c r="J18" s="21" t="s">
        <v>124</v>
      </c>
      <c r="K18" s="21" t="s">
        <v>161</v>
      </c>
      <c r="L18" s="21">
        <f>IF(tpcalc_rB&lt;0.5,0.5)</f>
        <v>0.5</v>
      </c>
      <c r="M18" s="21" t="s">
        <v>135</v>
      </c>
      <c r="N18" s="52" t="s">
        <v>178</v>
      </c>
      <c r="O18" s="31"/>
      <c r="P18" s="30"/>
      <c r="Q18" s="21" t="s">
        <v>67</v>
      </c>
      <c r="R18" s="21" t="s">
        <v>154</v>
      </c>
      <c r="S18" s="21">
        <f>IF(AHXm_rG=0,0,a_rG+((AHXft_rG/100)^b_rG))</f>
        <v>1</v>
      </c>
      <c r="T18" s="21"/>
      <c r="U18" s="52" t="s">
        <v>185</v>
      </c>
      <c r="V18" s="31"/>
      <c r="W18" s="30"/>
      <c r="X18" s="21" t="s">
        <v>212</v>
      </c>
      <c r="Y18" s="21" t="s">
        <v>213</v>
      </c>
      <c r="Z18" s="45">
        <f>EXP(7.59176+0.7932*LN(1000)-0.0129*(LN(1000)^2))</f>
        <v>256642.95471379117</v>
      </c>
      <c r="AA18" s="21"/>
      <c r="AB18" s="21" t="s">
        <v>209</v>
      </c>
      <c r="AC18" s="31"/>
      <c r="AJ18" s="31"/>
    </row>
    <row r="19" spans="2:36">
      <c r="B19" s="30"/>
      <c r="C19" s="21" t="s">
        <v>126</v>
      </c>
      <c r="D19" s="21" t="s">
        <v>162</v>
      </c>
      <c r="E19" s="42">
        <f>0.22*((H_rT*39.37)^2)*((Dt_rT*39.37)+18)/(S*((Dt_rT*39.37)^2))</f>
        <v>1.9617599999999999E-3</v>
      </c>
      <c r="F19" s="21" t="s">
        <v>135</v>
      </c>
      <c r="G19" s="52" t="s">
        <v>179</v>
      </c>
      <c r="H19" s="31"/>
      <c r="I19" s="30"/>
      <c r="J19" s="21" t="s">
        <v>126</v>
      </c>
      <c r="K19" s="21" t="s">
        <v>162</v>
      </c>
      <c r="L19" s="42">
        <f>0.22*((H_rB*39.37)^2)*((Dt_rB*39.37)+18)/(S*((Dt_rB*39.37)^2))</f>
        <v>1.9617599999999999E-3</v>
      </c>
      <c r="M19" s="21" t="s">
        <v>135</v>
      </c>
      <c r="N19" s="52" t="s">
        <v>179</v>
      </c>
      <c r="O19" s="31"/>
      <c r="P19" s="30"/>
      <c r="Q19" s="21" t="s">
        <v>149</v>
      </c>
      <c r="R19" s="21" t="s">
        <v>155</v>
      </c>
      <c r="S19" s="21">
        <v>1.1200000000000001</v>
      </c>
      <c r="T19" s="21"/>
      <c r="U19" s="52" t="s">
        <v>184</v>
      </c>
      <c r="V19" s="31"/>
      <c r="W19" s="30"/>
      <c r="X19" s="21"/>
      <c r="Y19" s="21"/>
      <c r="Z19" s="21"/>
      <c r="AA19" s="21"/>
      <c r="AB19" s="21"/>
      <c r="AC19" s="31"/>
      <c r="AJ19" s="31"/>
    </row>
    <row r="20" spans="2:36">
      <c r="B20" s="30"/>
      <c r="C20" s="21" t="s">
        <v>127</v>
      </c>
      <c r="D20" s="21" t="s">
        <v>163</v>
      </c>
      <c r="E20" s="39">
        <f>(tpadj_rT+(tw_rT+tpcalc_rT))/2</f>
        <v>0.28459489495862916</v>
      </c>
      <c r="F20" s="21" t="s">
        <v>135</v>
      </c>
      <c r="G20" s="52" t="s">
        <v>180</v>
      </c>
      <c r="H20" s="31"/>
      <c r="I20" s="30"/>
      <c r="J20" s="21" t="s">
        <v>127</v>
      </c>
      <c r="K20" s="21" t="s">
        <v>163</v>
      </c>
      <c r="L20" s="39">
        <f>(tpadj_rB+(tw_rB+tpcalc_rB))/2</f>
        <v>0.28459489495862916</v>
      </c>
      <c r="M20" s="21" t="s">
        <v>135</v>
      </c>
      <c r="N20" s="52" t="s">
        <v>180</v>
      </c>
      <c r="O20" s="31"/>
      <c r="P20" s="30"/>
      <c r="Q20" s="21" t="s">
        <v>227</v>
      </c>
      <c r="R20" s="21" t="s">
        <v>150</v>
      </c>
      <c r="S20" s="56">
        <f>S14*S15*S18*S19</f>
        <v>198572.07012272105</v>
      </c>
      <c r="T20" s="21"/>
      <c r="U20" s="52" t="s">
        <v>186</v>
      </c>
      <c r="V20" s="31"/>
      <c r="W20" s="30"/>
      <c r="X20" s="21"/>
      <c r="Y20" s="21"/>
      <c r="Z20" s="21"/>
      <c r="AA20" s="21"/>
      <c r="AB20" s="21"/>
      <c r="AC20" s="31"/>
      <c r="AJ20" s="31"/>
    </row>
    <row r="21" spans="2:36">
      <c r="B21" s="30"/>
      <c r="C21" s="21" t="s">
        <v>128</v>
      </c>
      <c r="D21" s="21" t="s">
        <v>164</v>
      </c>
      <c r="E21" s="21">
        <f>1/8</f>
        <v>0.125</v>
      </c>
      <c r="F21" s="21" t="s">
        <v>135</v>
      </c>
      <c r="G21" s="52" t="s">
        <v>180</v>
      </c>
      <c r="H21" s="31"/>
      <c r="I21" s="30"/>
      <c r="J21" s="21" t="s">
        <v>128</v>
      </c>
      <c r="K21" s="21" t="s">
        <v>164</v>
      </c>
      <c r="L21" s="21">
        <f>1/8</f>
        <v>0.125</v>
      </c>
      <c r="M21" s="21" t="s">
        <v>135</v>
      </c>
      <c r="N21" s="52" t="s">
        <v>180</v>
      </c>
      <c r="O21" s="31"/>
      <c r="W21" s="30"/>
      <c r="X21" s="21"/>
      <c r="Y21" s="21"/>
      <c r="Z21" s="21"/>
      <c r="AA21" s="21"/>
      <c r="AB21" s="21"/>
      <c r="AC21" s="31"/>
      <c r="AJ21" s="31"/>
    </row>
    <row r="22" spans="2:36">
      <c r="B22" s="30"/>
      <c r="C22" s="21" t="s">
        <v>129</v>
      </c>
      <c r="D22" s="21" t="s">
        <v>165</v>
      </c>
      <c r="E22" s="39">
        <f>tv_rT+tc_rT</f>
        <v>0.40959489495862916</v>
      </c>
      <c r="F22" s="21" t="s">
        <v>135</v>
      </c>
      <c r="G22" s="52"/>
      <c r="H22" s="31"/>
      <c r="I22" s="30"/>
      <c r="J22" s="21" t="s">
        <v>129</v>
      </c>
      <c r="K22" s="21" t="s">
        <v>165</v>
      </c>
      <c r="L22" s="39">
        <f>tv_rB+tc_rB</f>
        <v>0.40959489495862916</v>
      </c>
      <c r="M22" s="21" t="s">
        <v>135</v>
      </c>
      <c r="N22" s="52"/>
      <c r="O22" s="31"/>
      <c r="P22" s="47"/>
      <c r="Q22" s="48"/>
      <c r="R22" s="54"/>
      <c r="S22" s="54"/>
      <c r="T22" s="48"/>
      <c r="U22" s="48"/>
      <c r="V22" s="49"/>
      <c r="W22" s="47" t="s">
        <v>210</v>
      </c>
      <c r="X22" s="48"/>
      <c r="Y22" s="48"/>
      <c r="Z22" s="48"/>
      <c r="AA22" s="48"/>
      <c r="AB22" s="48"/>
      <c r="AC22" s="49"/>
      <c r="AD22" s="54" t="s">
        <v>228</v>
      </c>
      <c r="AE22" s="54"/>
      <c r="AF22" s="54"/>
      <c r="AG22" s="54"/>
      <c r="AH22" s="54"/>
      <c r="AI22" s="54"/>
      <c r="AJ22" s="49"/>
    </row>
    <row r="23" spans="2:36">
      <c r="B23" s="30"/>
      <c r="C23" s="21" t="s">
        <v>130</v>
      </c>
      <c r="D23" s="21" t="s">
        <v>166</v>
      </c>
      <c r="E23" s="21">
        <f>ROUNDUP(tvtc_rT/0.125,0)*0.125</f>
        <v>0.5</v>
      </c>
      <c r="F23" s="21" t="s">
        <v>135</v>
      </c>
      <c r="G23" s="52" t="s">
        <v>180</v>
      </c>
      <c r="H23" s="31"/>
      <c r="I23" s="30"/>
      <c r="J23" s="21" t="s">
        <v>130</v>
      </c>
      <c r="K23" s="21" t="s">
        <v>166</v>
      </c>
      <c r="L23" s="21">
        <f>ROUNDUP(tvtc_rB/0.125,0)*0.125</f>
        <v>0.5</v>
      </c>
      <c r="M23" s="21" t="s">
        <v>135</v>
      </c>
      <c r="N23" s="52" t="s">
        <v>180</v>
      </c>
      <c r="O23" s="31"/>
      <c r="Q23" s="19" t="s">
        <v>212</v>
      </c>
      <c r="R23" s="19" t="s">
        <v>213</v>
      </c>
      <c r="S23" s="61">
        <f>EXP(11.9052-0.8709*LN(12000)+0.09005*(LN(12000)^2))</f>
        <v>116953.37860124618</v>
      </c>
      <c r="U23" s="19" t="s">
        <v>182</v>
      </c>
      <c r="W23" s="30"/>
      <c r="X23" s="21" t="s">
        <v>145</v>
      </c>
      <c r="Y23" s="21" t="s">
        <v>168</v>
      </c>
      <c r="Z23" s="45">
        <f>EXP(7.58+0.8*LN(PWhp_aC))</f>
        <v>953132.54933085595</v>
      </c>
      <c r="AA23" s="21"/>
      <c r="AB23" s="21" t="s">
        <v>483</v>
      </c>
      <c r="AC23" s="31"/>
      <c r="AE23" s="19" t="s">
        <v>490</v>
      </c>
      <c r="AF23" s="19" t="s">
        <v>205</v>
      </c>
      <c r="AG23" s="62">
        <f>0.02*(Fsolid*2.20462/3600)*((H_aELE*3.28)^0.63)+0.00182*(Fsolid*2.20462/3600)*(H_aELE*3.28)</f>
        <v>135.42982504240587</v>
      </c>
      <c r="AH23" s="19" t="s">
        <v>203</v>
      </c>
      <c r="AI23" s="19" t="s">
        <v>230</v>
      </c>
      <c r="AJ23" s="31"/>
    </row>
    <row r="24" spans="2:36">
      <c r="B24" s="30"/>
      <c r="C24" s="21" t="s">
        <v>132</v>
      </c>
      <c r="D24" s="21" t="s">
        <v>131</v>
      </c>
      <c r="E24" s="21">
        <v>0.28399999999999997</v>
      </c>
      <c r="F24" s="21"/>
      <c r="G24" s="52"/>
      <c r="H24" s="31"/>
      <c r="I24" s="30"/>
      <c r="J24" s="21" t="s">
        <v>132</v>
      </c>
      <c r="K24" s="21" t="s">
        <v>131</v>
      </c>
      <c r="L24" s="21">
        <v>0.28399999999999997</v>
      </c>
      <c r="M24" s="21"/>
      <c r="N24" s="52"/>
      <c r="O24" s="31"/>
      <c r="P24" s="63"/>
      <c r="Q24" s="19" t="s">
        <v>246</v>
      </c>
      <c r="R24" s="21" t="s">
        <v>199</v>
      </c>
      <c r="S24" s="21">
        <v>1.1499999999999999</v>
      </c>
      <c r="T24" s="64"/>
      <c r="U24" s="63"/>
      <c r="V24" s="63"/>
      <c r="W24" s="30"/>
      <c r="X24" s="21" t="s">
        <v>211</v>
      </c>
      <c r="Y24" s="21" t="s">
        <v>481</v>
      </c>
      <c r="Z24" s="21">
        <v>1</v>
      </c>
      <c r="AA24" s="21"/>
      <c r="AB24" s="21" t="s">
        <v>482</v>
      </c>
      <c r="AC24" s="31"/>
      <c r="AE24" s="19" t="s">
        <v>145</v>
      </c>
      <c r="AF24" s="19" t="s">
        <v>168</v>
      </c>
      <c r="AG24" s="61">
        <f>EXP(5.8259+0.13141*LN(PW_aELE)+0.053255*(LN(PW_aELE)^2)+0.028628*(LN(PW_aELE)^3)-0.0035549*(LN(PW_aELE)^4))</f>
        <v>8742.9054063289095</v>
      </c>
      <c r="AI24" s="19" t="s">
        <v>231</v>
      </c>
      <c r="AJ24" s="31"/>
    </row>
    <row r="25" spans="2:36">
      <c r="B25" s="30"/>
      <c r="C25" s="21" t="s">
        <v>133</v>
      </c>
      <c r="D25" s="21" t="s">
        <v>153</v>
      </c>
      <c r="E25" s="46">
        <f>PI()*((Dt_rT*39.37)+ts_rT)*((H_rT*39.37)+0.8*(Dt_rT*39.37))*ts_rT*dSteel</f>
        <v>129578.89653086237</v>
      </c>
      <c r="F25" s="21" t="s">
        <v>136</v>
      </c>
      <c r="G25" s="52" t="s">
        <v>181</v>
      </c>
      <c r="H25" s="31"/>
      <c r="I25" s="30"/>
      <c r="J25" s="21" t="s">
        <v>133</v>
      </c>
      <c r="K25" s="21" t="s">
        <v>153</v>
      </c>
      <c r="L25" s="46">
        <f>PI()*((Dt_rB*39.37)+ts_rB)*((H_rB*39.37)+0.8*(Dt_rB*39.37))*ts_rB*dSteel</f>
        <v>129578.89653086237</v>
      </c>
      <c r="M25" s="21" t="s">
        <v>136</v>
      </c>
      <c r="N25" s="52" t="s">
        <v>181</v>
      </c>
      <c r="O25" s="31"/>
      <c r="P25" s="63"/>
      <c r="Q25" s="63"/>
      <c r="R25" s="64"/>
      <c r="S25" s="63"/>
      <c r="T25" s="64"/>
      <c r="U25" s="63"/>
      <c r="V25" s="63"/>
      <c r="W25" s="30"/>
      <c r="X25" s="21" t="s">
        <v>67</v>
      </c>
      <c r="Y25" s="21" t="s">
        <v>154</v>
      </c>
      <c r="Z25" s="21">
        <v>1</v>
      </c>
      <c r="AA25" s="21"/>
      <c r="AB25" s="52" t="s">
        <v>185</v>
      </c>
      <c r="AC25" s="31"/>
      <c r="AE25" s="19" t="s">
        <v>232</v>
      </c>
      <c r="AG25" s="19">
        <v>1.3</v>
      </c>
      <c r="AI25" s="19" t="s">
        <v>233</v>
      </c>
      <c r="AJ25" s="31"/>
    </row>
    <row r="26" spans="2:36">
      <c r="B26" s="30"/>
      <c r="C26" s="21" t="s">
        <v>67</v>
      </c>
      <c r="D26" s="21" t="s">
        <v>167</v>
      </c>
      <c r="E26" s="21">
        <v>1</v>
      </c>
      <c r="F26" s="21"/>
      <c r="G26" s="21"/>
      <c r="H26" s="31"/>
      <c r="I26" s="30"/>
      <c r="J26" s="21" t="s">
        <v>67</v>
      </c>
      <c r="K26" s="21" t="s">
        <v>167</v>
      </c>
      <c r="L26" s="21">
        <v>1</v>
      </c>
      <c r="M26" s="21"/>
      <c r="N26" s="21"/>
      <c r="O26" s="31"/>
      <c r="P26" s="63"/>
      <c r="Q26" s="63"/>
      <c r="R26" s="64"/>
      <c r="S26" s="63"/>
      <c r="T26" s="64"/>
      <c r="U26" s="63"/>
      <c r="V26" s="63"/>
      <c r="W26" s="30"/>
      <c r="X26" s="21" t="s">
        <v>227</v>
      </c>
      <c r="Y26" s="21" t="s">
        <v>207</v>
      </c>
      <c r="Z26" s="56">
        <f>Z23*Z24*Z25</f>
        <v>953132.54933085595</v>
      </c>
      <c r="AA26" s="21"/>
      <c r="AB26" s="21" t="s">
        <v>484</v>
      </c>
      <c r="AC26" s="31"/>
      <c r="AE26" s="19" t="s">
        <v>227</v>
      </c>
      <c r="AF26" s="19" t="s">
        <v>159</v>
      </c>
      <c r="AG26" s="60">
        <f>AG24*AG25</f>
        <v>11365.777028227583</v>
      </c>
      <c r="AI26" s="19" t="s">
        <v>234</v>
      </c>
      <c r="AJ26" s="31"/>
    </row>
    <row r="27" spans="2:36">
      <c r="B27" s="30"/>
      <c r="C27" s="21" t="s">
        <v>488</v>
      </c>
      <c r="D27" s="21" t="s">
        <v>134</v>
      </c>
      <c r="E27" s="44">
        <f>EXP(7.0132+0.18255*LN(W)+0.02297*(LN(W)^2))*E26</f>
        <v>300512.25684195111</v>
      </c>
      <c r="F27" s="21"/>
      <c r="G27" s="21" t="s">
        <v>487</v>
      </c>
      <c r="H27" s="31"/>
      <c r="I27" s="30"/>
      <c r="J27" s="21" t="s">
        <v>488</v>
      </c>
      <c r="K27" s="21" t="s">
        <v>134</v>
      </c>
      <c r="L27" s="44">
        <f>EXP(7.0132+0.18255*LN(W)+0.02297*(LN(W)^2))*L26</f>
        <v>300512.25684195111</v>
      </c>
      <c r="M27" s="21"/>
      <c r="N27" s="21" t="s">
        <v>487</v>
      </c>
      <c r="O27" s="31"/>
      <c r="P27" s="63"/>
      <c r="Q27" s="63"/>
      <c r="R27" s="64"/>
      <c r="S27" s="63"/>
      <c r="T27" s="64"/>
      <c r="U27" s="63"/>
      <c r="V27" s="63"/>
      <c r="W27" s="30"/>
      <c r="X27" s="21"/>
      <c r="Y27" s="21"/>
      <c r="Z27" s="21"/>
      <c r="AA27" s="21"/>
      <c r="AB27" s="21"/>
      <c r="AC27" s="31"/>
      <c r="AJ27" s="31"/>
    </row>
    <row r="28" spans="2:36">
      <c r="B28" s="30"/>
      <c r="C28" s="21"/>
      <c r="D28" s="21"/>
      <c r="E28" s="21"/>
      <c r="F28" s="21"/>
      <c r="G28" s="21"/>
      <c r="H28" s="31"/>
      <c r="I28" s="30"/>
      <c r="J28" s="21"/>
      <c r="K28" s="21"/>
      <c r="L28" s="21"/>
      <c r="M28" s="21"/>
      <c r="N28" s="21"/>
      <c r="O28" s="31"/>
      <c r="P28" s="63"/>
      <c r="Q28" s="63"/>
      <c r="R28" s="64"/>
      <c r="S28" s="63"/>
      <c r="T28" s="64"/>
      <c r="U28" s="63"/>
      <c r="V28" s="63"/>
      <c r="W28" s="30"/>
      <c r="AA28" s="21"/>
      <c r="AB28" s="21"/>
      <c r="AC28" s="31"/>
      <c r="AJ28" s="31"/>
    </row>
    <row r="29" spans="2:36">
      <c r="B29" s="47" t="s">
        <v>137</v>
      </c>
      <c r="C29" s="48"/>
      <c r="D29" s="48"/>
      <c r="E29" s="48"/>
      <c r="F29" s="48"/>
      <c r="G29" s="48"/>
      <c r="H29" s="49"/>
      <c r="I29" s="47" t="s">
        <v>137</v>
      </c>
      <c r="J29" s="48"/>
      <c r="K29" s="48"/>
      <c r="L29" s="48"/>
      <c r="M29" s="48"/>
      <c r="N29" s="48"/>
      <c r="O29" s="49"/>
      <c r="P29" s="63"/>
      <c r="Q29" s="63"/>
      <c r="R29" s="64"/>
      <c r="S29" s="63"/>
      <c r="T29" s="64"/>
      <c r="U29" s="63"/>
      <c r="V29" s="63"/>
      <c r="W29" s="30"/>
      <c r="X29" s="21"/>
      <c r="Y29" s="21"/>
      <c r="Z29" s="21"/>
      <c r="AA29" s="21"/>
      <c r="AB29" s="21"/>
      <c r="AC29" s="31"/>
      <c r="AJ29" s="31"/>
    </row>
    <row r="30" spans="2:36">
      <c r="B30" s="30"/>
      <c r="C30" s="21" t="s">
        <v>138</v>
      </c>
      <c r="D30" s="21" t="s">
        <v>168</v>
      </c>
      <c r="E30" s="45">
        <f>587.97*(Dt_rT^2.0049)*500/400</f>
        <v>107131.12384313738</v>
      </c>
      <c r="F30" s="21"/>
      <c r="G30" s="21" t="s">
        <v>190</v>
      </c>
      <c r="H30" s="31"/>
      <c r="I30" s="30"/>
      <c r="J30" s="21" t="s">
        <v>138</v>
      </c>
      <c r="K30" s="21" t="s">
        <v>168</v>
      </c>
      <c r="L30" s="45">
        <f>587.97*(Dt_rB^2.0049)*500/400</f>
        <v>107131.12384313738</v>
      </c>
      <c r="M30" s="21"/>
      <c r="N30" s="21" t="s">
        <v>190</v>
      </c>
      <c r="O30" s="31"/>
      <c r="P30" s="63"/>
      <c r="Q30" s="63"/>
      <c r="R30" s="64"/>
      <c r="S30" s="63"/>
      <c r="T30" s="64"/>
      <c r="U30" s="63"/>
      <c r="V30" s="63"/>
      <c r="W30" s="30"/>
      <c r="X30" s="21"/>
      <c r="Y30" s="21"/>
      <c r="Z30" s="21"/>
      <c r="AA30" s="21"/>
      <c r="AB30" s="21"/>
      <c r="AC30" s="31"/>
      <c r="AJ30" s="31"/>
    </row>
    <row r="31" spans="2:36">
      <c r="B31" s="30"/>
      <c r="C31" s="21" t="s">
        <v>139</v>
      </c>
      <c r="D31" s="21" t="s">
        <v>170</v>
      </c>
      <c r="E31" s="21">
        <v>1</v>
      </c>
      <c r="F31" s="21"/>
      <c r="G31" s="52" t="s">
        <v>187</v>
      </c>
      <c r="H31" s="31"/>
      <c r="I31" s="30"/>
      <c r="J31" s="21" t="s">
        <v>139</v>
      </c>
      <c r="K31" s="21" t="s">
        <v>170</v>
      </c>
      <c r="L31" s="21">
        <v>1</v>
      </c>
      <c r="M31" s="21"/>
      <c r="N31" s="52" t="s">
        <v>187</v>
      </c>
      <c r="O31" s="31"/>
      <c r="P31" s="63"/>
      <c r="Q31" s="63"/>
      <c r="R31" s="64"/>
      <c r="S31" s="63"/>
      <c r="T31" s="64"/>
      <c r="U31" s="63"/>
      <c r="V31" s="63"/>
      <c r="W31" s="30"/>
      <c r="X31" s="21"/>
      <c r="Y31" s="21"/>
      <c r="Z31" s="21"/>
      <c r="AA31" s="21"/>
      <c r="AB31" s="21"/>
      <c r="AC31" s="31"/>
      <c r="AJ31" s="31"/>
    </row>
    <row r="32" spans="2:36">
      <c r="B32" s="30"/>
      <c r="C32" s="21" t="s">
        <v>140</v>
      </c>
      <c r="D32" s="21" t="s">
        <v>169</v>
      </c>
      <c r="E32" s="21">
        <v>1.87</v>
      </c>
      <c r="F32" s="21"/>
      <c r="G32" s="52" t="s">
        <v>188</v>
      </c>
      <c r="H32" s="31"/>
      <c r="I32" s="30"/>
      <c r="J32" s="21" t="s">
        <v>140</v>
      </c>
      <c r="K32" s="21" t="s">
        <v>169</v>
      </c>
      <c r="L32" s="21">
        <v>1.87</v>
      </c>
      <c r="M32" s="21"/>
      <c r="N32" s="52" t="s">
        <v>188</v>
      </c>
      <c r="O32" s="31"/>
      <c r="P32" s="63"/>
      <c r="Q32" s="63"/>
      <c r="R32" s="65"/>
      <c r="S32" s="63"/>
      <c r="T32" s="65"/>
      <c r="U32" s="63"/>
      <c r="V32" s="63"/>
      <c r="W32" s="30"/>
      <c r="X32" s="21"/>
      <c r="Y32" s="21"/>
      <c r="Z32" s="21"/>
      <c r="AA32" s="21"/>
      <c r="AB32" s="21"/>
      <c r="AC32" s="31"/>
      <c r="AJ32" s="31"/>
    </row>
    <row r="33" spans="1:36">
      <c r="B33" s="30"/>
      <c r="C33" s="21" t="s">
        <v>141</v>
      </c>
      <c r="D33" s="21" t="s">
        <v>167</v>
      </c>
      <c r="E33" s="21">
        <v>1</v>
      </c>
      <c r="F33" s="21"/>
      <c r="G33" s="52" t="s">
        <v>188</v>
      </c>
      <c r="H33" s="31"/>
      <c r="I33" s="30"/>
      <c r="J33" s="21" t="s">
        <v>141</v>
      </c>
      <c r="K33" s="21" t="s">
        <v>167</v>
      </c>
      <c r="L33" s="21">
        <v>1</v>
      </c>
      <c r="M33" s="21"/>
      <c r="N33" s="52" t="s">
        <v>188</v>
      </c>
      <c r="O33" s="31"/>
      <c r="P33" s="63"/>
      <c r="Q33" s="63"/>
      <c r="R33" s="63"/>
      <c r="S33" s="63"/>
      <c r="T33" s="65"/>
      <c r="U33" s="63"/>
      <c r="V33" s="63"/>
      <c r="W33" s="30"/>
      <c r="X33" s="21"/>
      <c r="Y33" s="21"/>
      <c r="Z33" s="21"/>
      <c r="AA33" s="21"/>
      <c r="AB33" s="21"/>
      <c r="AC33" s="31"/>
      <c r="AJ33" s="31"/>
    </row>
    <row r="34" spans="1:36">
      <c r="B34" s="30"/>
      <c r="C34" s="21" t="s">
        <v>489</v>
      </c>
      <c r="D34" s="21" t="s">
        <v>142</v>
      </c>
      <c r="E34" s="44">
        <f>Cbt_rT*Fnt*Ftt*Ftm</f>
        <v>200335.2015866669</v>
      </c>
      <c r="F34" s="21"/>
      <c r="G34" s="52" t="s">
        <v>189</v>
      </c>
      <c r="H34" s="31"/>
      <c r="I34" s="30"/>
      <c r="J34" s="21" t="s">
        <v>489</v>
      </c>
      <c r="K34" s="21" t="s">
        <v>142</v>
      </c>
      <c r="L34" s="44">
        <f>Cbt_rB*Fnt_rB*Ftt_rB*Ftm_rB</f>
        <v>200335.2015866669</v>
      </c>
      <c r="M34" s="21"/>
      <c r="N34" s="52" t="s">
        <v>189</v>
      </c>
      <c r="O34" s="31"/>
      <c r="P34" s="63"/>
      <c r="Q34" s="63"/>
      <c r="R34" s="64"/>
      <c r="S34" s="63"/>
      <c r="T34" s="64"/>
      <c r="U34" s="63"/>
      <c r="V34" s="63"/>
      <c r="W34" s="30"/>
      <c r="X34" s="21"/>
      <c r="Y34" s="21"/>
      <c r="Z34" s="21"/>
      <c r="AA34" s="21"/>
      <c r="AB34" s="21"/>
      <c r="AC34" s="31"/>
      <c r="AJ34" s="31"/>
    </row>
    <row r="35" spans="1:36">
      <c r="B35" s="30"/>
      <c r="C35" s="21"/>
      <c r="D35" s="21"/>
      <c r="E35" s="21"/>
      <c r="F35" s="21"/>
      <c r="G35" s="21"/>
      <c r="H35" s="31"/>
      <c r="I35" s="30"/>
      <c r="J35" s="21"/>
      <c r="K35" s="21"/>
      <c r="L35" s="21"/>
      <c r="M35" s="21"/>
      <c r="N35" s="21"/>
      <c r="O35" s="31"/>
      <c r="P35" s="63"/>
      <c r="Q35" s="63"/>
      <c r="R35" s="64"/>
      <c r="S35" s="63"/>
      <c r="T35" s="64"/>
      <c r="U35" s="63"/>
      <c r="V35" s="63"/>
      <c r="W35" s="30"/>
      <c r="X35" s="21"/>
      <c r="Y35" s="21"/>
      <c r="Z35" s="21"/>
      <c r="AA35" s="21"/>
      <c r="AB35" s="21"/>
      <c r="AC35" s="31"/>
      <c r="AJ35" s="31"/>
    </row>
    <row r="36" spans="1:36">
      <c r="B36" s="47" t="s">
        <v>143</v>
      </c>
      <c r="C36" s="48"/>
      <c r="D36" s="48"/>
      <c r="E36" s="48"/>
      <c r="F36" s="48"/>
      <c r="G36" s="48"/>
      <c r="H36" s="49"/>
      <c r="I36" s="47" t="s">
        <v>143</v>
      </c>
      <c r="J36" s="48"/>
      <c r="K36" s="48"/>
      <c r="L36" s="48"/>
      <c r="M36" s="48"/>
      <c r="N36" s="48"/>
      <c r="O36" s="49"/>
      <c r="P36" s="63"/>
      <c r="Q36" s="63"/>
      <c r="R36" s="64"/>
      <c r="S36" s="63"/>
      <c r="T36" s="64"/>
      <c r="U36" s="63"/>
      <c r="V36" s="63"/>
      <c r="W36" s="30"/>
      <c r="X36" s="21"/>
      <c r="Y36" s="21"/>
      <c r="Z36" s="21"/>
      <c r="AA36" s="21"/>
      <c r="AB36" s="21"/>
      <c r="AC36" s="31"/>
      <c r="AJ36" s="31"/>
    </row>
    <row r="37" spans="1:36">
      <c r="B37" s="30"/>
      <c r="C37" s="21" t="s">
        <v>145</v>
      </c>
      <c r="D37" s="21" t="s">
        <v>159</v>
      </c>
      <c r="E37" s="45">
        <f>IF(AHXft_rT=0,0,EXP(11.667-0.8709*LN(AHXft_rT)+0.09005*(LN(AHXft_rT)^2)))</f>
        <v>151692.53899534536</v>
      </c>
      <c r="F37" s="21"/>
      <c r="G37" s="52" t="s">
        <v>182</v>
      </c>
      <c r="H37" s="31"/>
      <c r="I37" s="30"/>
      <c r="J37" s="21" t="s">
        <v>145</v>
      </c>
      <c r="K37" s="21" t="s">
        <v>159</v>
      </c>
      <c r="L37" s="45">
        <f>IF(AHXft_rB=0,0,EXP(11.667-0.8709*LN(AHXft_rB)+0.09005*(LN(AHXft_rB)^2)))</f>
        <v>151692.53899534536</v>
      </c>
      <c r="M37" s="21"/>
      <c r="N37" s="52" t="s">
        <v>182</v>
      </c>
      <c r="O37" s="31"/>
      <c r="P37" s="63"/>
      <c r="Q37" s="63"/>
      <c r="R37" s="65"/>
      <c r="S37" s="63"/>
      <c r="T37" s="65"/>
      <c r="U37" s="63"/>
      <c r="V37" s="63"/>
      <c r="W37" s="30"/>
      <c r="X37" s="21"/>
      <c r="Y37" s="21"/>
      <c r="Z37" s="21"/>
      <c r="AA37" s="21"/>
      <c r="AB37" s="21"/>
      <c r="AC37" s="31"/>
      <c r="AJ37" s="31"/>
    </row>
    <row r="38" spans="1:36">
      <c r="B38" s="30"/>
      <c r="C38" s="21" t="s">
        <v>146</v>
      </c>
      <c r="D38" s="21" t="s">
        <v>158</v>
      </c>
      <c r="E38" s="39">
        <f>0.9803+0.018*((Pin_rT-1)*14.5)+0.0017*(((Pin_rT-1)*14.5)^2)</f>
        <v>1.0589312553235752</v>
      </c>
      <c r="F38" s="21"/>
      <c r="G38" s="52" t="s">
        <v>183</v>
      </c>
      <c r="H38" s="31"/>
      <c r="I38" s="30"/>
      <c r="J38" s="21" t="s">
        <v>146</v>
      </c>
      <c r="K38" s="21" t="s">
        <v>158</v>
      </c>
      <c r="L38" s="39">
        <f>0.9803+0.018*((Pin_rB-1)*14.5)+0.0017*(((Pin_rB-1)*14.5)^2)</f>
        <v>1.0589312553235752</v>
      </c>
      <c r="M38" s="21"/>
      <c r="N38" s="52" t="s">
        <v>183</v>
      </c>
      <c r="O38" s="31"/>
      <c r="P38" s="63"/>
      <c r="Q38" s="63"/>
      <c r="R38" s="64"/>
      <c r="S38" s="63"/>
      <c r="T38" s="64"/>
      <c r="U38" s="63"/>
      <c r="V38" s="63"/>
      <c r="W38" s="30"/>
      <c r="X38" s="21"/>
      <c r="Y38" s="21"/>
      <c r="Z38" s="21"/>
      <c r="AA38" s="21"/>
      <c r="AB38" s="21"/>
      <c r="AC38" s="31"/>
      <c r="AJ38" s="31"/>
    </row>
    <row r="39" spans="1:36">
      <c r="B39" s="30"/>
      <c r="C39" s="21" t="s">
        <v>147</v>
      </c>
      <c r="D39" s="21" t="s">
        <v>156</v>
      </c>
      <c r="E39" s="21">
        <v>0</v>
      </c>
      <c r="F39" s="21"/>
      <c r="G39" s="52" t="s">
        <v>184</v>
      </c>
      <c r="H39" s="31"/>
      <c r="I39" s="30"/>
      <c r="J39" s="21" t="s">
        <v>147</v>
      </c>
      <c r="K39" s="21" t="s">
        <v>156</v>
      </c>
      <c r="L39" s="21">
        <v>0</v>
      </c>
      <c r="M39" s="21"/>
      <c r="N39" s="52" t="s">
        <v>184</v>
      </c>
      <c r="O39" s="31"/>
      <c r="P39" s="63"/>
      <c r="Q39" s="63"/>
      <c r="R39" s="64"/>
      <c r="S39" s="63"/>
      <c r="T39" s="64"/>
      <c r="U39" s="63"/>
      <c r="V39" s="63"/>
      <c r="W39" s="30"/>
      <c r="X39" s="21"/>
      <c r="Y39" s="21"/>
      <c r="Z39" s="21"/>
      <c r="AA39" s="21"/>
      <c r="AB39" s="21"/>
      <c r="AC39" s="31"/>
      <c r="AJ39" s="31"/>
    </row>
    <row r="40" spans="1:36">
      <c r="B40" s="30"/>
      <c r="C40" s="21" t="s">
        <v>148</v>
      </c>
      <c r="D40" s="21" t="s">
        <v>157</v>
      </c>
      <c r="E40" s="21">
        <v>0</v>
      </c>
      <c r="F40" s="21"/>
      <c r="G40" s="52" t="s">
        <v>184</v>
      </c>
      <c r="H40" s="31"/>
      <c r="I40" s="30"/>
      <c r="J40" s="21" t="s">
        <v>148</v>
      </c>
      <c r="K40" s="21" t="s">
        <v>157</v>
      </c>
      <c r="L40" s="21">
        <v>0</v>
      </c>
      <c r="M40" s="21"/>
      <c r="N40" s="52" t="s">
        <v>184</v>
      </c>
      <c r="O40" s="31"/>
      <c r="P40" s="63"/>
      <c r="Q40" s="63"/>
      <c r="R40" s="64"/>
      <c r="S40" s="63"/>
      <c r="T40" s="64"/>
      <c r="U40" s="63"/>
      <c r="V40" s="63"/>
      <c r="W40" s="30"/>
      <c r="X40" s="21"/>
      <c r="Y40" s="21"/>
      <c r="Z40" s="21"/>
      <c r="AA40" s="21"/>
      <c r="AB40" s="21"/>
      <c r="AC40" s="31"/>
      <c r="AJ40" s="31"/>
    </row>
    <row r="41" spans="1:36">
      <c r="B41" s="30"/>
      <c r="C41" s="21" t="s">
        <v>67</v>
      </c>
      <c r="D41" s="21" t="s">
        <v>154</v>
      </c>
      <c r="E41" s="21">
        <f>a+((AHXft_T/100)^b)</f>
        <v>1</v>
      </c>
      <c r="F41" s="21"/>
      <c r="G41" s="52" t="s">
        <v>185</v>
      </c>
      <c r="H41" s="31"/>
      <c r="I41" s="30"/>
      <c r="J41" s="21" t="s">
        <v>67</v>
      </c>
      <c r="K41" s="21" t="s">
        <v>154</v>
      </c>
      <c r="L41" s="21">
        <f>a+((AHXft_rB/100)^b)</f>
        <v>1</v>
      </c>
      <c r="M41" s="21"/>
      <c r="N41" s="52" t="s">
        <v>185</v>
      </c>
      <c r="O41" s="31"/>
      <c r="P41" s="63"/>
      <c r="Q41" s="63"/>
      <c r="R41" s="65"/>
      <c r="S41" s="63"/>
      <c r="T41" s="65"/>
      <c r="U41" s="63"/>
      <c r="V41" s="63"/>
      <c r="W41" s="30"/>
      <c r="X41" s="21"/>
      <c r="Y41" s="21"/>
      <c r="Z41" s="21"/>
      <c r="AA41" s="21"/>
      <c r="AB41" s="21"/>
      <c r="AC41" s="31"/>
      <c r="AJ41" s="31"/>
    </row>
    <row r="42" spans="1:36">
      <c r="B42" s="30"/>
      <c r="C42" s="21" t="s">
        <v>149</v>
      </c>
      <c r="D42" s="21" t="s">
        <v>155</v>
      </c>
      <c r="E42" s="21">
        <v>1.1200000000000001</v>
      </c>
      <c r="F42" s="21"/>
      <c r="G42" s="52" t="s">
        <v>184</v>
      </c>
      <c r="H42" s="31"/>
      <c r="I42" s="30"/>
      <c r="J42" s="21" t="s">
        <v>149</v>
      </c>
      <c r="K42" s="21" t="s">
        <v>155</v>
      </c>
      <c r="L42" s="21">
        <v>1.1200000000000001</v>
      </c>
      <c r="M42" s="21"/>
      <c r="N42" s="52" t="s">
        <v>184</v>
      </c>
      <c r="O42" s="31"/>
      <c r="P42" s="63"/>
      <c r="Q42" s="63"/>
      <c r="R42" s="63"/>
      <c r="S42" s="63"/>
      <c r="T42" s="65"/>
      <c r="U42" s="63"/>
      <c r="V42" s="63"/>
      <c r="W42" s="30"/>
      <c r="X42" s="21"/>
      <c r="Y42" s="21"/>
      <c r="Z42" s="21"/>
      <c r="AA42" s="21"/>
      <c r="AB42" s="21"/>
      <c r="AC42" s="31"/>
      <c r="AJ42" s="31"/>
    </row>
    <row r="43" spans="1:36">
      <c r="B43" s="30"/>
      <c r="C43" s="21" t="s">
        <v>227</v>
      </c>
      <c r="D43" s="21" t="s">
        <v>150</v>
      </c>
      <c r="E43" s="44">
        <f>Cb_rT*Fp_rT*Fm*Fl</f>
        <v>179907.80723054882</v>
      </c>
      <c r="F43" s="21"/>
      <c r="G43" s="52" t="s">
        <v>186</v>
      </c>
      <c r="H43" s="31"/>
      <c r="I43" s="30"/>
      <c r="J43" s="21" t="s">
        <v>227</v>
      </c>
      <c r="K43" s="21" t="s">
        <v>150</v>
      </c>
      <c r="L43" s="44">
        <f>Cb_rB*Fp_rB*Fm*Fl</f>
        <v>179907.80723054882</v>
      </c>
      <c r="M43" s="21"/>
      <c r="N43" s="52" t="s">
        <v>186</v>
      </c>
      <c r="O43" s="31"/>
      <c r="P43" s="63"/>
      <c r="Q43" s="63"/>
      <c r="R43" s="64"/>
      <c r="S43" s="63"/>
      <c r="T43" s="64"/>
      <c r="U43" s="63"/>
      <c r="V43" s="63"/>
      <c r="W43" s="30"/>
      <c r="X43" s="21"/>
      <c r="Y43" s="21"/>
      <c r="Z43" s="21"/>
      <c r="AA43" s="21"/>
      <c r="AB43" s="21"/>
      <c r="AC43" s="31"/>
      <c r="AJ43" s="31"/>
    </row>
    <row r="44" spans="1:36">
      <c r="B44" s="30"/>
      <c r="C44" s="21"/>
      <c r="D44" s="21"/>
      <c r="E44" s="21"/>
      <c r="F44" s="21"/>
      <c r="G44" s="21"/>
      <c r="H44" s="31"/>
      <c r="I44" s="30"/>
      <c r="J44" s="21"/>
      <c r="K44" s="21"/>
      <c r="L44" s="21"/>
      <c r="M44" s="21"/>
      <c r="N44" s="21"/>
      <c r="O44" s="31"/>
      <c r="P44" s="63"/>
      <c r="Q44" s="63"/>
      <c r="R44" s="64"/>
      <c r="S44" s="63"/>
      <c r="T44" s="64"/>
      <c r="U44" s="63"/>
      <c r="V44" s="63"/>
      <c r="W44" s="30"/>
      <c r="X44" s="21"/>
      <c r="Y44" s="21"/>
      <c r="Z44" s="21"/>
      <c r="AA44" s="21"/>
      <c r="AB44" s="21"/>
      <c r="AC44" s="31"/>
      <c r="AJ44" s="31"/>
    </row>
    <row r="45" spans="1:36">
      <c r="B45" s="47" t="s">
        <v>151</v>
      </c>
      <c r="C45" s="48"/>
      <c r="D45" s="48"/>
      <c r="E45" s="48"/>
      <c r="F45" s="48"/>
      <c r="G45" s="48"/>
      <c r="H45" s="49"/>
      <c r="I45" s="47" t="s">
        <v>151</v>
      </c>
      <c r="J45" s="48"/>
      <c r="K45" s="48"/>
      <c r="L45" s="48"/>
      <c r="M45" s="48"/>
      <c r="N45" s="48"/>
      <c r="O45" s="49"/>
      <c r="P45" s="63"/>
      <c r="Q45" s="63"/>
      <c r="R45" s="64"/>
      <c r="S45" s="63"/>
      <c r="T45" s="64"/>
      <c r="U45" s="63"/>
      <c r="V45" s="63"/>
      <c r="W45" s="30"/>
      <c r="X45" s="21"/>
      <c r="Y45" s="21"/>
      <c r="Z45" s="21"/>
      <c r="AA45" s="21"/>
      <c r="AB45" s="21"/>
      <c r="AC45" s="31"/>
      <c r="AJ45" s="31"/>
    </row>
    <row r="46" spans="1:36">
      <c r="B46" s="30"/>
      <c r="C46" s="21" t="s">
        <v>152</v>
      </c>
      <c r="D46" s="21" t="s">
        <v>173</v>
      </c>
      <c r="E46" s="44">
        <f>361.8*((Dt_rT*3.28)^0.7396)*((H_rT*3.28)^0.70684)</f>
        <v>44961.418496732535</v>
      </c>
      <c r="F46" s="21"/>
      <c r="G46" s="21" t="s">
        <v>478</v>
      </c>
      <c r="H46" s="31"/>
      <c r="I46" s="30"/>
      <c r="J46" s="21" t="s">
        <v>152</v>
      </c>
      <c r="K46" s="21" t="s">
        <v>173</v>
      </c>
      <c r="L46" s="44">
        <f>361.8*((Dt_rB*3.28)^0.7396)*((H_rB*3.28)^0.70684)</f>
        <v>44961.418496732535</v>
      </c>
      <c r="M46" s="21"/>
      <c r="N46" s="21" t="s">
        <v>478</v>
      </c>
      <c r="O46" s="31"/>
      <c r="P46" s="63"/>
      <c r="Q46" s="63"/>
      <c r="R46" s="63"/>
      <c r="S46" s="63"/>
      <c r="T46" s="63"/>
      <c r="U46" s="63"/>
      <c r="V46" s="63"/>
      <c r="W46" s="30"/>
      <c r="X46" s="21"/>
      <c r="Y46" s="21"/>
      <c r="Z46" s="21"/>
      <c r="AA46" s="21"/>
      <c r="AB46" s="21"/>
      <c r="AC46" s="31"/>
      <c r="AJ46" s="31"/>
    </row>
    <row r="47" spans="1:36">
      <c r="B47" s="30"/>
      <c r="C47" s="21"/>
      <c r="D47" s="21"/>
      <c r="E47" s="21"/>
      <c r="F47" s="21"/>
      <c r="G47" s="21"/>
      <c r="H47" s="31"/>
      <c r="I47" s="30"/>
      <c r="J47" s="21"/>
      <c r="K47" s="21"/>
      <c r="L47" s="21"/>
      <c r="M47" s="21"/>
      <c r="N47" s="21"/>
      <c r="O47" s="31"/>
      <c r="P47" s="63"/>
      <c r="Q47" s="63"/>
      <c r="R47" s="63"/>
      <c r="S47" s="63"/>
      <c r="T47" s="63"/>
      <c r="U47" s="63"/>
      <c r="V47" s="63"/>
      <c r="W47" s="30"/>
      <c r="X47" s="21"/>
      <c r="Y47" s="21"/>
      <c r="Z47" s="21"/>
      <c r="AA47" s="21"/>
      <c r="AB47" s="21"/>
      <c r="AC47" s="31"/>
      <c r="AJ47" s="31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2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>
      <c r="A50" s="70" t="s">
        <v>275</v>
      </c>
      <c r="B50" s="73">
        <f>ADS!B50</f>
        <v>3622619.4445690797</v>
      </c>
    </row>
    <row r="51" spans="1:22">
      <c r="A51" s="71" t="s">
        <v>276</v>
      </c>
      <c r="B51" s="75">
        <f>E2+L2+S2+Z2+AG2</f>
        <v>1779346.9179696282</v>
      </c>
    </row>
    <row r="52" spans="1:22">
      <c r="A52" s="72" t="s">
        <v>278</v>
      </c>
      <c r="B52" s="74">
        <f>B50+B51</f>
        <v>5401966.3625387084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67"/>
  <sheetViews>
    <sheetView workbookViewId="0">
      <selection activeCell="B11" sqref="B11"/>
    </sheetView>
  </sheetViews>
  <sheetFormatPr defaultRowHeight="12.75"/>
  <cols>
    <col min="1" max="1" width="30.7109375" style="129" customWidth="1"/>
    <col min="2" max="19" width="15.7109375" style="129" customWidth="1"/>
    <col min="20" max="16384" width="9.140625" style="129"/>
  </cols>
  <sheetData>
    <row r="1" spans="1:6">
      <c r="A1" s="128" t="s">
        <v>464</v>
      </c>
      <c r="B1" s="128"/>
    </row>
    <row r="3" spans="1:6">
      <c r="A3" s="130"/>
      <c r="B3" s="131"/>
      <c r="C3" s="132"/>
    </row>
    <row r="4" spans="1:6">
      <c r="A4" s="136" t="s">
        <v>279</v>
      </c>
      <c r="B4" s="189">
        <v>39234</v>
      </c>
      <c r="C4" s="138"/>
    </row>
    <row r="5" spans="1:6">
      <c r="A5" s="136" t="s">
        <v>280</v>
      </c>
      <c r="B5" s="137">
        <v>580.4</v>
      </c>
      <c r="C5" s="138" t="s">
        <v>281</v>
      </c>
    </row>
    <row r="6" spans="1:6">
      <c r="A6" s="136" t="s">
        <v>282</v>
      </c>
      <c r="B6" s="137">
        <v>550</v>
      </c>
      <c r="C6" s="138" t="s">
        <v>281</v>
      </c>
    </row>
    <row r="7" spans="1:6">
      <c r="A7" s="136" t="s">
        <v>283</v>
      </c>
      <c r="B7" s="139">
        <v>441174</v>
      </c>
      <c r="C7" s="138" t="s">
        <v>222</v>
      </c>
    </row>
    <row r="8" spans="1:6">
      <c r="A8" s="140"/>
      <c r="B8" s="139">
        <f>B7*2.2046226</f>
        <v>972622.17093240004</v>
      </c>
      <c r="C8" s="138" t="s">
        <v>284</v>
      </c>
    </row>
    <row r="9" spans="1:6">
      <c r="A9" s="136" t="s">
        <v>285</v>
      </c>
      <c r="B9" s="152">
        <v>0</v>
      </c>
      <c r="C9" s="138" t="s">
        <v>222</v>
      </c>
    </row>
    <row r="10" spans="1:6">
      <c r="A10" s="140"/>
      <c r="B10" s="152">
        <v>0</v>
      </c>
      <c r="C10" s="138" t="s">
        <v>284</v>
      </c>
    </row>
    <row r="11" spans="1:6">
      <c r="A11" s="136" t="s">
        <v>286</v>
      </c>
      <c r="B11" s="141">
        <v>1113445000</v>
      </c>
      <c r="C11" s="138"/>
    </row>
    <row r="12" spans="1:6">
      <c r="A12" s="142" t="s">
        <v>287</v>
      </c>
      <c r="B12" s="143">
        <v>60.938360345725592</v>
      </c>
      <c r="C12" s="144" t="s">
        <v>288</v>
      </c>
    </row>
    <row r="13" spans="1:6">
      <c r="A13" s="148" t="s">
        <v>289</v>
      </c>
      <c r="B13" s="149">
        <v>34.65</v>
      </c>
      <c r="C13" s="135" t="s">
        <v>290</v>
      </c>
    </row>
    <row r="14" spans="1:6">
      <c r="A14" s="151" t="s">
        <v>291</v>
      </c>
      <c r="B14" s="152">
        <v>30</v>
      </c>
      <c r="C14" s="138" t="s">
        <v>292</v>
      </c>
    </row>
    <row r="15" spans="1:6">
      <c r="A15" s="156" t="s">
        <v>293</v>
      </c>
      <c r="B15" s="157">
        <v>25</v>
      </c>
      <c r="C15" s="144" t="s">
        <v>294</v>
      </c>
      <c r="D15" s="152"/>
      <c r="E15" s="152"/>
      <c r="F15" s="152"/>
    </row>
    <row r="16" spans="1:6">
      <c r="D16" s="152"/>
      <c r="E16" s="152"/>
      <c r="F16" s="152"/>
    </row>
    <row r="17" spans="1:7">
      <c r="A17" s="190" t="s">
        <v>462</v>
      </c>
      <c r="B17" s="164" t="s">
        <v>295</v>
      </c>
      <c r="C17" s="165" t="s">
        <v>296</v>
      </c>
      <c r="D17" s="152"/>
      <c r="E17" s="152"/>
      <c r="F17" s="152"/>
    </row>
    <row r="18" spans="1:7">
      <c r="A18" s="151" t="s">
        <v>297</v>
      </c>
      <c r="B18" s="152">
        <v>2</v>
      </c>
      <c r="C18" s="138">
        <v>2</v>
      </c>
      <c r="D18" s="152"/>
      <c r="E18" s="152"/>
      <c r="F18" s="152"/>
    </row>
    <row r="19" spans="1:7">
      <c r="A19" s="151" t="s">
        <v>298</v>
      </c>
      <c r="B19" s="152">
        <v>9</v>
      </c>
      <c r="C19" s="138">
        <v>9</v>
      </c>
      <c r="D19" s="152"/>
      <c r="E19" s="152"/>
      <c r="F19" s="152"/>
    </row>
    <row r="20" spans="1:7">
      <c r="A20" s="151" t="s">
        <v>299</v>
      </c>
      <c r="B20" s="152">
        <v>1</v>
      </c>
      <c r="C20" s="138">
        <v>1</v>
      </c>
      <c r="D20" s="152"/>
      <c r="E20" s="152"/>
      <c r="F20" s="152"/>
    </row>
    <row r="21" spans="1:7">
      <c r="A21" s="151" t="s">
        <v>300</v>
      </c>
      <c r="B21" s="152">
        <v>2</v>
      </c>
      <c r="C21" s="138">
        <v>2</v>
      </c>
      <c r="D21" s="152"/>
      <c r="E21" s="152"/>
      <c r="F21" s="152"/>
    </row>
    <row r="22" spans="1:7">
      <c r="A22" s="156" t="s">
        <v>301</v>
      </c>
      <c r="B22" s="157">
        <f>SUM(B18:B21)</f>
        <v>14</v>
      </c>
      <c r="C22" s="144">
        <f>SUM(C18:C21)</f>
        <v>14</v>
      </c>
      <c r="D22" s="152"/>
      <c r="E22" s="152"/>
      <c r="F22" s="152"/>
    </row>
    <row r="23" spans="1:7">
      <c r="D23" s="152"/>
      <c r="E23" s="152"/>
      <c r="F23" s="152"/>
    </row>
    <row r="24" spans="1:7">
      <c r="D24" s="152"/>
      <c r="E24" s="152"/>
      <c r="F24" s="152"/>
      <c r="G24" s="152"/>
    </row>
    <row r="25" spans="1:7">
      <c r="A25" s="130"/>
      <c r="B25" s="131"/>
      <c r="C25" s="131"/>
      <c r="D25" s="131"/>
      <c r="E25" s="131"/>
      <c r="F25" s="165" t="s">
        <v>302</v>
      </c>
    </row>
    <row r="26" spans="1:7">
      <c r="A26" s="151" t="s">
        <v>303</v>
      </c>
      <c r="B26" s="152"/>
      <c r="C26" s="152"/>
      <c r="D26" s="152"/>
      <c r="E26" s="152"/>
      <c r="F26" s="167">
        <f>C22*B13*365*24*(1+B14/100)</f>
        <v>5524318.7999999998</v>
      </c>
    </row>
    <row r="27" spans="1:7">
      <c r="A27" s="151" t="s">
        <v>304</v>
      </c>
      <c r="B27" s="152"/>
      <c r="C27" s="152"/>
      <c r="D27" s="152"/>
      <c r="E27" s="152"/>
      <c r="F27" s="167">
        <v>6088905</v>
      </c>
    </row>
    <row r="28" spans="1:7">
      <c r="A28" s="151" t="s">
        <v>305</v>
      </c>
      <c r="B28" s="152"/>
      <c r="C28" s="152"/>
      <c r="D28" s="152"/>
      <c r="E28" s="152"/>
      <c r="F28" s="167">
        <f>(F26+F27)*B15/100</f>
        <v>2903305.95</v>
      </c>
    </row>
    <row r="29" spans="1:7">
      <c r="A29" s="151" t="s">
        <v>306</v>
      </c>
      <c r="B29" s="152"/>
      <c r="C29" s="152"/>
      <c r="D29" s="152"/>
      <c r="E29" s="152"/>
      <c r="F29" s="167">
        <v>18118017</v>
      </c>
    </row>
    <row r="30" spans="1:7">
      <c r="A30" s="156" t="s">
        <v>307</v>
      </c>
      <c r="B30" s="157"/>
      <c r="C30" s="157"/>
      <c r="D30" s="157"/>
      <c r="E30" s="157"/>
      <c r="F30" s="168">
        <f>SUM(F26:F29)</f>
        <v>32634546.75</v>
      </c>
    </row>
    <row r="32" spans="1:7">
      <c r="A32" s="150" t="s">
        <v>308</v>
      </c>
      <c r="B32" s="131"/>
      <c r="C32" s="131"/>
      <c r="D32" s="131"/>
      <c r="E32" s="131"/>
      <c r="F32" s="191"/>
    </row>
    <row r="33" spans="1:6">
      <c r="A33" s="140"/>
      <c r="B33" s="152"/>
      <c r="C33" s="152"/>
      <c r="D33" s="152"/>
      <c r="E33" s="152"/>
      <c r="F33" s="170" t="s">
        <v>302</v>
      </c>
    </row>
    <row r="34" spans="1:6">
      <c r="A34" s="151" t="s">
        <v>309</v>
      </c>
      <c r="B34" s="152"/>
      <c r="C34" s="152"/>
      <c r="D34" s="152"/>
      <c r="E34" s="152"/>
      <c r="F34" s="167">
        <v>9133357</v>
      </c>
    </row>
    <row r="35" spans="1:6">
      <c r="A35" s="140"/>
      <c r="B35" s="152"/>
      <c r="C35" s="152"/>
      <c r="D35" s="152"/>
      <c r="E35" s="152"/>
      <c r="F35" s="138"/>
    </row>
    <row r="36" spans="1:6">
      <c r="A36" s="140"/>
      <c r="B36" s="174" t="s">
        <v>310</v>
      </c>
      <c r="C36" s="174" t="s">
        <v>311</v>
      </c>
      <c r="D36" s="174" t="s">
        <v>312</v>
      </c>
      <c r="E36" s="174" t="s">
        <v>313</v>
      </c>
      <c r="F36" s="170" t="s">
        <v>314</v>
      </c>
    </row>
    <row r="37" spans="1:6">
      <c r="A37" s="151" t="s">
        <v>315</v>
      </c>
      <c r="B37" s="152">
        <v>0</v>
      </c>
      <c r="C37" s="139">
        <v>3884</v>
      </c>
      <c r="D37" s="178">
        <v>1.0820000000000001</v>
      </c>
      <c r="E37" s="141">
        <f>B37*D37</f>
        <v>0</v>
      </c>
      <c r="F37" s="167">
        <f>C37*D37*365*0.85</f>
        <v>1303821.902</v>
      </c>
    </row>
    <row r="38" spans="1:6">
      <c r="A38" s="151"/>
      <c r="B38" s="152"/>
      <c r="C38" s="139"/>
      <c r="D38" s="178"/>
      <c r="E38" s="141"/>
      <c r="F38" s="167"/>
    </row>
    <row r="39" spans="1:6">
      <c r="A39" s="171" t="s">
        <v>316</v>
      </c>
      <c r="B39" s="172"/>
      <c r="C39" s="175"/>
      <c r="D39" s="176"/>
      <c r="E39" s="177"/>
      <c r="F39" s="173"/>
    </row>
    <row r="40" spans="1:6">
      <c r="A40" s="136" t="s">
        <v>317</v>
      </c>
      <c r="B40" s="152">
        <v>0</v>
      </c>
      <c r="C40" s="139">
        <v>18799</v>
      </c>
      <c r="D40" s="178">
        <v>0.17</v>
      </c>
      <c r="E40" s="141">
        <f t="shared" ref="E40:E62" si="0">B40*D40</f>
        <v>0</v>
      </c>
      <c r="F40" s="167">
        <f>C40*D40*365*0.85</f>
        <v>991506.25750000018</v>
      </c>
    </row>
    <row r="41" spans="1:6">
      <c r="A41" s="136" t="s">
        <v>318</v>
      </c>
      <c r="B41" s="152">
        <v>0</v>
      </c>
      <c r="C41" s="139">
        <v>488</v>
      </c>
      <c r="D41" s="178">
        <v>21.63</v>
      </c>
      <c r="E41" s="141">
        <f>B41*D41</f>
        <v>0</v>
      </c>
      <c r="F41" s="167">
        <f>C41*D41*365*0.85</f>
        <v>3274825.26</v>
      </c>
    </row>
    <row r="42" spans="1:6">
      <c r="A42" s="136" t="s">
        <v>319</v>
      </c>
      <c r="B42" s="152">
        <v>0</v>
      </c>
      <c r="C42" s="139">
        <v>0</v>
      </c>
      <c r="D42" s="178">
        <v>1.05</v>
      </c>
      <c r="E42" s="141">
        <f t="shared" si="0"/>
        <v>0</v>
      </c>
      <c r="F42" s="167">
        <f t="shared" ref="F42:F62" si="1">C42*D42*365*0.85</f>
        <v>0</v>
      </c>
    </row>
    <row r="43" spans="1:6">
      <c r="A43" s="136" t="s">
        <v>320</v>
      </c>
      <c r="B43" s="152">
        <v>1028</v>
      </c>
      <c r="C43" s="139">
        <v>0</v>
      </c>
      <c r="D43" s="178">
        <v>2249.89</v>
      </c>
      <c r="E43" s="141">
        <f>B43*D43</f>
        <v>2312886.92</v>
      </c>
      <c r="F43" s="167">
        <f t="shared" si="1"/>
        <v>0</v>
      </c>
    </row>
    <row r="44" spans="1:6">
      <c r="A44" s="136" t="s">
        <v>321</v>
      </c>
      <c r="B44" s="152">
        <v>73</v>
      </c>
      <c r="C44" s="139">
        <v>0</v>
      </c>
      <c r="D44" s="178">
        <v>433.68</v>
      </c>
      <c r="E44" s="141">
        <f t="shared" si="0"/>
        <v>31658.639999999999</v>
      </c>
      <c r="F44" s="167">
        <f t="shared" si="1"/>
        <v>0</v>
      </c>
    </row>
    <row r="45" spans="1:6">
      <c r="A45" s="136" t="s">
        <v>322</v>
      </c>
      <c r="B45" s="152">
        <v>69</v>
      </c>
      <c r="C45" s="139">
        <v>0</v>
      </c>
      <c r="D45" s="178">
        <v>138.78</v>
      </c>
      <c r="E45" s="141">
        <f t="shared" si="0"/>
        <v>9575.82</v>
      </c>
      <c r="F45" s="167">
        <f t="shared" si="1"/>
        <v>0</v>
      </c>
    </row>
    <row r="46" spans="1:6">
      <c r="A46" s="136" t="s">
        <v>323</v>
      </c>
      <c r="B46" s="152"/>
      <c r="C46" s="139"/>
      <c r="D46" s="178"/>
      <c r="E46" s="141">
        <v>142156</v>
      </c>
      <c r="F46" s="167">
        <f t="shared" si="1"/>
        <v>0</v>
      </c>
    </row>
    <row r="47" spans="1:6">
      <c r="A47" s="136" t="s">
        <v>324</v>
      </c>
      <c r="B47" s="152">
        <v>0</v>
      </c>
      <c r="C47" s="139">
        <v>0</v>
      </c>
      <c r="D47" s="178">
        <v>1.05</v>
      </c>
      <c r="E47" s="141">
        <f t="shared" si="0"/>
        <v>0</v>
      </c>
      <c r="F47" s="167">
        <f t="shared" si="1"/>
        <v>0</v>
      </c>
    </row>
    <row r="48" spans="1:6">
      <c r="A48" s="136" t="s">
        <v>325</v>
      </c>
      <c r="B48" s="152">
        <v>0</v>
      </c>
      <c r="C48" s="139">
        <v>74</v>
      </c>
      <c r="D48" s="178">
        <v>129.80000000000001</v>
      </c>
      <c r="E48" s="141">
        <f t="shared" si="0"/>
        <v>0</v>
      </c>
      <c r="F48" s="167">
        <f t="shared" si="1"/>
        <v>2980013.3000000003</v>
      </c>
    </row>
    <row r="49" spans="1:6">
      <c r="A49" s="136"/>
      <c r="B49" s="152"/>
      <c r="C49" s="139"/>
      <c r="D49" s="178"/>
      <c r="E49" s="141"/>
      <c r="F49" s="167"/>
    </row>
    <row r="50" spans="1:6">
      <c r="A50" s="171" t="s">
        <v>326</v>
      </c>
      <c r="B50" s="172"/>
      <c r="C50" s="175"/>
      <c r="D50" s="176"/>
      <c r="E50" s="177"/>
      <c r="F50" s="173"/>
    </row>
    <row r="51" spans="1:6">
      <c r="A51" s="136" t="s">
        <v>327</v>
      </c>
      <c r="B51" s="152">
        <v>0</v>
      </c>
      <c r="C51" s="139">
        <v>0</v>
      </c>
      <c r="D51" s="178">
        <v>0</v>
      </c>
      <c r="E51" s="141">
        <f t="shared" si="0"/>
        <v>0</v>
      </c>
      <c r="F51" s="167">
        <f t="shared" si="1"/>
        <v>0</v>
      </c>
    </row>
    <row r="52" spans="1:6">
      <c r="A52" s="136" t="s">
        <v>328</v>
      </c>
      <c r="B52" s="180" t="s">
        <v>329</v>
      </c>
      <c r="C52" s="179">
        <v>0.31</v>
      </c>
      <c r="D52" s="178">
        <v>5775.94</v>
      </c>
      <c r="E52" s="141">
        <v>0</v>
      </c>
      <c r="F52" s="167">
        <f t="shared" si="1"/>
        <v>555515.46934999991</v>
      </c>
    </row>
    <row r="53" spans="1:6">
      <c r="A53" s="136" t="s">
        <v>330</v>
      </c>
      <c r="B53" s="152">
        <v>0</v>
      </c>
      <c r="C53" s="139">
        <v>0</v>
      </c>
      <c r="D53" s="178">
        <v>0</v>
      </c>
      <c r="E53" s="141">
        <f t="shared" si="0"/>
        <v>0</v>
      </c>
      <c r="F53" s="167">
        <f t="shared" si="1"/>
        <v>0</v>
      </c>
    </row>
    <row r="54" spans="1:6">
      <c r="A54" s="136"/>
      <c r="B54" s="152"/>
      <c r="C54" s="139"/>
      <c r="D54" s="178"/>
      <c r="E54" s="141"/>
      <c r="F54" s="167"/>
    </row>
    <row r="55" spans="1:6">
      <c r="A55" s="171" t="s">
        <v>331</v>
      </c>
      <c r="B55" s="172"/>
      <c r="C55" s="175"/>
      <c r="D55" s="176"/>
      <c r="E55" s="177"/>
      <c r="F55" s="173"/>
    </row>
    <row r="56" spans="1:6">
      <c r="A56" s="136" t="s">
        <v>332</v>
      </c>
      <c r="B56" s="152">
        <v>0</v>
      </c>
      <c r="C56" s="139">
        <v>0</v>
      </c>
      <c r="D56" s="178">
        <v>0.31</v>
      </c>
      <c r="E56" s="141">
        <f t="shared" si="0"/>
        <v>0</v>
      </c>
      <c r="F56" s="167">
        <f t="shared" si="1"/>
        <v>0</v>
      </c>
    </row>
    <row r="57" spans="1:6">
      <c r="A57" s="136" t="s">
        <v>333</v>
      </c>
      <c r="B57" s="152">
        <v>0</v>
      </c>
      <c r="C57" s="139">
        <v>381</v>
      </c>
      <c r="D57" s="178">
        <v>16.23</v>
      </c>
      <c r="E57" s="141">
        <f t="shared" si="0"/>
        <v>0</v>
      </c>
      <c r="F57" s="167">
        <f t="shared" si="1"/>
        <v>1918471.2075</v>
      </c>
    </row>
    <row r="58" spans="1:6">
      <c r="A58" s="136" t="s">
        <v>334</v>
      </c>
      <c r="B58" s="152">
        <v>0</v>
      </c>
      <c r="C58" s="139">
        <v>95</v>
      </c>
      <c r="D58" s="178">
        <v>16.23</v>
      </c>
      <c r="E58" s="141">
        <f t="shared" si="0"/>
        <v>0</v>
      </c>
      <c r="F58" s="167">
        <f t="shared" si="1"/>
        <v>478358.96249999997</v>
      </c>
    </row>
    <row r="59" spans="1:6">
      <c r="A59" s="136"/>
      <c r="B59" s="152"/>
      <c r="C59" s="139"/>
      <c r="D59" s="178"/>
      <c r="E59" s="141"/>
      <c r="F59" s="167"/>
    </row>
    <row r="60" spans="1:6">
      <c r="A60" s="171" t="s">
        <v>335</v>
      </c>
      <c r="B60" s="172"/>
      <c r="C60" s="175"/>
      <c r="D60" s="176"/>
      <c r="E60" s="177"/>
      <c r="F60" s="173"/>
    </row>
    <row r="61" spans="1:6">
      <c r="A61" s="136" t="s">
        <v>336</v>
      </c>
      <c r="B61" s="152">
        <v>0</v>
      </c>
      <c r="C61" s="139">
        <v>759</v>
      </c>
      <c r="D61" s="178">
        <v>0</v>
      </c>
      <c r="E61" s="141">
        <f t="shared" si="0"/>
        <v>0</v>
      </c>
      <c r="F61" s="167">
        <f t="shared" si="1"/>
        <v>0</v>
      </c>
    </row>
    <row r="62" spans="1:6">
      <c r="A62" s="136" t="s">
        <v>337</v>
      </c>
      <c r="B62" s="152">
        <v>0</v>
      </c>
      <c r="C62" s="139">
        <v>0</v>
      </c>
      <c r="D62" s="178">
        <v>0</v>
      </c>
      <c r="E62" s="141">
        <f t="shared" si="0"/>
        <v>0</v>
      </c>
      <c r="F62" s="167">
        <f t="shared" si="1"/>
        <v>0</v>
      </c>
    </row>
    <row r="63" spans="1:6">
      <c r="A63" s="136"/>
      <c r="B63" s="152"/>
      <c r="C63" s="139"/>
      <c r="D63" s="178"/>
      <c r="E63" s="141"/>
      <c r="F63" s="167"/>
    </row>
    <row r="64" spans="1:6">
      <c r="A64" s="151" t="s">
        <v>338</v>
      </c>
      <c r="B64" s="152">
        <f>M57</f>
        <v>0</v>
      </c>
      <c r="C64" s="139">
        <v>4914</v>
      </c>
      <c r="D64" s="178">
        <v>38.19</v>
      </c>
      <c r="E64" s="141">
        <f>B64*D64</f>
        <v>0</v>
      </c>
      <c r="F64" s="167">
        <f>C64*D64*365*0.85</f>
        <v>58223271.014999993</v>
      </c>
    </row>
    <row r="65" spans="1:6">
      <c r="A65" s="151"/>
      <c r="B65" s="152"/>
      <c r="C65" s="152"/>
      <c r="D65" s="178"/>
      <c r="E65" s="141"/>
      <c r="F65" s="167"/>
    </row>
    <row r="66" spans="1:6">
      <c r="A66" s="181" t="s">
        <v>339</v>
      </c>
      <c r="B66" s="182"/>
      <c r="C66" s="182"/>
      <c r="D66" s="182"/>
      <c r="E66" s="183"/>
      <c r="F66" s="184">
        <f>SUM(F34:F64)</f>
        <v>78859140.373849988</v>
      </c>
    </row>
    <row r="67" spans="1:6">
      <c r="A67" s="185" t="s">
        <v>340</v>
      </c>
      <c r="B67" s="186"/>
      <c r="C67" s="186"/>
      <c r="D67" s="186"/>
      <c r="E67" s="187"/>
      <c r="F67" s="188">
        <f>F66-F64</f>
        <v>20635869.358849995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199</vt:i4>
      </vt:variant>
    </vt:vector>
  </HeadingPairs>
  <TitlesOfParts>
    <vt:vector size="210" baseType="lpstr">
      <vt:lpstr>Interface</vt:lpstr>
      <vt:lpstr>Layout</vt:lpstr>
      <vt:lpstr>Calculations</vt:lpstr>
      <vt:lpstr>Series</vt:lpstr>
      <vt:lpstr>modeFront</vt:lpstr>
      <vt:lpstr>COE</vt:lpstr>
      <vt:lpstr>ADS</vt:lpstr>
      <vt:lpstr>RGN</vt:lpstr>
      <vt:lpstr>Baseline Case 11</vt:lpstr>
      <vt:lpstr>Baseline Case 12</vt:lpstr>
      <vt:lpstr>Sheet1</vt:lpstr>
      <vt:lpstr>a</vt:lpstr>
      <vt:lpstr>a_aG</vt:lpstr>
      <vt:lpstr>a_rG</vt:lpstr>
      <vt:lpstr>AdminCost</vt:lpstr>
      <vt:lpstr>adsN</vt:lpstr>
      <vt:lpstr>AHX_B</vt:lpstr>
      <vt:lpstr>AHXft_aG</vt:lpstr>
      <vt:lpstr>AHXft_B</vt:lpstr>
      <vt:lpstr>AHXft_M</vt:lpstr>
      <vt:lpstr>AHXft_rB</vt:lpstr>
      <vt:lpstr>AHXft_rG</vt:lpstr>
      <vt:lpstr>AHXft_rT</vt:lpstr>
      <vt:lpstr>AHXft_T</vt:lpstr>
      <vt:lpstr>AHXm_aG</vt:lpstr>
      <vt:lpstr>AHXm_B</vt:lpstr>
      <vt:lpstr>AHXm_M</vt:lpstr>
      <vt:lpstr>AHXm_rB</vt:lpstr>
      <vt:lpstr>AHXm_rG</vt:lpstr>
      <vt:lpstr>AHXm_rT</vt:lpstr>
      <vt:lpstr>AHXm_T</vt:lpstr>
      <vt:lpstr>AnOpLaborCost</vt:lpstr>
      <vt:lpstr>AnWaterCost_Case11</vt:lpstr>
      <vt:lpstr>b</vt:lpstr>
      <vt:lpstr>b_aG</vt:lpstr>
      <vt:lpstr>b_rG</vt:lpstr>
      <vt:lpstr>Cb</vt:lpstr>
      <vt:lpstr>Cb_aG</vt:lpstr>
      <vt:lpstr>Cb_B</vt:lpstr>
      <vt:lpstr>Cb_M</vt:lpstr>
      <vt:lpstr>Cb_rB</vt:lpstr>
      <vt:lpstr>Cb_rT</vt:lpstr>
      <vt:lpstr>Cb_T</vt:lpstr>
      <vt:lpstr>CbMax_aC</vt:lpstr>
      <vt:lpstr>CbMax_aG</vt:lpstr>
      <vt:lpstr>CbMax_rC</vt:lpstr>
      <vt:lpstr>CbMax_rG</vt:lpstr>
      <vt:lpstr>Cbt_B</vt:lpstr>
      <vt:lpstr>Cbt_M</vt:lpstr>
      <vt:lpstr>Cbt_rB</vt:lpstr>
      <vt:lpstr>Cbt_rT</vt:lpstr>
      <vt:lpstr>Cbt_T</vt:lpstr>
      <vt:lpstr>CostPerUnit_B</vt:lpstr>
      <vt:lpstr>CostPerUnit_M</vt:lpstr>
      <vt:lpstr>CostPerUnit_rB</vt:lpstr>
      <vt:lpstr>CostPerUnit_rT</vt:lpstr>
      <vt:lpstr>CostPerUnit_T</vt:lpstr>
      <vt:lpstr>CostPL_B</vt:lpstr>
      <vt:lpstr>CostPL_M</vt:lpstr>
      <vt:lpstr>CostPL_rB</vt:lpstr>
      <vt:lpstr>CosTPL_rT</vt:lpstr>
      <vt:lpstr>CostPL_T</vt:lpstr>
      <vt:lpstr>dSolid</vt:lpstr>
      <vt:lpstr>dSteel</vt:lpstr>
      <vt:lpstr>Dt</vt:lpstr>
      <vt:lpstr>Dt_B</vt:lpstr>
      <vt:lpstr>Dt_M</vt:lpstr>
      <vt:lpstr>Dt_rB</vt:lpstr>
      <vt:lpstr>Dt_rT</vt:lpstr>
      <vt:lpstr>Dt_T</vt:lpstr>
      <vt:lpstr>E</vt:lpstr>
      <vt:lpstr>E_M</vt:lpstr>
      <vt:lpstr>Fcap</vt:lpstr>
      <vt:lpstr>Fdel</vt:lpstr>
      <vt:lpstr>Fgas</vt:lpstr>
      <vt:lpstr>Fhx</vt:lpstr>
      <vt:lpstr>Fl</vt:lpstr>
      <vt:lpstr>Fl_aG</vt:lpstr>
      <vt:lpstr>Flang</vt:lpstr>
      <vt:lpstr>Fm</vt:lpstr>
      <vt:lpstr>Fm_aG</vt:lpstr>
      <vt:lpstr>Fnt</vt:lpstr>
      <vt:lpstr>Fnt_B</vt:lpstr>
      <vt:lpstr>Fnt_M</vt:lpstr>
      <vt:lpstr>Fnt_rB</vt:lpstr>
      <vt:lpstr>Fnt_rT</vt:lpstr>
      <vt:lpstr>Fnt_T</vt:lpstr>
      <vt:lpstr>Fp</vt:lpstr>
      <vt:lpstr>Fp_aG</vt:lpstr>
      <vt:lpstr>Fp_B</vt:lpstr>
      <vt:lpstr>Fp_M</vt:lpstr>
      <vt:lpstr>Fp_rB</vt:lpstr>
      <vt:lpstr>Fp_rT</vt:lpstr>
      <vt:lpstr>Fp_T</vt:lpstr>
      <vt:lpstr>Fscaling</vt:lpstr>
      <vt:lpstr>Fsolid</vt:lpstr>
      <vt:lpstr>Ftm</vt:lpstr>
      <vt:lpstr>Ftm_B</vt:lpstr>
      <vt:lpstr>Ftm_M</vt:lpstr>
      <vt:lpstr>Ftm_rB</vt:lpstr>
      <vt:lpstr>Ftm_rT</vt:lpstr>
      <vt:lpstr>Ftm_T</vt:lpstr>
      <vt:lpstr>Ftt</vt:lpstr>
      <vt:lpstr>Ftt_B</vt:lpstr>
      <vt:lpstr>Ftt_M</vt:lpstr>
      <vt:lpstr>Ftt_rB</vt:lpstr>
      <vt:lpstr>Ftt_rT</vt:lpstr>
      <vt:lpstr>Ftt_T</vt:lpstr>
      <vt:lpstr>H</vt:lpstr>
      <vt:lpstr>H_aELE</vt:lpstr>
      <vt:lpstr>H_B</vt:lpstr>
      <vt:lpstr>H_M</vt:lpstr>
      <vt:lpstr>H_rB</vt:lpstr>
      <vt:lpstr>H_rT</vt:lpstr>
      <vt:lpstr>H_T</vt:lpstr>
      <vt:lpstr>Lb</vt:lpstr>
      <vt:lpstr>Lb_B</vt:lpstr>
      <vt:lpstr>Lb_M</vt:lpstr>
      <vt:lpstr>Lb_rB</vt:lpstr>
      <vt:lpstr>Lb_rT</vt:lpstr>
      <vt:lpstr>Lb_T</vt:lpstr>
      <vt:lpstr>MaintLaborCost</vt:lpstr>
      <vt:lpstr>MaintLaborTOC_Case12</vt:lpstr>
      <vt:lpstr>MaxCb_rG</vt:lpstr>
      <vt:lpstr>NU_aC</vt:lpstr>
      <vt:lpstr>NU_aG</vt:lpstr>
      <vt:lpstr>NU_rC</vt:lpstr>
      <vt:lpstr>NU_rG</vt:lpstr>
      <vt:lpstr>Pd_B</vt:lpstr>
      <vt:lpstr>Pd_M</vt:lpstr>
      <vt:lpstr>Pd_rB</vt:lpstr>
      <vt:lpstr>Pd_rT</vt:lpstr>
      <vt:lpstr>Pd_T</vt:lpstr>
      <vt:lpstr>Pgas</vt:lpstr>
      <vt:lpstr>Pin</vt:lpstr>
      <vt:lpstr>Pin_B</vt:lpstr>
      <vt:lpstr>Pin_M</vt:lpstr>
      <vt:lpstr>Pin_rB</vt:lpstr>
      <vt:lpstr>Pin_rT</vt:lpstr>
      <vt:lpstr>Pin_T</vt:lpstr>
      <vt:lpstr>Pout_aC</vt:lpstr>
      <vt:lpstr>Pout_rC</vt:lpstr>
      <vt:lpstr>Pshell_aG</vt:lpstr>
      <vt:lpstr>Pshell_rG</vt:lpstr>
      <vt:lpstr>PW_aELE</vt:lpstr>
      <vt:lpstr>PW_rELE</vt:lpstr>
      <vt:lpstr>PWhp_aC</vt:lpstr>
      <vt:lpstr>PWhp_rC</vt:lpstr>
      <vt:lpstr>PWkw_aC</vt:lpstr>
      <vt:lpstr>PWkw_rC</vt:lpstr>
      <vt:lpstr>rgnN</vt:lpstr>
      <vt:lpstr>S</vt:lpstr>
      <vt:lpstr>S_M</vt:lpstr>
      <vt:lpstr>SolidFm</vt:lpstr>
      <vt:lpstr>TaxInsTOC_Case12</vt:lpstr>
      <vt:lpstr>tc</vt:lpstr>
      <vt:lpstr>tc_B</vt:lpstr>
      <vt:lpstr>tc_M</vt:lpstr>
      <vt:lpstr>tc_rB</vt:lpstr>
      <vt:lpstr>tc_rT</vt:lpstr>
      <vt:lpstr>tc_T</vt:lpstr>
      <vt:lpstr>Tgas</vt:lpstr>
      <vt:lpstr>tpadj_B</vt:lpstr>
      <vt:lpstr>tpadj_M</vt:lpstr>
      <vt:lpstr>tpadj_rB</vt:lpstr>
      <vt:lpstr>tpadj_rT</vt:lpstr>
      <vt:lpstr>tpadj_T</vt:lpstr>
      <vt:lpstr>tpcalc_B</vt:lpstr>
      <vt:lpstr>tpcalc_M</vt:lpstr>
      <vt:lpstr>tpcalc_rB</vt:lpstr>
      <vt:lpstr>tpcalc_rT</vt:lpstr>
      <vt:lpstr>tpcalc_T</vt:lpstr>
      <vt:lpstr>TrayCost_B</vt:lpstr>
      <vt:lpstr>TrayCost_M</vt:lpstr>
      <vt:lpstr>TrayCost_rB</vt:lpstr>
      <vt:lpstr>TrayCost_rT</vt:lpstr>
      <vt:lpstr>TrayCost_T</vt:lpstr>
      <vt:lpstr>ts</vt:lpstr>
      <vt:lpstr>ts_B</vt:lpstr>
      <vt:lpstr>ts_M</vt:lpstr>
      <vt:lpstr>ts_rB</vt:lpstr>
      <vt:lpstr>ts_rT</vt:lpstr>
      <vt:lpstr>ts_T</vt:lpstr>
      <vt:lpstr>tv</vt:lpstr>
      <vt:lpstr>tv_B</vt:lpstr>
      <vt:lpstr>tv_M</vt:lpstr>
      <vt:lpstr>tv_rB</vt:lpstr>
      <vt:lpstr>tv_rT</vt:lpstr>
      <vt:lpstr>tv_T</vt:lpstr>
      <vt:lpstr>tvtc</vt:lpstr>
      <vt:lpstr>tvtc_B</vt:lpstr>
      <vt:lpstr>tvtc_M</vt:lpstr>
      <vt:lpstr>tvtc_rB</vt:lpstr>
      <vt:lpstr>tvtc_rT</vt:lpstr>
      <vt:lpstr>tvtc_T</vt:lpstr>
      <vt:lpstr>tw</vt:lpstr>
      <vt:lpstr>tw_B</vt:lpstr>
      <vt:lpstr>tw_M</vt:lpstr>
      <vt:lpstr>tw_rB</vt:lpstr>
      <vt:lpstr>tw_rT</vt:lpstr>
      <vt:lpstr>tw_T</vt:lpstr>
      <vt:lpstr>VarMaintTOC_Case12</vt:lpstr>
      <vt:lpstr>VesselCost_B</vt:lpstr>
      <vt:lpstr>VesselCost_M</vt:lpstr>
      <vt:lpstr>VesselCost_rB</vt:lpstr>
      <vt:lpstr>VesselCost_rT</vt:lpstr>
      <vt:lpstr>VesselCost_T</vt:lpstr>
      <vt:lpstr>W</vt:lpstr>
      <vt:lpstr>w_aELE</vt:lpstr>
      <vt:lpstr>W_M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jeslick</dc:creator>
  <cp:lastModifiedBy>jeslick</cp:lastModifiedBy>
  <dcterms:created xsi:type="dcterms:W3CDTF">2012-04-30T16:38:58Z</dcterms:created>
  <dcterms:modified xsi:type="dcterms:W3CDTF">2013-09-16T14:23:38Z</dcterms:modified>
</cp:coreProperties>
</file>