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865" yWindow="-45" windowWidth="8355" windowHeight="6750" tabRatio="409" firstSheet="27" activeTab="27"/>
  </bookViews>
  <sheets>
    <sheet name="成本" sheetId="1" state="hidden" r:id="rId1"/>
    <sheet name="收入" sheetId="2" state="hidden" r:id="rId2"/>
    <sheet name="201712剩余款" sheetId="16" state="hidden" r:id="rId3"/>
    <sheet name="12月暂估数" sheetId="13" state="hidden" r:id="rId4"/>
    <sheet name="11月暂估数" sheetId="10" state="hidden" r:id="rId5"/>
    <sheet name="10月暂估数" sheetId="9" state="hidden" r:id="rId6"/>
    <sheet name="09月暂估数" sheetId="5" state="hidden" r:id="rId7"/>
    <sheet name="收入成本匹配" sheetId="3" state="hidden" r:id="rId8"/>
    <sheet name="kyle暂估" sheetId="4" state="hidden" r:id="rId9"/>
    <sheet name="收入1" sheetId="6" state="hidden" r:id="rId10"/>
    <sheet name="成本2" sheetId="7" state="hidden" r:id="rId11"/>
    <sheet name="10月收入成本匹配2" sheetId="8" state="hidden" r:id="rId12"/>
    <sheet name="11月KYLE提供" sheetId="11" state="hidden" r:id="rId13"/>
    <sheet name="11月异常" sheetId="12" state="hidden" r:id="rId14"/>
    <sheet name="12月异常" sheetId="15" state="hidden" r:id="rId15"/>
    <sheet name="201801" sheetId="18" state="hidden" r:id="rId16"/>
    <sheet name="201802" sheetId="19" state="hidden" r:id="rId17"/>
    <sheet name="201803" sheetId="20" state="hidden" r:id="rId18"/>
    <sheet name="201804" sheetId="21" state="hidden" r:id="rId19"/>
    <sheet name="201805" sheetId="22" state="hidden" r:id="rId20"/>
    <sheet name="201806" sheetId="23" state="hidden" r:id="rId21"/>
    <sheet name="201807" sheetId="25" state="hidden" r:id="rId22"/>
    <sheet name="201808" sheetId="26" state="hidden" r:id="rId23"/>
    <sheet name="201809" sheetId="24" state="hidden" r:id="rId24"/>
    <sheet name="201810" sheetId="28" state="hidden" r:id="rId25"/>
    <sheet name="201811" sheetId="29" state="hidden" r:id="rId26"/>
    <sheet name="201812" sheetId="35" state="hidden" r:id="rId27"/>
    <sheet name="2018年昆山" sheetId="30" r:id="rId28"/>
    <sheet name="2018年常熟" sheetId="31" r:id="rId29"/>
    <sheet name="2018年上海才烁" sheetId="32" r:id="rId30"/>
    <sheet name="闵行科技" sheetId="51" r:id="rId31"/>
  </sheets>
  <externalReferences>
    <externalReference r:id="rId32"/>
  </externalReferences>
  <definedNames>
    <definedName name="_xlnm._FilterDatabase" localSheetId="6" hidden="1">'09月暂估数'!$A$1:$R$98</definedName>
    <definedName name="_xlnm._FilterDatabase" localSheetId="11" hidden="1">'10月收入成本匹配2'!$A$2:$O$97</definedName>
    <definedName name="_xlnm._FilterDatabase" localSheetId="5" hidden="1">'10月暂估数'!$A$1:$K$23</definedName>
    <definedName name="_xlnm._FilterDatabase" localSheetId="13" hidden="1">'11月异常'!$A$6:$O$65</definedName>
    <definedName name="_xlnm._FilterDatabase" localSheetId="4" hidden="1">'11月暂估数'!$A$2:$Q$30</definedName>
    <definedName name="_xlnm._FilterDatabase" localSheetId="14" hidden="1">'12月异常'!$A$10:$T$120</definedName>
    <definedName name="_xlnm._FilterDatabase" localSheetId="2" hidden="1">'201712剩余款'!$A$8:$AO$37</definedName>
    <definedName name="_xlnm._FilterDatabase" localSheetId="15" hidden="1">'201801'!$B$12:$AK$36</definedName>
    <definedName name="_xlnm._FilterDatabase" localSheetId="16" hidden="1">'201802'!$B$2:$AH$8</definedName>
    <definedName name="_xlnm._FilterDatabase" localSheetId="17" hidden="1">'201803'!$B$11:$AH$34</definedName>
    <definedName name="_xlnm._FilterDatabase" localSheetId="18" hidden="1">'201804'!$B$2:$AE$9</definedName>
    <definedName name="_xlnm._FilterDatabase" localSheetId="19" hidden="1">'201805'!$B$12:$AB$33</definedName>
    <definedName name="_xlnm._FilterDatabase" localSheetId="20" hidden="1">'201806'!$A$35:$Y$48</definedName>
    <definedName name="_xlnm._FilterDatabase" localSheetId="21" hidden="1">'201807'!$A$1:$V$8</definedName>
    <definedName name="_xlnm._FilterDatabase" localSheetId="22" hidden="1">'201808'!$A$1:$S$8</definedName>
    <definedName name="_xlnm._FilterDatabase" localSheetId="23" hidden="1">'201809'!$A$1:$P$7</definedName>
    <definedName name="_xlnm._FilterDatabase" localSheetId="24" hidden="1">'201810'!$A$10:$M$10</definedName>
    <definedName name="_xlnm._FilterDatabase" localSheetId="25" hidden="1">'201811'!$A$10:$J$39</definedName>
    <definedName name="_xlnm._FilterDatabase" localSheetId="28" hidden="1">'2018年常熟'!$B$2:$CA$104</definedName>
    <definedName name="_xlnm._FilterDatabase" localSheetId="27" hidden="1">'2018年昆山'!$B$2:$CA$873</definedName>
    <definedName name="_xlnm._FilterDatabase" localSheetId="29" hidden="1">'2018年上海才烁'!$B$2:$CA$183</definedName>
    <definedName name="_xlnm._FilterDatabase" localSheetId="8" hidden="1">kyle暂估!$A$1:$K$1</definedName>
    <definedName name="_xlnm._FilterDatabase" localSheetId="0" hidden="1">成本!$A$2:$J$104</definedName>
    <definedName name="_xlnm._FilterDatabase" localSheetId="10" hidden="1">成本2!$A$2:$AC$104</definedName>
    <definedName name="_xlnm._FilterDatabase" localSheetId="1" hidden="1">收入!$A$2:$I$97</definedName>
    <definedName name="_xlnm._FilterDatabase" localSheetId="9" hidden="1">收入1!$A$2:$AB$96</definedName>
    <definedName name="_xlnm._FilterDatabase" localSheetId="7" hidden="1">收入成本匹配!$A$2:$O$97</definedName>
  </definedNames>
  <calcPr calcId="125725"/>
</workbook>
</file>

<file path=xl/calcChain.xml><?xml version="1.0" encoding="utf-8"?>
<calcChain xmlns="http://schemas.openxmlformats.org/spreadsheetml/2006/main">
  <c r="CE96" i="31"/>
  <c r="CG96" s="1"/>
  <c r="CF96"/>
  <c r="U4" i="51" l="1"/>
  <c r="V4"/>
  <c r="X4" s="1"/>
  <c r="W4"/>
  <c r="U5"/>
  <c r="V5"/>
  <c r="X5" s="1"/>
  <c r="W5"/>
  <c r="U6"/>
  <c r="V6"/>
  <c r="X6" s="1"/>
  <c r="W6"/>
  <c r="P4"/>
  <c r="P5"/>
  <c r="M5"/>
  <c r="M4"/>
  <c r="B4"/>
  <c r="B5"/>
  <c r="CD167" i="32"/>
  <c r="CE167"/>
  <c r="CD168"/>
  <c r="CF168" s="1"/>
  <c r="CE168"/>
  <c r="CD169"/>
  <c r="CE169"/>
  <c r="CD170"/>
  <c r="CF170" s="1"/>
  <c r="CE170"/>
  <c r="CD171"/>
  <c r="CE171"/>
  <c r="CD172"/>
  <c r="CF172" s="1"/>
  <c r="CE172"/>
  <c r="CD173"/>
  <c r="CE173"/>
  <c r="CD174"/>
  <c r="CF174" s="1"/>
  <c r="CE174"/>
  <c r="CD175"/>
  <c r="CE175"/>
  <c r="CD176"/>
  <c r="CF176" s="1"/>
  <c r="CE176"/>
  <c r="CD177"/>
  <c r="CE177"/>
  <c r="CD178"/>
  <c r="CF178" s="1"/>
  <c r="CE178"/>
  <c r="CD179"/>
  <c r="CE179"/>
  <c r="BW168"/>
  <c r="BZ168" s="1"/>
  <c r="BW169"/>
  <c r="BZ169" s="1"/>
  <c r="BW170"/>
  <c r="BW171"/>
  <c r="BZ171" s="1"/>
  <c r="BW172"/>
  <c r="BZ172" s="1"/>
  <c r="BW173"/>
  <c r="BZ173" s="1"/>
  <c r="BW174"/>
  <c r="BZ174" s="1"/>
  <c r="BW175"/>
  <c r="BZ175" s="1"/>
  <c r="BW176"/>
  <c r="BZ176" s="1"/>
  <c r="BW177"/>
  <c r="BZ177" s="1"/>
  <c r="BW178"/>
  <c r="BZ178" s="1"/>
  <c r="BW167"/>
  <c r="BZ167" s="1"/>
  <c r="CE842" i="30"/>
  <c r="CG842" s="1"/>
  <c r="CF842"/>
  <c r="CE843"/>
  <c r="CF843"/>
  <c r="CE844"/>
  <c r="CF844"/>
  <c r="CE845"/>
  <c r="CF845"/>
  <c r="CE846"/>
  <c r="CG846" s="1"/>
  <c r="CF846"/>
  <c r="CE847"/>
  <c r="CF847"/>
  <c r="CE848"/>
  <c r="CG848" s="1"/>
  <c r="CF848"/>
  <c r="CE849"/>
  <c r="CF849"/>
  <c r="CE850"/>
  <c r="CG850" s="1"/>
  <c r="CF850"/>
  <c r="CE851"/>
  <c r="CF851"/>
  <c r="CE852"/>
  <c r="CG852" s="1"/>
  <c r="CF852"/>
  <c r="CE853"/>
  <c r="CF853"/>
  <c r="CE854"/>
  <c r="CG854" s="1"/>
  <c r="CF854"/>
  <c r="CE855"/>
  <c r="CF855"/>
  <c r="CE856"/>
  <c r="CG856" s="1"/>
  <c r="CF856"/>
  <c r="CE857"/>
  <c r="CF857"/>
  <c r="CE858"/>
  <c r="CG858" s="1"/>
  <c r="CF858"/>
  <c r="CE859"/>
  <c r="CF859"/>
  <c r="CE860"/>
  <c r="CG860" s="1"/>
  <c r="CF860"/>
  <c r="CE861"/>
  <c r="CF861"/>
  <c r="CE862"/>
  <c r="CG862" s="1"/>
  <c r="CF862"/>
  <c r="CE863"/>
  <c r="CF863"/>
  <c r="CE864"/>
  <c r="CG864" s="1"/>
  <c r="CF864"/>
  <c r="CE865"/>
  <c r="CF865"/>
  <c r="CE866"/>
  <c r="CG866" s="1"/>
  <c r="CF866"/>
  <c r="CE867"/>
  <c r="CF867"/>
  <c r="BW842"/>
  <c r="BZ842" s="1"/>
  <c r="BW843"/>
  <c r="BZ843" s="1"/>
  <c r="BW844"/>
  <c r="BZ844" s="1"/>
  <c r="BW845"/>
  <c r="BZ845" s="1"/>
  <c r="BW846"/>
  <c r="BZ846" s="1"/>
  <c r="BW847"/>
  <c r="BZ847" s="1"/>
  <c r="BW848"/>
  <c r="BZ848" s="1"/>
  <c r="BW849"/>
  <c r="BZ849" s="1"/>
  <c r="BW850"/>
  <c r="BZ850" s="1"/>
  <c r="BW851"/>
  <c r="BZ851" s="1"/>
  <c r="BW852"/>
  <c r="BZ852" s="1"/>
  <c r="BW853"/>
  <c r="BZ853" s="1"/>
  <c r="BW854"/>
  <c r="BZ854" s="1"/>
  <c r="BW855"/>
  <c r="BZ855" s="1"/>
  <c r="BW856"/>
  <c r="BZ856" s="1"/>
  <c r="BW857"/>
  <c r="BZ857" s="1"/>
  <c r="BW858"/>
  <c r="BZ858" s="1"/>
  <c r="BW859"/>
  <c r="BZ859" s="1"/>
  <c r="BW860"/>
  <c r="BZ860" s="1"/>
  <c r="BW861"/>
  <c r="BZ861" s="1"/>
  <c r="BW862"/>
  <c r="BW863"/>
  <c r="BZ863" s="1"/>
  <c r="BW864"/>
  <c r="BZ864" s="1"/>
  <c r="BW865"/>
  <c r="BZ865" s="1"/>
  <c r="BW866"/>
  <c r="BZ866" s="1"/>
  <c r="BW867"/>
  <c r="BZ867" s="1"/>
  <c r="BW868"/>
  <c r="BZ868" s="1"/>
  <c r="BW869"/>
  <c r="BZ869" s="1"/>
  <c r="BW841"/>
  <c r="BZ841" s="1"/>
  <c r="B842"/>
  <c r="CD842" s="1"/>
  <c r="B843"/>
  <c r="CD843" s="1"/>
  <c r="B844"/>
  <c r="CD844" s="1"/>
  <c r="B845"/>
  <c r="CD845" s="1"/>
  <c r="B846"/>
  <c r="CD846" s="1"/>
  <c r="B847"/>
  <c r="CD847" s="1"/>
  <c r="B848"/>
  <c r="CD848" s="1"/>
  <c r="B849"/>
  <c r="CD849" s="1"/>
  <c r="B850"/>
  <c r="CD850" s="1"/>
  <c r="B851"/>
  <c r="CD851" s="1"/>
  <c r="B852"/>
  <c r="CD852" s="1"/>
  <c r="B853"/>
  <c r="CD853" s="1"/>
  <c r="B854"/>
  <c r="CD854" s="1"/>
  <c r="B855"/>
  <c r="CD855" s="1"/>
  <c r="B856"/>
  <c r="CD856" s="1"/>
  <c r="B857"/>
  <c r="CD857" s="1"/>
  <c r="B858"/>
  <c r="CD858" s="1"/>
  <c r="B859"/>
  <c r="CD859" s="1"/>
  <c r="B860"/>
  <c r="CD860" s="1"/>
  <c r="B861"/>
  <c r="CD861" s="1"/>
  <c r="B862"/>
  <c r="CD862" s="1"/>
  <c r="B863"/>
  <c r="CD863" s="1"/>
  <c r="B864"/>
  <c r="CD864" s="1"/>
  <c r="B865"/>
  <c r="CD865" s="1"/>
  <c r="B866"/>
  <c r="CD866" s="1"/>
  <c r="B867"/>
  <c r="CD867" s="1"/>
  <c r="BW96" i="31"/>
  <c r="BZ96" s="1"/>
  <c r="BW95"/>
  <c r="BZ95" s="1"/>
  <c r="BZ862" i="30" l="1"/>
  <c r="BY862"/>
  <c r="CF179" i="32"/>
  <c r="CF177"/>
  <c r="CF175"/>
  <c r="CF173"/>
  <c r="CF171"/>
  <c r="CF169"/>
  <c r="CF167"/>
  <c r="CG867" i="30"/>
  <c r="CG863"/>
  <c r="CG859"/>
  <c r="CG855"/>
  <c r="CG851"/>
  <c r="CG847"/>
  <c r="CG843"/>
  <c r="CG865"/>
  <c r="CG861"/>
  <c r="CG857"/>
  <c r="CG853"/>
  <c r="CG849"/>
  <c r="CG845"/>
  <c r="CG844"/>
  <c r="BY116" i="32" l="1"/>
  <c r="BY125"/>
  <c r="BV91" i="31"/>
  <c r="BY792" i="30"/>
  <c r="BY763"/>
  <c r="BY727" l="1"/>
  <c r="O16" i="51"/>
  <c r="P16"/>
  <c r="Q16"/>
  <c r="P3"/>
  <c r="BY105" i="31"/>
  <c r="CA105"/>
  <c r="CA184" i="32"/>
  <c r="BV762" i="30"/>
  <c r="BV800"/>
  <c r="BV660"/>
  <c r="BV788"/>
  <c r="BV837"/>
  <c r="BV752"/>
  <c r="BV116" i="32"/>
  <c r="BV108"/>
  <c r="BV158"/>
  <c r="BV676" i="30"/>
  <c r="BV776"/>
  <c r="J3" i="51"/>
  <c r="M3" s="1"/>
  <c r="M16" s="1"/>
  <c r="CD156" i="32"/>
  <c r="CE156"/>
  <c r="CD157"/>
  <c r="CE157"/>
  <c r="CD158"/>
  <c r="CE158"/>
  <c r="CD159"/>
  <c r="CE159"/>
  <c r="CD160"/>
  <c r="CE160"/>
  <c r="CD161"/>
  <c r="CE161"/>
  <c r="CD162"/>
  <c r="CE162"/>
  <c r="CD163"/>
  <c r="CE163"/>
  <c r="CD164"/>
  <c r="CE164"/>
  <c r="CD165"/>
  <c r="CE165"/>
  <c r="CD166"/>
  <c r="CE166"/>
  <c r="L16" i="51"/>
  <c r="N16"/>
  <c r="BT156" i="32"/>
  <c r="BW156" s="1"/>
  <c r="BZ156" s="1"/>
  <c r="BT157"/>
  <c r="BW157" s="1"/>
  <c r="BZ157" s="1"/>
  <c r="BT158"/>
  <c r="BW158" s="1"/>
  <c r="BT159"/>
  <c r="BW159" s="1"/>
  <c r="BZ159" s="1"/>
  <c r="BT160"/>
  <c r="BW160" s="1"/>
  <c r="BZ160" s="1"/>
  <c r="BT161"/>
  <c r="BT162"/>
  <c r="BW162" s="1"/>
  <c r="BZ162" s="1"/>
  <c r="BT163"/>
  <c r="BW163" s="1"/>
  <c r="BZ163" s="1"/>
  <c r="BT164"/>
  <c r="BW164" s="1"/>
  <c r="BZ164" s="1"/>
  <c r="BT165"/>
  <c r="BW165" s="1"/>
  <c r="BZ165" s="1"/>
  <c r="BT166"/>
  <c r="BW166" s="1"/>
  <c r="BZ166" s="1"/>
  <c r="BT155"/>
  <c r="BW155" s="1"/>
  <c r="BZ155" s="1"/>
  <c r="B165"/>
  <c r="CC165" s="1"/>
  <c r="B166"/>
  <c r="CC166" s="1"/>
  <c r="B167"/>
  <c r="CC167" s="1"/>
  <c r="B168"/>
  <c r="CC168" s="1"/>
  <c r="B169"/>
  <c r="CC169" s="1"/>
  <c r="B170"/>
  <c r="CC170" s="1"/>
  <c r="B171"/>
  <c r="CC171" s="1"/>
  <c r="B172"/>
  <c r="CC172" s="1"/>
  <c r="B173"/>
  <c r="CC173" s="1"/>
  <c r="B174"/>
  <c r="CC174" s="1"/>
  <c r="B175"/>
  <c r="CC175" s="1"/>
  <c r="B176"/>
  <c r="CC176" s="1"/>
  <c r="B155"/>
  <c r="B156"/>
  <c r="CC156" s="1"/>
  <c r="B157"/>
  <c r="CC157" s="1"/>
  <c r="B158"/>
  <c r="CC158" s="1"/>
  <c r="B159"/>
  <c r="CC159" s="1"/>
  <c r="B160"/>
  <c r="CC160" s="1"/>
  <c r="B161"/>
  <c r="CC161" s="1"/>
  <c r="B162"/>
  <c r="CC162" s="1"/>
  <c r="B163"/>
  <c r="CC163" s="1"/>
  <c r="B164"/>
  <c r="CC164" s="1"/>
  <c r="B177"/>
  <c r="CC177" s="1"/>
  <c r="B178"/>
  <c r="CC178" s="1"/>
  <c r="B179"/>
  <c r="CC179" s="1"/>
  <c r="B180"/>
  <c r="B181"/>
  <c r="B182"/>
  <c r="B183"/>
  <c r="CE90" i="31"/>
  <c r="CF90"/>
  <c r="CE91"/>
  <c r="CF91"/>
  <c r="CE92"/>
  <c r="CF92"/>
  <c r="CE93"/>
  <c r="CF93"/>
  <c r="CE94"/>
  <c r="CF94"/>
  <c r="CE95"/>
  <c r="CF95"/>
  <c r="BX105"/>
  <c r="BT91"/>
  <c r="BW91" s="1"/>
  <c r="BZ91" s="1"/>
  <c r="BT92"/>
  <c r="BW92" s="1"/>
  <c r="BZ92" s="1"/>
  <c r="BT93"/>
  <c r="BW93" s="1"/>
  <c r="BZ93" s="1"/>
  <c r="BT94"/>
  <c r="BT90"/>
  <c r="BW90" s="1"/>
  <c r="BZ90" s="1"/>
  <c r="B91"/>
  <c r="CD91" s="1"/>
  <c r="B92"/>
  <c r="CD92" s="1"/>
  <c r="B93"/>
  <c r="CD93" s="1"/>
  <c r="B94"/>
  <c r="CD94" s="1"/>
  <c r="B95"/>
  <c r="CD95" s="1"/>
  <c r="B96"/>
  <c r="CD96" s="1"/>
  <c r="B97"/>
  <c r="B98"/>
  <c r="B99"/>
  <c r="B100"/>
  <c r="B101"/>
  <c r="B102"/>
  <c r="B103"/>
  <c r="B104"/>
  <c r="B90"/>
  <c r="CD90" s="1"/>
  <c r="BT799" i="30"/>
  <c r="BW799" s="1"/>
  <c r="BZ799" s="1"/>
  <c r="BT800"/>
  <c r="BT801"/>
  <c r="BW801" s="1"/>
  <c r="BZ801" s="1"/>
  <c r="BT802"/>
  <c r="BW802" s="1"/>
  <c r="BZ802" s="1"/>
  <c r="BT803"/>
  <c r="BT804"/>
  <c r="BW804" s="1"/>
  <c r="BZ804" s="1"/>
  <c r="BT805"/>
  <c r="BV805" s="1"/>
  <c r="BT806"/>
  <c r="BT807"/>
  <c r="BW807" s="1"/>
  <c r="BZ807" s="1"/>
  <c r="BT808"/>
  <c r="BW808" s="1"/>
  <c r="BZ808" s="1"/>
  <c r="BT809"/>
  <c r="BW809" s="1"/>
  <c r="BZ809" s="1"/>
  <c r="BT810"/>
  <c r="BW810" s="1"/>
  <c r="BZ810" s="1"/>
  <c r="BT811"/>
  <c r="BW811" s="1"/>
  <c r="BZ811" s="1"/>
  <c r="BT812"/>
  <c r="BW812" s="1"/>
  <c r="BZ812" s="1"/>
  <c r="BT813"/>
  <c r="BV813" s="1"/>
  <c r="BT814"/>
  <c r="BW814" s="1"/>
  <c r="BZ814" s="1"/>
  <c r="BT815"/>
  <c r="BW815" s="1"/>
  <c r="BT816"/>
  <c r="BW816" s="1"/>
  <c r="BZ816" s="1"/>
  <c r="BT817"/>
  <c r="BW817" s="1"/>
  <c r="BZ817" s="1"/>
  <c r="BT818"/>
  <c r="BW818" s="1"/>
  <c r="BZ818" s="1"/>
  <c r="BT819"/>
  <c r="BW819" s="1"/>
  <c r="BZ819" s="1"/>
  <c r="BT820"/>
  <c r="BW820" s="1"/>
  <c r="BZ820" s="1"/>
  <c r="BT821"/>
  <c r="BW821" s="1"/>
  <c r="BZ821" s="1"/>
  <c r="BT822"/>
  <c r="BW822" s="1"/>
  <c r="BZ822" s="1"/>
  <c r="BT823"/>
  <c r="BT824"/>
  <c r="BT825"/>
  <c r="BW825" s="1"/>
  <c r="BZ825" s="1"/>
  <c r="BT826"/>
  <c r="BW826" s="1"/>
  <c r="BZ826" s="1"/>
  <c r="BT827"/>
  <c r="BV827" s="1"/>
  <c r="BT828"/>
  <c r="BW828" s="1"/>
  <c r="BZ828" s="1"/>
  <c r="BT829"/>
  <c r="BT830"/>
  <c r="BW830" s="1"/>
  <c r="BZ830" s="1"/>
  <c r="BT831"/>
  <c r="BW831" s="1"/>
  <c r="BZ831" s="1"/>
  <c r="BT832"/>
  <c r="BW832" s="1"/>
  <c r="BZ832" s="1"/>
  <c r="BT833"/>
  <c r="BW833" s="1"/>
  <c r="BZ833" s="1"/>
  <c r="BT834"/>
  <c r="BW834" s="1"/>
  <c r="BZ834" s="1"/>
  <c r="BT835"/>
  <c r="BW835" s="1"/>
  <c r="BZ835" s="1"/>
  <c r="BT836"/>
  <c r="BW836" s="1"/>
  <c r="BZ836" s="1"/>
  <c r="BT837"/>
  <c r="BT838"/>
  <c r="BW838" s="1"/>
  <c r="BZ838" s="1"/>
  <c r="BT839"/>
  <c r="BW839" s="1"/>
  <c r="BZ839" s="1"/>
  <c r="BT840"/>
  <c r="BW840" s="1"/>
  <c r="BZ840" s="1"/>
  <c r="BT798"/>
  <c r="BW798" s="1"/>
  <c r="BZ798" s="1"/>
  <c r="B819"/>
  <c r="CD819" s="1"/>
  <c r="CE819"/>
  <c r="CF819"/>
  <c r="B820"/>
  <c r="CD820" s="1"/>
  <c r="CE820"/>
  <c r="CF820"/>
  <c r="B821"/>
  <c r="CD821" s="1"/>
  <c r="CE821"/>
  <c r="CF821"/>
  <c r="B822"/>
  <c r="CD822" s="1"/>
  <c r="CE822"/>
  <c r="CF822"/>
  <c r="B823"/>
  <c r="CD823" s="1"/>
  <c r="CE823"/>
  <c r="CF823"/>
  <c r="B824"/>
  <c r="CD824" s="1"/>
  <c r="CE824"/>
  <c r="CF824"/>
  <c r="B825"/>
  <c r="CD825" s="1"/>
  <c r="CE825"/>
  <c r="CF825"/>
  <c r="B826"/>
  <c r="CD826" s="1"/>
  <c r="CE826"/>
  <c r="CF826"/>
  <c r="B827"/>
  <c r="CD827" s="1"/>
  <c r="CE827"/>
  <c r="CF827"/>
  <c r="B828"/>
  <c r="CD828" s="1"/>
  <c r="CE828"/>
  <c r="CF828"/>
  <c r="B829"/>
  <c r="CD829" s="1"/>
  <c r="CE829"/>
  <c r="CF829"/>
  <c r="B830"/>
  <c r="CD830" s="1"/>
  <c r="CE830"/>
  <c r="CF830"/>
  <c r="B831"/>
  <c r="CD831" s="1"/>
  <c r="CE831"/>
  <c r="CF831"/>
  <c r="B832"/>
  <c r="CD832" s="1"/>
  <c r="CE832"/>
  <c r="CF832"/>
  <c r="B833"/>
  <c r="CD833" s="1"/>
  <c r="CE833"/>
  <c r="CF833"/>
  <c r="B834"/>
  <c r="CD834" s="1"/>
  <c r="CE834"/>
  <c r="CF834"/>
  <c r="B835"/>
  <c r="CD835" s="1"/>
  <c r="CE835"/>
  <c r="CF835"/>
  <c r="B836"/>
  <c r="CD836" s="1"/>
  <c r="CE836"/>
  <c r="CF836"/>
  <c r="B799"/>
  <c r="CD799" s="1"/>
  <c r="CE799"/>
  <c r="CF799"/>
  <c r="B800"/>
  <c r="CD800" s="1"/>
  <c r="CE800"/>
  <c r="CF800"/>
  <c r="B801"/>
  <c r="CD801" s="1"/>
  <c r="CE801"/>
  <c r="CF801"/>
  <c r="B802"/>
  <c r="CD802" s="1"/>
  <c r="CE802"/>
  <c r="CF802"/>
  <c r="B803"/>
  <c r="CD803" s="1"/>
  <c r="CE803"/>
  <c r="CF803"/>
  <c r="B804"/>
  <c r="CD804" s="1"/>
  <c r="CE804"/>
  <c r="CF804"/>
  <c r="B805"/>
  <c r="CD805" s="1"/>
  <c r="CE805"/>
  <c r="CF805"/>
  <c r="B806"/>
  <c r="CD806" s="1"/>
  <c r="CE806"/>
  <c r="CF806"/>
  <c r="B807"/>
  <c r="CD807" s="1"/>
  <c r="CE807"/>
  <c r="CF807"/>
  <c r="B808"/>
  <c r="CD808" s="1"/>
  <c r="CE808"/>
  <c r="CF808"/>
  <c r="B809"/>
  <c r="CD809" s="1"/>
  <c r="CE809"/>
  <c r="CF809"/>
  <c r="B810"/>
  <c r="CD810" s="1"/>
  <c r="CE810"/>
  <c r="CF810"/>
  <c r="B811"/>
  <c r="CD811" s="1"/>
  <c r="CE811"/>
  <c r="CF811"/>
  <c r="B812"/>
  <c r="CD812" s="1"/>
  <c r="CE812"/>
  <c r="CF812"/>
  <c r="B813"/>
  <c r="CD813" s="1"/>
  <c r="CE813"/>
  <c r="CF813"/>
  <c r="B814"/>
  <c r="CD814" s="1"/>
  <c r="CE814"/>
  <c r="CF814"/>
  <c r="B815"/>
  <c r="CD815" s="1"/>
  <c r="CE815"/>
  <c r="CF815"/>
  <c r="B816"/>
  <c r="CD816" s="1"/>
  <c r="CE816"/>
  <c r="CF816"/>
  <c r="B817"/>
  <c r="CD817" s="1"/>
  <c r="CE817"/>
  <c r="CF817"/>
  <c r="B818"/>
  <c r="CD818" s="1"/>
  <c r="CE818"/>
  <c r="CF818"/>
  <c r="B837"/>
  <c r="CD837" s="1"/>
  <c r="CE837"/>
  <c r="CF837"/>
  <c r="B838"/>
  <c r="CD838" s="1"/>
  <c r="CE838"/>
  <c r="CF838"/>
  <c r="B839"/>
  <c r="CD839" s="1"/>
  <c r="CE839"/>
  <c r="CF839"/>
  <c r="B840"/>
  <c r="CD840" s="1"/>
  <c r="CE840"/>
  <c r="CF840"/>
  <c r="B841"/>
  <c r="CD841" s="1"/>
  <c r="CE841"/>
  <c r="CF841"/>
  <c r="BV674"/>
  <c r="BY158" i="32" l="1"/>
  <c r="BZ158" s="1"/>
  <c r="BV161"/>
  <c r="BW161" s="1"/>
  <c r="BZ161" s="1"/>
  <c r="BV824" i="30"/>
  <c r="BW824" s="1"/>
  <c r="BZ824" s="1"/>
  <c r="BW94" i="31"/>
  <c r="BZ94" s="1"/>
  <c r="BV94"/>
  <c r="BV105" s="1"/>
  <c r="BW823" i="30"/>
  <c r="BZ823" s="1"/>
  <c r="BV803"/>
  <c r="BW803" s="1"/>
  <c r="BZ803" s="1"/>
  <c r="BW827"/>
  <c r="BZ827" s="1"/>
  <c r="BV806"/>
  <c r="BW806" s="1"/>
  <c r="BZ806" s="1"/>
  <c r="BW805"/>
  <c r="BZ805" s="1"/>
  <c r="BW800"/>
  <c r="BZ800" s="1"/>
  <c r="BW837"/>
  <c r="BZ837" s="1"/>
  <c r="BW813"/>
  <c r="BZ813" s="1"/>
  <c r="CG840"/>
  <c r="CG818"/>
  <c r="CF160" i="32"/>
  <c r="CG95" i="31"/>
  <c r="CG91"/>
  <c r="CF164" i="32"/>
  <c r="CF159"/>
  <c r="CF163"/>
  <c r="CF161"/>
  <c r="CF165"/>
  <c r="CF156"/>
  <c r="CG814" i="30"/>
  <c r="CG841"/>
  <c r="CG837"/>
  <c r="CG807"/>
  <c r="CG810"/>
  <c r="CG799"/>
  <c r="CG92" i="31"/>
  <c r="CG825" i="30"/>
  <c r="CF166" i="32"/>
  <c r="CF162"/>
  <c r="CF158"/>
  <c r="CF157"/>
  <c r="CG802" i="30"/>
  <c r="CG817"/>
  <c r="CG813"/>
  <c r="CG809"/>
  <c r="CG801"/>
  <c r="CG835"/>
  <c r="CG831"/>
  <c r="CG823"/>
  <c r="CG819"/>
  <c r="CG838"/>
  <c r="CG826"/>
  <c r="CG803"/>
  <c r="CG828"/>
  <c r="CG824"/>
  <c r="CG94" i="31"/>
  <c r="CG90"/>
  <c r="CG93"/>
  <c r="CG839" i="30"/>
  <c r="CG804"/>
  <c r="CG800"/>
  <c r="CG832"/>
  <c r="CG827"/>
  <c r="CG816"/>
  <c r="CG812"/>
  <c r="CG808"/>
  <c r="CG836"/>
  <c r="CG815"/>
  <c r="CG811"/>
  <c r="CG820"/>
  <c r="CG806"/>
  <c r="CG805"/>
  <c r="CG822"/>
  <c r="CG821"/>
  <c r="CG834"/>
  <c r="CG833"/>
  <c r="CG830"/>
  <c r="CG829"/>
  <c r="BV723"/>
  <c r="BX184" i="32"/>
  <c r="BX876" i="30"/>
  <c r="BS774"/>
  <c r="BS108" i="32"/>
  <c r="BS660" i="30"/>
  <c r="BS676"/>
  <c r="BS121" i="32"/>
  <c r="BS129"/>
  <c r="BS150"/>
  <c r="BS755" i="30"/>
  <c r="J16" i="51"/>
  <c r="I16"/>
  <c r="K16"/>
  <c r="G16"/>
  <c r="CD143" i="32"/>
  <c r="CE143"/>
  <c r="CD144"/>
  <c r="CE144"/>
  <c r="CD145"/>
  <c r="CE145"/>
  <c r="CD146"/>
  <c r="CE146"/>
  <c r="CD147"/>
  <c r="CE147"/>
  <c r="CD148"/>
  <c r="CE148"/>
  <c r="CD149"/>
  <c r="CE149"/>
  <c r="CD150"/>
  <c r="CE150"/>
  <c r="CD151"/>
  <c r="CE151"/>
  <c r="CD152"/>
  <c r="CE152"/>
  <c r="CD153"/>
  <c r="CE153"/>
  <c r="CD154"/>
  <c r="CE154"/>
  <c r="CC155"/>
  <c r="CD155"/>
  <c r="CE155"/>
  <c r="BQ144"/>
  <c r="BT144" s="1"/>
  <c r="BW144" s="1"/>
  <c r="BZ144" s="1"/>
  <c r="BQ145"/>
  <c r="BT145" s="1"/>
  <c r="BW145" s="1"/>
  <c r="BZ145" s="1"/>
  <c r="BQ146"/>
  <c r="BT146" s="1"/>
  <c r="BW146" s="1"/>
  <c r="BZ146" s="1"/>
  <c r="BQ147"/>
  <c r="BT147" s="1"/>
  <c r="BW147" s="1"/>
  <c r="BZ147" s="1"/>
  <c r="BQ148"/>
  <c r="BT148" s="1"/>
  <c r="BW148" s="1"/>
  <c r="BZ148" s="1"/>
  <c r="BQ149"/>
  <c r="BT149" s="1"/>
  <c r="BW149" s="1"/>
  <c r="BZ149" s="1"/>
  <c r="BQ150"/>
  <c r="BQ151"/>
  <c r="BT151" s="1"/>
  <c r="BW151" s="1"/>
  <c r="BZ151" s="1"/>
  <c r="BQ152"/>
  <c r="BT152" s="1"/>
  <c r="BW152" s="1"/>
  <c r="BZ152" s="1"/>
  <c r="BQ153"/>
  <c r="BT153" s="1"/>
  <c r="BW153" s="1"/>
  <c r="BZ153" s="1"/>
  <c r="BQ154"/>
  <c r="BT154" s="1"/>
  <c r="BW154" s="1"/>
  <c r="BZ154" s="1"/>
  <c r="BQ143"/>
  <c r="BT143" s="1"/>
  <c r="BW143" s="1"/>
  <c r="BZ143" s="1"/>
  <c r="B143"/>
  <c r="CC143" s="1"/>
  <c r="B144"/>
  <c r="CC144" s="1"/>
  <c r="B145"/>
  <c r="CC145" s="1"/>
  <c r="B146"/>
  <c r="CC146" s="1"/>
  <c r="B147"/>
  <c r="CC147" s="1"/>
  <c r="B148"/>
  <c r="CC148" s="1"/>
  <c r="B149"/>
  <c r="CC149" s="1"/>
  <c r="B150"/>
  <c r="CC150" s="1"/>
  <c r="B151"/>
  <c r="CC151" s="1"/>
  <c r="B152"/>
  <c r="CC152" s="1"/>
  <c r="B153"/>
  <c r="CC153" s="1"/>
  <c r="B154"/>
  <c r="CC154" s="1"/>
  <c r="BQ757" i="30"/>
  <c r="BQ758"/>
  <c r="BT758" s="1"/>
  <c r="BW758" s="1"/>
  <c r="BZ758" s="1"/>
  <c r="BQ759"/>
  <c r="BT759" s="1"/>
  <c r="BW759" s="1"/>
  <c r="BZ759" s="1"/>
  <c r="BQ760"/>
  <c r="BT760" s="1"/>
  <c r="BW760" s="1"/>
  <c r="BZ760" s="1"/>
  <c r="BQ761"/>
  <c r="BT761" s="1"/>
  <c r="BW761" s="1"/>
  <c r="BZ761" s="1"/>
  <c r="BQ762"/>
  <c r="BQ763"/>
  <c r="BT763" s="1"/>
  <c r="BQ764"/>
  <c r="BT764" s="1"/>
  <c r="BW764" s="1"/>
  <c r="BZ764" s="1"/>
  <c r="BQ765"/>
  <c r="BT765" s="1"/>
  <c r="BW765" s="1"/>
  <c r="BZ765" s="1"/>
  <c r="BQ766"/>
  <c r="BT766" s="1"/>
  <c r="BW766" s="1"/>
  <c r="BZ766" s="1"/>
  <c r="BQ767"/>
  <c r="BT767" s="1"/>
  <c r="BW767" s="1"/>
  <c r="BZ767" s="1"/>
  <c r="BQ768"/>
  <c r="BS768" s="1"/>
  <c r="BQ769"/>
  <c r="BT769" s="1"/>
  <c r="BW769" s="1"/>
  <c r="BZ769" s="1"/>
  <c r="BQ770"/>
  <c r="BT770" s="1"/>
  <c r="BW770" s="1"/>
  <c r="BZ770" s="1"/>
  <c r="BQ771"/>
  <c r="BT771" s="1"/>
  <c r="BQ772"/>
  <c r="BT772" s="1"/>
  <c r="BW772" s="1"/>
  <c r="BQ773"/>
  <c r="BT773" s="1"/>
  <c r="BW773" s="1"/>
  <c r="BZ773" s="1"/>
  <c r="BQ774"/>
  <c r="BQ775"/>
  <c r="BT775" s="1"/>
  <c r="BW775" s="1"/>
  <c r="BZ775" s="1"/>
  <c r="BQ776"/>
  <c r="BT776" s="1"/>
  <c r="BW776" s="1"/>
  <c r="BZ776" s="1"/>
  <c r="BQ777"/>
  <c r="BT777" s="1"/>
  <c r="BW777" s="1"/>
  <c r="BQ778"/>
  <c r="BQ779"/>
  <c r="BT779" s="1"/>
  <c r="BW779" s="1"/>
  <c r="BZ779" s="1"/>
  <c r="BQ780"/>
  <c r="BT780" s="1"/>
  <c r="BW780" s="1"/>
  <c r="BZ780" s="1"/>
  <c r="BQ781"/>
  <c r="BT781" s="1"/>
  <c r="BW781" s="1"/>
  <c r="BZ781" s="1"/>
  <c r="BQ782"/>
  <c r="BQ783"/>
  <c r="BT783" s="1"/>
  <c r="BQ784"/>
  <c r="BT784" s="1"/>
  <c r="BW784" s="1"/>
  <c r="BZ784" s="1"/>
  <c r="BQ785"/>
  <c r="BT785" s="1"/>
  <c r="BW785" s="1"/>
  <c r="BZ785" s="1"/>
  <c r="BQ786"/>
  <c r="BT786" s="1"/>
  <c r="BW786" s="1"/>
  <c r="BZ786" s="1"/>
  <c r="BQ787"/>
  <c r="BT787" s="1"/>
  <c r="BW787" s="1"/>
  <c r="BZ787" s="1"/>
  <c r="BQ788"/>
  <c r="BT788" s="1"/>
  <c r="BW788" s="1"/>
  <c r="BZ788" s="1"/>
  <c r="BQ789"/>
  <c r="BQ790"/>
  <c r="BT790" s="1"/>
  <c r="BW790" s="1"/>
  <c r="BZ790" s="1"/>
  <c r="BQ791"/>
  <c r="BT791" s="1"/>
  <c r="BW791" s="1"/>
  <c r="BZ791" s="1"/>
  <c r="BQ792"/>
  <c r="BT792" s="1"/>
  <c r="BQ793"/>
  <c r="BT793" s="1"/>
  <c r="BW793" s="1"/>
  <c r="BZ793" s="1"/>
  <c r="BQ794"/>
  <c r="BT794" s="1"/>
  <c r="BW794" s="1"/>
  <c r="BZ794" s="1"/>
  <c r="BQ795"/>
  <c r="BT795" s="1"/>
  <c r="BW795" s="1"/>
  <c r="BZ795" s="1"/>
  <c r="BQ796"/>
  <c r="BQ797"/>
  <c r="BT797" s="1"/>
  <c r="BW797" s="1"/>
  <c r="BZ797" s="1"/>
  <c r="BQ756"/>
  <c r="BT756" s="1"/>
  <c r="BW756" s="1"/>
  <c r="BZ756" s="1"/>
  <c r="CE756"/>
  <c r="CF756"/>
  <c r="CE757"/>
  <c r="CF757"/>
  <c r="CE758"/>
  <c r="CF758"/>
  <c r="CE759"/>
  <c r="CF759"/>
  <c r="CE760"/>
  <c r="CF760"/>
  <c r="CE761"/>
  <c r="CF761"/>
  <c r="CE762"/>
  <c r="CF762"/>
  <c r="CE763"/>
  <c r="CF763"/>
  <c r="CE764"/>
  <c r="CF764"/>
  <c r="CE765"/>
  <c r="CF765"/>
  <c r="CE766"/>
  <c r="CF766"/>
  <c r="CE767"/>
  <c r="CF767"/>
  <c r="CE768"/>
  <c r="CF768"/>
  <c r="CE769"/>
  <c r="CF769"/>
  <c r="CE770"/>
  <c r="CF770"/>
  <c r="CE771"/>
  <c r="CF771"/>
  <c r="CE772"/>
  <c r="CF772"/>
  <c r="CE773"/>
  <c r="CF773"/>
  <c r="CE774"/>
  <c r="CF774"/>
  <c r="CE775"/>
  <c r="CF775"/>
  <c r="CE776"/>
  <c r="CF776"/>
  <c r="CE777"/>
  <c r="CF777"/>
  <c r="CE778"/>
  <c r="CF778"/>
  <c r="CE779"/>
  <c r="CF779"/>
  <c r="CE780"/>
  <c r="CF780"/>
  <c r="CE781"/>
  <c r="CF781"/>
  <c r="CE782"/>
  <c r="CF782"/>
  <c r="CE783"/>
  <c r="CF783"/>
  <c r="CE784"/>
  <c r="CF784"/>
  <c r="CE785"/>
  <c r="CF785"/>
  <c r="CE786"/>
  <c r="CF786"/>
  <c r="CE787"/>
  <c r="CF787"/>
  <c r="CE788"/>
  <c r="CF788"/>
  <c r="CE789"/>
  <c r="CF789"/>
  <c r="CE790"/>
  <c r="CF790"/>
  <c r="CE791"/>
  <c r="CF791"/>
  <c r="CE792"/>
  <c r="CF792"/>
  <c r="CE793"/>
  <c r="CF793"/>
  <c r="CE794"/>
  <c r="CF794"/>
  <c r="CE795"/>
  <c r="CF795"/>
  <c r="CE796"/>
  <c r="CF796"/>
  <c r="CE797"/>
  <c r="CF797"/>
  <c r="CE798"/>
  <c r="CF798"/>
  <c r="CE868"/>
  <c r="CF868"/>
  <c r="CE869"/>
  <c r="CF869"/>
  <c r="CE870"/>
  <c r="CF870"/>
  <c r="CE871"/>
  <c r="CF871"/>
  <c r="CE872"/>
  <c r="CF872"/>
  <c r="CE873"/>
  <c r="CF873"/>
  <c r="B774"/>
  <c r="CD774" s="1"/>
  <c r="B775"/>
  <c r="CD775" s="1"/>
  <c r="B776"/>
  <c r="CD776" s="1"/>
  <c r="B777"/>
  <c r="CD777" s="1"/>
  <c r="B778"/>
  <c r="CD778" s="1"/>
  <c r="B779"/>
  <c r="CD779" s="1"/>
  <c r="B780"/>
  <c r="CD780" s="1"/>
  <c r="B781"/>
  <c r="CD781" s="1"/>
  <c r="B782"/>
  <c r="CD782" s="1"/>
  <c r="B783"/>
  <c r="CD783" s="1"/>
  <c r="B784"/>
  <c r="CD784" s="1"/>
  <c r="B785"/>
  <c r="CD785" s="1"/>
  <c r="B786"/>
  <c r="CD786" s="1"/>
  <c r="B787"/>
  <c r="CD787" s="1"/>
  <c r="B788"/>
  <c r="CD788" s="1"/>
  <c r="B789"/>
  <c r="CD789" s="1"/>
  <c r="B790"/>
  <c r="CD790" s="1"/>
  <c r="B791"/>
  <c r="CD791" s="1"/>
  <c r="B792"/>
  <c r="CD792" s="1"/>
  <c r="B793"/>
  <c r="CD793" s="1"/>
  <c r="B756"/>
  <c r="CD756" s="1"/>
  <c r="B757"/>
  <c r="CD757" s="1"/>
  <c r="B758"/>
  <c r="CD758" s="1"/>
  <c r="B759"/>
  <c r="CD759" s="1"/>
  <c r="B760"/>
  <c r="CD760" s="1"/>
  <c r="B761"/>
  <c r="CD761" s="1"/>
  <c r="B762"/>
  <c r="CD762" s="1"/>
  <c r="B763"/>
  <c r="CD763" s="1"/>
  <c r="B764"/>
  <c r="CD764" s="1"/>
  <c r="B765"/>
  <c r="CD765" s="1"/>
  <c r="B766"/>
  <c r="CD766" s="1"/>
  <c r="B767"/>
  <c r="CD767" s="1"/>
  <c r="B768"/>
  <c r="CD768" s="1"/>
  <c r="B769"/>
  <c r="CD769" s="1"/>
  <c r="B770"/>
  <c r="CD770" s="1"/>
  <c r="B771"/>
  <c r="CD771" s="1"/>
  <c r="B772"/>
  <c r="CD772" s="1"/>
  <c r="B773"/>
  <c r="CD773" s="1"/>
  <c r="B794"/>
  <c r="CD794" s="1"/>
  <c r="B795"/>
  <c r="CD795" s="1"/>
  <c r="B796"/>
  <c r="CD796" s="1"/>
  <c r="B797"/>
  <c r="CD797" s="1"/>
  <c r="B798"/>
  <c r="CD798" s="1"/>
  <c r="B868"/>
  <c r="CD868" s="1"/>
  <c r="B869"/>
  <c r="CD869" s="1"/>
  <c r="B870"/>
  <c r="CD870" s="1"/>
  <c r="B871"/>
  <c r="CD871" s="1"/>
  <c r="B872"/>
  <c r="CD872" s="1"/>
  <c r="B873"/>
  <c r="CD873" s="1"/>
  <c r="W3" i="51"/>
  <c r="V3"/>
  <c r="U3"/>
  <c r="CE87" i="31"/>
  <c r="CF87"/>
  <c r="CE88"/>
  <c r="CF88"/>
  <c r="CE89"/>
  <c r="CF89"/>
  <c r="BQ88"/>
  <c r="BT88" s="1"/>
  <c r="BW88" s="1"/>
  <c r="BZ88" s="1"/>
  <c r="BQ89"/>
  <c r="BT89" s="1"/>
  <c r="BW89" s="1"/>
  <c r="BZ89" s="1"/>
  <c r="BQ87"/>
  <c r="BT87" s="1"/>
  <c r="BW87" s="1"/>
  <c r="BZ87" s="1"/>
  <c r="B87"/>
  <c r="CD87" s="1"/>
  <c r="B88"/>
  <c r="CD88" s="1"/>
  <c r="B89"/>
  <c r="CD89" s="1"/>
  <c r="B3" i="51"/>
  <c r="BY170" i="32" l="1"/>
  <c r="BZ170" s="1"/>
  <c r="BY184"/>
  <c r="BY772" i="30"/>
  <c r="BZ772" s="1"/>
  <c r="BV771"/>
  <c r="BW771" s="1"/>
  <c r="BZ771" s="1"/>
  <c r="CF155" i="32"/>
  <c r="CG87" i="31"/>
  <c r="BS796" i="30"/>
  <c r="BT796" s="1"/>
  <c r="BW796" s="1"/>
  <c r="BZ796" s="1"/>
  <c r="CG873"/>
  <c r="CG869"/>
  <c r="CG798"/>
  <c r="CG794"/>
  <c r="BT774"/>
  <c r="BW774" s="1"/>
  <c r="BZ774" s="1"/>
  <c r="BT768"/>
  <c r="BW768" s="1"/>
  <c r="BZ768" s="1"/>
  <c r="CG89" i="31"/>
  <c r="CG88"/>
  <c r="CF147" i="32"/>
  <c r="CF145"/>
  <c r="CG790" i="30"/>
  <c r="CG786"/>
  <c r="CG782"/>
  <c r="CG778"/>
  <c r="CG774"/>
  <c r="CG770"/>
  <c r="CG766"/>
  <c r="CG762"/>
  <c r="CG758"/>
  <c r="CG870"/>
  <c r="CG795"/>
  <c r="CG791"/>
  <c r="CG787"/>
  <c r="CG783"/>
  <c r="CG779"/>
  <c r="CG775"/>
  <c r="BT150" i="32"/>
  <c r="CF154"/>
  <c r="CF150"/>
  <c r="CF153"/>
  <c r="CF146"/>
  <c r="CF143"/>
  <c r="CF151"/>
  <c r="CF149"/>
  <c r="CF152"/>
  <c r="CF148"/>
  <c r="CF144"/>
  <c r="CG771" i="30"/>
  <c r="CG767"/>
  <c r="CG763"/>
  <c r="CG759"/>
  <c r="CG872"/>
  <c r="CG868"/>
  <c r="CG797"/>
  <c r="CG793"/>
  <c r="CG789"/>
  <c r="CG785"/>
  <c r="CG781"/>
  <c r="CG777"/>
  <c r="CG773"/>
  <c r="CG769"/>
  <c r="CG765"/>
  <c r="CG761"/>
  <c r="CG757"/>
  <c r="CG871"/>
  <c r="CG796"/>
  <c r="CG792"/>
  <c r="CG788"/>
  <c r="CG784"/>
  <c r="CG780"/>
  <c r="CG776"/>
  <c r="CG772"/>
  <c r="CG768"/>
  <c r="CG764"/>
  <c r="CG760"/>
  <c r="CG756"/>
  <c r="X3" i="51"/>
  <c r="BP748" i="30"/>
  <c r="BS704"/>
  <c r="BP751"/>
  <c r="BP681"/>
  <c r="BW150" i="32" l="1"/>
  <c r="BZ150" s="1"/>
  <c r="BV150"/>
  <c r="BV184" s="1"/>
  <c r="BQ748" i="30"/>
  <c r="BT748" s="1"/>
  <c r="BW748" s="1"/>
  <c r="BZ748" s="1"/>
  <c r="BP740"/>
  <c r="BQ740" s="1"/>
  <c r="BP737"/>
  <c r="BQ737" s="1"/>
  <c r="BT737" s="1"/>
  <c r="BW737" s="1"/>
  <c r="BZ737" s="1"/>
  <c r="BQ136" i="32"/>
  <c r="BT136" s="1"/>
  <c r="BW136" s="1"/>
  <c r="BZ136" s="1"/>
  <c r="BQ137"/>
  <c r="BT137" s="1"/>
  <c r="BW137" s="1"/>
  <c r="BZ137" s="1"/>
  <c r="BQ138"/>
  <c r="BT138" s="1"/>
  <c r="BW138" s="1"/>
  <c r="BZ138" s="1"/>
  <c r="BQ139"/>
  <c r="BT139" s="1"/>
  <c r="BW139" s="1"/>
  <c r="BZ139" s="1"/>
  <c r="BQ140"/>
  <c r="BT140" s="1"/>
  <c r="BW140" s="1"/>
  <c r="BZ140" s="1"/>
  <c r="BQ141"/>
  <c r="BT141" s="1"/>
  <c r="BW141" s="1"/>
  <c r="BZ141" s="1"/>
  <c r="BQ142"/>
  <c r="BT142" s="1"/>
  <c r="BW142" s="1"/>
  <c r="BZ142" s="1"/>
  <c r="BQ86" i="31"/>
  <c r="BT86" s="1"/>
  <c r="BW86" s="1"/>
  <c r="BZ86" s="1"/>
  <c r="BQ724" i="30"/>
  <c r="BT724" s="1"/>
  <c r="BW724" s="1"/>
  <c r="BZ724" s="1"/>
  <c r="BQ725"/>
  <c r="BQ726"/>
  <c r="BT726" s="1"/>
  <c r="BW726" s="1"/>
  <c r="BZ726" s="1"/>
  <c r="BQ727"/>
  <c r="BT727" s="1"/>
  <c r="BQ728"/>
  <c r="BQ729"/>
  <c r="BT729" s="1"/>
  <c r="BW729" s="1"/>
  <c r="BZ729" s="1"/>
  <c r="BQ730"/>
  <c r="BQ731"/>
  <c r="BT731" s="1"/>
  <c r="BW731" s="1"/>
  <c r="BZ731" s="1"/>
  <c r="BQ732"/>
  <c r="BT732" s="1"/>
  <c r="BW732" s="1"/>
  <c r="BZ732" s="1"/>
  <c r="BQ733"/>
  <c r="BT733" s="1"/>
  <c r="BW733" s="1"/>
  <c r="BZ733" s="1"/>
  <c r="BQ734"/>
  <c r="BT734" s="1"/>
  <c r="BW734" s="1"/>
  <c r="BQ735"/>
  <c r="BT735" s="1"/>
  <c r="BW735" s="1"/>
  <c r="BZ735" s="1"/>
  <c r="BQ736"/>
  <c r="BT736" s="1"/>
  <c r="BW736" s="1"/>
  <c r="BZ736" s="1"/>
  <c r="BQ738"/>
  <c r="BT738" s="1"/>
  <c r="BW738" s="1"/>
  <c r="BZ738" s="1"/>
  <c r="BQ739"/>
  <c r="BQ741"/>
  <c r="BQ742"/>
  <c r="BT742" s="1"/>
  <c r="BW742" s="1"/>
  <c r="BZ742" s="1"/>
  <c r="BQ744"/>
  <c r="BT744" s="1"/>
  <c r="BW744" s="1"/>
  <c r="BZ744" s="1"/>
  <c r="BQ745"/>
  <c r="BQ746"/>
  <c r="BT746" s="1"/>
  <c r="BW746" s="1"/>
  <c r="BZ746" s="1"/>
  <c r="BQ747"/>
  <c r="BT747" s="1"/>
  <c r="BQ749"/>
  <c r="BT749" s="1"/>
  <c r="BW749" s="1"/>
  <c r="BZ749" s="1"/>
  <c r="BQ750"/>
  <c r="BQ751"/>
  <c r="BT751" s="1"/>
  <c r="BW751" s="1"/>
  <c r="BZ751" s="1"/>
  <c r="BQ753"/>
  <c r="BT753" s="1"/>
  <c r="BW753" s="1"/>
  <c r="BZ753" s="1"/>
  <c r="BQ754"/>
  <c r="BT754" s="1"/>
  <c r="BW754" s="1"/>
  <c r="BZ754" s="1"/>
  <c r="BQ755"/>
  <c r="BT755" s="1"/>
  <c r="BW755" s="1"/>
  <c r="BZ755" s="1"/>
  <c r="BU105" i="31"/>
  <c r="BU184" i="32"/>
  <c r="BU876" i="30"/>
  <c r="BP3"/>
  <c r="BP585"/>
  <c r="BP719"/>
  <c r="BP89" i="32"/>
  <c r="BP655" i="30"/>
  <c r="BP512"/>
  <c r="BP753"/>
  <c r="BP630"/>
  <c r="BP101" i="32"/>
  <c r="BP704" i="30"/>
  <c r="BP709"/>
  <c r="CE86" i="31"/>
  <c r="CF86"/>
  <c r="CE724" i="30"/>
  <c r="CF724"/>
  <c r="CE725"/>
  <c r="CF725"/>
  <c r="CE726"/>
  <c r="CF726"/>
  <c r="CE727"/>
  <c r="CF727"/>
  <c r="CE728"/>
  <c r="CF728"/>
  <c r="CE729"/>
  <c r="CF729"/>
  <c r="CE730"/>
  <c r="CF730"/>
  <c r="CE731"/>
  <c r="CF731"/>
  <c r="CE732"/>
  <c r="CF732"/>
  <c r="CE733"/>
  <c r="CF733"/>
  <c r="CE734"/>
  <c r="CF734"/>
  <c r="CE735"/>
  <c r="CF735"/>
  <c r="CE736"/>
  <c r="CF736"/>
  <c r="CE737"/>
  <c r="CF737"/>
  <c r="CE738"/>
  <c r="CF738"/>
  <c r="CE739"/>
  <c r="CF739"/>
  <c r="CE740"/>
  <c r="CF740"/>
  <c r="CE741"/>
  <c r="CF741"/>
  <c r="CE742"/>
  <c r="CF742"/>
  <c r="CE743"/>
  <c r="CF743"/>
  <c r="CE744"/>
  <c r="CF744"/>
  <c r="CE745"/>
  <c r="CF745"/>
  <c r="CE746"/>
  <c r="CF746"/>
  <c r="CE747"/>
  <c r="CF747"/>
  <c r="CE748"/>
  <c r="CF748"/>
  <c r="CE749"/>
  <c r="CF749"/>
  <c r="CE750"/>
  <c r="CF750"/>
  <c r="CE751"/>
  <c r="CF751"/>
  <c r="CE752"/>
  <c r="CF752"/>
  <c r="CE753"/>
  <c r="CF753"/>
  <c r="CE754"/>
  <c r="CF754"/>
  <c r="CE755"/>
  <c r="CF755"/>
  <c r="BR184" i="32"/>
  <c r="CD136"/>
  <c r="CE136"/>
  <c r="CD137"/>
  <c r="CE137"/>
  <c r="CD138"/>
  <c r="CE138"/>
  <c r="CD139"/>
  <c r="CE139"/>
  <c r="CD140"/>
  <c r="CE140"/>
  <c r="CD141"/>
  <c r="CE141"/>
  <c r="CD142"/>
  <c r="CE142"/>
  <c r="B136"/>
  <c r="CC136" s="1"/>
  <c r="B137"/>
  <c r="CC137" s="1"/>
  <c r="B138"/>
  <c r="CC138" s="1"/>
  <c r="B139"/>
  <c r="CC139" s="1"/>
  <c r="B140"/>
  <c r="CC140" s="1"/>
  <c r="B141"/>
  <c r="CC141" s="1"/>
  <c r="B142"/>
  <c r="CC142" s="1"/>
  <c r="B725" i="30"/>
  <c r="CD725" s="1"/>
  <c r="B726"/>
  <c r="CD726" s="1"/>
  <c r="B727"/>
  <c r="CD727" s="1"/>
  <c r="B728"/>
  <c r="CD728" s="1"/>
  <c r="B729"/>
  <c r="CD729" s="1"/>
  <c r="B730"/>
  <c r="CD730" s="1"/>
  <c r="B731"/>
  <c r="CD731" s="1"/>
  <c r="B732"/>
  <c r="CD732" s="1"/>
  <c r="B733"/>
  <c r="CD733" s="1"/>
  <c r="B734"/>
  <c r="CD734" s="1"/>
  <c r="B735"/>
  <c r="CD735" s="1"/>
  <c r="B736"/>
  <c r="CD736" s="1"/>
  <c r="B737"/>
  <c r="CD737" s="1"/>
  <c r="B738"/>
  <c r="CD738" s="1"/>
  <c r="B739"/>
  <c r="CD739" s="1"/>
  <c r="B740"/>
  <c r="CD740" s="1"/>
  <c r="B741"/>
  <c r="CD741" s="1"/>
  <c r="B742"/>
  <c r="CD742" s="1"/>
  <c r="B743"/>
  <c r="CD743" s="1"/>
  <c r="B744"/>
  <c r="CD744" s="1"/>
  <c r="B745"/>
  <c r="CD745" s="1"/>
  <c r="B746"/>
  <c r="CD746" s="1"/>
  <c r="B747"/>
  <c r="CD747" s="1"/>
  <c r="B748"/>
  <c r="CD748" s="1"/>
  <c r="B749"/>
  <c r="CD749" s="1"/>
  <c r="B750"/>
  <c r="CD750" s="1"/>
  <c r="B751"/>
  <c r="CD751" s="1"/>
  <c r="B752"/>
  <c r="CD752" s="1"/>
  <c r="B753"/>
  <c r="CD753" s="1"/>
  <c r="B754"/>
  <c r="CD754" s="1"/>
  <c r="B755"/>
  <c r="CD755" s="1"/>
  <c r="B86" i="31"/>
  <c r="CD86" s="1"/>
  <c r="BY734" i="30" l="1"/>
  <c r="BZ734" s="1"/>
  <c r="BS740"/>
  <c r="BS778" s="1"/>
  <c r="BT778" s="1"/>
  <c r="BT725"/>
  <c r="BS728"/>
  <c r="BT728" s="1"/>
  <c r="BW728" s="1"/>
  <c r="BZ728" s="1"/>
  <c r="BS730"/>
  <c r="BT730" s="1"/>
  <c r="BW730" s="1"/>
  <c r="BZ730" s="1"/>
  <c r="CG86" i="31"/>
  <c r="CG754" i="30"/>
  <c r="CG750"/>
  <c r="CG746"/>
  <c r="CG742"/>
  <c r="CG738"/>
  <c r="CG734"/>
  <c r="CG730"/>
  <c r="CG726"/>
  <c r="CG752"/>
  <c r="CG748"/>
  <c r="CG744"/>
  <c r="CG740"/>
  <c r="CG736"/>
  <c r="CG732"/>
  <c r="CG728"/>
  <c r="CG724"/>
  <c r="CG755"/>
  <c r="CG751"/>
  <c r="CG747"/>
  <c r="CG743"/>
  <c r="CG739"/>
  <c r="CG735"/>
  <c r="CG731"/>
  <c r="CG727"/>
  <c r="CG753"/>
  <c r="CG749"/>
  <c r="CG745"/>
  <c r="CG741"/>
  <c r="CG737"/>
  <c r="CG733"/>
  <c r="CG729"/>
  <c r="CG725"/>
  <c r="CF139" i="32"/>
  <c r="CF142"/>
  <c r="CF141"/>
  <c r="CF137"/>
  <c r="CF138"/>
  <c r="CF140"/>
  <c r="CF136"/>
  <c r="BT740" i="30" l="1"/>
  <c r="BW740" s="1"/>
  <c r="BZ740" s="1"/>
  <c r="BV778"/>
  <c r="BW778" s="1"/>
  <c r="BZ778" s="1"/>
  <c r="BV725"/>
  <c r="BW725" s="1"/>
  <c r="BZ725" s="1"/>
  <c r="BM721"/>
  <c r="BM704"/>
  <c r="BM717"/>
  <c r="BR105" i="31"/>
  <c r="BP391" i="30" l="1"/>
  <c r="BR876"/>
  <c r="BM712"/>
  <c r="BM120" i="32"/>
  <c r="BM105" i="31"/>
  <c r="BM89" i="32" l="1"/>
  <c r="BM664" i="30"/>
  <c r="BM278"/>
  <c r="BM709"/>
  <c r="BM678"/>
  <c r="BM720"/>
  <c r="BM411"/>
  <c r="B724" l="1"/>
  <c r="CD724" s="1"/>
  <c r="CE83" i="31" l="1"/>
  <c r="CF83"/>
  <c r="CE84"/>
  <c r="CF84"/>
  <c r="CE85"/>
  <c r="CF85"/>
  <c r="CE696" i="30"/>
  <c r="CF696"/>
  <c r="CE697"/>
  <c r="CF697"/>
  <c r="CE698"/>
  <c r="CF698"/>
  <c r="CE699"/>
  <c r="CF699"/>
  <c r="CE700"/>
  <c r="CF700"/>
  <c r="CE701"/>
  <c r="CF701"/>
  <c r="CE702"/>
  <c r="CF702"/>
  <c r="CE703"/>
  <c r="CF703"/>
  <c r="CE704"/>
  <c r="CF704"/>
  <c r="CE705"/>
  <c r="CF705"/>
  <c r="CE706"/>
  <c r="CF706"/>
  <c r="CE707"/>
  <c r="CF707"/>
  <c r="CE708"/>
  <c r="CF708"/>
  <c r="CE709"/>
  <c r="CF709"/>
  <c r="CE710"/>
  <c r="CF710"/>
  <c r="CE711"/>
  <c r="CF711"/>
  <c r="CE712"/>
  <c r="CF712"/>
  <c r="CE713"/>
  <c r="CF713"/>
  <c r="CE714"/>
  <c r="CF714"/>
  <c r="CE715"/>
  <c r="CF715"/>
  <c r="CE716"/>
  <c r="CF716"/>
  <c r="CE717"/>
  <c r="CF717"/>
  <c r="CE718"/>
  <c r="CF718"/>
  <c r="CE719"/>
  <c r="CF719"/>
  <c r="CE720"/>
  <c r="CF720"/>
  <c r="CE721"/>
  <c r="CF721"/>
  <c r="CE722"/>
  <c r="CF722"/>
  <c r="CE723"/>
  <c r="CF723"/>
  <c r="BK697"/>
  <c r="BN697" s="1"/>
  <c r="BK698"/>
  <c r="BN698" s="1"/>
  <c r="BK699"/>
  <c r="BN699" s="1"/>
  <c r="BK700"/>
  <c r="BN700" s="1"/>
  <c r="BK701"/>
  <c r="BN701" s="1"/>
  <c r="BK702"/>
  <c r="BN702" s="1"/>
  <c r="BK703"/>
  <c r="BK704"/>
  <c r="BN704" s="1"/>
  <c r="BK705"/>
  <c r="BN705" s="1"/>
  <c r="BK706"/>
  <c r="BN706" s="1"/>
  <c r="BK707"/>
  <c r="BK708"/>
  <c r="BN708" s="1"/>
  <c r="BK709"/>
  <c r="BN709" s="1"/>
  <c r="BK710"/>
  <c r="BN710" s="1"/>
  <c r="BK711"/>
  <c r="BN711" s="1"/>
  <c r="BK712"/>
  <c r="BN712" s="1"/>
  <c r="BK713"/>
  <c r="BK714"/>
  <c r="BN714" s="1"/>
  <c r="BK715"/>
  <c r="BN715" s="1"/>
  <c r="BK716"/>
  <c r="BN716" s="1"/>
  <c r="BK717"/>
  <c r="BN717" s="1"/>
  <c r="BK718"/>
  <c r="BN718" s="1"/>
  <c r="BK719"/>
  <c r="BN719" s="1"/>
  <c r="BK720"/>
  <c r="BN720" s="1"/>
  <c r="BK721"/>
  <c r="BN721" s="1"/>
  <c r="BK722"/>
  <c r="BN722" s="1"/>
  <c r="BK723"/>
  <c r="BN723" s="1"/>
  <c r="BK696"/>
  <c r="BN696" s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CD696" s="1"/>
  <c r="B697"/>
  <c r="CD697" s="1"/>
  <c r="B698"/>
  <c r="CD698" s="1"/>
  <c r="B699"/>
  <c r="CD699" s="1"/>
  <c r="B700"/>
  <c r="CD700" s="1"/>
  <c r="B701"/>
  <c r="CD701" s="1"/>
  <c r="B702"/>
  <c r="CD702" s="1"/>
  <c r="B703"/>
  <c r="CD703" s="1"/>
  <c r="B704"/>
  <c r="CD704" s="1"/>
  <c r="B705"/>
  <c r="CD705" s="1"/>
  <c r="B706"/>
  <c r="CD706" s="1"/>
  <c r="B707"/>
  <c r="CD707" s="1"/>
  <c r="B708"/>
  <c r="CD708" s="1"/>
  <c r="B709"/>
  <c r="CD709" s="1"/>
  <c r="B710"/>
  <c r="CD710" s="1"/>
  <c r="B711"/>
  <c r="CD711" s="1"/>
  <c r="B712"/>
  <c r="CD712" s="1"/>
  <c r="B713"/>
  <c r="CD713" s="1"/>
  <c r="B714"/>
  <c r="CD714" s="1"/>
  <c r="B715"/>
  <c r="CD715" s="1"/>
  <c r="B716"/>
  <c r="CD716" s="1"/>
  <c r="B717"/>
  <c r="CD717" s="1"/>
  <c r="B718"/>
  <c r="CD718" s="1"/>
  <c r="B719"/>
  <c r="CD719" s="1"/>
  <c r="B720"/>
  <c r="CD720" s="1"/>
  <c r="B721"/>
  <c r="CD721" s="1"/>
  <c r="B722"/>
  <c r="CD722" s="1"/>
  <c r="B723"/>
  <c r="CD723" s="1"/>
  <c r="G876"/>
  <c r="J876"/>
  <c r="M876"/>
  <c r="P876"/>
  <c r="S876"/>
  <c r="V876"/>
  <c r="Y876"/>
  <c r="AB876"/>
  <c r="AE876"/>
  <c r="AH876"/>
  <c r="AK876"/>
  <c r="AN876"/>
  <c r="AQ876"/>
  <c r="AT876"/>
  <c r="AW876"/>
  <c r="AZ876"/>
  <c r="BC876"/>
  <c r="BF876"/>
  <c r="BI876"/>
  <c r="BL876"/>
  <c r="BO876"/>
  <c r="BK84" i="31"/>
  <c r="BN84" s="1"/>
  <c r="BQ84" s="1"/>
  <c r="BT84" s="1"/>
  <c r="BW84" s="1"/>
  <c r="BZ84" s="1"/>
  <c r="BK85"/>
  <c r="BN85" s="1"/>
  <c r="BK83"/>
  <c r="BN83" s="1"/>
  <c r="BQ83" s="1"/>
  <c r="BT83" s="1"/>
  <c r="BW83" s="1"/>
  <c r="BZ83" s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CD83" s="1"/>
  <c r="B84"/>
  <c r="CD84" s="1"/>
  <c r="B85"/>
  <c r="CD85" s="1"/>
  <c r="J105"/>
  <c r="K105"/>
  <c r="M105"/>
  <c r="P105"/>
  <c r="S105"/>
  <c r="T105"/>
  <c r="V105"/>
  <c r="Y105"/>
  <c r="AB105"/>
  <c r="AE105"/>
  <c r="AF105"/>
  <c r="AH105"/>
  <c r="AK105"/>
  <c r="AL105"/>
  <c r="AN105"/>
  <c r="AO105"/>
  <c r="AQ105"/>
  <c r="AR105"/>
  <c r="AT105"/>
  <c r="AU105"/>
  <c r="AW105"/>
  <c r="AX105"/>
  <c r="AZ105"/>
  <c r="BA105"/>
  <c r="BC105"/>
  <c r="BF105"/>
  <c r="BI105"/>
  <c r="BJ105"/>
  <c r="BL105"/>
  <c r="BO105"/>
  <c r="G105"/>
  <c r="CD129" i="32"/>
  <c r="CE129"/>
  <c r="CD130"/>
  <c r="CE130"/>
  <c r="CD131"/>
  <c r="CE131"/>
  <c r="CD132"/>
  <c r="CE132"/>
  <c r="CD133"/>
  <c r="CE133"/>
  <c r="CD134"/>
  <c r="CE134"/>
  <c r="CD135"/>
  <c r="CE135"/>
  <c r="CD128"/>
  <c r="CE128"/>
  <c r="BE129"/>
  <c r="BH129" s="1"/>
  <c r="BK129" s="1"/>
  <c r="BN129" s="1"/>
  <c r="BQ129" s="1"/>
  <c r="BT129" s="1"/>
  <c r="BW129" s="1"/>
  <c r="BZ129" s="1"/>
  <c r="BE130"/>
  <c r="BH130" s="1"/>
  <c r="BK130" s="1"/>
  <c r="BN130" s="1"/>
  <c r="BQ130" s="1"/>
  <c r="BT130" s="1"/>
  <c r="BW130" s="1"/>
  <c r="BZ130" s="1"/>
  <c r="BE131"/>
  <c r="BH131" s="1"/>
  <c r="BK131" s="1"/>
  <c r="BN131" s="1"/>
  <c r="BQ131" s="1"/>
  <c r="BT131" s="1"/>
  <c r="BW131" s="1"/>
  <c r="BZ131" s="1"/>
  <c r="BE132"/>
  <c r="BH132" s="1"/>
  <c r="BK132" s="1"/>
  <c r="BN132" s="1"/>
  <c r="BQ132" s="1"/>
  <c r="BT132" s="1"/>
  <c r="BW132" s="1"/>
  <c r="BZ132" s="1"/>
  <c r="BE133"/>
  <c r="BH133" s="1"/>
  <c r="BK133" s="1"/>
  <c r="BN133" s="1"/>
  <c r="BQ133" s="1"/>
  <c r="BT133" s="1"/>
  <c r="BW133" s="1"/>
  <c r="BZ133" s="1"/>
  <c r="BE134"/>
  <c r="BH134" s="1"/>
  <c r="BK134" s="1"/>
  <c r="BN134" s="1"/>
  <c r="BQ134" s="1"/>
  <c r="BT134" s="1"/>
  <c r="BW134" s="1"/>
  <c r="BZ134" s="1"/>
  <c r="BE135"/>
  <c r="BH135" s="1"/>
  <c r="BK135" s="1"/>
  <c r="BN135" s="1"/>
  <c r="BQ135" s="1"/>
  <c r="BT135" s="1"/>
  <c r="BW135" s="1"/>
  <c r="BZ135" s="1"/>
  <c r="BE128"/>
  <c r="B129"/>
  <c r="CC129" s="1"/>
  <c r="B130"/>
  <c r="CC130" s="1"/>
  <c r="B131"/>
  <c r="CC131" s="1"/>
  <c r="B132"/>
  <c r="CC132" s="1"/>
  <c r="B133"/>
  <c r="CC133" s="1"/>
  <c r="B134"/>
  <c r="CC134" s="1"/>
  <c r="B135"/>
  <c r="CC135" s="1"/>
  <c r="B128"/>
  <c r="CC128" s="1"/>
  <c r="J184"/>
  <c r="M184"/>
  <c r="N184"/>
  <c r="P184"/>
  <c r="Q184"/>
  <c r="S184"/>
  <c r="V184"/>
  <c r="Y184"/>
  <c r="AB184"/>
  <c r="AC184"/>
  <c r="AE184"/>
  <c r="AH184"/>
  <c r="AK184"/>
  <c r="AN184"/>
  <c r="AQ184"/>
  <c r="AT184"/>
  <c r="AU184"/>
  <c r="AW184"/>
  <c r="AZ184"/>
  <c r="BC184"/>
  <c r="BD184"/>
  <c r="BF184"/>
  <c r="BI184"/>
  <c r="BL184"/>
  <c r="BO184"/>
  <c r="G184"/>
  <c r="BP85" i="31" l="1"/>
  <c r="BQ85" s="1"/>
  <c r="BQ723" i="30"/>
  <c r="BT723" s="1"/>
  <c r="BW723" s="1"/>
  <c r="BZ723" s="1"/>
  <c r="BQ719"/>
  <c r="BT719" s="1"/>
  <c r="BW719" s="1"/>
  <c r="BZ719" s="1"/>
  <c r="BQ715"/>
  <c r="BT715" s="1"/>
  <c r="BQ711"/>
  <c r="BT711" s="1"/>
  <c r="BW711" s="1"/>
  <c r="BZ711" s="1"/>
  <c r="BQ699"/>
  <c r="BT699" s="1"/>
  <c r="BW699" s="1"/>
  <c r="BZ699" s="1"/>
  <c r="BQ696"/>
  <c r="BT696" s="1"/>
  <c r="BQ708"/>
  <c r="BT708" s="1"/>
  <c r="BW708" s="1"/>
  <c r="BZ708" s="1"/>
  <c r="BQ704"/>
  <c r="BT704" s="1"/>
  <c r="BQ700"/>
  <c r="BQ721"/>
  <c r="BQ717"/>
  <c r="BT717" s="1"/>
  <c r="BW717" s="1"/>
  <c r="BZ717" s="1"/>
  <c r="BQ709"/>
  <c r="BT709" s="1"/>
  <c r="BW709" s="1"/>
  <c r="BZ709" s="1"/>
  <c r="BQ701"/>
  <c r="BT701" s="1"/>
  <c r="BW701" s="1"/>
  <c r="BZ701" s="1"/>
  <c r="BQ697"/>
  <c r="BT697" s="1"/>
  <c r="BQ722"/>
  <c r="BT722" s="1"/>
  <c r="BW722" s="1"/>
  <c r="BZ722" s="1"/>
  <c r="BQ718"/>
  <c r="BT718" s="1"/>
  <c r="BW718" s="1"/>
  <c r="BZ718" s="1"/>
  <c r="BQ714"/>
  <c r="BQ710"/>
  <c r="BQ706"/>
  <c r="BT706" s="1"/>
  <c r="BW706" s="1"/>
  <c r="BZ706" s="1"/>
  <c r="BQ702"/>
  <c r="BT702" s="1"/>
  <c r="BW702" s="1"/>
  <c r="BZ702" s="1"/>
  <c r="BQ698"/>
  <c r="BT698" s="1"/>
  <c r="BW698" s="1"/>
  <c r="BZ698" s="1"/>
  <c r="BP720"/>
  <c r="BP752" s="1"/>
  <c r="BP712"/>
  <c r="BQ712" s="1"/>
  <c r="BT712" s="1"/>
  <c r="BW712" s="1"/>
  <c r="BZ712" s="1"/>
  <c r="CF133" i="32"/>
  <c r="CF129"/>
  <c r="CG699" i="30"/>
  <c r="CG723"/>
  <c r="CG715"/>
  <c r="CG703"/>
  <c r="CG85" i="31"/>
  <c r="CG83"/>
  <c r="CG84"/>
  <c r="CG722" i="30"/>
  <c r="CG718"/>
  <c r="CG714"/>
  <c r="CG710"/>
  <c r="CG706"/>
  <c r="CG702"/>
  <c r="CG698"/>
  <c r="CG719"/>
  <c r="CG711"/>
  <c r="CG707"/>
  <c r="CG721"/>
  <c r="CG717"/>
  <c r="CG713"/>
  <c r="CG709"/>
  <c r="CG705"/>
  <c r="CG701"/>
  <c r="CG697"/>
  <c r="CG720"/>
  <c r="CG716"/>
  <c r="CG712"/>
  <c r="CG708"/>
  <c r="CG704"/>
  <c r="CG700"/>
  <c r="CG696"/>
  <c r="CF130" i="32"/>
  <c r="CF134"/>
  <c r="CF128"/>
  <c r="CF132"/>
  <c r="CF135"/>
  <c r="CF131"/>
  <c r="BH128"/>
  <c r="BV696" i="30" l="1"/>
  <c r="BW696" s="1"/>
  <c r="BZ696" s="1"/>
  <c r="BV697"/>
  <c r="BW697" s="1"/>
  <c r="BZ697" s="1"/>
  <c r="BS721"/>
  <c r="BT721" s="1"/>
  <c r="BW721" s="1"/>
  <c r="BZ721" s="1"/>
  <c r="BS710"/>
  <c r="BT710" s="1"/>
  <c r="BW710" s="1"/>
  <c r="BZ710" s="1"/>
  <c r="BS714"/>
  <c r="BT714" s="1"/>
  <c r="BW714" s="1"/>
  <c r="BZ714" s="1"/>
  <c r="BS85" i="31"/>
  <c r="BS105" s="1"/>
  <c r="BQ720" i="30"/>
  <c r="BT720" s="1"/>
  <c r="BW720" s="1"/>
  <c r="BZ720" s="1"/>
  <c r="BQ752"/>
  <c r="BT752" s="1"/>
  <c r="BW752" s="1"/>
  <c r="BZ752" s="1"/>
  <c r="BK128" i="32"/>
  <c r="BT85" i="31" l="1"/>
  <c r="BW85" s="1"/>
  <c r="BZ85" s="1"/>
  <c r="BN128" i="32"/>
  <c r="BQ128" s="1"/>
  <c r="BJ676" i="30" l="1"/>
  <c r="BJ660"/>
  <c r="BJ97" i="32"/>
  <c r="CE4" i="31"/>
  <c r="CF4"/>
  <c r="CE5"/>
  <c r="CF5"/>
  <c r="CE6"/>
  <c r="CF6"/>
  <c r="CE7"/>
  <c r="CF7"/>
  <c r="CE8"/>
  <c r="CF8"/>
  <c r="CE9"/>
  <c r="CF9"/>
  <c r="CE10"/>
  <c r="CF10"/>
  <c r="CE11"/>
  <c r="CF11"/>
  <c r="CE12"/>
  <c r="CF12"/>
  <c r="CE13"/>
  <c r="CF13"/>
  <c r="CE14"/>
  <c r="CF14"/>
  <c r="CE15"/>
  <c r="CF15"/>
  <c r="CE16"/>
  <c r="CF16"/>
  <c r="CE17"/>
  <c r="CF17"/>
  <c r="CE18"/>
  <c r="CF18"/>
  <c r="CE19"/>
  <c r="CF19"/>
  <c r="CE20"/>
  <c r="CF20"/>
  <c r="CE21"/>
  <c r="CF21"/>
  <c r="CE22"/>
  <c r="CF22"/>
  <c r="CE23"/>
  <c r="CF23"/>
  <c r="CE24"/>
  <c r="CF24"/>
  <c r="CE25"/>
  <c r="CF25"/>
  <c r="CE26"/>
  <c r="CF26"/>
  <c r="CE27"/>
  <c r="CF27"/>
  <c r="CE28"/>
  <c r="CF28"/>
  <c r="CE29"/>
  <c r="CF29"/>
  <c r="CE30"/>
  <c r="CF30"/>
  <c r="CE31"/>
  <c r="CF31"/>
  <c r="CE32"/>
  <c r="CF32"/>
  <c r="CE33"/>
  <c r="CF33"/>
  <c r="CE34"/>
  <c r="CF34"/>
  <c r="CE35"/>
  <c r="CF35"/>
  <c r="CE36"/>
  <c r="CF36"/>
  <c r="CE37"/>
  <c r="CF37"/>
  <c r="CE38"/>
  <c r="CF38"/>
  <c r="CE39"/>
  <c r="CF39"/>
  <c r="CE40"/>
  <c r="CF40"/>
  <c r="CE41"/>
  <c r="CF41"/>
  <c r="CE42"/>
  <c r="CF42"/>
  <c r="CE43"/>
  <c r="CF43"/>
  <c r="CE44"/>
  <c r="CF44"/>
  <c r="CE45"/>
  <c r="CF45"/>
  <c r="CE46"/>
  <c r="CF46"/>
  <c r="CE47"/>
  <c r="CF47"/>
  <c r="CE48"/>
  <c r="CF48"/>
  <c r="CE49"/>
  <c r="CF49"/>
  <c r="CE50"/>
  <c r="CF50"/>
  <c r="CE51"/>
  <c r="CF51"/>
  <c r="CE52"/>
  <c r="CF52"/>
  <c r="CE53"/>
  <c r="CF53"/>
  <c r="CE54"/>
  <c r="CF54"/>
  <c r="CE55"/>
  <c r="CF55"/>
  <c r="CE56"/>
  <c r="CF56"/>
  <c r="CE57"/>
  <c r="CF57"/>
  <c r="CE58"/>
  <c r="CF58"/>
  <c r="CE59"/>
  <c r="CF59"/>
  <c r="CE60"/>
  <c r="CF60"/>
  <c r="CD61"/>
  <c r="CE61"/>
  <c r="CF61"/>
  <c r="CD62"/>
  <c r="CE62"/>
  <c r="CF62"/>
  <c r="CD63"/>
  <c r="CE63"/>
  <c r="CF63"/>
  <c r="CE64"/>
  <c r="CF64"/>
  <c r="CE65"/>
  <c r="CF65"/>
  <c r="CE66"/>
  <c r="CF66"/>
  <c r="CE67"/>
  <c r="CF67"/>
  <c r="CE68"/>
  <c r="CF68"/>
  <c r="CE69"/>
  <c r="CF69"/>
  <c r="CE70"/>
  <c r="CF70"/>
  <c r="CE71"/>
  <c r="CF71"/>
  <c r="CE72"/>
  <c r="CF72"/>
  <c r="CE73"/>
  <c r="CF73"/>
  <c r="CD74"/>
  <c r="CE74"/>
  <c r="CF74"/>
  <c r="CD75"/>
  <c r="CE75"/>
  <c r="CF75"/>
  <c r="CD76"/>
  <c r="CE76"/>
  <c r="CF76"/>
  <c r="CD77"/>
  <c r="CE77"/>
  <c r="CF77"/>
  <c r="CD78"/>
  <c r="CE78"/>
  <c r="CF78"/>
  <c r="CD79"/>
  <c r="CE79"/>
  <c r="CF79"/>
  <c r="CD80"/>
  <c r="CE80"/>
  <c r="CF80"/>
  <c r="CD81"/>
  <c r="CE81"/>
  <c r="CF81"/>
  <c r="CD82"/>
  <c r="CE82"/>
  <c r="CF82"/>
  <c r="CF3"/>
  <c r="CE3"/>
  <c r="CG60" l="1"/>
  <c r="CG3"/>
  <c r="CG79"/>
  <c r="CG75"/>
  <c r="CG66"/>
  <c r="CG64"/>
  <c r="CG40"/>
  <c r="CG36"/>
  <c r="CG32"/>
  <c r="CG26"/>
  <c r="CG20"/>
  <c r="CG12"/>
  <c r="CG8"/>
  <c r="CG4"/>
  <c r="CG73"/>
  <c r="CG62"/>
  <c r="CG57"/>
  <c r="CG55"/>
  <c r="CG53"/>
  <c r="CG49"/>
  <c r="CG47"/>
  <c r="CG45"/>
  <c r="CG23"/>
  <c r="CG11"/>
  <c r="CG7"/>
  <c r="CG81"/>
  <c r="CG77"/>
  <c r="CG69"/>
  <c r="CG65"/>
  <c r="CG61"/>
  <c r="CG41"/>
  <c r="CG37"/>
  <c r="CG33"/>
  <c r="CG29"/>
  <c r="CG25"/>
  <c r="CG21"/>
  <c r="CG17"/>
  <c r="CG13"/>
  <c r="CG9"/>
  <c r="CG5"/>
  <c r="CG80"/>
  <c r="CG76"/>
  <c r="CG72"/>
  <c r="CG68"/>
  <c r="CG56"/>
  <c r="CG52"/>
  <c r="CG48"/>
  <c r="CG44"/>
  <c r="CG28"/>
  <c r="CG24"/>
  <c r="CG16"/>
  <c r="CG71"/>
  <c r="CG67"/>
  <c r="CG63"/>
  <c r="CG59"/>
  <c r="CG51"/>
  <c r="CG43"/>
  <c r="CG39"/>
  <c r="CG35"/>
  <c r="CG31"/>
  <c r="CG27"/>
  <c r="CG19"/>
  <c r="CG15"/>
  <c r="CG82"/>
  <c r="CG78"/>
  <c r="CG74"/>
  <c r="CG70"/>
  <c r="CG58"/>
  <c r="CG54"/>
  <c r="CG50"/>
  <c r="CG46"/>
  <c r="CG42"/>
  <c r="CG38"/>
  <c r="CG34"/>
  <c r="CG30"/>
  <c r="CG22"/>
  <c r="CG18"/>
  <c r="CG14"/>
  <c r="CG10"/>
  <c r="CG6"/>
  <c r="CE4" i="30"/>
  <c r="CF4"/>
  <c r="CE5"/>
  <c r="CF5"/>
  <c r="CE6"/>
  <c r="CF6"/>
  <c r="CE7"/>
  <c r="CF7"/>
  <c r="CE8"/>
  <c r="CF8"/>
  <c r="CE9"/>
  <c r="CF9"/>
  <c r="CE10"/>
  <c r="CF10"/>
  <c r="CE11"/>
  <c r="CF11"/>
  <c r="CE12"/>
  <c r="CF12"/>
  <c r="CE13"/>
  <c r="CF13"/>
  <c r="CE14"/>
  <c r="CF14"/>
  <c r="CE15"/>
  <c r="CF15"/>
  <c r="CE16"/>
  <c r="CF16"/>
  <c r="CE17"/>
  <c r="CF17"/>
  <c r="CE18"/>
  <c r="CF18"/>
  <c r="CE19"/>
  <c r="CF19"/>
  <c r="CE20"/>
  <c r="CF20"/>
  <c r="CE21"/>
  <c r="CF21"/>
  <c r="CE22"/>
  <c r="CF22"/>
  <c r="CE23"/>
  <c r="CF23"/>
  <c r="CE24"/>
  <c r="CF24"/>
  <c r="CE25"/>
  <c r="CF25"/>
  <c r="CE26"/>
  <c r="CF26"/>
  <c r="CE27"/>
  <c r="CF27"/>
  <c r="CE28"/>
  <c r="CF28"/>
  <c r="CE29"/>
  <c r="CF29"/>
  <c r="CE30"/>
  <c r="CF30"/>
  <c r="CE31"/>
  <c r="CF31"/>
  <c r="CE32"/>
  <c r="CF32"/>
  <c r="CE33"/>
  <c r="CF33"/>
  <c r="CE34"/>
  <c r="CF34"/>
  <c r="CE35"/>
  <c r="CF35"/>
  <c r="CE36"/>
  <c r="CF36"/>
  <c r="CE37"/>
  <c r="CF37"/>
  <c r="CE38"/>
  <c r="CF38"/>
  <c r="CE39"/>
  <c r="CF39"/>
  <c r="CE40"/>
  <c r="CF40"/>
  <c r="CE41"/>
  <c r="CF41"/>
  <c r="CE42"/>
  <c r="CF42"/>
  <c r="CE43"/>
  <c r="CF43"/>
  <c r="CE44"/>
  <c r="CF44"/>
  <c r="CE45"/>
  <c r="CF45"/>
  <c r="CE46"/>
  <c r="CF46"/>
  <c r="CE47"/>
  <c r="CF47"/>
  <c r="CE48"/>
  <c r="CF48"/>
  <c r="CE49"/>
  <c r="CF49"/>
  <c r="CE50"/>
  <c r="CF50"/>
  <c r="CE51"/>
  <c r="CF51"/>
  <c r="CE52"/>
  <c r="CF52"/>
  <c r="CE53"/>
  <c r="CF53"/>
  <c r="CE54"/>
  <c r="CF54"/>
  <c r="CE55"/>
  <c r="CF55"/>
  <c r="CE56"/>
  <c r="CF56"/>
  <c r="CE57"/>
  <c r="CF57"/>
  <c r="CE58"/>
  <c r="CF58"/>
  <c r="CE59"/>
  <c r="CF59"/>
  <c r="CE60"/>
  <c r="CF60"/>
  <c r="CE61"/>
  <c r="CF61"/>
  <c r="CE62"/>
  <c r="CF62"/>
  <c r="CE63"/>
  <c r="CF63"/>
  <c r="CE64"/>
  <c r="CF64"/>
  <c r="CE65"/>
  <c r="CF65"/>
  <c r="CE66"/>
  <c r="CF66"/>
  <c r="CE67"/>
  <c r="CF67"/>
  <c r="CE68"/>
  <c r="CF68"/>
  <c r="CE69"/>
  <c r="CF69"/>
  <c r="CE70"/>
  <c r="CF70"/>
  <c r="CE71"/>
  <c r="CF71"/>
  <c r="CE72"/>
  <c r="CF72"/>
  <c r="CE73"/>
  <c r="CF73"/>
  <c r="CE74"/>
  <c r="CF74"/>
  <c r="CE75"/>
  <c r="CF75"/>
  <c r="CE76"/>
  <c r="CF76"/>
  <c r="CE77"/>
  <c r="CF77"/>
  <c r="CE78"/>
  <c r="CF78"/>
  <c r="CE79"/>
  <c r="CF79"/>
  <c r="CE80"/>
  <c r="CF80"/>
  <c r="CE81"/>
  <c r="CF81"/>
  <c r="CE82"/>
  <c r="CF82"/>
  <c r="CE83"/>
  <c r="CF83"/>
  <c r="CE84"/>
  <c r="CF84"/>
  <c r="CE85"/>
  <c r="CF85"/>
  <c r="CE86"/>
  <c r="CF86"/>
  <c r="CE87"/>
  <c r="CF87"/>
  <c r="CE88"/>
  <c r="CF88"/>
  <c r="CE89"/>
  <c r="CF89"/>
  <c r="CE90"/>
  <c r="CF90"/>
  <c r="CE91"/>
  <c r="CF91"/>
  <c r="CE92"/>
  <c r="CF92"/>
  <c r="CE93"/>
  <c r="CF93"/>
  <c r="CE94"/>
  <c r="CF94"/>
  <c r="CE95"/>
  <c r="CF95"/>
  <c r="CE96"/>
  <c r="CF96"/>
  <c r="CE97"/>
  <c r="CF97"/>
  <c r="CE98"/>
  <c r="CF98"/>
  <c r="CE99"/>
  <c r="CF99"/>
  <c r="CE100"/>
  <c r="CF100"/>
  <c r="CE101"/>
  <c r="CF101"/>
  <c r="CE102"/>
  <c r="CF102"/>
  <c r="CE103"/>
  <c r="CF103"/>
  <c r="CE104"/>
  <c r="CF104"/>
  <c r="CE105"/>
  <c r="CF105"/>
  <c r="CE106"/>
  <c r="CF106"/>
  <c r="CE107"/>
  <c r="CF107"/>
  <c r="CE108"/>
  <c r="CF108"/>
  <c r="CE109"/>
  <c r="CF109"/>
  <c r="CE110"/>
  <c r="CF110"/>
  <c r="CE111"/>
  <c r="CF111"/>
  <c r="CE112"/>
  <c r="CF112"/>
  <c r="CE113"/>
  <c r="CF113"/>
  <c r="CE114"/>
  <c r="CF114"/>
  <c r="CE115"/>
  <c r="CF115"/>
  <c r="CE116"/>
  <c r="CF116"/>
  <c r="CE117"/>
  <c r="CF117"/>
  <c r="CE118"/>
  <c r="CF118"/>
  <c r="CE119"/>
  <c r="CF119"/>
  <c r="CE120"/>
  <c r="CF120"/>
  <c r="CE121"/>
  <c r="CF121"/>
  <c r="CE122"/>
  <c r="CF122"/>
  <c r="CE123"/>
  <c r="CF123"/>
  <c r="CE124"/>
  <c r="CF124"/>
  <c r="CE125"/>
  <c r="CF125"/>
  <c r="CE126"/>
  <c r="CF126"/>
  <c r="CE127"/>
  <c r="CF127"/>
  <c r="CE128"/>
  <c r="CF128"/>
  <c r="CE129"/>
  <c r="CF129"/>
  <c r="CE130"/>
  <c r="CF130"/>
  <c r="CE131"/>
  <c r="CF131"/>
  <c r="CE132"/>
  <c r="CF132"/>
  <c r="CE133"/>
  <c r="CF133"/>
  <c r="CE134"/>
  <c r="CF134"/>
  <c r="CE135"/>
  <c r="CF135"/>
  <c r="CE136"/>
  <c r="CF136"/>
  <c r="CE137"/>
  <c r="CF137"/>
  <c r="CE138"/>
  <c r="CF138"/>
  <c r="CE139"/>
  <c r="CF139"/>
  <c r="CE140"/>
  <c r="CF140"/>
  <c r="CE141"/>
  <c r="CF141"/>
  <c r="CE142"/>
  <c r="CF142"/>
  <c r="CE143"/>
  <c r="CF143"/>
  <c r="CE144"/>
  <c r="CF144"/>
  <c r="CE145"/>
  <c r="CF145"/>
  <c r="CE146"/>
  <c r="CF146"/>
  <c r="CE147"/>
  <c r="CF147"/>
  <c r="CE148"/>
  <c r="CF148"/>
  <c r="CE149"/>
  <c r="CF149"/>
  <c r="CE150"/>
  <c r="CF150"/>
  <c r="CE151"/>
  <c r="CF151"/>
  <c r="CE152"/>
  <c r="CF152"/>
  <c r="CE153"/>
  <c r="CF153"/>
  <c r="CE154"/>
  <c r="CF154"/>
  <c r="CE155"/>
  <c r="CF155"/>
  <c r="CE156"/>
  <c r="CF156"/>
  <c r="CE157"/>
  <c r="CF157"/>
  <c r="CE158"/>
  <c r="CF158"/>
  <c r="CE159"/>
  <c r="CF159"/>
  <c r="CE160"/>
  <c r="CF160"/>
  <c r="CE161"/>
  <c r="CF161"/>
  <c r="CE162"/>
  <c r="CF162"/>
  <c r="CE163"/>
  <c r="CF163"/>
  <c r="CE164"/>
  <c r="CF164"/>
  <c r="CE165"/>
  <c r="CF165"/>
  <c r="CE166"/>
  <c r="CF166"/>
  <c r="CE167"/>
  <c r="CF167"/>
  <c r="CE168"/>
  <c r="CF168"/>
  <c r="CE169"/>
  <c r="CF169"/>
  <c r="CE170"/>
  <c r="CF170"/>
  <c r="CE171"/>
  <c r="CF171"/>
  <c r="CE172"/>
  <c r="CF172"/>
  <c r="CE173"/>
  <c r="CF173"/>
  <c r="CE174"/>
  <c r="CF174"/>
  <c r="CE175"/>
  <c r="CF175"/>
  <c r="CE176"/>
  <c r="CF176"/>
  <c r="CE177"/>
  <c r="CF177"/>
  <c r="CE178"/>
  <c r="CF178"/>
  <c r="CE179"/>
  <c r="CF179"/>
  <c r="CE180"/>
  <c r="CF180"/>
  <c r="CE181"/>
  <c r="CF181"/>
  <c r="CE182"/>
  <c r="CF182"/>
  <c r="CE183"/>
  <c r="CF183"/>
  <c r="CE184"/>
  <c r="CF184"/>
  <c r="CE185"/>
  <c r="CF185"/>
  <c r="CE186"/>
  <c r="CF186"/>
  <c r="CE187"/>
  <c r="CF187"/>
  <c r="CE188"/>
  <c r="CF188"/>
  <c r="CE189"/>
  <c r="CF189"/>
  <c r="CE190"/>
  <c r="CF190"/>
  <c r="CE191"/>
  <c r="CF191"/>
  <c r="CE192"/>
  <c r="CF192"/>
  <c r="CE193"/>
  <c r="CF193"/>
  <c r="CE194"/>
  <c r="CF194"/>
  <c r="CE195"/>
  <c r="CF195"/>
  <c r="CE196"/>
  <c r="CF196"/>
  <c r="CE197"/>
  <c r="CF197"/>
  <c r="CE198"/>
  <c r="CF198"/>
  <c r="CE199"/>
  <c r="CF199"/>
  <c r="CE200"/>
  <c r="CF200"/>
  <c r="CE201"/>
  <c r="CF201"/>
  <c r="CE202"/>
  <c r="CF202"/>
  <c r="CE203"/>
  <c r="CF203"/>
  <c r="CE204"/>
  <c r="CF204"/>
  <c r="CE205"/>
  <c r="CF205"/>
  <c r="CE206"/>
  <c r="CF206"/>
  <c r="CE207"/>
  <c r="CF207"/>
  <c r="CE208"/>
  <c r="CF208"/>
  <c r="CE209"/>
  <c r="CF209"/>
  <c r="CE210"/>
  <c r="CF210"/>
  <c r="CE211"/>
  <c r="CF211"/>
  <c r="CE212"/>
  <c r="CF212"/>
  <c r="CE213"/>
  <c r="CF213"/>
  <c r="CE214"/>
  <c r="CF214"/>
  <c r="CE215"/>
  <c r="CF215"/>
  <c r="CE216"/>
  <c r="CF216"/>
  <c r="CE217"/>
  <c r="CF217"/>
  <c r="CE218"/>
  <c r="CF218"/>
  <c r="CE219"/>
  <c r="CF219"/>
  <c r="CE220"/>
  <c r="CF220"/>
  <c r="CE221"/>
  <c r="CF221"/>
  <c r="CE222"/>
  <c r="CF222"/>
  <c r="CE223"/>
  <c r="CF223"/>
  <c r="CE224"/>
  <c r="CF224"/>
  <c r="CE225"/>
  <c r="CF225"/>
  <c r="CE226"/>
  <c r="CF226"/>
  <c r="CE227"/>
  <c r="CF227"/>
  <c r="CE228"/>
  <c r="CF228"/>
  <c r="CE229"/>
  <c r="CF229"/>
  <c r="CE230"/>
  <c r="CF230"/>
  <c r="CE231"/>
  <c r="CF231"/>
  <c r="CE232"/>
  <c r="CF232"/>
  <c r="CE233"/>
  <c r="CF233"/>
  <c r="CE234"/>
  <c r="CF234"/>
  <c r="CE235"/>
  <c r="CF235"/>
  <c r="CE236"/>
  <c r="CF236"/>
  <c r="CE237"/>
  <c r="CF237"/>
  <c r="CE238"/>
  <c r="CF238"/>
  <c r="CE239"/>
  <c r="CF239"/>
  <c r="CE240"/>
  <c r="CF240"/>
  <c r="CE241"/>
  <c r="CF241"/>
  <c r="CE242"/>
  <c r="CF242"/>
  <c r="CE243"/>
  <c r="CF243"/>
  <c r="CE244"/>
  <c r="CF244"/>
  <c r="CE245"/>
  <c r="CF245"/>
  <c r="CE246"/>
  <c r="CF246"/>
  <c r="CE247"/>
  <c r="CF247"/>
  <c r="CE248"/>
  <c r="CF248"/>
  <c r="CE249"/>
  <c r="CF249"/>
  <c r="CE250"/>
  <c r="CF250"/>
  <c r="CE251"/>
  <c r="CF251"/>
  <c r="CE252"/>
  <c r="CF252"/>
  <c r="CE253"/>
  <c r="CF253"/>
  <c r="CE254"/>
  <c r="CF254"/>
  <c r="CE255"/>
  <c r="CF255"/>
  <c r="CE256"/>
  <c r="CF256"/>
  <c r="CE257"/>
  <c r="CF257"/>
  <c r="CE258"/>
  <c r="CF258"/>
  <c r="CE259"/>
  <c r="CF259"/>
  <c r="CE260"/>
  <c r="CF260"/>
  <c r="CE261"/>
  <c r="CF261"/>
  <c r="CE262"/>
  <c r="CF262"/>
  <c r="CE263"/>
  <c r="CF263"/>
  <c r="CE264"/>
  <c r="CF264"/>
  <c r="CE265"/>
  <c r="CF265"/>
  <c r="CE266"/>
  <c r="CF266"/>
  <c r="CE267"/>
  <c r="CF267"/>
  <c r="CE268"/>
  <c r="CF268"/>
  <c r="CE269"/>
  <c r="CF269"/>
  <c r="CE270"/>
  <c r="CF270"/>
  <c r="CE271"/>
  <c r="CF271"/>
  <c r="CE272"/>
  <c r="CF272"/>
  <c r="CE273"/>
  <c r="CF273"/>
  <c r="CE274"/>
  <c r="CF274"/>
  <c r="CE275"/>
  <c r="CF275"/>
  <c r="CE276"/>
  <c r="CF276"/>
  <c r="CE277"/>
  <c r="CF277"/>
  <c r="CE278"/>
  <c r="CF278"/>
  <c r="CE279"/>
  <c r="CF279"/>
  <c r="CE280"/>
  <c r="CF280"/>
  <c r="CE281"/>
  <c r="CF281"/>
  <c r="CE282"/>
  <c r="CF282"/>
  <c r="CE283"/>
  <c r="CF283"/>
  <c r="CE284"/>
  <c r="CF284"/>
  <c r="CE285"/>
  <c r="CF285"/>
  <c r="CE286"/>
  <c r="CF286"/>
  <c r="CE287"/>
  <c r="CF287"/>
  <c r="CE288"/>
  <c r="CF288"/>
  <c r="CE289"/>
  <c r="CF289"/>
  <c r="CE290"/>
  <c r="CF290"/>
  <c r="CE291"/>
  <c r="CF291"/>
  <c r="CE292"/>
  <c r="CF292"/>
  <c r="CE293"/>
  <c r="CF293"/>
  <c r="CE294"/>
  <c r="CF294"/>
  <c r="CE295"/>
  <c r="CF295"/>
  <c r="CE296"/>
  <c r="CF296"/>
  <c r="CE297"/>
  <c r="CF297"/>
  <c r="CE298"/>
  <c r="CF298"/>
  <c r="CE299"/>
  <c r="CF299"/>
  <c r="CE300"/>
  <c r="CF300"/>
  <c r="CE301"/>
  <c r="CF301"/>
  <c r="CE302"/>
  <c r="CF302"/>
  <c r="CE303"/>
  <c r="CF303"/>
  <c r="CE304"/>
  <c r="CF304"/>
  <c r="CE305"/>
  <c r="CF305"/>
  <c r="CE306"/>
  <c r="CF306"/>
  <c r="CE307"/>
  <c r="CF307"/>
  <c r="CE308"/>
  <c r="CF308"/>
  <c r="CE309"/>
  <c r="CF309"/>
  <c r="CE310"/>
  <c r="CF310"/>
  <c r="CE311"/>
  <c r="CF311"/>
  <c r="CE312"/>
  <c r="CF312"/>
  <c r="CE313"/>
  <c r="CF313"/>
  <c r="CE314"/>
  <c r="CF314"/>
  <c r="CE315"/>
  <c r="CF315"/>
  <c r="CE316"/>
  <c r="CF316"/>
  <c r="CE317"/>
  <c r="CF317"/>
  <c r="CE318"/>
  <c r="CF318"/>
  <c r="CE319"/>
  <c r="CF319"/>
  <c r="CE320"/>
  <c r="CF320"/>
  <c r="CE321"/>
  <c r="CF321"/>
  <c r="CE322"/>
  <c r="CF322"/>
  <c r="CE323"/>
  <c r="CF323"/>
  <c r="CE324"/>
  <c r="CF324"/>
  <c r="CE325"/>
  <c r="CF325"/>
  <c r="CE326"/>
  <c r="CF326"/>
  <c r="CE327"/>
  <c r="CF327"/>
  <c r="CE328"/>
  <c r="CF328"/>
  <c r="CE329"/>
  <c r="CF329"/>
  <c r="CE330"/>
  <c r="CF330"/>
  <c r="CE331"/>
  <c r="CF331"/>
  <c r="CE332"/>
  <c r="CF332"/>
  <c r="CE333"/>
  <c r="CF333"/>
  <c r="CE334"/>
  <c r="CF334"/>
  <c r="CE335"/>
  <c r="CF335"/>
  <c r="CE336"/>
  <c r="CF336"/>
  <c r="CE337"/>
  <c r="CF337"/>
  <c r="CE338"/>
  <c r="CF338"/>
  <c r="CE339"/>
  <c r="CF339"/>
  <c r="CE340"/>
  <c r="CF340"/>
  <c r="CE341"/>
  <c r="CF341"/>
  <c r="CE342"/>
  <c r="CF342"/>
  <c r="CE343"/>
  <c r="CF343"/>
  <c r="CE344"/>
  <c r="CF344"/>
  <c r="CE345"/>
  <c r="CF345"/>
  <c r="CE346"/>
  <c r="CF346"/>
  <c r="CE347"/>
  <c r="CF347"/>
  <c r="CE348"/>
  <c r="CF348"/>
  <c r="CE349"/>
  <c r="CF349"/>
  <c r="CE350"/>
  <c r="CF350"/>
  <c r="CE351"/>
  <c r="CF351"/>
  <c r="CE352"/>
  <c r="CF352"/>
  <c r="CE353"/>
  <c r="CF353"/>
  <c r="CE354"/>
  <c r="CF354"/>
  <c r="CE355"/>
  <c r="CF355"/>
  <c r="CE356"/>
  <c r="CF356"/>
  <c r="CE357"/>
  <c r="CF357"/>
  <c r="CE358"/>
  <c r="CF358"/>
  <c r="CE359"/>
  <c r="CF359"/>
  <c r="CE360"/>
  <c r="CF360"/>
  <c r="CE361"/>
  <c r="CF361"/>
  <c r="CE362"/>
  <c r="CF362"/>
  <c r="CE363"/>
  <c r="CF363"/>
  <c r="CE364"/>
  <c r="CF364"/>
  <c r="CE365"/>
  <c r="CF365"/>
  <c r="CE366"/>
  <c r="CF366"/>
  <c r="CE367"/>
  <c r="CF367"/>
  <c r="CE368"/>
  <c r="CF368"/>
  <c r="CE369"/>
  <c r="CF369"/>
  <c r="CE370"/>
  <c r="CF370"/>
  <c r="CE371"/>
  <c r="CF371"/>
  <c r="CE372"/>
  <c r="CF372"/>
  <c r="CE373"/>
  <c r="CF373"/>
  <c r="CE374"/>
  <c r="CF374"/>
  <c r="CE375"/>
  <c r="CF375"/>
  <c r="CE376"/>
  <c r="CF376"/>
  <c r="CE377"/>
  <c r="CF377"/>
  <c r="CE378"/>
  <c r="CF378"/>
  <c r="CE379"/>
  <c r="CF379"/>
  <c r="CE380"/>
  <c r="CF380"/>
  <c r="CE381"/>
  <c r="CF381"/>
  <c r="CE382"/>
  <c r="CF382"/>
  <c r="CE383"/>
  <c r="CF383"/>
  <c r="CE384"/>
  <c r="CF384"/>
  <c r="CE385"/>
  <c r="CF385"/>
  <c r="CE386"/>
  <c r="CF386"/>
  <c r="CE387"/>
  <c r="CF387"/>
  <c r="CE388"/>
  <c r="CF388"/>
  <c r="CE389"/>
  <c r="CF389"/>
  <c r="CE390"/>
  <c r="CF390"/>
  <c r="CE391"/>
  <c r="CF391"/>
  <c r="CE392"/>
  <c r="CF392"/>
  <c r="CE393"/>
  <c r="CF393"/>
  <c r="CE394"/>
  <c r="CF394"/>
  <c r="CE395"/>
  <c r="CF395"/>
  <c r="CE396"/>
  <c r="CF396"/>
  <c r="CE397"/>
  <c r="CF397"/>
  <c r="CE398"/>
  <c r="CF398"/>
  <c r="CE399"/>
  <c r="CF399"/>
  <c r="CE400"/>
  <c r="CF400"/>
  <c r="CE401"/>
  <c r="CF401"/>
  <c r="CE402"/>
  <c r="CF402"/>
  <c r="CE403"/>
  <c r="CF403"/>
  <c r="CE404"/>
  <c r="CF404"/>
  <c r="CE405"/>
  <c r="CF405"/>
  <c r="CE406"/>
  <c r="CF406"/>
  <c r="CE407"/>
  <c r="CF407"/>
  <c r="CE408"/>
  <c r="CF408"/>
  <c r="CE409"/>
  <c r="CF409"/>
  <c r="CE410"/>
  <c r="CF410"/>
  <c r="CE411"/>
  <c r="CF411"/>
  <c r="CE412"/>
  <c r="CF412"/>
  <c r="CE413"/>
  <c r="CF413"/>
  <c r="CE414"/>
  <c r="CF414"/>
  <c r="CE415"/>
  <c r="CF415"/>
  <c r="CE416"/>
  <c r="CF416"/>
  <c r="CE417"/>
  <c r="CF417"/>
  <c r="CE418"/>
  <c r="CF418"/>
  <c r="CE419"/>
  <c r="CF419"/>
  <c r="CE420"/>
  <c r="CF420"/>
  <c r="CE421"/>
  <c r="CF421"/>
  <c r="CE422"/>
  <c r="CF422"/>
  <c r="CE423"/>
  <c r="CF423"/>
  <c r="CE424"/>
  <c r="CF424"/>
  <c r="CE425"/>
  <c r="CF425"/>
  <c r="CE426"/>
  <c r="CF426"/>
  <c r="CE427"/>
  <c r="CF427"/>
  <c r="CE428"/>
  <c r="CF428"/>
  <c r="CE429"/>
  <c r="CF429"/>
  <c r="CE430"/>
  <c r="CF430"/>
  <c r="CE431"/>
  <c r="CF431"/>
  <c r="CE432"/>
  <c r="CF432"/>
  <c r="CE433"/>
  <c r="CF433"/>
  <c r="CE434"/>
  <c r="CF434"/>
  <c r="CE435"/>
  <c r="CF435"/>
  <c r="CE436"/>
  <c r="CF436"/>
  <c r="CE437"/>
  <c r="CF437"/>
  <c r="CE438"/>
  <c r="CF438"/>
  <c r="CE439"/>
  <c r="CF439"/>
  <c r="CE440"/>
  <c r="CF440"/>
  <c r="CE441"/>
  <c r="CF441"/>
  <c r="CE442"/>
  <c r="CF442"/>
  <c r="CE443"/>
  <c r="CF443"/>
  <c r="CE444"/>
  <c r="CF444"/>
  <c r="CE445"/>
  <c r="CF445"/>
  <c r="CE446"/>
  <c r="CF446"/>
  <c r="CE447"/>
  <c r="CF447"/>
  <c r="CE448"/>
  <c r="CF448"/>
  <c r="CE449"/>
  <c r="CF449"/>
  <c r="CE450"/>
  <c r="CF450"/>
  <c r="CE451"/>
  <c r="CF451"/>
  <c r="CE452"/>
  <c r="CF452"/>
  <c r="CE453"/>
  <c r="CF453"/>
  <c r="CE454"/>
  <c r="CF454"/>
  <c r="CE455"/>
  <c r="CF455"/>
  <c r="CE456"/>
  <c r="CF456"/>
  <c r="CE457"/>
  <c r="CF457"/>
  <c r="CE458"/>
  <c r="CF458"/>
  <c r="CE459"/>
  <c r="CF459"/>
  <c r="CE460"/>
  <c r="CF460"/>
  <c r="CE461"/>
  <c r="CF461"/>
  <c r="CE462"/>
  <c r="CF462"/>
  <c r="CE463"/>
  <c r="CF463"/>
  <c r="CE464"/>
  <c r="CF464"/>
  <c r="CE465"/>
  <c r="CF465"/>
  <c r="CE466"/>
  <c r="CF466"/>
  <c r="CE467"/>
  <c r="CF467"/>
  <c r="CE468"/>
  <c r="CF468"/>
  <c r="CE469"/>
  <c r="CF469"/>
  <c r="CE470"/>
  <c r="CF470"/>
  <c r="CE471"/>
  <c r="CF471"/>
  <c r="CE472"/>
  <c r="CF472"/>
  <c r="CE473"/>
  <c r="CF473"/>
  <c r="CE474"/>
  <c r="CF474"/>
  <c r="CE475"/>
  <c r="CF475"/>
  <c r="CE476"/>
  <c r="CF476"/>
  <c r="CE477"/>
  <c r="CF477"/>
  <c r="CE478"/>
  <c r="CF478"/>
  <c r="CE479"/>
  <c r="CF479"/>
  <c r="CE480"/>
  <c r="CF480"/>
  <c r="CE481"/>
  <c r="CF481"/>
  <c r="CE482"/>
  <c r="CF482"/>
  <c r="CE483"/>
  <c r="CF483"/>
  <c r="CE484"/>
  <c r="CF484"/>
  <c r="CE485"/>
  <c r="CF485"/>
  <c r="CE486"/>
  <c r="CF486"/>
  <c r="CE487"/>
  <c r="CF487"/>
  <c r="CE488"/>
  <c r="CF488"/>
  <c r="CE489"/>
  <c r="CF489"/>
  <c r="CE490"/>
  <c r="CF490"/>
  <c r="CE491"/>
  <c r="CF491"/>
  <c r="CE492"/>
  <c r="CF492"/>
  <c r="CE493"/>
  <c r="CF493"/>
  <c r="CE494"/>
  <c r="CF494"/>
  <c r="CE495"/>
  <c r="CF495"/>
  <c r="CE496"/>
  <c r="CF496"/>
  <c r="CE497"/>
  <c r="CF497"/>
  <c r="CE498"/>
  <c r="CF498"/>
  <c r="CE499"/>
  <c r="CF499"/>
  <c r="CE500"/>
  <c r="CF500"/>
  <c r="CE501"/>
  <c r="CF501"/>
  <c r="CE502"/>
  <c r="CF502"/>
  <c r="CE503"/>
  <c r="CF503"/>
  <c r="CE504"/>
  <c r="CF504"/>
  <c r="CE505"/>
  <c r="CF505"/>
  <c r="CD506"/>
  <c r="CE506"/>
  <c r="CF506"/>
  <c r="CE507"/>
  <c r="CF507"/>
  <c r="CE508"/>
  <c r="CF508"/>
  <c r="CE509"/>
  <c r="CF509"/>
  <c r="CE510"/>
  <c r="CF510"/>
  <c r="CE511"/>
  <c r="CF511"/>
  <c r="CE512"/>
  <c r="CF512"/>
  <c r="CE513"/>
  <c r="CF513"/>
  <c r="CE514"/>
  <c r="CF514"/>
  <c r="CE515"/>
  <c r="CF515"/>
  <c r="CE516"/>
  <c r="CF516"/>
  <c r="CE517"/>
  <c r="CF517"/>
  <c r="CE518"/>
  <c r="CF518"/>
  <c r="CE519"/>
  <c r="CF519"/>
  <c r="CE520"/>
  <c r="CF520"/>
  <c r="CE521"/>
  <c r="CF521"/>
  <c r="CE522"/>
  <c r="CF522"/>
  <c r="CE523"/>
  <c r="CF523"/>
  <c r="CE524"/>
  <c r="CF524"/>
  <c r="CD525"/>
  <c r="CE525"/>
  <c r="CF525"/>
  <c r="CD526"/>
  <c r="CE526"/>
  <c r="CF526"/>
  <c r="CD527"/>
  <c r="CE527"/>
  <c r="CF527"/>
  <c r="CD528"/>
  <c r="CE528"/>
  <c r="CF528"/>
  <c r="CD529"/>
  <c r="CE529"/>
  <c r="CF529"/>
  <c r="CD530"/>
  <c r="CE530"/>
  <c r="CF530"/>
  <c r="CD531"/>
  <c r="CE531"/>
  <c r="CF531"/>
  <c r="CD532"/>
  <c r="CE532"/>
  <c r="CF532"/>
  <c r="CD533"/>
  <c r="CE533"/>
  <c r="CF533"/>
  <c r="CD534"/>
  <c r="CE534"/>
  <c r="CF534"/>
  <c r="CD535"/>
  <c r="CE535"/>
  <c r="CF535"/>
  <c r="CD536"/>
  <c r="CE536"/>
  <c r="CF536"/>
  <c r="CD537"/>
  <c r="CE537"/>
  <c r="CF537"/>
  <c r="CD538"/>
  <c r="CE538"/>
  <c r="CF538"/>
  <c r="CD539"/>
  <c r="CE539"/>
  <c r="CF539"/>
  <c r="CD540"/>
  <c r="CE540"/>
  <c r="CF540"/>
  <c r="CD541"/>
  <c r="CE541"/>
  <c r="CF541"/>
  <c r="CD542"/>
  <c r="CE542"/>
  <c r="CF542"/>
  <c r="CD543"/>
  <c r="CE543"/>
  <c r="CF543"/>
  <c r="CD544"/>
  <c r="CE544"/>
  <c r="CF544"/>
  <c r="CD545"/>
  <c r="CE545"/>
  <c r="CF545"/>
  <c r="CD546"/>
  <c r="CE546"/>
  <c r="CF546"/>
  <c r="CD547"/>
  <c r="CE547"/>
  <c r="CF547"/>
  <c r="CD548"/>
  <c r="CE548"/>
  <c r="CF548"/>
  <c r="CD549"/>
  <c r="CE549"/>
  <c r="CF549"/>
  <c r="CD550"/>
  <c r="CE550"/>
  <c r="CF550"/>
  <c r="CD551"/>
  <c r="CE551"/>
  <c r="CF551"/>
  <c r="CD552"/>
  <c r="CE552"/>
  <c r="CF552"/>
  <c r="CD553"/>
  <c r="CE553"/>
  <c r="CF553"/>
  <c r="CD554"/>
  <c r="CE554"/>
  <c r="CF554"/>
  <c r="CD555"/>
  <c r="CE555"/>
  <c r="CF555"/>
  <c r="CD556"/>
  <c r="CE556"/>
  <c r="CF556"/>
  <c r="CD557"/>
  <c r="CE557"/>
  <c r="CF557"/>
  <c r="CD558"/>
  <c r="CE558"/>
  <c r="CF558"/>
  <c r="CD559"/>
  <c r="CE559"/>
  <c r="CF559"/>
  <c r="CD560"/>
  <c r="CE560"/>
  <c r="CF560"/>
  <c r="CD561"/>
  <c r="CE561"/>
  <c r="CF561"/>
  <c r="CD562"/>
  <c r="CE562"/>
  <c r="CF562"/>
  <c r="CD563"/>
  <c r="CE563"/>
  <c r="CF563"/>
  <c r="CD564"/>
  <c r="CE564"/>
  <c r="CF564"/>
  <c r="CD565"/>
  <c r="CE565"/>
  <c r="CF565"/>
  <c r="CD566"/>
  <c r="CE566"/>
  <c r="CF566"/>
  <c r="CD567"/>
  <c r="CE567"/>
  <c r="CF567"/>
  <c r="CD568"/>
  <c r="CE568"/>
  <c r="CF568"/>
  <c r="CD569"/>
  <c r="CE569"/>
  <c r="CF569"/>
  <c r="CD570"/>
  <c r="CE570"/>
  <c r="CF570"/>
  <c r="CD571"/>
  <c r="CE571"/>
  <c r="CF571"/>
  <c r="CD572"/>
  <c r="CE572"/>
  <c r="CF572"/>
  <c r="CD573"/>
  <c r="CE573"/>
  <c r="CF573"/>
  <c r="CD574"/>
  <c r="CE574"/>
  <c r="CF574"/>
  <c r="CD575"/>
  <c r="CE575"/>
  <c r="CF575"/>
  <c r="CD576"/>
  <c r="CE576"/>
  <c r="CF576"/>
  <c r="CD577"/>
  <c r="CE577"/>
  <c r="CF577"/>
  <c r="CD578"/>
  <c r="CE578"/>
  <c r="CF578"/>
  <c r="CD579"/>
  <c r="CE579"/>
  <c r="CF579"/>
  <c r="CD580"/>
  <c r="CE580"/>
  <c r="CF580"/>
  <c r="CD581"/>
  <c r="CE581"/>
  <c r="CF581"/>
  <c r="CD582"/>
  <c r="CE582"/>
  <c r="CF582"/>
  <c r="CD583"/>
  <c r="CE583"/>
  <c r="CF583"/>
  <c r="CD584"/>
  <c r="CE584"/>
  <c r="CF584"/>
  <c r="CD585"/>
  <c r="CE585"/>
  <c r="CF585"/>
  <c r="CD586"/>
  <c r="CE586"/>
  <c r="CF586"/>
  <c r="CD587"/>
  <c r="CE587"/>
  <c r="CF587"/>
  <c r="CD588"/>
  <c r="CE588"/>
  <c r="CF588"/>
  <c r="CD589"/>
  <c r="CE589"/>
  <c r="CF589"/>
  <c r="CD590"/>
  <c r="CE590"/>
  <c r="CF590"/>
  <c r="CD591"/>
  <c r="CE591"/>
  <c r="CF591"/>
  <c r="CD592"/>
  <c r="CE592"/>
  <c r="CF592"/>
  <c r="CD593"/>
  <c r="CE593"/>
  <c r="CF593"/>
  <c r="CD594"/>
  <c r="CE594"/>
  <c r="CF594"/>
  <c r="CD595"/>
  <c r="CE595"/>
  <c r="CF595"/>
  <c r="CD596"/>
  <c r="CE596"/>
  <c r="CF596"/>
  <c r="CD597"/>
  <c r="CE597"/>
  <c r="CF597"/>
  <c r="CD598"/>
  <c r="CE598"/>
  <c r="CF598"/>
  <c r="CD599"/>
  <c r="CE599"/>
  <c r="CF599"/>
  <c r="CD600"/>
  <c r="CE600"/>
  <c r="CF600"/>
  <c r="CD601"/>
  <c r="CE601"/>
  <c r="CF601"/>
  <c r="CD602"/>
  <c r="CE602"/>
  <c r="CF602"/>
  <c r="CD603"/>
  <c r="CE603"/>
  <c r="CF603"/>
  <c r="CD604"/>
  <c r="CE604"/>
  <c r="CF604"/>
  <c r="CD605"/>
  <c r="CE605"/>
  <c r="CF605"/>
  <c r="CD606"/>
  <c r="CE606"/>
  <c r="CF606"/>
  <c r="CD607"/>
  <c r="CE607"/>
  <c r="CF607"/>
  <c r="CD608"/>
  <c r="CE608"/>
  <c r="CF608"/>
  <c r="CD609"/>
  <c r="CE609"/>
  <c r="CF609"/>
  <c r="CD610"/>
  <c r="CE610"/>
  <c r="CF610"/>
  <c r="CD611"/>
  <c r="CE611"/>
  <c r="CF611"/>
  <c r="CD612"/>
  <c r="CE612"/>
  <c r="CF612"/>
  <c r="CD613"/>
  <c r="CE613"/>
  <c r="CF613"/>
  <c r="CD614"/>
  <c r="CE614"/>
  <c r="CF614"/>
  <c r="CD615"/>
  <c r="CE615"/>
  <c r="CF615"/>
  <c r="CD616"/>
  <c r="CE616"/>
  <c r="CF616"/>
  <c r="CD617"/>
  <c r="CE617"/>
  <c r="CF617"/>
  <c r="CD618"/>
  <c r="CE618"/>
  <c r="CF618"/>
  <c r="CD619"/>
  <c r="CE619"/>
  <c r="CF619"/>
  <c r="CD620"/>
  <c r="CE620"/>
  <c r="CF620"/>
  <c r="CD621"/>
  <c r="CE621"/>
  <c r="CF621"/>
  <c r="CD622"/>
  <c r="CE622"/>
  <c r="CF622"/>
  <c r="CD623"/>
  <c r="CE623"/>
  <c r="CF623"/>
  <c r="CD624"/>
  <c r="CE624"/>
  <c r="CF624"/>
  <c r="CD625"/>
  <c r="CE625"/>
  <c r="CF625"/>
  <c r="CD626"/>
  <c r="CE626"/>
  <c r="CF626"/>
  <c r="CD627"/>
  <c r="CE627"/>
  <c r="CF627"/>
  <c r="CD628"/>
  <c r="CE628"/>
  <c r="CF628"/>
  <c r="CD629"/>
  <c r="CE629"/>
  <c r="CF629"/>
  <c r="CD630"/>
  <c r="CE630"/>
  <c r="CF630"/>
  <c r="CD631"/>
  <c r="CE631"/>
  <c r="CF631"/>
  <c r="CD632"/>
  <c r="CE632"/>
  <c r="CF632"/>
  <c r="CD633"/>
  <c r="CE633"/>
  <c r="CF633"/>
  <c r="CD634"/>
  <c r="CE634"/>
  <c r="CF634"/>
  <c r="CD635"/>
  <c r="CE635"/>
  <c r="CF635"/>
  <c r="CD636"/>
  <c r="CE636"/>
  <c r="CF636"/>
  <c r="CD637"/>
  <c r="CE637"/>
  <c r="CF637"/>
  <c r="CD638"/>
  <c r="CE638"/>
  <c r="CF638"/>
  <c r="CD639"/>
  <c r="CE639"/>
  <c r="CF639"/>
  <c r="CD640"/>
  <c r="CE640"/>
  <c r="CF640"/>
  <c r="CD641"/>
  <c r="CE641"/>
  <c r="CF641"/>
  <c r="CD642"/>
  <c r="CE642"/>
  <c r="CF642"/>
  <c r="CD643"/>
  <c r="CE643"/>
  <c r="CF643"/>
  <c r="CD644"/>
  <c r="CE644"/>
  <c r="CF644"/>
  <c r="CD645"/>
  <c r="CE645"/>
  <c r="CF645"/>
  <c r="CD646"/>
  <c r="CE646"/>
  <c r="CF646"/>
  <c r="CD647"/>
  <c r="CE647"/>
  <c r="CF647"/>
  <c r="CD648"/>
  <c r="CE648"/>
  <c r="CF648"/>
  <c r="CD649"/>
  <c r="CE649"/>
  <c r="CF649"/>
  <c r="CD650"/>
  <c r="CE650"/>
  <c r="CF650"/>
  <c r="CD651"/>
  <c r="CE651"/>
  <c r="CF651"/>
  <c r="CD652"/>
  <c r="CE652"/>
  <c r="CF652"/>
  <c r="CD653"/>
  <c r="CE653"/>
  <c r="CF653"/>
  <c r="CD654"/>
  <c r="CE654"/>
  <c r="CF654"/>
  <c r="CD655"/>
  <c r="CE655"/>
  <c r="CF655"/>
  <c r="CD656"/>
  <c r="CE656"/>
  <c r="CF656"/>
  <c r="CD657"/>
  <c r="CE657"/>
  <c r="CF657"/>
  <c r="CD658"/>
  <c r="CE658"/>
  <c r="CF658"/>
  <c r="CD659"/>
  <c r="CE659"/>
  <c r="CF659"/>
  <c r="CD660"/>
  <c r="CE660"/>
  <c r="CF660"/>
  <c r="CD661"/>
  <c r="CE661"/>
  <c r="CF661"/>
  <c r="CD662"/>
  <c r="CE662"/>
  <c r="CF662"/>
  <c r="CD663"/>
  <c r="CE663"/>
  <c r="CF663"/>
  <c r="CD664"/>
  <c r="CE664"/>
  <c r="CF664"/>
  <c r="CD665"/>
  <c r="CE665"/>
  <c r="CF665"/>
  <c r="CD666"/>
  <c r="CE666"/>
  <c r="CF666"/>
  <c r="CD667"/>
  <c r="CE667"/>
  <c r="CF667"/>
  <c r="CD668"/>
  <c r="CE668"/>
  <c r="CF668"/>
  <c r="CD669"/>
  <c r="CE669"/>
  <c r="CF669"/>
  <c r="CD670"/>
  <c r="CE670"/>
  <c r="CF670"/>
  <c r="CD671"/>
  <c r="CE671"/>
  <c r="CF671"/>
  <c r="CD672"/>
  <c r="CE672"/>
  <c r="CF672"/>
  <c r="CD673"/>
  <c r="CE673"/>
  <c r="CF673"/>
  <c r="CD674"/>
  <c r="CE674"/>
  <c r="CF674"/>
  <c r="CD675"/>
  <c r="CE675"/>
  <c r="CF675"/>
  <c r="CD676"/>
  <c r="CE676"/>
  <c r="CF676"/>
  <c r="CD677"/>
  <c r="CE677"/>
  <c r="CF677"/>
  <c r="CD678"/>
  <c r="CE678"/>
  <c r="CF678"/>
  <c r="CD679"/>
  <c r="CE679"/>
  <c r="CF679"/>
  <c r="CD680"/>
  <c r="CE680"/>
  <c r="CF680"/>
  <c r="CD681"/>
  <c r="CE681"/>
  <c r="CF681"/>
  <c r="CD682"/>
  <c r="CE682"/>
  <c r="CF682"/>
  <c r="CD683"/>
  <c r="CE683"/>
  <c r="CF683"/>
  <c r="CD684"/>
  <c r="CE684"/>
  <c r="CF684"/>
  <c r="CD685"/>
  <c r="CE685"/>
  <c r="CF685"/>
  <c r="CD686"/>
  <c r="CE686"/>
  <c r="CF686"/>
  <c r="CD687"/>
  <c r="CE687"/>
  <c r="CF687"/>
  <c r="CD688"/>
  <c r="CE688"/>
  <c r="CF688"/>
  <c r="CD689"/>
  <c r="CE689"/>
  <c r="CF689"/>
  <c r="CD690"/>
  <c r="CE690"/>
  <c r="CF690"/>
  <c r="CD691"/>
  <c r="CE691"/>
  <c r="CF691"/>
  <c r="CD692"/>
  <c r="CE692"/>
  <c r="CF692"/>
  <c r="CD693"/>
  <c r="CE693"/>
  <c r="CF693"/>
  <c r="CD694"/>
  <c r="CE694"/>
  <c r="CF694"/>
  <c r="CD695"/>
  <c r="CE695"/>
  <c r="CF695"/>
  <c r="CF3"/>
  <c r="CE3"/>
  <c r="CC90" i="32"/>
  <c r="CD90"/>
  <c r="CE90"/>
  <c r="CC91"/>
  <c r="CD91"/>
  <c r="CE91"/>
  <c r="CC92"/>
  <c r="CD92"/>
  <c r="CE92"/>
  <c r="CC93"/>
  <c r="CD93"/>
  <c r="CE93"/>
  <c r="CC94"/>
  <c r="CD94"/>
  <c r="CE94"/>
  <c r="CC95"/>
  <c r="CD95"/>
  <c r="CE95"/>
  <c r="CC96"/>
  <c r="CD96"/>
  <c r="CE96"/>
  <c r="CC97"/>
  <c r="CD97"/>
  <c r="CE97"/>
  <c r="CC98"/>
  <c r="CD98"/>
  <c r="CE98"/>
  <c r="CC99"/>
  <c r="CD99"/>
  <c r="CE99"/>
  <c r="CC100"/>
  <c r="CD100"/>
  <c r="CE100"/>
  <c r="CC101"/>
  <c r="CD101"/>
  <c r="CE101"/>
  <c r="CC102"/>
  <c r="CD102"/>
  <c r="CE102"/>
  <c r="CC103"/>
  <c r="CD103"/>
  <c r="CE103"/>
  <c r="CC104"/>
  <c r="CD104"/>
  <c r="CE104"/>
  <c r="CC105"/>
  <c r="CD105"/>
  <c r="CE105"/>
  <c r="CC106"/>
  <c r="CD106"/>
  <c r="CE106"/>
  <c r="CC107"/>
  <c r="CD107"/>
  <c r="CE107"/>
  <c r="CC108"/>
  <c r="CD108"/>
  <c r="CE108"/>
  <c r="CC109"/>
  <c r="CD109"/>
  <c r="CE109"/>
  <c r="CC110"/>
  <c r="CD110"/>
  <c r="CE110"/>
  <c r="CC111"/>
  <c r="CD111"/>
  <c r="CE111"/>
  <c r="CC112"/>
  <c r="CD112"/>
  <c r="CE112"/>
  <c r="CC113"/>
  <c r="CD113"/>
  <c r="CE113"/>
  <c r="CC114"/>
  <c r="CD114"/>
  <c r="CE114"/>
  <c r="CC115"/>
  <c r="CD115"/>
  <c r="CE115"/>
  <c r="CC116"/>
  <c r="CD116"/>
  <c r="CE116"/>
  <c r="CC117"/>
  <c r="CD117"/>
  <c r="CE117"/>
  <c r="CC118"/>
  <c r="CD118"/>
  <c r="CE118"/>
  <c r="CC119"/>
  <c r="CD119"/>
  <c r="CE119"/>
  <c r="CC120"/>
  <c r="CD120"/>
  <c r="CE120"/>
  <c r="CC121"/>
  <c r="CD121"/>
  <c r="CE121"/>
  <c r="CC122"/>
  <c r="CD122"/>
  <c r="CE122"/>
  <c r="CC123"/>
  <c r="CD123"/>
  <c r="CE123"/>
  <c r="CC124"/>
  <c r="CD124"/>
  <c r="CE124"/>
  <c r="CC125"/>
  <c r="CD125"/>
  <c r="CE125"/>
  <c r="CC126"/>
  <c r="CD126"/>
  <c r="CE126"/>
  <c r="CC127"/>
  <c r="CD127"/>
  <c r="CE127"/>
  <c r="CE89"/>
  <c r="CE88"/>
  <c r="CE87"/>
  <c r="CE86"/>
  <c r="CE85"/>
  <c r="CE82"/>
  <c r="CE81"/>
  <c r="CE78"/>
  <c r="CE77"/>
  <c r="CE76"/>
  <c r="CE72"/>
  <c r="CE71"/>
  <c r="CE70"/>
  <c r="CE68"/>
  <c r="CE67"/>
  <c r="CE66"/>
  <c r="CE62"/>
  <c r="CE58"/>
  <c r="CE52"/>
  <c r="CE49"/>
  <c r="CE45"/>
  <c r="CE38"/>
  <c r="CE35"/>
  <c r="CE30"/>
  <c r="CE25"/>
  <c r="CE20"/>
  <c r="CE16"/>
  <c r="CE12"/>
  <c r="CD89"/>
  <c r="CD88"/>
  <c r="CF88" s="1"/>
  <c r="CD87"/>
  <c r="CF87" s="1"/>
  <c r="CD86"/>
  <c r="CD85"/>
  <c r="CF85" s="1"/>
  <c r="CD82"/>
  <c r="CF82" s="1"/>
  <c r="CD81"/>
  <c r="CF81" s="1"/>
  <c r="CD78"/>
  <c r="CF78" s="1"/>
  <c r="CD77"/>
  <c r="CF77" s="1"/>
  <c r="CD76"/>
  <c r="CF76" s="1"/>
  <c r="CD72"/>
  <c r="CD71"/>
  <c r="CF71" s="1"/>
  <c r="CD70"/>
  <c r="CF70" s="1"/>
  <c r="CD68"/>
  <c r="CF68" s="1"/>
  <c r="CD67"/>
  <c r="CF67" s="1"/>
  <c r="CD66"/>
  <c r="CF66" s="1"/>
  <c r="CD62"/>
  <c r="CD58"/>
  <c r="CF58" s="1"/>
  <c r="CD52"/>
  <c r="CF52" s="1"/>
  <c r="CD49"/>
  <c r="CD45"/>
  <c r="CF45" s="1"/>
  <c r="CD38"/>
  <c r="CF38" s="1"/>
  <c r="CD35"/>
  <c r="CF35" s="1"/>
  <c r="CD30"/>
  <c r="CF30" s="1"/>
  <c r="CD25"/>
  <c r="CF25" s="1"/>
  <c r="CD20"/>
  <c r="CF20" s="1"/>
  <c r="CD16"/>
  <c r="CF16" s="1"/>
  <c r="CD12"/>
  <c r="CF12" s="1"/>
  <c r="CC82"/>
  <c r="CC81"/>
  <c r="BM655" i="30"/>
  <c r="BM473"/>
  <c r="BM581"/>
  <c r="CF62" i="32" l="1"/>
  <c r="CF89"/>
  <c r="CF86"/>
  <c r="CF72"/>
  <c r="CG343" i="30"/>
  <c r="CG339"/>
  <c r="CG335"/>
  <c r="CG331"/>
  <c r="CG327"/>
  <c r="CG323"/>
  <c r="CG319"/>
  <c r="CG315"/>
  <c r="CG311"/>
  <c r="CG307"/>
  <c r="CG303"/>
  <c r="CG295"/>
  <c r="CG291"/>
  <c r="CG287"/>
  <c r="CG283"/>
  <c r="CG279"/>
  <c r="CG275"/>
  <c r="CG271"/>
  <c r="CG267"/>
  <c r="CG263"/>
  <c r="CG171"/>
  <c r="CG167"/>
  <c r="CG163"/>
  <c r="CG159"/>
  <c r="CG155"/>
  <c r="CG151"/>
  <c r="CG147"/>
  <c r="CG143"/>
  <c r="CG139"/>
  <c r="CG135"/>
  <c r="CG131"/>
  <c r="CG127"/>
  <c r="CG123"/>
  <c r="CG695"/>
  <c r="CG691"/>
  <c r="CG687"/>
  <c r="CG683"/>
  <c r="CG679"/>
  <c r="CG675"/>
  <c r="CG671"/>
  <c r="CG667"/>
  <c r="CG663"/>
  <c r="CG659"/>
  <c r="CG655"/>
  <c r="CG651"/>
  <c r="CG647"/>
  <c r="CG643"/>
  <c r="CG639"/>
  <c r="CG635"/>
  <c r="CG631"/>
  <c r="CG627"/>
  <c r="CG623"/>
  <c r="CG619"/>
  <c r="CG615"/>
  <c r="CG611"/>
  <c r="CG347"/>
  <c r="CF101" i="32"/>
  <c r="CF97"/>
  <c r="CF49"/>
  <c r="CF93"/>
  <c r="CF126"/>
  <c r="CF106"/>
  <c r="CF103"/>
  <c r="CF99"/>
  <c r="CF91"/>
  <c r="CG607" i="30"/>
  <c r="CG603"/>
  <c r="CG599"/>
  <c r="CG595"/>
  <c r="CG591"/>
  <c r="CG587"/>
  <c r="CG503"/>
  <c r="CG499"/>
  <c r="CG495"/>
  <c r="CG491"/>
  <c r="CG487"/>
  <c r="CG483"/>
  <c r="CG479"/>
  <c r="CG475"/>
  <c r="CG471"/>
  <c r="CG467"/>
  <c r="CG463"/>
  <c r="CG459"/>
  <c r="CG455"/>
  <c r="CG451"/>
  <c r="CG447"/>
  <c r="CG443"/>
  <c r="CG439"/>
  <c r="CG435"/>
  <c r="CG431"/>
  <c r="CG427"/>
  <c r="CG423"/>
  <c r="CG419"/>
  <c r="CG415"/>
  <c r="CG411"/>
  <c r="CG407"/>
  <c r="CG403"/>
  <c r="CG399"/>
  <c r="CG395"/>
  <c r="CG391"/>
  <c r="CG387"/>
  <c r="CG383"/>
  <c r="CG379"/>
  <c r="CG375"/>
  <c r="CG371"/>
  <c r="CG367"/>
  <c r="CG363"/>
  <c r="CG359"/>
  <c r="CG355"/>
  <c r="CG351"/>
  <c r="CG119"/>
  <c r="CG115"/>
  <c r="CG111"/>
  <c r="CG107"/>
  <c r="CG103"/>
  <c r="CG99"/>
  <c r="CG95"/>
  <c r="CG91"/>
  <c r="CG87"/>
  <c r="CG83"/>
  <c r="CG79"/>
  <c r="CG75"/>
  <c r="CG71"/>
  <c r="CG67"/>
  <c r="CG63"/>
  <c r="CG59"/>
  <c r="CG55"/>
  <c r="CG51"/>
  <c r="CG583"/>
  <c r="CG579"/>
  <c r="CG575"/>
  <c r="CG571"/>
  <c r="CG567"/>
  <c r="CG563"/>
  <c r="CG559"/>
  <c r="CG555"/>
  <c r="CG551"/>
  <c r="CG547"/>
  <c r="CG543"/>
  <c r="CG539"/>
  <c r="CG535"/>
  <c r="CG531"/>
  <c r="CG527"/>
  <c r="CG299"/>
  <c r="CG47"/>
  <c r="CG502"/>
  <c r="CG498"/>
  <c r="CG494"/>
  <c r="CG490"/>
  <c r="CG486"/>
  <c r="CG482"/>
  <c r="CG478"/>
  <c r="CG474"/>
  <c r="CG470"/>
  <c r="CG466"/>
  <c r="CG462"/>
  <c r="CG458"/>
  <c r="CG454"/>
  <c r="CG450"/>
  <c r="CG446"/>
  <c r="CG442"/>
  <c r="CG438"/>
  <c r="CG434"/>
  <c r="CG430"/>
  <c r="CG426"/>
  <c r="CG422"/>
  <c r="CG418"/>
  <c r="CG414"/>
  <c r="CG410"/>
  <c r="CG406"/>
  <c r="CG402"/>
  <c r="CG398"/>
  <c r="CG394"/>
  <c r="CG390"/>
  <c r="CG386"/>
  <c r="CG382"/>
  <c r="CG378"/>
  <c r="CG374"/>
  <c r="CG370"/>
  <c r="CG366"/>
  <c r="CG362"/>
  <c r="CG358"/>
  <c r="CG354"/>
  <c r="CG350"/>
  <c r="CG346"/>
  <c r="CG342"/>
  <c r="CG338"/>
  <c r="CG334"/>
  <c r="CG330"/>
  <c r="CG326"/>
  <c r="CG322"/>
  <c r="CG318"/>
  <c r="CG314"/>
  <c r="CG310"/>
  <c r="CG306"/>
  <c r="CG302"/>
  <c r="CG298"/>
  <c r="CG294"/>
  <c r="CG290"/>
  <c r="CG286"/>
  <c r="CG282"/>
  <c r="CG278"/>
  <c r="CG274"/>
  <c r="CG270"/>
  <c r="CG266"/>
  <c r="CG262"/>
  <c r="CG258"/>
  <c r="CG254"/>
  <c r="CG250"/>
  <c r="CG246"/>
  <c r="CG242"/>
  <c r="CG238"/>
  <c r="CG234"/>
  <c r="CG230"/>
  <c r="CG226"/>
  <c r="CG222"/>
  <c r="CG218"/>
  <c r="CG214"/>
  <c r="CG210"/>
  <c r="CG206"/>
  <c r="CG202"/>
  <c r="CG198"/>
  <c r="CG194"/>
  <c r="CG192"/>
  <c r="CG190"/>
  <c r="CG188"/>
  <c r="CG186"/>
  <c r="CG184"/>
  <c r="CG182"/>
  <c r="CG180"/>
  <c r="CG178"/>
  <c r="CG176"/>
  <c r="CG174"/>
  <c r="CG172"/>
  <c r="CG170"/>
  <c r="CG168"/>
  <c r="CG166"/>
  <c r="CG164"/>
  <c r="CG162"/>
  <c r="CG160"/>
  <c r="CG158"/>
  <c r="CG156"/>
  <c r="CG154"/>
  <c r="CG152"/>
  <c r="CG150"/>
  <c r="CG148"/>
  <c r="CG146"/>
  <c r="CG144"/>
  <c r="CG142"/>
  <c r="CG140"/>
  <c r="CG138"/>
  <c r="CG136"/>
  <c r="CG134"/>
  <c r="CG132"/>
  <c r="CG130"/>
  <c r="CG128"/>
  <c r="CG126"/>
  <c r="CG124"/>
  <c r="CG122"/>
  <c r="CG120"/>
  <c r="CG118"/>
  <c r="CG116"/>
  <c r="CG114"/>
  <c r="CG112"/>
  <c r="CG110"/>
  <c r="CG108"/>
  <c r="CG106"/>
  <c r="CG104"/>
  <c r="CG102"/>
  <c r="CG100"/>
  <c r="CG98"/>
  <c r="CG96"/>
  <c r="CG94"/>
  <c r="CG92"/>
  <c r="CG90"/>
  <c r="CG88"/>
  <c r="CG86"/>
  <c r="CG84"/>
  <c r="CG82"/>
  <c r="CG80"/>
  <c r="CG78"/>
  <c r="CG76"/>
  <c r="CG74"/>
  <c r="CG72"/>
  <c r="CG70"/>
  <c r="CG66"/>
  <c r="CF127" i="32"/>
  <c r="CF123"/>
  <c r="CF119"/>
  <c r="CF115"/>
  <c r="CF111"/>
  <c r="CF100"/>
  <c r="CF96"/>
  <c r="CF92"/>
  <c r="CF122"/>
  <c r="CF118"/>
  <c r="CF114"/>
  <c r="CF110"/>
  <c r="CF124"/>
  <c r="CF120"/>
  <c r="CF116"/>
  <c r="CF112"/>
  <c r="CF108"/>
  <c r="CF104"/>
  <c r="CF107"/>
  <c r="CF95"/>
  <c r="CF125"/>
  <c r="CF121"/>
  <c r="CF117"/>
  <c r="CF113"/>
  <c r="CF109"/>
  <c r="CF105"/>
  <c r="CF102"/>
  <c r="CF98"/>
  <c r="CF94"/>
  <c r="CF90"/>
  <c r="CG62" i="30"/>
  <c r="CG60"/>
  <c r="CG58"/>
  <c r="CG43"/>
  <c r="CG39"/>
  <c r="CG35"/>
  <c r="CG31"/>
  <c r="CG27"/>
  <c r="CG23"/>
  <c r="CG19"/>
  <c r="CG15"/>
  <c r="CG11"/>
  <c r="CG56"/>
  <c r="CG54"/>
  <c r="CG52"/>
  <c r="CG50"/>
  <c r="CG48"/>
  <c r="CG46"/>
  <c r="CG44"/>
  <c r="CG42"/>
  <c r="CG40"/>
  <c r="CG38"/>
  <c r="CG36"/>
  <c r="CG34"/>
  <c r="CG32"/>
  <c r="CG30"/>
  <c r="CG28"/>
  <c r="CG26"/>
  <c r="CG24"/>
  <c r="CG22"/>
  <c r="CG20"/>
  <c r="CG18"/>
  <c r="CG16"/>
  <c r="CG14"/>
  <c r="CG12"/>
  <c r="CG10"/>
  <c r="CG8"/>
  <c r="CG6"/>
  <c r="CG4"/>
  <c r="CG522"/>
  <c r="CG518"/>
  <c r="CG514"/>
  <c r="CG510"/>
  <c r="CG506"/>
  <c r="CG7"/>
  <c r="CG694"/>
  <c r="CG690"/>
  <c r="CG686"/>
  <c r="CG682"/>
  <c r="CG678"/>
  <c r="CG674"/>
  <c r="CG670"/>
  <c r="CG666"/>
  <c r="CG662"/>
  <c r="CG658"/>
  <c r="CG654"/>
  <c r="CG650"/>
  <c r="CG646"/>
  <c r="CG642"/>
  <c r="CG638"/>
  <c r="CG634"/>
  <c r="CG630"/>
  <c r="CG626"/>
  <c r="CG622"/>
  <c r="CG618"/>
  <c r="CG614"/>
  <c r="CG610"/>
  <c r="CG606"/>
  <c r="CG602"/>
  <c r="CG598"/>
  <c r="CG594"/>
  <c r="CG590"/>
  <c r="CG586"/>
  <c r="CG582"/>
  <c r="CG578"/>
  <c r="CG574"/>
  <c r="CG570"/>
  <c r="CG566"/>
  <c r="CG562"/>
  <c r="CG558"/>
  <c r="CG554"/>
  <c r="CG550"/>
  <c r="CG546"/>
  <c r="CG542"/>
  <c r="CG538"/>
  <c r="CG534"/>
  <c r="CG530"/>
  <c r="CG526"/>
  <c r="CG523"/>
  <c r="CG519"/>
  <c r="CG515"/>
  <c r="CG511"/>
  <c r="CG507"/>
  <c r="CG693"/>
  <c r="CG689"/>
  <c r="CG685"/>
  <c r="CG681"/>
  <c r="CG677"/>
  <c r="CG673"/>
  <c r="CG669"/>
  <c r="CG665"/>
  <c r="CG661"/>
  <c r="CG657"/>
  <c r="CG653"/>
  <c r="CG649"/>
  <c r="CG645"/>
  <c r="CG641"/>
  <c r="CG637"/>
  <c r="CG633"/>
  <c r="CG629"/>
  <c r="CG625"/>
  <c r="CG621"/>
  <c r="CG617"/>
  <c r="CG613"/>
  <c r="CG609"/>
  <c r="CG605"/>
  <c r="CG601"/>
  <c r="CG597"/>
  <c r="CG593"/>
  <c r="CG589"/>
  <c r="CG585"/>
  <c r="CG581"/>
  <c r="CG577"/>
  <c r="CG573"/>
  <c r="CG569"/>
  <c r="CG565"/>
  <c r="CG561"/>
  <c r="CG557"/>
  <c r="CG553"/>
  <c r="CG549"/>
  <c r="CG545"/>
  <c r="CG541"/>
  <c r="CG537"/>
  <c r="CG533"/>
  <c r="CG529"/>
  <c r="CG525"/>
  <c r="CG521"/>
  <c r="CG517"/>
  <c r="CG513"/>
  <c r="CG509"/>
  <c r="CG505"/>
  <c r="CG501"/>
  <c r="CG497"/>
  <c r="CG493"/>
  <c r="CG489"/>
  <c r="CG485"/>
  <c r="CG481"/>
  <c r="CG477"/>
  <c r="CG473"/>
  <c r="CG469"/>
  <c r="CG465"/>
  <c r="CG461"/>
  <c r="CG457"/>
  <c r="CG453"/>
  <c r="CG449"/>
  <c r="CG445"/>
  <c r="CG441"/>
  <c r="CG437"/>
  <c r="CG433"/>
  <c r="CG429"/>
  <c r="CG425"/>
  <c r="CG421"/>
  <c r="CG417"/>
  <c r="CG413"/>
  <c r="CG409"/>
  <c r="CG405"/>
  <c r="CG401"/>
  <c r="CG397"/>
  <c r="CG393"/>
  <c r="CG389"/>
  <c r="CG385"/>
  <c r="CG381"/>
  <c r="CG377"/>
  <c r="CG373"/>
  <c r="CG369"/>
  <c r="CG365"/>
  <c r="CG361"/>
  <c r="CG357"/>
  <c r="CG353"/>
  <c r="CG349"/>
  <c r="CG345"/>
  <c r="CG341"/>
  <c r="CG337"/>
  <c r="CG333"/>
  <c r="CG329"/>
  <c r="CG325"/>
  <c r="CG321"/>
  <c r="CG317"/>
  <c r="CG313"/>
  <c r="CG309"/>
  <c r="CG305"/>
  <c r="CG301"/>
  <c r="CG297"/>
  <c r="CG293"/>
  <c r="CG289"/>
  <c r="CG285"/>
  <c r="CG281"/>
  <c r="CG277"/>
  <c r="CG273"/>
  <c r="CG269"/>
  <c r="CG265"/>
  <c r="CG261"/>
  <c r="CG33"/>
  <c r="CG29"/>
  <c r="CG25"/>
  <c r="CG21"/>
  <c r="CG17"/>
  <c r="CG13"/>
  <c r="CG9"/>
  <c r="CG5"/>
  <c r="CG692"/>
  <c r="CG688"/>
  <c r="CG684"/>
  <c r="CG680"/>
  <c r="CG676"/>
  <c r="CG672"/>
  <c r="CG668"/>
  <c r="CG664"/>
  <c r="CG660"/>
  <c r="CG656"/>
  <c r="CG652"/>
  <c r="CG648"/>
  <c r="CG644"/>
  <c r="CG640"/>
  <c r="CG636"/>
  <c r="CG632"/>
  <c r="CG628"/>
  <c r="CG624"/>
  <c r="CG620"/>
  <c r="CG616"/>
  <c r="CG612"/>
  <c r="CG608"/>
  <c r="CG604"/>
  <c r="CG600"/>
  <c r="CG596"/>
  <c r="CG592"/>
  <c r="CG588"/>
  <c r="CG584"/>
  <c r="CG580"/>
  <c r="CG576"/>
  <c r="CG572"/>
  <c r="CG568"/>
  <c r="CG564"/>
  <c r="CG560"/>
  <c r="CG556"/>
  <c r="CG552"/>
  <c r="CG548"/>
  <c r="CG544"/>
  <c r="CG540"/>
  <c r="CG536"/>
  <c r="CG532"/>
  <c r="CG528"/>
  <c r="CG524"/>
  <c r="CG520"/>
  <c r="CG516"/>
  <c r="CG512"/>
  <c r="CG508"/>
  <c r="CG504"/>
  <c r="CG500"/>
  <c r="CG496"/>
  <c r="CG492"/>
  <c r="CG488"/>
  <c r="CG484"/>
  <c r="CG480"/>
  <c r="CG476"/>
  <c r="CG472"/>
  <c r="CG468"/>
  <c r="CG464"/>
  <c r="CG460"/>
  <c r="CG456"/>
  <c r="CG452"/>
  <c r="CG448"/>
  <c r="CG444"/>
  <c r="CG440"/>
  <c r="CG436"/>
  <c r="CG432"/>
  <c r="CG428"/>
  <c r="CG424"/>
  <c r="CG420"/>
  <c r="CG416"/>
  <c r="CG412"/>
  <c r="CG408"/>
  <c r="CG404"/>
  <c r="CG400"/>
  <c r="CG396"/>
  <c r="CG392"/>
  <c r="CG388"/>
  <c r="CG384"/>
  <c r="CG380"/>
  <c r="CG376"/>
  <c r="CG372"/>
  <c r="CG368"/>
  <c r="CG364"/>
  <c r="CG360"/>
  <c r="CG356"/>
  <c r="CG352"/>
  <c r="CG348"/>
  <c r="CG344"/>
  <c r="CG340"/>
  <c r="CG336"/>
  <c r="CG332"/>
  <c r="CG328"/>
  <c r="CG324"/>
  <c r="CG320"/>
  <c r="CG316"/>
  <c r="CG312"/>
  <c r="CG308"/>
  <c r="CG304"/>
  <c r="CG300"/>
  <c r="CG296"/>
  <c r="CG292"/>
  <c r="CG288"/>
  <c r="CG284"/>
  <c r="CG280"/>
  <c r="CG276"/>
  <c r="CG272"/>
  <c r="CG268"/>
  <c r="CG264"/>
  <c r="CG260"/>
  <c r="CG256"/>
  <c r="CG252"/>
  <c r="CG248"/>
  <c r="CG244"/>
  <c r="CG240"/>
  <c r="CG236"/>
  <c r="CG232"/>
  <c r="CG228"/>
  <c r="CG224"/>
  <c r="CG220"/>
  <c r="CG216"/>
  <c r="CG212"/>
  <c r="CG208"/>
  <c r="CG204"/>
  <c r="CG200"/>
  <c r="CG196"/>
  <c r="CG179"/>
  <c r="CG175"/>
  <c r="CG257"/>
  <c r="CG253"/>
  <c r="CG249"/>
  <c r="CG245"/>
  <c r="CG241"/>
  <c r="CG237"/>
  <c r="CG233"/>
  <c r="CG229"/>
  <c r="CG225"/>
  <c r="CG221"/>
  <c r="CG217"/>
  <c r="CG213"/>
  <c r="CG209"/>
  <c r="CG205"/>
  <c r="CG201"/>
  <c r="CG197"/>
  <c r="CG193"/>
  <c r="CG189"/>
  <c r="CG185"/>
  <c r="CG181"/>
  <c r="CG177"/>
  <c r="CG173"/>
  <c r="CG169"/>
  <c r="CG165"/>
  <c r="CG161"/>
  <c r="CG157"/>
  <c r="CG153"/>
  <c r="CG149"/>
  <c r="CG145"/>
  <c r="CG141"/>
  <c r="CG137"/>
  <c r="CG133"/>
  <c r="CG129"/>
  <c r="CG125"/>
  <c r="CG121"/>
  <c r="CG117"/>
  <c r="CG113"/>
  <c r="CG109"/>
  <c r="CG105"/>
  <c r="CG101"/>
  <c r="CG97"/>
  <c r="CG93"/>
  <c r="CG89"/>
  <c r="CG85"/>
  <c r="CG81"/>
  <c r="CG77"/>
  <c r="CG73"/>
  <c r="CG69"/>
  <c r="CG65"/>
  <c r="CG61"/>
  <c r="CG57"/>
  <c r="CG53"/>
  <c r="CG49"/>
  <c r="CG45"/>
  <c r="CG41"/>
  <c r="CG37"/>
  <c r="CG68"/>
  <c r="CG64"/>
  <c r="CG259"/>
  <c r="CG255"/>
  <c r="CG251"/>
  <c r="CG247"/>
  <c r="CG243"/>
  <c r="CG239"/>
  <c r="CG235"/>
  <c r="CG231"/>
  <c r="CG227"/>
  <c r="CG223"/>
  <c r="CG219"/>
  <c r="CG215"/>
  <c r="CG211"/>
  <c r="CG207"/>
  <c r="CG203"/>
  <c r="CG199"/>
  <c r="CG195"/>
  <c r="CG191"/>
  <c r="CG187"/>
  <c r="CG183"/>
  <c r="CG3"/>
  <c r="BJ600"/>
  <c r="BE121" i="32"/>
  <c r="BH121" s="1"/>
  <c r="BE122"/>
  <c r="BH122" s="1"/>
  <c r="BK122" s="1"/>
  <c r="BN122" s="1"/>
  <c r="BQ122" s="1"/>
  <c r="BT122" s="1"/>
  <c r="BW122" s="1"/>
  <c r="BZ122" s="1"/>
  <c r="BE123"/>
  <c r="BH123" s="1"/>
  <c r="BK123" s="1"/>
  <c r="BN123" s="1"/>
  <c r="BQ123" s="1"/>
  <c r="BT123" s="1"/>
  <c r="BW123" s="1"/>
  <c r="BZ123" s="1"/>
  <c r="BE124"/>
  <c r="BH124" s="1"/>
  <c r="BK124" s="1"/>
  <c r="BN124" s="1"/>
  <c r="BQ124" s="1"/>
  <c r="BT124" s="1"/>
  <c r="BW124" s="1"/>
  <c r="BZ124" s="1"/>
  <c r="BE125"/>
  <c r="BH125" s="1"/>
  <c r="BK125" s="1"/>
  <c r="BN125" s="1"/>
  <c r="BQ125" s="1"/>
  <c r="BT125" s="1"/>
  <c r="BW125" s="1"/>
  <c r="BZ125" s="1"/>
  <c r="BE126"/>
  <c r="BH126" s="1"/>
  <c r="BK126" s="1"/>
  <c r="BN126" s="1"/>
  <c r="BQ126" s="1"/>
  <c r="BT126" s="1"/>
  <c r="BW126" s="1"/>
  <c r="BZ126" s="1"/>
  <c r="BE127"/>
  <c r="BH127" s="1"/>
  <c r="BK127" s="1"/>
  <c r="BN127" s="1"/>
  <c r="BQ127" s="1"/>
  <c r="BT127" s="1"/>
  <c r="BW127" s="1"/>
  <c r="BZ127" s="1"/>
  <c r="BE120"/>
  <c r="BH120" s="1"/>
  <c r="BE659" i="30"/>
  <c r="BH659" s="1"/>
  <c r="BK659" s="1"/>
  <c r="BN659" s="1"/>
  <c r="BE660"/>
  <c r="BH660" s="1"/>
  <c r="BK660" s="1"/>
  <c r="BN660" s="1"/>
  <c r="BE661"/>
  <c r="BH661" s="1"/>
  <c r="BK661" s="1"/>
  <c r="BN661" s="1"/>
  <c r="BE662"/>
  <c r="BH662" s="1"/>
  <c r="BK662" s="1"/>
  <c r="BN662" s="1"/>
  <c r="BE663"/>
  <c r="BH663" s="1"/>
  <c r="BK663" s="1"/>
  <c r="BN663" s="1"/>
  <c r="BE664"/>
  <c r="BH664" s="1"/>
  <c r="BK664" s="1"/>
  <c r="BN664" s="1"/>
  <c r="BE665"/>
  <c r="BH665" s="1"/>
  <c r="BK665" s="1"/>
  <c r="BN665" s="1"/>
  <c r="BE666"/>
  <c r="BH666" s="1"/>
  <c r="BK666" s="1"/>
  <c r="BN666" s="1"/>
  <c r="BE667"/>
  <c r="BH667" s="1"/>
  <c r="BK667" s="1"/>
  <c r="BE668"/>
  <c r="BH668" s="1"/>
  <c r="BK668" s="1"/>
  <c r="BN668" s="1"/>
  <c r="BE669"/>
  <c r="BH669" s="1"/>
  <c r="BK669" s="1"/>
  <c r="BN669" s="1"/>
  <c r="BE670"/>
  <c r="BH670" s="1"/>
  <c r="BK670" s="1"/>
  <c r="BE671"/>
  <c r="BH671" s="1"/>
  <c r="BK671" s="1"/>
  <c r="BN671" s="1"/>
  <c r="BE672"/>
  <c r="BH672" s="1"/>
  <c r="BK672" s="1"/>
  <c r="BN672" s="1"/>
  <c r="BE673"/>
  <c r="BH673" s="1"/>
  <c r="BK673" s="1"/>
  <c r="BE674"/>
  <c r="BH674" s="1"/>
  <c r="BK674" s="1"/>
  <c r="BE675"/>
  <c r="BH675" s="1"/>
  <c r="BK675" s="1"/>
  <c r="BN675" s="1"/>
  <c r="BE676"/>
  <c r="BH676" s="1"/>
  <c r="BE677"/>
  <c r="BH677" s="1"/>
  <c r="BK677" s="1"/>
  <c r="BN677" s="1"/>
  <c r="BE678"/>
  <c r="BH678" s="1"/>
  <c r="BE679"/>
  <c r="BH679" s="1"/>
  <c r="BK679" s="1"/>
  <c r="BN679" s="1"/>
  <c r="BE680"/>
  <c r="BH680" s="1"/>
  <c r="BK680" s="1"/>
  <c r="BN680" s="1"/>
  <c r="BE681"/>
  <c r="BH681" s="1"/>
  <c r="BK681" s="1"/>
  <c r="BN681" s="1"/>
  <c r="BQ681" s="1"/>
  <c r="BE682"/>
  <c r="BH682" s="1"/>
  <c r="BK682" s="1"/>
  <c r="BN682" s="1"/>
  <c r="BE683"/>
  <c r="BH683" s="1"/>
  <c r="BK683" s="1"/>
  <c r="BN683" s="1"/>
  <c r="BP683" s="1"/>
  <c r="BE684"/>
  <c r="BH684" s="1"/>
  <c r="BK684" s="1"/>
  <c r="BE685"/>
  <c r="BH685" s="1"/>
  <c r="BE686"/>
  <c r="BH686" s="1"/>
  <c r="BK686" s="1"/>
  <c r="BE687"/>
  <c r="BH687" s="1"/>
  <c r="BE688"/>
  <c r="BH688" s="1"/>
  <c r="BK688" s="1"/>
  <c r="BE689"/>
  <c r="BH689" s="1"/>
  <c r="BK689" s="1"/>
  <c r="BN689" s="1"/>
  <c r="BE690"/>
  <c r="BH690" s="1"/>
  <c r="BK690" s="1"/>
  <c r="BN690" s="1"/>
  <c r="BE691"/>
  <c r="BH691" s="1"/>
  <c r="BK691" s="1"/>
  <c r="BN691" s="1"/>
  <c r="BE692"/>
  <c r="BH692" s="1"/>
  <c r="BE693"/>
  <c r="BH693" s="1"/>
  <c r="BE694"/>
  <c r="BH694" s="1"/>
  <c r="BK694" s="1"/>
  <c r="BN694" s="1"/>
  <c r="BE695"/>
  <c r="BH695" s="1"/>
  <c r="BK695" s="1"/>
  <c r="BN695" s="1"/>
  <c r="BE658"/>
  <c r="BH658" s="1"/>
  <c r="BK658" s="1"/>
  <c r="BN658" s="1"/>
  <c r="BE657"/>
  <c r="BH657" s="1"/>
  <c r="BK657" s="1"/>
  <c r="BN657" s="1"/>
  <c r="BE82" i="31"/>
  <c r="BH82" s="1"/>
  <c r="BK82" s="1"/>
  <c r="BN82" s="1"/>
  <c r="BQ82" s="1"/>
  <c r="BT82" s="1"/>
  <c r="BW82" s="1"/>
  <c r="BZ82" s="1"/>
  <c r="BE81"/>
  <c r="BH81" s="1"/>
  <c r="BK81" s="1"/>
  <c r="BN81" s="1"/>
  <c r="BQ81" s="1"/>
  <c r="BT81" s="1"/>
  <c r="BW81" s="1"/>
  <c r="BZ81" s="1"/>
  <c r="BG622" i="30"/>
  <c r="BG653" s="1"/>
  <c r="BQ658" l="1"/>
  <c r="BT658" s="1"/>
  <c r="BW658" s="1"/>
  <c r="BZ658" s="1"/>
  <c r="BQ695"/>
  <c r="BT695" s="1"/>
  <c r="BW695" s="1"/>
  <c r="BZ695" s="1"/>
  <c r="BQ691"/>
  <c r="BT691" s="1"/>
  <c r="BW691" s="1"/>
  <c r="BZ691" s="1"/>
  <c r="BQ683"/>
  <c r="BT683" s="1"/>
  <c r="BW683" s="1"/>
  <c r="BZ683" s="1"/>
  <c r="BQ679"/>
  <c r="BQ675"/>
  <c r="BQ663"/>
  <c r="BT663" s="1"/>
  <c r="BQ659"/>
  <c r="BT659" s="1"/>
  <c r="BQ680"/>
  <c r="BQ668"/>
  <c r="BT668" s="1"/>
  <c r="BW668" s="1"/>
  <c r="BZ668" s="1"/>
  <c r="BQ664"/>
  <c r="BT664" s="1"/>
  <c r="BW664" s="1"/>
  <c r="BZ664" s="1"/>
  <c r="BQ660"/>
  <c r="BT660" s="1"/>
  <c r="BW660" s="1"/>
  <c r="BZ660" s="1"/>
  <c r="BQ657"/>
  <c r="BT681"/>
  <c r="BW681" s="1"/>
  <c r="BZ681" s="1"/>
  <c r="BQ677"/>
  <c r="BQ669"/>
  <c r="BT669" s="1"/>
  <c r="BW669" s="1"/>
  <c r="BZ669" s="1"/>
  <c r="BQ665"/>
  <c r="BT665" s="1"/>
  <c r="BW665" s="1"/>
  <c r="BZ665" s="1"/>
  <c r="BQ661"/>
  <c r="BT661" s="1"/>
  <c r="BW661" s="1"/>
  <c r="BZ661" s="1"/>
  <c r="BQ672"/>
  <c r="BT672" s="1"/>
  <c r="BW672" s="1"/>
  <c r="BZ672" s="1"/>
  <c r="BQ694"/>
  <c r="BT694" s="1"/>
  <c r="BQ690"/>
  <c r="BT690" s="1"/>
  <c r="BQ682"/>
  <c r="BT682" s="1"/>
  <c r="BW682" s="1"/>
  <c r="BZ682" s="1"/>
  <c r="BQ666"/>
  <c r="BT666" s="1"/>
  <c r="BW666" s="1"/>
  <c r="BZ666" s="1"/>
  <c r="BQ662"/>
  <c r="BP671"/>
  <c r="BM686"/>
  <c r="BN686" s="1"/>
  <c r="BM673"/>
  <c r="BN673" s="1"/>
  <c r="BM670"/>
  <c r="BN670" s="1"/>
  <c r="BK676"/>
  <c r="BN676" s="1"/>
  <c r="BG585"/>
  <c r="BG89" i="32"/>
  <c r="BV659" i="30" l="1"/>
  <c r="BW659" s="1"/>
  <c r="BZ659" s="1"/>
  <c r="BV694"/>
  <c r="BV792" s="1"/>
  <c r="BW792" s="1"/>
  <c r="BZ792" s="1"/>
  <c r="BV690"/>
  <c r="BW690" s="1"/>
  <c r="BZ690" s="1"/>
  <c r="BV663"/>
  <c r="BW663" s="1"/>
  <c r="BZ663" s="1"/>
  <c r="BT657"/>
  <c r="BT757"/>
  <c r="BS662"/>
  <c r="BT662" s="1"/>
  <c r="BW662" s="1"/>
  <c r="BZ662" s="1"/>
  <c r="BS677"/>
  <c r="BT677" s="1"/>
  <c r="BW677" s="1"/>
  <c r="BZ677" s="1"/>
  <c r="BS680"/>
  <c r="BT680" s="1"/>
  <c r="BW680" s="1"/>
  <c r="BZ680" s="1"/>
  <c r="BQ673"/>
  <c r="BT673" s="1"/>
  <c r="BW673" s="1"/>
  <c r="BZ673" s="1"/>
  <c r="BQ671"/>
  <c r="BT671" s="1"/>
  <c r="BW671" s="1"/>
  <c r="BZ671" s="1"/>
  <c r="BQ670"/>
  <c r="BT670" s="1"/>
  <c r="BW670" s="1"/>
  <c r="BZ670" s="1"/>
  <c r="BQ676"/>
  <c r="BT676" s="1"/>
  <c r="BW676" s="1"/>
  <c r="BZ676" s="1"/>
  <c r="BQ686"/>
  <c r="BT686" s="1"/>
  <c r="BW686" s="1"/>
  <c r="BZ686" s="1"/>
  <c r="BG655"/>
  <c r="BW694" l="1"/>
  <c r="BZ694" s="1"/>
  <c r="BV657"/>
  <c r="BV757" s="1"/>
  <c r="BG641"/>
  <c r="BW657" l="1"/>
  <c r="BZ657" s="1"/>
  <c r="BW757"/>
  <c r="BZ757" s="1"/>
  <c r="BG101" i="32"/>
  <c r="BG570" i="30"/>
  <c r="BG540" l="1"/>
  <c r="BD53" i="31" l="1"/>
  <c r="BD105" s="1"/>
  <c r="BB656" i="30"/>
  <c r="BE656" s="1"/>
  <c r="BH656" s="1"/>
  <c r="BK656" s="1"/>
  <c r="BB112" i="32"/>
  <c r="BE112" s="1"/>
  <c r="BH112" s="1"/>
  <c r="BB113"/>
  <c r="BE113" s="1"/>
  <c r="BH113" s="1"/>
  <c r="BK113" s="1"/>
  <c r="BN113" s="1"/>
  <c r="BQ113" s="1"/>
  <c r="BT113" s="1"/>
  <c r="BW113" s="1"/>
  <c r="BZ113" s="1"/>
  <c r="BB114"/>
  <c r="BE114" s="1"/>
  <c r="BH114" s="1"/>
  <c r="BK114" s="1"/>
  <c r="BN114" s="1"/>
  <c r="BQ114" s="1"/>
  <c r="BT114" s="1"/>
  <c r="BW114" s="1"/>
  <c r="BZ114" s="1"/>
  <c r="BB115"/>
  <c r="BE115" s="1"/>
  <c r="BH115" s="1"/>
  <c r="BK115" s="1"/>
  <c r="BN115" s="1"/>
  <c r="BQ115" s="1"/>
  <c r="BT115" s="1"/>
  <c r="BW115" s="1"/>
  <c r="BZ115" s="1"/>
  <c r="BB116"/>
  <c r="BE116" s="1"/>
  <c r="BH116" s="1"/>
  <c r="BK116" s="1"/>
  <c r="BN116" s="1"/>
  <c r="BQ116" s="1"/>
  <c r="BT116" s="1"/>
  <c r="BW116" s="1"/>
  <c r="BZ116" s="1"/>
  <c r="BB117"/>
  <c r="BE117" s="1"/>
  <c r="BH117" s="1"/>
  <c r="BK117" s="1"/>
  <c r="BN117" s="1"/>
  <c r="BB118"/>
  <c r="BE118" s="1"/>
  <c r="BH118" s="1"/>
  <c r="BK118" s="1"/>
  <c r="BN118" s="1"/>
  <c r="BQ118" s="1"/>
  <c r="BT118" s="1"/>
  <c r="BW118" s="1"/>
  <c r="BZ118" s="1"/>
  <c r="BB119"/>
  <c r="BE119" s="1"/>
  <c r="BH119" s="1"/>
  <c r="BK119" s="1"/>
  <c r="BN119" s="1"/>
  <c r="BQ119" s="1"/>
  <c r="BT119" s="1"/>
  <c r="BW119" s="1"/>
  <c r="BZ119" s="1"/>
  <c r="BB111"/>
  <c r="BE111" s="1"/>
  <c r="BE625" i="30"/>
  <c r="BB627"/>
  <c r="BE627" s="1"/>
  <c r="BB628"/>
  <c r="BE628" s="1"/>
  <c r="BH628" s="1"/>
  <c r="BK628" s="1"/>
  <c r="BN628" s="1"/>
  <c r="BB629"/>
  <c r="BE629" s="1"/>
  <c r="BH629" s="1"/>
  <c r="BK629" s="1"/>
  <c r="BN629" s="1"/>
  <c r="BB630"/>
  <c r="BE630" s="1"/>
  <c r="BH630" s="1"/>
  <c r="BK630" s="1"/>
  <c r="BB631"/>
  <c r="BE631" s="1"/>
  <c r="BH631" s="1"/>
  <c r="BK631" s="1"/>
  <c r="BN631" s="1"/>
  <c r="BB632"/>
  <c r="BE632" s="1"/>
  <c r="BH632" s="1"/>
  <c r="BK632" s="1"/>
  <c r="BB633"/>
  <c r="BE633" s="1"/>
  <c r="BH633" s="1"/>
  <c r="BK633" s="1"/>
  <c r="BN633" s="1"/>
  <c r="BB634"/>
  <c r="BE634" s="1"/>
  <c r="BH634" s="1"/>
  <c r="BK634" s="1"/>
  <c r="BB635"/>
  <c r="BE635" s="1"/>
  <c r="BH635" s="1"/>
  <c r="BK635" s="1"/>
  <c r="BN635" s="1"/>
  <c r="BB636"/>
  <c r="BE636" s="1"/>
  <c r="BH636" s="1"/>
  <c r="BK636" s="1"/>
  <c r="BN636" s="1"/>
  <c r="BB637"/>
  <c r="BE637" s="1"/>
  <c r="BH637" s="1"/>
  <c r="BK637" s="1"/>
  <c r="BN637" s="1"/>
  <c r="BB638"/>
  <c r="BE638" s="1"/>
  <c r="BH638" s="1"/>
  <c r="BK638" s="1"/>
  <c r="BB639"/>
  <c r="BE639" s="1"/>
  <c r="BH639" s="1"/>
  <c r="BK639" s="1"/>
  <c r="BN639" s="1"/>
  <c r="BB640"/>
  <c r="BE640" s="1"/>
  <c r="BH640" s="1"/>
  <c r="BK640" s="1"/>
  <c r="BN640" s="1"/>
  <c r="BB641"/>
  <c r="BE641" s="1"/>
  <c r="BH641" s="1"/>
  <c r="BB642"/>
  <c r="BE642" s="1"/>
  <c r="BH642" s="1"/>
  <c r="BK642" s="1"/>
  <c r="BN642" s="1"/>
  <c r="BB643"/>
  <c r="BE643" s="1"/>
  <c r="BH643" s="1"/>
  <c r="BB644"/>
  <c r="BE644" s="1"/>
  <c r="BH644" s="1"/>
  <c r="BB645"/>
  <c r="BE645" s="1"/>
  <c r="BH645" s="1"/>
  <c r="BK645" s="1"/>
  <c r="BB646"/>
  <c r="BE646" s="1"/>
  <c r="BH646" s="1"/>
  <c r="BB647"/>
  <c r="BE647" s="1"/>
  <c r="BH647" s="1"/>
  <c r="BK647" s="1"/>
  <c r="BN647" s="1"/>
  <c r="BB648"/>
  <c r="BE648" s="1"/>
  <c r="BH648" s="1"/>
  <c r="BK648" s="1"/>
  <c r="BN648" s="1"/>
  <c r="BB649"/>
  <c r="BE649" s="1"/>
  <c r="BH649" s="1"/>
  <c r="BK649" s="1"/>
  <c r="BN649" s="1"/>
  <c r="BB650"/>
  <c r="BE650" s="1"/>
  <c r="BB651"/>
  <c r="BE651" s="1"/>
  <c r="BH651" s="1"/>
  <c r="BK651" s="1"/>
  <c r="BB652"/>
  <c r="BE652" s="1"/>
  <c r="BH652" s="1"/>
  <c r="BK652" s="1"/>
  <c r="BN652" s="1"/>
  <c r="BB653"/>
  <c r="BE653" s="1"/>
  <c r="BH653" s="1"/>
  <c r="BK653" s="1"/>
  <c r="BN653" s="1"/>
  <c r="BB654"/>
  <c r="BE654" s="1"/>
  <c r="BH654" s="1"/>
  <c r="BB655"/>
  <c r="BE655" s="1"/>
  <c r="BH655" s="1"/>
  <c r="BK655" s="1"/>
  <c r="BN655" s="1"/>
  <c r="BB626"/>
  <c r="BE626" s="1"/>
  <c r="BB80" i="31"/>
  <c r="BE80" s="1"/>
  <c r="BH80" s="1"/>
  <c r="BK80" s="1"/>
  <c r="BN80" s="1"/>
  <c r="BQ80" s="1"/>
  <c r="BT80" s="1"/>
  <c r="BW80" s="1"/>
  <c r="BZ80" s="1"/>
  <c r="BB79"/>
  <c r="BE79" s="1"/>
  <c r="BH79" s="1"/>
  <c r="BK79" s="1"/>
  <c r="BN79" s="1"/>
  <c r="BQ79" s="1"/>
  <c r="BT79" s="1"/>
  <c r="BW79" s="1"/>
  <c r="BZ79" s="1"/>
  <c r="BB78"/>
  <c r="BD600" i="30"/>
  <c r="BQ652" l="1"/>
  <c r="BT652" s="1"/>
  <c r="BW652" s="1"/>
  <c r="BZ652" s="1"/>
  <c r="BQ640"/>
  <c r="BQ628"/>
  <c r="BQ649"/>
  <c r="BT649" s="1"/>
  <c r="BW649" s="1"/>
  <c r="BZ649" s="1"/>
  <c r="BQ629"/>
  <c r="BQ655"/>
  <c r="BT655" s="1"/>
  <c r="BW655" s="1"/>
  <c r="BZ655" s="1"/>
  <c r="BQ639"/>
  <c r="BQ631"/>
  <c r="BT631" s="1"/>
  <c r="BW631" s="1"/>
  <c r="BZ631" s="1"/>
  <c r="BQ648"/>
  <c r="BT648" s="1"/>
  <c r="BQ636"/>
  <c r="BT636" s="1"/>
  <c r="BW636" s="1"/>
  <c r="BZ636" s="1"/>
  <c r="BQ653"/>
  <c r="BT653" s="1"/>
  <c r="BW653" s="1"/>
  <c r="BZ653" s="1"/>
  <c r="BQ637"/>
  <c r="BT637" s="1"/>
  <c r="BW637" s="1"/>
  <c r="BZ637" s="1"/>
  <c r="BQ633"/>
  <c r="BT633" s="1"/>
  <c r="BW633" s="1"/>
  <c r="BZ633" s="1"/>
  <c r="BQ642"/>
  <c r="BP635"/>
  <c r="BM651"/>
  <c r="BN651" s="1"/>
  <c r="BP647"/>
  <c r="BQ647" s="1"/>
  <c r="BT647" s="1"/>
  <c r="BW647" s="1"/>
  <c r="BZ647" s="1"/>
  <c r="BM645"/>
  <c r="BN645" s="1"/>
  <c r="BM638"/>
  <c r="BN638" s="1"/>
  <c r="BM634"/>
  <c r="BN634" s="1"/>
  <c r="BM632"/>
  <c r="BN632" s="1"/>
  <c r="BK693"/>
  <c r="BJ112" i="32"/>
  <c r="BK112" s="1"/>
  <c r="BN112" s="1"/>
  <c r="BQ112" s="1"/>
  <c r="BT112" s="1"/>
  <c r="BW112" s="1"/>
  <c r="BZ112" s="1"/>
  <c r="BJ644" i="30"/>
  <c r="BK644" s="1"/>
  <c r="BN644" s="1"/>
  <c r="BJ646"/>
  <c r="BK646" s="1"/>
  <c r="BN646" s="1"/>
  <c r="BM656"/>
  <c r="BM674" s="1"/>
  <c r="BN674" s="1"/>
  <c r="BJ641"/>
  <c r="BJ678" s="1"/>
  <c r="BJ643"/>
  <c r="BK643" s="1"/>
  <c r="BN643" s="1"/>
  <c r="BE78" i="31"/>
  <c r="BH78" s="1"/>
  <c r="BK78" s="1"/>
  <c r="BN78" s="1"/>
  <c r="BH111" i="32"/>
  <c r="BH625" i="30"/>
  <c r="BK625" s="1"/>
  <c r="BN625" s="1"/>
  <c r="CD505"/>
  <c r="BG561"/>
  <c r="BD379"/>
  <c r="BD278"/>
  <c r="BD50" i="31"/>
  <c r="AY108" i="32"/>
  <c r="BV648" i="30" l="1"/>
  <c r="BW648" s="1"/>
  <c r="BZ648" s="1"/>
  <c r="BS639"/>
  <c r="BT639" s="1"/>
  <c r="BW639" s="1"/>
  <c r="BZ639" s="1"/>
  <c r="BS629"/>
  <c r="BT629" s="1"/>
  <c r="BW629" s="1"/>
  <c r="BZ629" s="1"/>
  <c r="BS640"/>
  <c r="BT640" s="1"/>
  <c r="BW640" s="1"/>
  <c r="BZ640" s="1"/>
  <c r="BS642"/>
  <c r="BT642" s="1"/>
  <c r="BW642" s="1"/>
  <c r="BZ642" s="1"/>
  <c r="BQ646"/>
  <c r="BT646" s="1"/>
  <c r="BW646" s="1"/>
  <c r="BZ646" s="1"/>
  <c r="BQ632"/>
  <c r="BT632" s="1"/>
  <c r="BW632" s="1"/>
  <c r="BZ632" s="1"/>
  <c r="BQ645"/>
  <c r="BT645" s="1"/>
  <c r="BW645" s="1"/>
  <c r="BZ645" s="1"/>
  <c r="BQ625"/>
  <c r="BT625" s="1"/>
  <c r="BW625" s="1"/>
  <c r="BZ625" s="1"/>
  <c r="BQ638"/>
  <c r="BT638" s="1"/>
  <c r="BW638" s="1"/>
  <c r="BZ638" s="1"/>
  <c r="BQ674"/>
  <c r="BT674" s="1"/>
  <c r="BW674" s="1"/>
  <c r="BZ674" s="1"/>
  <c r="BQ643"/>
  <c r="BT643" s="1"/>
  <c r="BW643" s="1"/>
  <c r="BZ643" s="1"/>
  <c r="BQ644"/>
  <c r="BT644" s="1"/>
  <c r="BW644" s="1"/>
  <c r="BZ644" s="1"/>
  <c r="BQ634"/>
  <c r="BT634" s="1"/>
  <c r="BW634" s="1"/>
  <c r="BZ634" s="1"/>
  <c r="BQ651"/>
  <c r="BT651" s="1"/>
  <c r="BW651" s="1"/>
  <c r="BZ651" s="1"/>
  <c r="BQ635"/>
  <c r="BT635" s="1"/>
  <c r="BW635" s="1"/>
  <c r="BZ635" s="1"/>
  <c r="BK654"/>
  <c r="BJ111" i="32"/>
  <c r="BK111" s="1"/>
  <c r="BN111" s="1"/>
  <c r="BQ111" s="1"/>
  <c r="BT111" s="1"/>
  <c r="BW111" s="1"/>
  <c r="BZ111" s="1"/>
  <c r="BN656" i="30"/>
  <c r="BK641"/>
  <c r="BN641" s="1"/>
  <c r="BK678"/>
  <c r="BN678" s="1"/>
  <c r="AY104" i="32"/>
  <c r="BB104" s="1"/>
  <c r="BE104" s="1"/>
  <c r="BH104" s="1"/>
  <c r="AY105"/>
  <c r="BB105" s="1"/>
  <c r="BE105" s="1"/>
  <c r="BH105" s="1"/>
  <c r="AY106"/>
  <c r="BB106" s="1"/>
  <c r="BE106" s="1"/>
  <c r="BH106" s="1"/>
  <c r="BK106" s="1"/>
  <c r="BN106" s="1"/>
  <c r="BQ106" s="1"/>
  <c r="BT106" s="1"/>
  <c r="BW106" s="1"/>
  <c r="BZ106" s="1"/>
  <c r="AY107"/>
  <c r="BB107" s="1"/>
  <c r="BE107" s="1"/>
  <c r="BH107" s="1"/>
  <c r="BK107" s="1"/>
  <c r="BN107" s="1"/>
  <c r="BQ107" s="1"/>
  <c r="BT107" s="1"/>
  <c r="BW107" s="1"/>
  <c r="BZ107" s="1"/>
  <c r="BB108"/>
  <c r="BE108" s="1"/>
  <c r="BH108" s="1"/>
  <c r="BK108" s="1"/>
  <c r="BN108" s="1"/>
  <c r="BQ108" s="1"/>
  <c r="BT108" s="1"/>
  <c r="BW108" s="1"/>
  <c r="BZ108" s="1"/>
  <c r="AY109"/>
  <c r="BB109" s="1"/>
  <c r="BE109" s="1"/>
  <c r="AY110"/>
  <c r="BB110" s="1"/>
  <c r="BE110" s="1"/>
  <c r="BH110" s="1"/>
  <c r="BK110" s="1"/>
  <c r="BN110" s="1"/>
  <c r="BQ110" s="1"/>
  <c r="BT110" s="1"/>
  <c r="BW110" s="1"/>
  <c r="BZ110" s="1"/>
  <c r="AV589" i="30"/>
  <c r="AY589" s="1"/>
  <c r="BB589" s="1"/>
  <c r="BE589" s="1"/>
  <c r="AV590"/>
  <c r="AY590" s="1"/>
  <c r="BB590" s="1"/>
  <c r="BE590" s="1"/>
  <c r="BH590" s="1"/>
  <c r="BK590" s="1"/>
  <c r="BN590" s="1"/>
  <c r="AV591"/>
  <c r="AY591" s="1"/>
  <c r="BB591" s="1"/>
  <c r="BE591" s="1"/>
  <c r="BH591" s="1"/>
  <c r="BK591" s="1"/>
  <c r="BN591" s="1"/>
  <c r="AV592"/>
  <c r="AY592" s="1"/>
  <c r="BB592" s="1"/>
  <c r="BE592" s="1"/>
  <c r="BH592" s="1"/>
  <c r="BK592" s="1"/>
  <c r="BN592" s="1"/>
  <c r="AV593"/>
  <c r="AY593" s="1"/>
  <c r="BB593" s="1"/>
  <c r="BE593" s="1"/>
  <c r="BH593" s="1"/>
  <c r="BK593" s="1"/>
  <c r="BN593" s="1"/>
  <c r="AV594"/>
  <c r="AY594" s="1"/>
  <c r="BB594" s="1"/>
  <c r="BE594" s="1"/>
  <c r="BH594" s="1"/>
  <c r="BK594" s="1"/>
  <c r="BN594" s="1"/>
  <c r="AV595"/>
  <c r="AY595" s="1"/>
  <c r="BB595" s="1"/>
  <c r="BE595" s="1"/>
  <c r="BH595" s="1"/>
  <c r="BK595" s="1"/>
  <c r="AV596"/>
  <c r="AY596" s="1"/>
  <c r="BB596" s="1"/>
  <c r="BE596" s="1"/>
  <c r="BH596" s="1"/>
  <c r="BK596" s="1"/>
  <c r="BN596" s="1"/>
  <c r="AV597"/>
  <c r="AY597" s="1"/>
  <c r="BB597" s="1"/>
  <c r="AV598"/>
  <c r="AY598" s="1"/>
  <c r="BB598" s="1"/>
  <c r="BE598" s="1"/>
  <c r="BH598" s="1"/>
  <c r="BK598" s="1"/>
  <c r="BN598" s="1"/>
  <c r="AV599"/>
  <c r="AY599" s="1"/>
  <c r="BB599" s="1"/>
  <c r="BE599" s="1"/>
  <c r="BH599" s="1"/>
  <c r="BK599" s="1"/>
  <c r="AV600"/>
  <c r="AY600" s="1"/>
  <c r="BB600" s="1"/>
  <c r="BE600" s="1"/>
  <c r="BH600" s="1"/>
  <c r="BK600" s="1"/>
  <c r="BN600" s="1"/>
  <c r="AV601"/>
  <c r="AY601" s="1"/>
  <c r="BB601" s="1"/>
  <c r="BE601" s="1"/>
  <c r="BH601" s="1"/>
  <c r="BK601" s="1"/>
  <c r="BN601" s="1"/>
  <c r="AV602"/>
  <c r="AY602" s="1"/>
  <c r="BB602" s="1"/>
  <c r="BE602" s="1"/>
  <c r="AV603"/>
  <c r="AY603" s="1"/>
  <c r="BB603" s="1"/>
  <c r="BE603" s="1"/>
  <c r="BH603" s="1"/>
  <c r="BK603" s="1"/>
  <c r="BN603" s="1"/>
  <c r="AV604"/>
  <c r="AY604" s="1"/>
  <c r="BB604" s="1"/>
  <c r="AV605"/>
  <c r="AY605" s="1"/>
  <c r="BB605" s="1"/>
  <c r="BE605" s="1"/>
  <c r="AV606"/>
  <c r="AY606" s="1"/>
  <c r="BB606" s="1"/>
  <c r="BE606" s="1"/>
  <c r="BH606" s="1"/>
  <c r="BK606" s="1"/>
  <c r="BN606" s="1"/>
  <c r="AV607"/>
  <c r="AY607" s="1"/>
  <c r="BB607" s="1"/>
  <c r="BE607" s="1"/>
  <c r="BH607" s="1"/>
  <c r="BK607" s="1"/>
  <c r="BN607" s="1"/>
  <c r="AV608"/>
  <c r="AY608" s="1"/>
  <c r="BB608" s="1"/>
  <c r="BE608" s="1"/>
  <c r="AV609"/>
  <c r="AY609" s="1"/>
  <c r="BB609" s="1"/>
  <c r="BE609" s="1"/>
  <c r="BH609" s="1"/>
  <c r="BK609" s="1"/>
  <c r="BN609" s="1"/>
  <c r="AV610"/>
  <c r="AY610" s="1"/>
  <c r="BB610" s="1"/>
  <c r="AV611"/>
  <c r="AY611" s="1"/>
  <c r="BB611" s="1"/>
  <c r="AV612"/>
  <c r="AY612" s="1"/>
  <c r="BB612" s="1"/>
  <c r="BE612" s="1"/>
  <c r="BH612" s="1"/>
  <c r="AV613"/>
  <c r="AY613" s="1"/>
  <c r="BB613" s="1"/>
  <c r="BE613" s="1"/>
  <c r="BH613" s="1"/>
  <c r="BK613" s="1"/>
  <c r="AV614"/>
  <c r="AY614" s="1"/>
  <c r="BB614" s="1"/>
  <c r="BE614" s="1"/>
  <c r="BH614" s="1"/>
  <c r="AV615"/>
  <c r="AY615" s="1"/>
  <c r="BB615" s="1"/>
  <c r="BE615" s="1"/>
  <c r="AV616"/>
  <c r="AY616" s="1"/>
  <c r="BB616" s="1"/>
  <c r="BE616" s="1"/>
  <c r="BH616" s="1"/>
  <c r="BK616" s="1"/>
  <c r="BN616" s="1"/>
  <c r="AV617"/>
  <c r="AY617" s="1"/>
  <c r="BB617" s="1"/>
  <c r="BE617" s="1"/>
  <c r="BH617" s="1"/>
  <c r="BK617" s="1"/>
  <c r="BN617" s="1"/>
  <c r="AV618"/>
  <c r="AY618" s="1"/>
  <c r="BB618" s="1"/>
  <c r="AV619"/>
  <c r="AY619" s="1"/>
  <c r="BB619" s="1"/>
  <c r="BE619" s="1"/>
  <c r="BH619" s="1"/>
  <c r="BK619" s="1"/>
  <c r="AV620"/>
  <c r="AY620" s="1"/>
  <c r="BB620" s="1"/>
  <c r="AV621"/>
  <c r="AY621" s="1"/>
  <c r="BB621" s="1"/>
  <c r="BE621" s="1"/>
  <c r="BH621" s="1"/>
  <c r="BK621" s="1"/>
  <c r="BN621" s="1"/>
  <c r="AV622"/>
  <c r="AY622" s="1"/>
  <c r="BB622" s="1"/>
  <c r="BE622" s="1"/>
  <c r="BH622" s="1"/>
  <c r="BK622" s="1"/>
  <c r="BN622" s="1"/>
  <c r="AV623"/>
  <c r="AY623" s="1"/>
  <c r="BB623" s="1"/>
  <c r="BE623" s="1"/>
  <c r="BH623" s="1"/>
  <c r="BK623" s="1"/>
  <c r="BN623" s="1"/>
  <c r="AV624"/>
  <c r="AY624" s="1"/>
  <c r="BB624" s="1"/>
  <c r="BE624" s="1"/>
  <c r="AV588"/>
  <c r="AY588" s="1"/>
  <c r="BB588" s="1"/>
  <c r="AV75" i="31"/>
  <c r="AY75" s="1"/>
  <c r="BB75" s="1"/>
  <c r="BE75" s="1"/>
  <c r="BH75" s="1"/>
  <c r="BK75" s="1"/>
  <c r="BN75" s="1"/>
  <c r="BQ75" s="1"/>
  <c r="BT75" s="1"/>
  <c r="BW75" s="1"/>
  <c r="BZ75" s="1"/>
  <c r="AV76"/>
  <c r="AY76" s="1"/>
  <c r="BB76" s="1"/>
  <c r="BE76" s="1"/>
  <c r="BH76" s="1"/>
  <c r="BK76" s="1"/>
  <c r="BN76" s="1"/>
  <c r="BQ76" s="1"/>
  <c r="BT76" s="1"/>
  <c r="BW76" s="1"/>
  <c r="BZ76" s="1"/>
  <c r="AV77"/>
  <c r="AY77" s="1"/>
  <c r="BB77" s="1"/>
  <c r="BE77" s="1"/>
  <c r="BH77" s="1"/>
  <c r="BK77" s="1"/>
  <c r="BN77" s="1"/>
  <c r="BQ77" s="1"/>
  <c r="BT77" s="1"/>
  <c r="BW77" s="1"/>
  <c r="BZ77" s="1"/>
  <c r="BQ606" i="30" l="1"/>
  <c r="BQ594"/>
  <c r="BT594" s="1"/>
  <c r="BW594" s="1"/>
  <c r="BZ594" s="1"/>
  <c r="BQ623"/>
  <c r="BT623" s="1"/>
  <c r="BW623" s="1"/>
  <c r="BZ623" s="1"/>
  <c r="BQ603"/>
  <c r="BT603" s="1"/>
  <c r="BW603" s="1"/>
  <c r="BZ603" s="1"/>
  <c r="BQ591"/>
  <c r="BT591" s="1"/>
  <c r="BW591" s="1"/>
  <c r="BZ591" s="1"/>
  <c r="BQ656"/>
  <c r="BT656" s="1"/>
  <c r="BW656" s="1"/>
  <c r="BZ656" s="1"/>
  <c r="BQ600"/>
  <c r="BT600" s="1"/>
  <c r="BQ596"/>
  <c r="BT596" s="1"/>
  <c r="BW596" s="1"/>
  <c r="BZ596" s="1"/>
  <c r="BQ592"/>
  <c r="BQ641"/>
  <c r="BT641" s="1"/>
  <c r="BW641" s="1"/>
  <c r="BZ641" s="1"/>
  <c r="BQ622"/>
  <c r="BT622" s="1"/>
  <c r="BW622" s="1"/>
  <c r="BZ622" s="1"/>
  <c r="BQ598"/>
  <c r="BT598" s="1"/>
  <c r="BW598" s="1"/>
  <c r="BZ598" s="1"/>
  <c r="BQ590"/>
  <c r="BQ607"/>
  <c r="BQ621"/>
  <c r="BQ617"/>
  <c r="BT617" s="1"/>
  <c r="BW617" s="1"/>
  <c r="BZ617" s="1"/>
  <c r="BQ609"/>
  <c r="BT609" s="1"/>
  <c r="BW609" s="1"/>
  <c r="BZ609" s="1"/>
  <c r="BQ593"/>
  <c r="BT593" s="1"/>
  <c r="BQ678"/>
  <c r="BT678" s="1"/>
  <c r="BW678" s="1"/>
  <c r="BZ678" s="1"/>
  <c r="BP601"/>
  <c r="BM619"/>
  <c r="BN619" s="1"/>
  <c r="BP616"/>
  <c r="BQ616" s="1"/>
  <c r="BT616" s="1"/>
  <c r="BW616" s="1"/>
  <c r="BZ616" s="1"/>
  <c r="BM613"/>
  <c r="BN613" s="1"/>
  <c r="BM599"/>
  <c r="BN599" s="1"/>
  <c r="BM595"/>
  <c r="BN595" s="1"/>
  <c r="BM654"/>
  <c r="BM693" s="1"/>
  <c r="BN693" s="1"/>
  <c r="BJ105" i="32"/>
  <c r="BK105" s="1"/>
  <c r="BN105" s="1"/>
  <c r="BQ105" s="1"/>
  <c r="BT105" s="1"/>
  <c r="BW105" s="1"/>
  <c r="BZ105" s="1"/>
  <c r="BJ104"/>
  <c r="BJ120" s="1"/>
  <c r="BJ612" i="30"/>
  <c r="BJ685" s="1"/>
  <c r="BK685" s="1"/>
  <c r="BN685" s="1"/>
  <c r="BJ614"/>
  <c r="BK614" s="1"/>
  <c r="BN614" s="1"/>
  <c r="BG602"/>
  <c r="BH602" s="1"/>
  <c r="BK602" s="1"/>
  <c r="BN602" s="1"/>
  <c r="BG589"/>
  <c r="BH589" s="1"/>
  <c r="BK589" s="1"/>
  <c r="BN589" s="1"/>
  <c r="BH624"/>
  <c r="BD597"/>
  <c r="BE597" s="1"/>
  <c r="BH597" s="1"/>
  <c r="BK597" s="1"/>
  <c r="BN597" s="1"/>
  <c r="BV593" l="1"/>
  <c r="BW593" s="1"/>
  <c r="BZ593" s="1"/>
  <c r="BV600"/>
  <c r="BV704" s="1"/>
  <c r="BW704" s="1"/>
  <c r="BZ704" s="1"/>
  <c r="BT621"/>
  <c r="BS590"/>
  <c r="BT590" s="1"/>
  <c r="BW590" s="1"/>
  <c r="BZ590" s="1"/>
  <c r="BS592"/>
  <c r="BT592" s="1"/>
  <c r="BW592" s="1"/>
  <c r="BZ592" s="1"/>
  <c r="BS606"/>
  <c r="BT606" s="1"/>
  <c r="BW606" s="1"/>
  <c r="BZ606" s="1"/>
  <c r="BS607"/>
  <c r="BT607" s="1"/>
  <c r="BW607" s="1"/>
  <c r="BZ607" s="1"/>
  <c r="BQ589"/>
  <c r="BT589" s="1"/>
  <c r="BW589" s="1"/>
  <c r="BZ589" s="1"/>
  <c r="BQ595"/>
  <c r="BT595" s="1"/>
  <c r="BW595" s="1"/>
  <c r="BZ595" s="1"/>
  <c r="BQ693"/>
  <c r="BQ599"/>
  <c r="BT599" s="1"/>
  <c r="BW599" s="1"/>
  <c r="BZ599" s="1"/>
  <c r="BQ619"/>
  <c r="BT619" s="1"/>
  <c r="BW619" s="1"/>
  <c r="BZ619" s="1"/>
  <c r="BQ597"/>
  <c r="BT597" s="1"/>
  <c r="BW597" s="1"/>
  <c r="BZ597" s="1"/>
  <c r="BQ614"/>
  <c r="BT614" s="1"/>
  <c r="BW614" s="1"/>
  <c r="BZ614" s="1"/>
  <c r="BQ602"/>
  <c r="BT602" s="1"/>
  <c r="BW602" s="1"/>
  <c r="BZ602" s="1"/>
  <c r="BQ613"/>
  <c r="BT613" s="1"/>
  <c r="BW613" s="1"/>
  <c r="BZ613" s="1"/>
  <c r="BQ601"/>
  <c r="BT601" s="1"/>
  <c r="BW601" s="1"/>
  <c r="BZ601" s="1"/>
  <c r="BP685"/>
  <c r="BN654"/>
  <c r="BK120" i="32"/>
  <c r="BN120" s="1"/>
  <c r="BQ120" s="1"/>
  <c r="BK612" i="30"/>
  <c r="BN612" s="1"/>
  <c r="BK104" i="32"/>
  <c r="BN104" s="1"/>
  <c r="BQ104" s="1"/>
  <c r="BT104" s="1"/>
  <c r="BW104" s="1"/>
  <c r="BZ104" s="1"/>
  <c r="BA276" i="30"/>
  <c r="BA371"/>
  <c r="BA540"/>
  <c r="AU70" i="31"/>
  <c r="AJ103" i="32"/>
  <c r="AM103" s="1"/>
  <c r="AP103" s="1"/>
  <c r="AS103" s="1"/>
  <c r="AV103" s="1"/>
  <c r="AY103" s="1"/>
  <c r="BB103" s="1"/>
  <c r="BE103" s="1"/>
  <c r="BH103" s="1"/>
  <c r="BK103" s="1"/>
  <c r="BN103" s="1"/>
  <c r="BQ103" s="1"/>
  <c r="BT103" s="1"/>
  <c r="BW103" s="1"/>
  <c r="BZ103" s="1"/>
  <c r="BW600" i="30" l="1"/>
  <c r="BZ600" s="1"/>
  <c r="BV621"/>
  <c r="BW621" s="1"/>
  <c r="BZ621" s="1"/>
  <c r="BS693"/>
  <c r="BS789" s="1"/>
  <c r="BT789" s="1"/>
  <c r="BW789" s="1"/>
  <c r="BZ789" s="1"/>
  <c r="BS120" i="32"/>
  <c r="BS128" s="1"/>
  <c r="BT128" s="1"/>
  <c r="BW128" s="1"/>
  <c r="BZ128" s="1"/>
  <c r="BQ612" i="30"/>
  <c r="BT612" s="1"/>
  <c r="BW612" s="1"/>
  <c r="BZ612" s="1"/>
  <c r="BQ654"/>
  <c r="BT654" s="1"/>
  <c r="BW654" s="1"/>
  <c r="BZ654" s="1"/>
  <c r="BQ685"/>
  <c r="BT685" s="1"/>
  <c r="BW685" s="1"/>
  <c r="BZ685" s="1"/>
  <c r="BP743"/>
  <c r="I587"/>
  <c r="AM587"/>
  <c r="AP587" s="1"/>
  <c r="AS587" s="1"/>
  <c r="AV587" s="1"/>
  <c r="AY587" s="1"/>
  <c r="BT693" l="1"/>
  <c r="BW693" s="1"/>
  <c r="BZ693" s="1"/>
  <c r="BT120" i="32"/>
  <c r="BW120" s="1"/>
  <c r="BZ120" s="1"/>
  <c r="BQ743" i="30"/>
  <c r="BB587"/>
  <c r="BS743" l="1"/>
  <c r="BS782" s="1"/>
  <c r="BT782" s="1"/>
  <c r="AJ97" i="32"/>
  <c r="AM97" s="1"/>
  <c r="AP97" s="1"/>
  <c r="AS97" s="1"/>
  <c r="AV97" s="1"/>
  <c r="AY97" s="1"/>
  <c r="BB97" s="1"/>
  <c r="BE97" s="1"/>
  <c r="AJ98"/>
  <c r="AM98" s="1"/>
  <c r="AP98" s="1"/>
  <c r="AS98" s="1"/>
  <c r="AV98" s="1"/>
  <c r="AY98" s="1"/>
  <c r="BB98" s="1"/>
  <c r="BE98" s="1"/>
  <c r="BH98" s="1"/>
  <c r="BK98" s="1"/>
  <c r="BN98" s="1"/>
  <c r="BQ98" s="1"/>
  <c r="BT98" s="1"/>
  <c r="BW98" s="1"/>
  <c r="BZ98" s="1"/>
  <c r="AJ99"/>
  <c r="AM99" s="1"/>
  <c r="AP99" s="1"/>
  <c r="AS99" s="1"/>
  <c r="AV99" s="1"/>
  <c r="AY99" s="1"/>
  <c r="BB99" s="1"/>
  <c r="BE99" s="1"/>
  <c r="BH99" s="1"/>
  <c r="BK99" s="1"/>
  <c r="BN99" s="1"/>
  <c r="BQ99" s="1"/>
  <c r="BT99" s="1"/>
  <c r="BW99" s="1"/>
  <c r="BZ99" s="1"/>
  <c r="AJ100"/>
  <c r="AM100" s="1"/>
  <c r="AP100" s="1"/>
  <c r="AS100" s="1"/>
  <c r="AV100" s="1"/>
  <c r="AY100" s="1"/>
  <c r="BB100" s="1"/>
  <c r="BE100" s="1"/>
  <c r="AJ101"/>
  <c r="AM101" s="1"/>
  <c r="AP101" s="1"/>
  <c r="AS101" s="1"/>
  <c r="AV101" s="1"/>
  <c r="AY101" s="1"/>
  <c r="BB101" s="1"/>
  <c r="AJ102"/>
  <c r="AM102" s="1"/>
  <c r="AP102" s="1"/>
  <c r="AS102" s="1"/>
  <c r="AV102" s="1"/>
  <c r="AY102" s="1"/>
  <c r="BB102" s="1"/>
  <c r="BE102" s="1"/>
  <c r="BH102" s="1"/>
  <c r="BK102" s="1"/>
  <c r="BN102" s="1"/>
  <c r="BQ102" s="1"/>
  <c r="BT102" s="1"/>
  <c r="BW102" s="1"/>
  <c r="BZ102" s="1"/>
  <c r="AM550" i="30"/>
  <c r="AP550" s="1"/>
  <c r="AS550" s="1"/>
  <c r="AV550" s="1"/>
  <c r="AY550" s="1"/>
  <c r="AM551"/>
  <c r="AP551" s="1"/>
  <c r="AS551" s="1"/>
  <c r="AV551" s="1"/>
  <c r="AY551" s="1"/>
  <c r="BB551" s="1"/>
  <c r="BE551" s="1"/>
  <c r="AM552"/>
  <c r="AP552" s="1"/>
  <c r="AS552" s="1"/>
  <c r="AV552" s="1"/>
  <c r="AY552" s="1"/>
  <c r="BB552" s="1"/>
  <c r="BE552" s="1"/>
  <c r="BH552" s="1"/>
  <c r="BK552" s="1"/>
  <c r="BN552" s="1"/>
  <c r="AM553"/>
  <c r="AP553" s="1"/>
  <c r="AS553" s="1"/>
  <c r="AV553" s="1"/>
  <c r="AY553" s="1"/>
  <c r="BB553" s="1"/>
  <c r="BE553" s="1"/>
  <c r="BH553" s="1"/>
  <c r="BK553" s="1"/>
  <c r="BN553" s="1"/>
  <c r="AM554"/>
  <c r="AP554" s="1"/>
  <c r="AS554" s="1"/>
  <c r="AV554" s="1"/>
  <c r="AY554" s="1"/>
  <c r="BB554" s="1"/>
  <c r="BE554" s="1"/>
  <c r="BH554" s="1"/>
  <c r="BK554" s="1"/>
  <c r="BN554" s="1"/>
  <c r="AM555"/>
  <c r="AP555" s="1"/>
  <c r="AS555" s="1"/>
  <c r="AV555" s="1"/>
  <c r="AY555" s="1"/>
  <c r="AM556"/>
  <c r="AP556" s="1"/>
  <c r="AS556" s="1"/>
  <c r="AV556" s="1"/>
  <c r="AY556" s="1"/>
  <c r="AM557"/>
  <c r="AP557" s="1"/>
  <c r="AS557" s="1"/>
  <c r="AV557" s="1"/>
  <c r="AY557" s="1"/>
  <c r="BB557" s="1"/>
  <c r="BE557" s="1"/>
  <c r="AM558"/>
  <c r="AP558" s="1"/>
  <c r="AS558" s="1"/>
  <c r="AV558" s="1"/>
  <c r="AY558" s="1"/>
  <c r="BB558" s="1"/>
  <c r="BE558" s="1"/>
  <c r="BH558" s="1"/>
  <c r="BK558" s="1"/>
  <c r="BN558" s="1"/>
  <c r="AM559"/>
  <c r="AP559" s="1"/>
  <c r="AS559" s="1"/>
  <c r="AV559" s="1"/>
  <c r="AY559" s="1"/>
  <c r="BB559" s="1"/>
  <c r="BE559" s="1"/>
  <c r="BH559" s="1"/>
  <c r="BK559" s="1"/>
  <c r="BN559" s="1"/>
  <c r="AM560"/>
  <c r="AP560" s="1"/>
  <c r="AS560" s="1"/>
  <c r="AV560" s="1"/>
  <c r="AY560" s="1"/>
  <c r="BB560" s="1"/>
  <c r="AM561"/>
  <c r="AP561" s="1"/>
  <c r="AS561" s="1"/>
  <c r="AV561" s="1"/>
  <c r="AY561" s="1"/>
  <c r="BB561" s="1"/>
  <c r="AM562"/>
  <c r="AP562" s="1"/>
  <c r="AS562" s="1"/>
  <c r="AV562" s="1"/>
  <c r="AY562" s="1"/>
  <c r="BB562" s="1"/>
  <c r="BE562" s="1"/>
  <c r="BH562" s="1"/>
  <c r="BK562" s="1"/>
  <c r="AM563"/>
  <c r="AP563" s="1"/>
  <c r="AS563" s="1"/>
  <c r="AV563" s="1"/>
  <c r="AY563" s="1"/>
  <c r="AM564"/>
  <c r="AP564" s="1"/>
  <c r="AS564" s="1"/>
  <c r="AV564" s="1"/>
  <c r="AY564" s="1"/>
  <c r="BB564" s="1"/>
  <c r="BE564" s="1"/>
  <c r="BH564" s="1"/>
  <c r="BK564" s="1"/>
  <c r="BN564" s="1"/>
  <c r="AM565"/>
  <c r="AP565" s="1"/>
  <c r="AS565" s="1"/>
  <c r="AV565" s="1"/>
  <c r="AY565" s="1"/>
  <c r="BB565" s="1"/>
  <c r="BE565" s="1"/>
  <c r="BH565" s="1"/>
  <c r="BK565" s="1"/>
  <c r="BN565" s="1"/>
  <c r="AM566"/>
  <c r="AP566" s="1"/>
  <c r="AS566" s="1"/>
  <c r="AV566" s="1"/>
  <c r="AY566" s="1"/>
  <c r="BB566" s="1"/>
  <c r="AM567"/>
  <c r="AP567" s="1"/>
  <c r="AS567" s="1"/>
  <c r="AV567" s="1"/>
  <c r="AY567" s="1"/>
  <c r="BB567" s="1"/>
  <c r="AM568"/>
  <c r="AP568" s="1"/>
  <c r="AS568" s="1"/>
  <c r="AV568" s="1"/>
  <c r="AY568" s="1"/>
  <c r="BB568" s="1"/>
  <c r="BE568" s="1"/>
  <c r="AM569"/>
  <c r="AP569" s="1"/>
  <c r="AS569" s="1"/>
  <c r="AV569" s="1"/>
  <c r="AY569" s="1"/>
  <c r="BB569" s="1"/>
  <c r="BE569" s="1"/>
  <c r="BH569" s="1"/>
  <c r="AM570"/>
  <c r="AP570" s="1"/>
  <c r="AS570" s="1"/>
  <c r="AV570" s="1"/>
  <c r="AY570" s="1"/>
  <c r="BB570" s="1"/>
  <c r="BE570" s="1"/>
  <c r="BH570" s="1"/>
  <c r="BK570" s="1"/>
  <c r="BN570" s="1"/>
  <c r="AM571"/>
  <c r="AP571" s="1"/>
  <c r="AS571" s="1"/>
  <c r="AV571" s="1"/>
  <c r="AY571" s="1"/>
  <c r="BB571" s="1"/>
  <c r="BE571" s="1"/>
  <c r="BH571" s="1"/>
  <c r="BK571" s="1"/>
  <c r="BN571" s="1"/>
  <c r="AM572"/>
  <c r="AP572" s="1"/>
  <c r="AS572" s="1"/>
  <c r="AV572" s="1"/>
  <c r="AY572" s="1"/>
  <c r="BB572" s="1"/>
  <c r="BE572" s="1"/>
  <c r="BH572" s="1"/>
  <c r="BK572" s="1"/>
  <c r="BN572" s="1"/>
  <c r="AM573"/>
  <c r="AP573" s="1"/>
  <c r="AS573" s="1"/>
  <c r="AV573" s="1"/>
  <c r="AY573" s="1"/>
  <c r="BB573" s="1"/>
  <c r="AM574"/>
  <c r="AP574" s="1"/>
  <c r="AS574" s="1"/>
  <c r="AV574" s="1"/>
  <c r="AY574" s="1"/>
  <c r="AM575"/>
  <c r="AP575" s="1"/>
  <c r="AS575" s="1"/>
  <c r="AV575" s="1"/>
  <c r="AY575" s="1"/>
  <c r="BB575" s="1"/>
  <c r="BE575" s="1"/>
  <c r="BH575" s="1"/>
  <c r="BK575" s="1"/>
  <c r="AM576"/>
  <c r="AP576" s="1"/>
  <c r="AS576" s="1"/>
  <c r="AV576" s="1"/>
  <c r="AY576" s="1"/>
  <c r="BB576" s="1"/>
  <c r="BE576" s="1"/>
  <c r="BH576" s="1"/>
  <c r="AM577"/>
  <c r="AP577" s="1"/>
  <c r="AS577" s="1"/>
  <c r="AV577" s="1"/>
  <c r="AY577" s="1"/>
  <c r="BB577" s="1"/>
  <c r="BE577" s="1"/>
  <c r="BH577" s="1"/>
  <c r="BK577" s="1"/>
  <c r="BN577" s="1"/>
  <c r="AM578"/>
  <c r="AP578" s="1"/>
  <c r="AS578" s="1"/>
  <c r="AV578" s="1"/>
  <c r="AY578" s="1"/>
  <c r="BB578" s="1"/>
  <c r="BE578" s="1"/>
  <c r="AM579"/>
  <c r="AP579" s="1"/>
  <c r="AS579" s="1"/>
  <c r="AV579" s="1"/>
  <c r="AY579" s="1"/>
  <c r="BB579" s="1"/>
  <c r="AM580"/>
  <c r="AP580" s="1"/>
  <c r="AS580" s="1"/>
  <c r="AV580" s="1"/>
  <c r="AY580" s="1"/>
  <c r="BB580" s="1"/>
  <c r="BE580" s="1"/>
  <c r="BH580" s="1"/>
  <c r="BK580" s="1"/>
  <c r="BN580" s="1"/>
  <c r="AM581"/>
  <c r="AP581" s="1"/>
  <c r="AS581" s="1"/>
  <c r="AV581" s="1"/>
  <c r="AY581" s="1"/>
  <c r="AM582"/>
  <c r="AP582" s="1"/>
  <c r="AS582" s="1"/>
  <c r="AV582" s="1"/>
  <c r="AY582" s="1"/>
  <c r="BB582" s="1"/>
  <c r="AM583"/>
  <c r="AP583" s="1"/>
  <c r="AS583" s="1"/>
  <c r="AV583" s="1"/>
  <c r="AY583" s="1"/>
  <c r="BB583" s="1"/>
  <c r="BE583" s="1"/>
  <c r="BH583" s="1"/>
  <c r="AM584"/>
  <c r="AP584" s="1"/>
  <c r="AS584" s="1"/>
  <c r="AV584" s="1"/>
  <c r="AY584" s="1"/>
  <c r="BB584" s="1"/>
  <c r="BE584" s="1"/>
  <c r="BH584" s="1"/>
  <c r="BK584" s="1"/>
  <c r="BN584" s="1"/>
  <c r="AM585"/>
  <c r="AP585" s="1"/>
  <c r="AS585" s="1"/>
  <c r="AV585" s="1"/>
  <c r="AY585" s="1"/>
  <c r="BB585" s="1"/>
  <c r="BE585" s="1"/>
  <c r="BH585" s="1"/>
  <c r="BK585" s="1"/>
  <c r="BN585" s="1"/>
  <c r="AM586"/>
  <c r="AP586" s="1"/>
  <c r="AS586" s="1"/>
  <c r="AV586" s="1"/>
  <c r="AY586" s="1"/>
  <c r="BB586" s="1"/>
  <c r="BE586" s="1"/>
  <c r="BH586" s="1"/>
  <c r="BK586" s="1"/>
  <c r="BN586" s="1"/>
  <c r="I525"/>
  <c r="L525" s="1"/>
  <c r="O525" s="1"/>
  <c r="R525" s="1"/>
  <c r="U525" s="1"/>
  <c r="X525" s="1"/>
  <c r="AA525" s="1"/>
  <c r="AD525" s="1"/>
  <c r="AG525" s="1"/>
  <c r="AJ525" s="1"/>
  <c r="I526"/>
  <c r="L526" s="1"/>
  <c r="O526" s="1"/>
  <c r="R526" s="1"/>
  <c r="U526" s="1"/>
  <c r="X526" s="1"/>
  <c r="AA526" s="1"/>
  <c r="AD526" s="1"/>
  <c r="AG526" s="1"/>
  <c r="AJ526" s="1"/>
  <c r="I527"/>
  <c r="L527" s="1"/>
  <c r="O527" s="1"/>
  <c r="R527" s="1"/>
  <c r="U527" s="1"/>
  <c r="X527" s="1"/>
  <c r="AA527" s="1"/>
  <c r="AD527" s="1"/>
  <c r="AG527" s="1"/>
  <c r="AJ527" s="1"/>
  <c r="I528"/>
  <c r="L528" s="1"/>
  <c r="O528" s="1"/>
  <c r="R528" s="1"/>
  <c r="U528" s="1"/>
  <c r="X528" s="1"/>
  <c r="AA528" s="1"/>
  <c r="AD528" s="1"/>
  <c r="AG528" s="1"/>
  <c r="AJ528" s="1"/>
  <c r="I529"/>
  <c r="L529" s="1"/>
  <c r="O529" s="1"/>
  <c r="R529" s="1"/>
  <c r="U529" s="1"/>
  <c r="X529" s="1"/>
  <c r="AA529" s="1"/>
  <c r="AD529" s="1"/>
  <c r="AG529" s="1"/>
  <c r="AJ529" s="1"/>
  <c r="I530"/>
  <c r="L530" s="1"/>
  <c r="O530" s="1"/>
  <c r="R530" s="1"/>
  <c r="U530" s="1"/>
  <c r="X530" s="1"/>
  <c r="AA530" s="1"/>
  <c r="AD530" s="1"/>
  <c r="AG530" s="1"/>
  <c r="AJ530" s="1"/>
  <c r="I531"/>
  <c r="L531" s="1"/>
  <c r="O531" s="1"/>
  <c r="R531" s="1"/>
  <c r="U531" s="1"/>
  <c r="X531" s="1"/>
  <c r="AA531" s="1"/>
  <c r="AD531" s="1"/>
  <c r="AG531" s="1"/>
  <c r="AJ531" s="1"/>
  <c r="I532"/>
  <c r="L532" s="1"/>
  <c r="O532" s="1"/>
  <c r="R532" s="1"/>
  <c r="U532" s="1"/>
  <c r="X532" s="1"/>
  <c r="AA532" s="1"/>
  <c r="AD532" s="1"/>
  <c r="AG532" s="1"/>
  <c r="AJ532" s="1"/>
  <c r="I533"/>
  <c r="L533" s="1"/>
  <c r="O533" s="1"/>
  <c r="R533" s="1"/>
  <c r="U533" s="1"/>
  <c r="X533" s="1"/>
  <c r="AA533" s="1"/>
  <c r="AD533" s="1"/>
  <c r="AG533" s="1"/>
  <c r="AJ533" s="1"/>
  <c r="I534"/>
  <c r="L534" s="1"/>
  <c r="O534" s="1"/>
  <c r="R534" s="1"/>
  <c r="U534" s="1"/>
  <c r="X534" s="1"/>
  <c r="AA534" s="1"/>
  <c r="AD534" s="1"/>
  <c r="AG534" s="1"/>
  <c r="AJ534" s="1"/>
  <c r="I535"/>
  <c r="L535" s="1"/>
  <c r="O535" s="1"/>
  <c r="R535" s="1"/>
  <c r="U535" s="1"/>
  <c r="X535" s="1"/>
  <c r="AA535" s="1"/>
  <c r="AD535" s="1"/>
  <c r="AG535" s="1"/>
  <c r="AJ535" s="1"/>
  <c r="I536"/>
  <c r="L536" s="1"/>
  <c r="O536" s="1"/>
  <c r="R536" s="1"/>
  <c r="U536" s="1"/>
  <c r="X536" s="1"/>
  <c r="AA536" s="1"/>
  <c r="AD536" s="1"/>
  <c r="AG536" s="1"/>
  <c r="AJ536" s="1"/>
  <c r="I537"/>
  <c r="L537" s="1"/>
  <c r="O537" s="1"/>
  <c r="R537" s="1"/>
  <c r="U537" s="1"/>
  <c r="X537" s="1"/>
  <c r="AA537" s="1"/>
  <c r="AD537" s="1"/>
  <c r="AG537" s="1"/>
  <c r="AJ537" s="1"/>
  <c r="I538"/>
  <c r="L538" s="1"/>
  <c r="O538" s="1"/>
  <c r="R538" s="1"/>
  <c r="U538" s="1"/>
  <c r="X538" s="1"/>
  <c r="AA538" s="1"/>
  <c r="AD538" s="1"/>
  <c r="AG538" s="1"/>
  <c r="AJ538" s="1"/>
  <c r="I539"/>
  <c r="L539" s="1"/>
  <c r="O539" s="1"/>
  <c r="R539" s="1"/>
  <c r="U539" s="1"/>
  <c r="X539" s="1"/>
  <c r="AA539" s="1"/>
  <c r="AD539" s="1"/>
  <c r="AG539" s="1"/>
  <c r="AJ539" s="1"/>
  <c r="I540"/>
  <c r="L540" s="1"/>
  <c r="O540" s="1"/>
  <c r="R540" s="1"/>
  <c r="U540" s="1"/>
  <c r="X540" s="1"/>
  <c r="AA540" s="1"/>
  <c r="AD540" s="1"/>
  <c r="AG540" s="1"/>
  <c r="AJ540" s="1"/>
  <c r="I541"/>
  <c r="L541" s="1"/>
  <c r="O541" s="1"/>
  <c r="R541" s="1"/>
  <c r="U541" s="1"/>
  <c r="X541" s="1"/>
  <c r="AA541" s="1"/>
  <c r="AD541" s="1"/>
  <c r="AG541" s="1"/>
  <c r="AJ541" s="1"/>
  <c r="I542"/>
  <c r="L542" s="1"/>
  <c r="O542" s="1"/>
  <c r="R542" s="1"/>
  <c r="U542" s="1"/>
  <c r="X542" s="1"/>
  <c r="AA542" s="1"/>
  <c r="AD542" s="1"/>
  <c r="AG542" s="1"/>
  <c r="AJ542" s="1"/>
  <c r="I543"/>
  <c r="L543" s="1"/>
  <c r="O543" s="1"/>
  <c r="R543" s="1"/>
  <c r="U543" s="1"/>
  <c r="X543" s="1"/>
  <c r="AA543" s="1"/>
  <c r="AD543" s="1"/>
  <c r="AG543" s="1"/>
  <c r="AJ543" s="1"/>
  <c r="I544"/>
  <c r="L544" s="1"/>
  <c r="O544" s="1"/>
  <c r="R544" s="1"/>
  <c r="U544" s="1"/>
  <c r="X544" s="1"/>
  <c r="AA544" s="1"/>
  <c r="AD544" s="1"/>
  <c r="AG544" s="1"/>
  <c r="AJ544" s="1"/>
  <c r="I545"/>
  <c r="L545" s="1"/>
  <c r="O545" s="1"/>
  <c r="R545" s="1"/>
  <c r="U545" s="1"/>
  <c r="X545" s="1"/>
  <c r="AA545" s="1"/>
  <c r="AD545" s="1"/>
  <c r="AG545" s="1"/>
  <c r="AJ545" s="1"/>
  <c r="I546"/>
  <c r="L546" s="1"/>
  <c r="O546" s="1"/>
  <c r="R546" s="1"/>
  <c r="U546" s="1"/>
  <c r="X546" s="1"/>
  <c r="AA546" s="1"/>
  <c r="AD546" s="1"/>
  <c r="AG546" s="1"/>
  <c r="AJ546" s="1"/>
  <c r="I547"/>
  <c r="L547" s="1"/>
  <c r="O547" s="1"/>
  <c r="R547" s="1"/>
  <c r="U547" s="1"/>
  <c r="X547" s="1"/>
  <c r="AA547" s="1"/>
  <c r="AD547" s="1"/>
  <c r="AG547" s="1"/>
  <c r="AJ547" s="1"/>
  <c r="I548"/>
  <c r="L548" s="1"/>
  <c r="O548" s="1"/>
  <c r="R548" s="1"/>
  <c r="U548" s="1"/>
  <c r="X548" s="1"/>
  <c r="AA548" s="1"/>
  <c r="AD548" s="1"/>
  <c r="AG548" s="1"/>
  <c r="AJ548" s="1"/>
  <c r="I549"/>
  <c r="L549" s="1"/>
  <c r="O549" s="1"/>
  <c r="R549" s="1"/>
  <c r="U549" s="1"/>
  <c r="X549" s="1"/>
  <c r="AA549" s="1"/>
  <c r="AD549" s="1"/>
  <c r="AG549" s="1"/>
  <c r="AJ549" s="1"/>
  <c r="I550"/>
  <c r="L550" s="1"/>
  <c r="O550" s="1"/>
  <c r="R550" s="1"/>
  <c r="U550" s="1"/>
  <c r="X550" s="1"/>
  <c r="AA550" s="1"/>
  <c r="AD550" s="1"/>
  <c r="AG550" s="1"/>
  <c r="AJ550" s="1"/>
  <c r="I551"/>
  <c r="L551" s="1"/>
  <c r="O551" s="1"/>
  <c r="R551" s="1"/>
  <c r="U551" s="1"/>
  <c r="X551" s="1"/>
  <c r="AA551" s="1"/>
  <c r="AD551" s="1"/>
  <c r="AG551" s="1"/>
  <c r="AJ551" s="1"/>
  <c r="I552"/>
  <c r="L552" s="1"/>
  <c r="O552" s="1"/>
  <c r="R552" s="1"/>
  <c r="U552" s="1"/>
  <c r="X552" s="1"/>
  <c r="AA552" s="1"/>
  <c r="AD552" s="1"/>
  <c r="AG552" s="1"/>
  <c r="AJ552" s="1"/>
  <c r="I553"/>
  <c r="L553" s="1"/>
  <c r="O553" s="1"/>
  <c r="R553" s="1"/>
  <c r="U553" s="1"/>
  <c r="X553" s="1"/>
  <c r="AA553" s="1"/>
  <c r="AD553" s="1"/>
  <c r="AG553" s="1"/>
  <c r="AJ553" s="1"/>
  <c r="I554"/>
  <c r="L554" s="1"/>
  <c r="O554" s="1"/>
  <c r="R554" s="1"/>
  <c r="U554" s="1"/>
  <c r="X554" s="1"/>
  <c r="AA554" s="1"/>
  <c r="AD554" s="1"/>
  <c r="AG554" s="1"/>
  <c r="AJ554" s="1"/>
  <c r="I555"/>
  <c r="L555" s="1"/>
  <c r="O555" s="1"/>
  <c r="R555" s="1"/>
  <c r="U555" s="1"/>
  <c r="X555" s="1"/>
  <c r="AA555" s="1"/>
  <c r="AD555" s="1"/>
  <c r="AG555" s="1"/>
  <c r="AJ555" s="1"/>
  <c r="I556"/>
  <c r="L556" s="1"/>
  <c r="O556" s="1"/>
  <c r="R556" s="1"/>
  <c r="U556" s="1"/>
  <c r="X556" s="1"/>
  <c r="AA556" s="1"/>
  <c r="AD556" s="1"/>
  <c r="AG556" s="1"/>
  <c r="AJ556" s="1"/>
  <c r="I557"/>
  <c r="L557" s="1"/>
  <c r="O557" s="1"/>
  <c r="R557" s="1"/>
  <c r="U557" s="1"/>
  <c r="X557" s="1"/>
  <c r="AA557" s="1"/>
  <c r="AD557" s="1"/>
  <c r="AG557" s="1"/>
  <c r="AJ557" s="1"/>
  <c r="I558"/>
  <c r="L558" s="1"/>
  <c r="O558" s="1"/>
  <c r="R558" s="1"/>
  <c r="U558" s="1"/>
  <c r="X558" s="1"/>
  <c r="AA558" s="1"/>
  <c r="AD558" s="1"/>
  <c r="AG558" s="1"/>
  <c r="AJ558" s="1"/>
  <c r="I559"/>
  <c r="L559" s="1"/>
  <c r="O559" s="1"/>
  <c r="R559" s="1"/>
  <c r="U559" s="1"/>
  <c r="X559" s="1"/>
  <c r="AA559" s="1"/>
  <c r="AD559" s="1"/>
  <c r="AG559" s="1"/>
  <c r="AJ559" s="1"/>
  <c r="I560"/>
  <c r="L560" s="1"/>
  <c r="O560" s="1"/>
  <c r="R560" s="1"/>
  <c r="U560" s="1"/>
  <c r="X560" s="1"/>
  <c r="AA560" s="1"/>
  <c r="AD560" s="1"/>
  <c r="AG560" s="1"/>
  <c r="AJ560" s="1"/>
  <c r="I561"/>
  <c r="L561" s="1"/>
  <c r="O561" s="1"/>
  <c r="R561" s="1"/>
  <c r="U561" s="1"/>
  <c r="X561" s="1"/>
  <c r="AA561" s="1"/>
  <c r="AD561" s="1"/>
  <c r="AG561" s="1"/>
  <c r="AJ561" s="1"/>
  <c r="I562"/>
  <c r="L562" s="1"/>
  <c r="O562" s="1"/>
  <c r="R562" s="1"/>
  <c r="U562" s="1"/>
  <c r="X562" s="1"/>
  <c r="AA562" s="1"/>
  <c r="AD562" s="1"/>
  <c r="AG562" s="1"/>
  <c r="AJ562" s="1"/>
  <c r="I563"/>
  <c r="L563" s="1"/>
  <c r="O563" s="1"/>
  <c r="R563" s="1"/>
  <c r="U563" s="1"/>
  <c r="X563" s="1"/>
  <c r="AA563" s="1"/>
  <c r="AD563" s="1"/>
  <c r="AG563" s="1"/>
  <c r="AJ563" s="1"/>
  <c r="I564"/>
  <c r="L564" s="1"/>
  <c r="O564" s="1"/>
  <c r="R564" s="1"/>
  <c r="U564" s="1"/>
  <c r="X564" s="1"/>
  <c r="AA564" s="1"/>
  <c r="AD564" s="1"/>
  <c r="AG564" s="1"/>
  <c r="AJ564" s="1"/>
  <c r="I565"/>
  <c r="L565" s="1"/>
  <c r="O565" s="1"/>
  <c r="R565" s="1"/>
  <c r="U565" s="1"/>
  <c r="X565" s="1"/>
  <c r="AA565" s="1"/>
  <c r="AD565" s="1"/>
  <c r="AG565" s="1"/>
  <c r="AJ565" s="1"/>
  <c r="I566"/>
  <c r="L566" s="1"/>
  <c r="O566" s="1"/>
  <c r="R566" s="1"/>
  <c r="U566" s="1"/>
  <c r="X566" s="1"/>
  <c r="AA566" s="1"/>
  <c r="AD566" s="1"/>
  <c r="AG566" s="1"/>
  <c r="AJ566" s="1"/>
  <c r="I567"/>
  <c r="L567" s="1"/>
  <c r="O567" s="1"/>
  <c r="R567" s="1"/>
  <c r="U567" s="1"/>
  <c r="X567" s="1"/>
  <c r="AA567" s="1"/>
  <c r="AD567" s="1"/>
  <c r="AG567" s="1"/>
  <c r="AJ567" s="1"/>
  <c r="I568"/>
  <c r="L568" s="1"/>
  <c r="O568" s="1"/>
  <c r="R568" s="1"/>
  <c r="U568" s="1"/>
  <c r="X568" s="1"/>
  <c r="AA568" s="1"/>
  <c r="AD568" s="1"/>
  <c r="AG568" s="1"/>
  <c r="AJ568" s="1"/>
  <c r="I569"/>
  <c r="L569" s="1"/>
  <c r="O569" s="1"/>
  <c r="R569" s="1"/>
  <c r="U569" s="1"/>
  <c r="X569" s="1"/>
  <c r="AA569" s="1"/>
  <c r="AD569" s="1"/>
  <c r="AG569" s="1"/>
  <c r="AJ569" s="1"/>
  <c r="I570"/>
  <c r="L570" s="1"/>
  <c r="O570" s="1"/>
  <c r="R570" s="1"/>
  <c r="U570" s="1"/>
  <c r="X570" s="1"/>
  <c r="AA570" s="1"/>
  <c r="AD570" s="1"/>
  <c r="AG570" s="1"/>
  <c r="AJ570" s="1"/>
  <c r="I571"/>
  <c r="L571" s="1"/>
  <c r="O571" s="1"/>
  <c r="R571" s="1"/>
  <c r="U571" s="1"/>
  <c r="X571" s="1"/>
  <c r="AA571" s="1"/>
  <c r="AD571" s="1"/>
  <c r="AG571" s="1"/>
  <c r="AJ571" s="1"/>
  <c r="I572"/>
  <c r="L572" s="1"/>
  <c r="O572" s="1"/>
  <c r="R572" s="1"/>
  <c r="U572" s="1"/>
  <c r="X572" s="1"/>
  <c r="AA572" s="1"/>
  <c r="AD572" s="1"/>
  <c r="AG572" s="1"/>
  <c r="AJ572" s="1"/>
  <c r="I573"/>
  <c r="L573" s="1"/>
  <c r="O573" s="1"/>
  <c r="R573" s="1"/>
  <c r="U573" s="1"/>
  <c r="X573" s="1"/>
  <c r="AA573" s="1"/>
  <c r="AD573" s="1"/>
  <c r="AG573" s="1"/>
  <c r="AJ573" s="1"/>
  <c r="I574"/>
  <c r="L574" s="1"/>
  <c r="O574" s="1"/>
  <c r="R574" s="1"/>
  <c r="U574" s="1"/>
  <c r="X574" s="1"/>
  <c r="AA574" s="1"/>
  <c r="AD574" s="1"/>
  <c r="AG574" s="1"/>
  <c r="AJ574" s="1"/>
  <c r="I575"/>
  <c r="L575" s="1"/>
  <c r="O575" s="1"/>
  <c r="R575" s="1"/>
  <c r="U575" s="1"/>
  <c r="X575" s="1"/>
  <c r="AA575" s="1"/>
  <c r="AD575" s="1"/>
  <c r="AG575" s="1"/>
  <c r="AJ575" s="1"/>
  <c r="I576"/>
  <c r="L576" s="1"/>
  <c r="O576" s="1"/>
  <c r="R576" s="1"/>
  <c r="U576" s="1"/>
  <c r="X576" s="1"/>
  <c r="AA576" s="1"/>
  <c r="AD576" s="1"/>
  <c r="AG576" s="1"/>
  <c r="AJ576" s="1"/>
  <c r="I577"/>
  <c r="L577" s="1"/>
  <c r="O577" s="1"/>
  <c r="R577" s="1"/>
  <c r="U577" s="1"/>
  <c r="X577" s="1"/>
  <c r="AA577" s="1"/>
  <c r="AD577" s="1"/>
  <c r="AG577" s="1"/>
  <c r="AJ577" s="1"/>
  <c r="I578"/>
  <c r="L578" s="1"/>
  <c r="O578" s="1"/>
  <c r="R578" s="1"/>
  <c r="U578" s="1"/>
  <c r="X578" s="1"/>
  <c r="AA578" s="1"/>
  <c r="AD578" s="1"/>
  <c r="AG578" s="1"/>
  <c r="AJ578" s="1"/>
  <c r="I579"/>
  <c r="L579" s="1"/>
  <c r="O579" s="1"/>
  <c r="R579" s="1"/>
  <c r="U579" s="1"/>
  <c r="X579" s="1"/>
  <c r="AA579" s="1"/>
  <c r="AD579" s="1"/>
  <c r="AG579" s="1"/>
  <c r="AJ579" s="1"/>
  <c r="I580"/>
  <c r="L580" s="1"/>
  <c r="O580" s="1"/>
  <c r="R580" s="1"/>
  <c r="U580" s="1"/>
  <c r="X580" s="1"/>
  <c r="AA580" s="1"/>
  <c r="AD580" s="1"/>
  <c r="AG580" s="1"/>
  <c r="AJ580" s="1"/>
  <c r="I581"/>
  <c r="L581" s="1"/>
  <c r="O581" s="1"/>
  <c r="R581" s="1"/>
  <c r="U581" s="1"/>
  <c r="X581" s="1"/>
  <c r="AA581" s="1"/>
  <c r="AD581" s="1"/>
  <c r="AG581" s="1"/>
  <c r="AJ581" s="1"/>
  <c r="I582"/>
  <c r="L582" s="1"/>
  <c r="O582" s="1"/>
  <c r="R582" s="1"/>
  <c r="U582" s="1"/>
  <c r="X582" s="1"/>
  <c r="AA582" s="1"/>
  <c r="AD582" s="1"/>
  <c r="AG582" s="1"/>
  <c r="AJ582" s="1"/>
  <c r="I583"/>
  <c r="L583" s="1"/>
  <c r="O583" s="1"/>
  <c r="R583" s="1"/>
  <c r="U583" s="1"/>
  <c r="X583" s="1"/>
  <c r="AA583" s="1"/>
  <c r="AD583" s="1"/>
  <c r="AG583" s="1"/>
  <c r="AJ583" s="1"/>
  <c r="I584"/>
  <c r="L584" s="1"/>
  <c r="O584" s="1"/>
  <c r="R584" s="1"/>
  <c r="U584" s="1"/>
  <c r="X584" s="1"/>
  <c r="AA584" s="1"/>
  <c r="AD584" s="1"/>
  <c r="AG584" s="1"/>
  <c r="AJ584" s="1"/>
  <c r="I585"/>
  <c r="L585" s="1"/>
  <c r="O585" s="1"/>
  <c r="R585" s="1"/>
  <c r="U585" s="1"/>
  <c r="X585" s="1"/>
  <c r="AA585" s="1"/>
  <c r="AD585" s="1"/>
  <c r="AG585" s="1"/>
  <c r="AJ585" s="1"/>
  <c r="I586"/>
  <c r="L586" s="1"/>
  <c r="O586" s="1"/>
  <c r="R586" s="1"/>
  <c r="U586" s="1"/>
  <c r="X586" s="1"/>
  <c r="AA586" s="1"/>
  <c r="AD586" s="1"/>
  <c r="AG586" s="1"/>
  <c r="AJ586" s="1"/>
  <c r="AM62" i="31"/>
  <c r="AP62" s="1"/>
  <c r="AS62" s="1"/>
  <c r="AV62" s="1"/>
  <c r="AY62" s="1"/>
  <c r="BB62" s="1"/>
  <c r="BE62" s="1"/>
  <c r="BH62" s="1"/>
  <c r="BK62" s="1"/>
  <c r="BN62" s="1"/>
  <c r="AM63"/>
  <c r="AP63" s="1"/>
  <c r="AS63" s="1"/>
  <c r="AV63" s="1"/>
  <c r="AY63" s="1"/>
  <c r="BB63" s="1"/>
  <c r="BE63" s="1"/>
  <c r="BH63" s="1"/>
  <c r="BK63" s="1"/>
  <c r="BN63" s="1"/>
  <c r="BQ63" s="1"/>
  <c r="BT63" s="1"/>
  <c r="BW63" s="1"/>
  <c r="BZ63" s="1"/>
  <c r="AM64"/>
  <c r="AP64" s="1"/>
  <c r="AS64" s="1"/>
  <c r="AV64" s="1"/>
  <c r="AY64" s="1"/>
  <c r="BB64" s="1"/>
  <c r="BE64" s="1"/>
  <c r="BH64" s="1"/>
  <c r="BK64" s="1"/>
  <c r="BN64" s="1"/>
  <c r="BQ64" s="1"/>
  <c r="BT64" s="1"/>
  <c r="BW64" s="1"/>
  <c r="BZ64" s="1"/>
  <c r="AM65"/>
  <c r="AP65" s="1"/>
  <c r="AS65" s="1"/>
  <c r="AV65" s="1"/>
  <c r="AY65" s="1"/>
  <c r="BB65" s="1"/>
  <c r="BE65" s="1"/>
  <c r="AM66"/>
  <c r="AP66" s="1"/>
  <c r="AS66" s="1"/>
  <c r="AV66" s="1"/>
  <c r="AY66" s="1"/>
  <c r="BB66" s="1"/>
  <c r="BE66" s="1"/>
  <c r="BH66" s="1"/>
  <c r="BK66" s="1"/>
  <c r="BN66" s="1"/>
  <c r="AM67"/>
  <c r="AP67" s="1"/>
  <c r="AS67" s="1"/>
  <c r="AV67" s="1"/>
  <c r="AY67" s="1"/>
  <c r="BB67" s="1"/>
  <c r="BE67" s="1"/>
  <c r="BH67" s="1"/>
  <c r="BK67" s="1"/>
  <c r="BN67" s="1"/>
  <c r="AM68"/>
  <c r="AP68" s="1"/>
  <c r="AS68" s="1"/>
  <c r="AV68" s="1"/>
  <c r="AY68" s="1"/>
  <c r="BB68" s="1"/>
  <c r="BE68" s="1"/>
  <c r="BH68" s="1"/>
  <c r="BK68" s="1"/>
  <c r="BN68" s="1"/>
  <c r="AM69"/>
  <c r="AP69" s="1"/>
  <c r="AS69" s="1"/>
  <c r="AV69" s="1"/>
  <c r="AY69" s="1"/>
  <c r="BB69" s="1"/>
  <c r="BE69" s="1"/>
  <c r="BH69" s="1"/>
  <c r="BK69" s="1"/>
  <c r="BN69" s="1"/>
  <c r="AM70"/>
  <c r="AP70" s="1"/>
  <c r="AS70" s="1"/>
  <c r="AY70" s="1"/>
  <c r="BB70" s="1"/>
  <c r="BE70" s="1"/>
  <c r="BH70" s="1"/>
  <c r="BK70" s="1"/>
  <c r="BN70" s="1"/>
  <c r="BQ70" s="1"/>
  <c r="BT70" s="1"/>
  <c r="BW70" s="1"/>
  <c r="BZ70" s="1"/>
  <c r="AM71"/>
  <c r="AP71" s="1"/>
  <c r="AS71" s="1"/>
  <c r="AV71" s="1"/>
  <c r="AY71" s="1"/>
  <c r="BB71" s="1"/>
  <c r="BE71" s="1"/>
  <c r="BH71" s="1"/>
  <c r="BK71" s="1"/>
  <c r="AJ74"/>
  <c r="AM74" s="1"/>
  <c r="AP74" s="1"/>
  <c r="AS74" s="1"/>
  <c r="AV74" s="1"/>
  <c r="AY74" s="1"/>
  <c r="BB74" s="1"/>
  <c r="BE74" s="1"/>
  <c r="BH74" s="1"/>
  <c r="BK74" s="1"/>
  <c r="BN74" s="1"/>
  <c r="BQ74" s="1"/>
  <c r="BT74" s="1"/>
  <c r="BW74" s="1"/>
  <c r="BZ74" s="1"/>
  <c r="AJ73"/>
  <c r="AM73" s="1"/>
  <c r="AP73" s="1"/>
  <c r="AS73" s="1"/>
  <c r="AV73" s="1"/>
  <c r="AY73" s="1"/>
  <c r="BB73" s="1"/>
  <c r="BE73" s="1"/>
  <c r="BH73" s="1"/>
  <c r="BK73" s="1"/>
  <c r="BN73" s="1"/>
  <c r="BQ73" s="1"/>
  <c r="BT73" s="1"/>
  <c r="BW73" s="1"/>
  <c r="BZ73" s="1"/>
  <c r="CD73"/>
  <c r="BV782" i="30" l="1"/>
  <c r="BT743"/>
  <c r="BW743" s="1"/>
  <c r="BZ743" s="1"/>
  <c r="BQ584"/>
  <c r="BT584" s="1"/>
  <c r="BW584" s="1"/>
  <c r="BZ584" s="1"/>
  <c r="BQ585"/>
  <c r="BT585" s="1"/>
  <c r="BQ577"/>
  <c r="BT577" s="1"/>
  <c r="BQ565"/>
  <c r="BT565" s="1"/>
  <c r="BW565" s="1"/>
  <c r="BZ565" s="1"/>
  <c r="BQ553"/>
  <c r="BT553" s="1"/>
  <c r="BW553" s="1"/>
  <c r="BZ553" s="1"/>
  <c r="BQ572"/>
  <c r="BT572" s="1"/>
  <c r="BW572" s="1"/>
  <c r="BZ572" s="1"/>
  <c r="BQ552"/>
  <c r="BQ586"/>
  <c r="BT586" s="1"/>
  <c r="BW586" s="1"/>
  <c r="BZ586" s="1"/>
  <c r="BQ570"/>
  <c r="BT570" s="1"/>
  <c r="BW570" s="1"/>
  <c r="BZ570" s="1"/>
  <c r="BQ558"/>
  <c r="BT558" s="1"/>
  <c r="BW558" s="1"/>
  <c r="BZ558" s="1"/>
  <c r="BQ554"/>
  <c r="BQ580"/>
  <c r="BT580" s="1"/>
  <c r="BW580" s="1"/>
  <c r="BZ580" s="1"/>
  <c r="BQ571"/>
  <c r="BQ559"/>
  <c r="BT559" s="1"/>
  <c r="BW559" s="1"/>
  <c r="BZ559" s="1"/>
  <c r="BP564"/>
  <c r="BQ564" s="1"/>
  <c r="BT564" s="1"/>
  <c r="BW564" s="1"/>
  <c r="BZ564" s="1"/>
  <c r="BP68" i="31"/>
  <c r="BQ68" s="1"/>
  <c r="BT68" s="1"/>
  <c r="BW68" s="1"/>
  <c r="BZ68" s="1"/>
  <c r="BP66"/>
  <c r="BQ66" s="1"/>
  <c r="BT66" s="1"/>
  <c r="BW66" s="1"/>
  <c r="BZ66" s="1"/>
  <c r="BP67"/>
  <c r="BQ67" s="1"/>
  <c r="BT67" s="1"/>
  <c r="BW67" s="1"/>
  <c r="BZ67" s="1"/>
  <c r="BP69"/>
  <c r="BQ69" s="1"/>
  <c r="BT69" s="1"/>
  <c r="BW69" s="1"/>
  <c r="BZ69" s="1"/>
  <c r="BP62"/>
  <c r="BQ62" s="1"/>
  <c r="BT62" s="1"/>
  <c r="BW62" s="1"/>
  <c r="BZ62" s="1"/>
  <c r="BM575" i="30"/>
  <c r="BN575" s="1"/>
  <c r="BM562"/>
  <c r="BN562" s="1"/>
  <c r="BK583"/>
  <c r="BJ576"/>
  <c r="BK576" s="1"/>
  <c r="BN576" s="1"/>
  <c r="BN71" i="31"/>
  <c r="BQ71" s="1"/>
  <c r="BT71" s="1"/>
  <c r="BW71" s="1"/>
  <c r="BZ71" s="1"/>
  <c r="BG551" i="30"/>
  <c r="BH551" s="1"/>
  <c r="BK551" s="1"/>
  <c r="BN551" s="1"/>
  <c r="BG568"/>
  <c r="BH568" s="1"/>
  <c r="BK568" s="1"/>
  <c r="BN568" s="1"/>
  <c r="BG100" i="32"/>
  <c r="BH100" s="1"/>
  <c r="BK100" s="1"/>
  <c r="BN100" s="1"/>
  <c r="BQ100" s="1"/>
  <c r="BT100" s="1"/>
  <c r="BW100" s="1"/>
  <c r="BZ100" s="1"/>
  <c r="BG557" i="30"/>
  <c r="BH557" s="1"/>
  <c r="BK557" s="1"/>
  <c r="BN557" s="1"/>
  <c r="BH97" i="32"/>
  <c r="BK97" s="1"/>
  <c r="BN97" s="1"/>
  <c r="BQ97" s="1"/>
  <c r="BT97" s="1"/>
  <c r="BW97" s="1"/>
  <c r="BZ97" s="1"/>
  <c r="BD579" i="30"/>
  <c r="BE579" s="1"/>
  <c r="BH579" s="1"/>
  <c r="BK579" s="1"/>
  <c r="BN579" s="1"/>
  <c r="BD573"/>
  <c r="BE573" s="1"/>
  <c r="BH573" s="1"/>
  <c r="BK573" s="1"/>
  <c r="BN573" s="1"/>
  <c r="BD560"/>
  <c r="BE560" s="1"/>
  <c r="BH560" s="1"/>
  <c r="BK560" s="1"/>
  <c r="BN560" s="1"/>
  <c r="BG578"/>
  <c r="BH578" s="1"/>
  <c r="BK578" s="1"/>
  <c r="BN578" s="1"/>
  <c r="BE101" i="32"/>
  <c r="BD566" i="30"/>
  <c r="BE566" s="1"/>
  <c r="BH566" s="1"/>
  <c r="BK566" s="1"/>
  <c r="BN566" s="1"/>
  <c r="BA574"/>
  <c r="BB574" s="1"/>
  <c r="BE574" s="1"/>
  <c r="BH574" s="1"/>
  <c r="BK574" s="1"/>
  <c r="BN574" s="1"/>
  <c r="BA563"/>
  <c r="BB563" s="1"/>
  <c r="BE563" s="1"/>
  <c r="BH563" s="1"/>
  <c r="BK563" s="1"/>
  <c r="BN563" s="1"/>
  <c r="BA556"/>
  <c r="BB556" s="1"/>
  <c r="BE556" s="1"/>
  <c r="BH556" s="1"/>
  <c r="BK556" s="1"/>
  <c r="BN556" s="1"/>
  <c r="BA544"/>
  <c r="AX91" i="32"/>
  <c r="BV585" i="30" l="1"/>
  <c r="BW585" s="1"/>
  <c r="BZ585" s="1"/>
  <c r="BV829"/>
  <c r="BW829" s="1"/>
  <c r="BZ829" s="1"/>
  <c r="BW782"/>
  <c r="BZ782" s="1"/>
  <c r="BS552"/>
  <c r="BS628" s="1"/>
  <c r="BT628" s="1"/>
  <c r="BS554"/>
  <c r="BT554" s="1"/>
  <c r="BW554" s="1"/>
  <c r="BZ554" s="1"/>
  <c r="BS571"/>
  <c r="BT571" s="1"/>
  <c r="BW571" s="1"/>
  <c r="BZ571" s="1"/>
  <c r="BQ560"/>
  <c r="BT560" s="1"/>
  <c r="BW560" s="1"/>
  <c r="BZ560" s="1"/>
  <c r="BQ578"/>
  <c r="BT578" s="1"/>
  <c r="BW578" s="1"/>
  <c r="BZ578" s="1"/>
  <c r="BQ562"/>
  <c r="BT562" s="1"/>
  <c r="BW562" s="1"/>
  <c r="BZ562" s="1"/>
  <c r="BQ579"/>
  <c r="BT579" s="1"/>
  <c r="BW579" s="1"/>
  <c r="BZ579" s="1"/>
  <c r="BQ557"/>
  <c r="BT557" s="1"/>
  <c r="BW557" s="1"/>
  <c r="BZ557" s="1"/>
  <c r="BQ563"/>
  <c r="BT563" s="1"/>
  <c r="BW563" s="1"/>
  <c r="BZ563" s="1"/>
  <c r="BQ551"/>
  <c r="BT551" s="1"/>
  <c r="BW551" s="1"/>
  <c r="BZ551" s="1"/>
  <c r="BQ556"/>
  <c r="BT556" s="1"/>
  <c r="BW556" s="1"/>
  <c r="BZ556" s="1"/>
  <c r="BQ568"/>
  <c r="BT568" s="1"/>
  <c r="BW568" s="1"/>
  <c r="BZ568" s="1"/>
  <c r="BQ566"/>
  <c r="BT566" s="1"/>
  <c r="BW566" s="1"/>
  <c r="BZ566" s="1"/>
  <c r="BQ573"/>
  <c r="BT573" s="1"/>
  <c r="BW573" s="1"/>
  <c r="BZ573" s="1"/>
  <c r="BQ576"/>
  <c r="BT576" s="1"/>
  <c r="BW576" s="1"/>
  <c r="BZ576" s="1"/>
  <c r="BQ574"/>
  <c r="BT574" s="1"/>
  <c r="BW574" s="1"/>
  <c r="BZ574" s="1"/>
  <c r="BQ575"/>
  <c r="BT575" s="1"/>
  <c r="BW575" s="1"/>
  <c r="BZ575" s="1"/>
  <c r="BM583"/>
  <c r="BM624" s="1"/>
  <c r="BK624"/>
  <c r="BH101" i="32"/>
  <c r="BK101" s="1"/>
  <c r="BN101" s="1"/>
  <c r="BQ101" s="1"/>
  <c r="BT101" s="1"/>
  <c r="BW101" s="1"/>
  <c r="BZ101" s="1"/>
  <c r="AX79"/>
  <c r="AX83"/>
  <c r="AX71" i="31"/>
  <c r="AX45" i="30"/>
  <c r="AX502"/>
  <c r="AV490"/>
  <c r="AS487"/>
  <c r="AV487" s="1"/>
  <c r="AS489"/>
  <c r="AU71" i="31"/>
  <c r="AJ96" i="32"/>
  <c r="AM96" s="1"/>
  <c r="AU64" i="31"/>
  <c r="AM549" i="30"/>
  <c r="AP549" s="1"/>
  <c r="AS549" s="1"/>
  <c r="BV628" l="1"/>
  <c r="BV727" s="1"/>
  <c r="BW727" s="1"/>
  <c r="BZ727" s="1"/>
  <c r="BT552"/>
  <c r="BW552" s="1"/>
  <c r="BZ552" s="1"/>
  <c r="BN583"/>
  <c r="BN624"/>
  <c r="AP96" i="32"/>
  <c r="AV549" i="30"/>
  <c r="BW628" l="1"/>
  <c r="BZ628" s="1"/>
  <c r="BQ583"/>
  <c r="BT583" s="1"/>
  <c r="BW583" s="1"/>
  <c r="BZ583" s="1"/>
  <c r="BQ624"/>
  <c r="BT624" s="1"/>
  <c r="BW624" s="1"/>
  <c r="BZ624" s="1"/>
  <c r="AS96" i="32"/>
  <c r="AY549" i="30"/>
  <c r="BB549" s="1"/>
  <c r="BE549" s="1"/>
  <c r="BH549" s="1"/>
  <c r="BK549" s="1"/>
  <c r="BN549" s="1"/>
  <c r="BQ549" l="1"/>
  <c r="BT549" s="1"/>
  <c r="BW549" s="1"/>
  <c r="BZ549" s="1"/>
  <c r="AV96" i="32"/>
  <c r="AY96" s="1"/>
  <c r="BB96" s="1"/>
  <c r="BE96" s="1"/>
  <c r="BH96" s="1"/>
  <c r="BK96" s="1"/>
  <c r="BN96" s="1"/>
  <c r="BQ96" s="1"/>
  <c r="AJ95"/>
  <c r="AM95" s="1"/>
  <c r="AJ94"/>
  <c r="AM94" s="1"/>
  <c r="AP95" l="1"/>
  <c r="AP94"/>
  <c r="AS95" l="1"/>
  <c r="AS94"/>
  <c r="AV95" l="1"/>
  <c r="AY95" s="1"/>
  <c r="BB95" s="1"/>
  <c r="BE95" s="1"/>
  <c r="BH95" s="1"/>
  <c r="BK95" s="1"/>
  <c r="BN95" s="1"/>
  <c r="BQ95" s="1"/>
  <c r="BT95" s="1"/>
  <c r="BW95" s="1"/>
  <c r="BZ95" s="1"/>
  <c r="AV94"/>
  <c r="AY94" s="1"/>
  <c r="BB94" s="1"/>
  <c r="BE94" s="1"/>
  <c r="BH94" s="1"/>
  <c r="BJ94" l="1"/>
  <c r="BK94" s="1"/>
  <c r="BN94" s="1"/>
  <c r="BQ94" s="1"/>
  <c r="BT94" s="1"/>
  <c r="BW94" s="1"/>
  <c r="BZ94" s="1"/>
  <c r="AM548" i="30"/>
  <c r="AP548" s="1"/>
  <c r="AS548" s="1"/>
  <c r="AM547"/>
  <c r="AP547" s="1"/>
  <c r="AS547" l="1"/>
  <c r="AJ93" i="32"/>
  <c r="AM93" s="1"/>
  <c r="AJ92"/>
  <c r="AM92" s="1"/>
  <c r="AJ91"/>
  <c r="AM91" s="1"/>
  <c r="AM546" i="30"/>
  <c r="AP546" s="1"/>
  <c r="AS546" s="1"/>
  <c r="AV546" s="1"/>
  <c r="AY546" s="1"/>
  <c r="BB546" s="1"/>
  <c r="AM545"/>
  <c r="AP545" s="1"/>
  <c r="AS545" s="1"/>
  <c r="AV545" s="1"/>
  <c r="AY545" s="1"/>
  <c r="BB545" s="1"/>
  <c r="BE545" s="1"/>
  <c r="BH545" s="1"/>
  <c r="AM544"/>
  <c r="AP544" s="1"/>
  <c r="AS544" s="1"/>
  <c r="AV544" s="1"/>
  <c r="AY544" s="1"/>
  <c r="BB544" s="1"/>
  <c r="AM543"/>
  <c r="AP543" s="1"/>
  <c r="AS543" s="1"/>
  <c r="AV543" s="1"/>
  <c r="AY543" s="1"/>
  <c r="BB543" s="1"/>
  <c r="BE543" s="1"/>
  <c r="BH543" s="1"/>
  <c r="BK543" s="1"/>
  <c r="BN543" s="1"/>
  <c r="AM542"/>
  <c r="AP542" s="1"/>
  <c r="AS542" s="1"/>
  <c r="AV542" s="1"/>
  <c r="AY542" s="1"/>
  <c r="BB542" s="1"/>
  <c r="BE542" s="1"/>
  <c r="BH542" s="1"/>
  <c r="BK542" s="1"/>
  <c r="BN542" s="1"/>
  <c r="AM541"/>
  <c r="AP541" s="1"/>
  <c r="AS541" s="1"/>
  <c r="AV541" s="1"/>
  <c r="AY541" s="1"/>
  <c r="BB541" s="1"/>
  <c r="BE541" s="1"/>
  <c r="BH541" s="1"/>
  <c r="BK541" s="1"/>
  <c r="BN541" s="1"/>
  <c r="AM540"/>
  <c r="AP540" s="1"/>
  <c r="AS540" s="1"/>
  <c r="AV540" s="1"/>
  <c r="AY540" s="1"/>
  <c r="BB540" s="1"/>
  <c r="BE540" s="1"/>
  <c r="BH540" s="1"/>
  <c r="BK540" s="1"/>
  <c r="BN540" s="1"/>
  <c r="AM539"/>
  <c r="AP539" s="1"/>
  <c r="AS539" s="1"/>
  <c r="AV539" s="1"/>
  <c r="AY539" s="1"/>
  <c r="BB539" s="1"/>
  <c r="BE539" s="1"/>
  <c r="BH539" s="1"/>
  <c r="AM538"/>
  <c r="AP538" s="1"/>
  <c r="AS538" s="1"/>
  <c r="AV538" s="1"/>
  <c r="AY538" s="1"/>
  <c r="BB538" s="1"/>
  <c r="BE538" s="1"/>
  <c r="AM537"/>
  <c r="AP537" s="1"/>
  <c r="AS537" s="1"/>
  <c r="AV537" s="1"/>
  <c r="AY537" s="1"/>
  <c r="BB537" s="1"/>
  <c r="BE537" s="1"/>
  <c r="BH537" s="1"/>
  <c r="BK537" s="1"/>
  <c r="BN537" s="1"/>
  <c r="AM536"/>
  <c r="AP536" s="1"/>
  <c r="AS536" s="1"/>
  <c r="AV536" s="1"/>
  <c r="AY536" s="1"/>
  <c r="BB536" s="1"/>
  <c r="BE536" s="1"/>
  <c r="AM535"/>
  <c r="AP535" s="1"/>
  <c r="AS535" s="1"/>
  <c r="AV535" s="1"/>
  <c r="AY535" s="1"/>
  <c r="BB535" s="1"/>
  <c r="BE535" s="1"/>
  <c r="BH535" s="1"/>
  <c r="BK535" s="1"/>
  <c r="AM534"/>
  <c r="AP534" s="1"/>
  <c r="AS534" s="1"/>
  <c r="AV534" s="1"/>
  <c r="AY534" s="1"/>
  <c r="BB534" s="1"/>
  <c r="AM533"/>
  <c r="AP533" s="1"/>
  <c r="AS533" s="1"/>
  <c r="AV533" s="1"/>
  <c r="AY533" s="1"/>
  <c r="BB533" s="1"/>
  <c r="AM532"/>
  <c r="AP532" s="1"/>
  <c r="AS532" s="1"/>
  <c r="AV532" s="1"/>
  <c r="AY532" s="1"/>
  <c r="BB532" s="1"/>
  <c r="BE532" s="1"/>
  <c r="BH532" s="1"/>
  <c r="BK532" s="1"/>
  <c r="BN532" s="1"/>
  <c r="AM531"/>
  <c r="AP531" s="1"/>
  <c r="AS531" s="1"/>
  <c r="AV531" s="1"/>
  <c r="AY531" s="1"/>
  <c r="BB531" s="1"/>
  <c r="BE531" s="1"/>
  <c r="AM530"/>
  <c r="AP530" s="1"/>
  <c r="AS530" s="1"/>
  <c r="AV530" s="1"/>
  <c r="AY530" s="1"/>
  <c r="BB530" s="1"/>
  <c r="BE530" s="1"/>
  <c r="BH530" s="1"/>
  <c r="BK530" s="1"/>
  <c r="BN530" s="1"/>
  <c r="AM529"/>
  <c r="AP529" s="1"/>
  <c r="AS529" s="1"/>
  <c r="AV529" s="1"/>
  <c r="AY529" s="1"/>
  <c r="BB529" s="1"/>
  <c r="BE529" s="1"/>
  <c r="BH529" s="1"/>
  <c r="BK529" s="1"/>
  <c r="BN529" s="1"/>
  <c r="AM528"/>
  <c r="AP528" s="1"/>
  <c r="AS528" s="1"/>
  <c r="AV528" s="1"/>
  <c r="AY528" s="1"/>
  <c r="AM527"/>
  <c r="AP527" s="1"/>
  <c r="AS527" s="1"/>
  <c r="AV527" s="1"/>
  <c r="AY527" s="1"/>
  <c r="AM526"/>
  <c r="AP526" s="1"/>
  <c r="AS526" s="1"/>
  <c r="AV526" s="1"/>
  <c r="AY526" s="1"/>
  <c r="BB526" s="1"/>
  <c r="AM525"/>
  <c r="AP525" s="1"/>
  <c r="AS525" s="1"/>
  <c r="AV525" s="1"/>
  <c r="AY525" s="1"/>
  <c r="AJ72" i="31"/>
  <c r="AM72" s="1"/>
  <c r="AP72" s="1"/>
  <c r="AS72" s="1"/>
  <c r="AV72" s="1"/>
  <c r="AY72" s="1"/>
  <c r="BB72" s="1"/>
  <c r="BE72" s="1"/>
  <c r="BH72" s="1"/>
  <c r="BK72" s="1"/>
  <c r="BN72" s="1"/>
  <c r="CD72"/>
  <c r="AU520" i="30"/>
  <c r="BQ543" l="1"/>
  <c r="BT543" s="1"/>
  <c r="BW543" s="1"/>
  <c r="BZ543" s="1"/>
  <c r="BQ530"/>
  <c r="BQ542"/>
  <c r="BQ529"/>
  <c r="BT529" s="1"/>
  <c r="BW529" s="1"/>
  <c r="BZ529" s="1"/>
  <c r="BQ537"/>
  <c r="BT537" s="1"/>
  <c r="BW537" s="1"/>
  <c r="BZ537" s="1"/>
  <c r="BQ541"/>
  <c r="BQ532"/>
  <c r="BT532" s="1"/>
  <c r="BW532" s="1"/>
  <c r="BZ532" s="1"/>
  <c r="BQ540"/>
  <c r="BT540" s="1"/>
  <c r="BW540" s="1"/>
  <c r="BZ540" s="1"/>
  <c r="BM535"/>
  <c r="BN535" s="1"/>
  <c r="BJ545"/>
  <c r="BK545" s="1"/>
  <c r="BN545" s="1"/>
  <c r="BJ539"/>
  <c r="BK539" s="1"/>
  <c r="BN539" s="1"/>
  <c r="BG536"/>
  <c r="BH536" s="1"/>
  <c r="BK536" s="1"/>
  <c r="BN536" s="1"/>
  <c r="BG538"/>
  <c r="BH538" s="1"/>
  <c r="BK538" s="1"/>
  <c r="BN538" s="1"/>
  <c r="BG531"/>
  <c r="BH531" s="1"/>
  <c r="BK531" s="1"/>
  <c r="BN531" s="1"/>
  <c r="BD546"/>
  <c r="BD618" s="1"/>
  <c r="BE618" s="1"/>
  <c r="BD544"/>
  <c r="BE544" s="1"/>
  <c r="BH544" s="1"/>
  <c r="BK544" s="1"/>
  <c r="BN544" s="1"/>
  <c r="BD534"/>
  <c r="BE534" s="1"/>
  <c r="BH534" s="1"/>
  <c r="BK534" s="1"/>
  <c r="BN534" s="1"/>
  <c r="BD533"/>
  <c r="BE533" s="1"/>
  <c r="BH533" s="1"/>
  <c r="BK533" s="1"/>
  <c r="BN533" s="1"/>
  <c r="BD526"/>
  <c r="BD588" s="1"/>
  <c r="BE588" s="1"/>
  <c r="BA525"/>
  <c r="BB525" s="1"/>
  <c r="BE525" s="1"/>
  <c r="BA528"/>
  <c r="BB528" s="1"/>
  <c r="BE528" s="1"/>
  <c r="BH528" s="1"/>
  <c r="BK528" s="1"/>
  <c r="BN528" s="1"/>
  <c r="AV548"/>
  <c r="AV547"/>
  <c r="AP93" i="32"/>
  <c r="AP92"/>
  <c r="AP91"/>
  <c r="B85"/>
  <c r="CC85" s="1"/>
  <c r="BS530" i="30" l="1"/>
  <c r="BT530" s="1"/>
  <c r="BW530" s="1"/>
  <c r="BZ530" s="1"/>
  <c r="BS542"/>
  <c r="BS741" s="1"/>
  <c r="BT741" s="1"/>
  <c r="BW741" s="1"/>
  <c r="BZ741" s="1"/>
  <c r="BS541"/>
  <c r="BS679" s="1"/>
  <c r="BT679" s="1"/>
  <c r="BW679" s="1"/>
  <c r="BZ679" s="1"/>
  <c r="BQ528"/>
  <c r="BT528" s="1"/>
  <c r="BW528" s="1"/>
  <c r="BZ528" s="1"/>
  <c r="BQ534"/>
  <c r="BT534" s="1"/>
  <c r="BW534" s="1"/>
  <c r="BZ534" s="1"/>
  <c r="BQ538"/>
  <c r="BT538" s="1"/>
  <c r="BW538" s="1"/>
  <c r="BZ538" s="1"/>
  <c r="BQ535"/>
  <c r="BT535" s="1"/>
  <c r="BW535" s="1"/>
  <c r="BZ535" s="1"/>
  <c r="BQ544"/>
  <c r="BT544" s="1"/>
  <c r="BW544" s="1"/>
  <c r="BZ544" s="1"/>
  <c r="BQ536"/>
  <c r="BT536" s="1"/>
  <c r="BW536" s="1"/>
  <c r="BZ536" s="1"/>
  <c r="BQ533"/>
  <c r="BT533" s="1"/>
  <c r="BW533" s="1"/>
  <c r="BZ533" s="1"/>
  <c r="BQ531"/>
  <c r="BT531" s="1"/>
  <c r="BW531" s="1"/>
  <c r="BZ531" s="1"/>
  <c r="BQ545"/>
  <c r="BT545" s="1"/>
  <c r="BW545" s="1"/>
  <c r="BZ545" s="1"/>
  <c r="BQ539"/>
  <c r="BT539" s="1"/>
  <c r="BW539" s="1"/>
  <c r="BZ539" s="1"/>
  <c r="BG618"/>
  <c r="BG650" s="1"/>
  <c r="BH650" s="1"/>
  <c r="BG588"/>
  <c r="BG626" s="1"/>
  <c r="BH626" s="1"/>
  <c r="BK626" s="1"/>
  <c r="BN626" s="1"/>
  <c r="BE546"/>
  <c r="BH546" s="1"/>
  <c r="BK546" s="1"/>
  <c r="BN546" s="1"/>
  <c r="BH525"/>
  <c r="BK525" s="1"/>
  <c r="BN525" s="1"/>
  <c r="BE526"/>
  <c r="BH526" s="1"/>
  <c r="BK526" s="1"/>
  <c r="BN526" s="1"/>
  <c r="AY548"/>
  <c r="BB548" s="1"/>
  <c r="AY547"/>
  <c r="BB547" s="1"/>
  <c r="BE547" s="1"/>
  <c r="BH547" s="1"/>
  <c r="BK547" s="1"/>
  <c r="BN547" s="1"/>
  <c r="AS93" i="32"/>
  <c r="AS92"/>
  <c r="AS91"/>
  <c r="AU232" i="30"/>
  <c r="AU369"/>
  <c r="AU371"/>
  <c r="I524"/>
  <c r="L524" s="1"/>
  <c r="O524" s="1"/>
  <c r="R524" s="1"/>
  <c r="U524" s="1"/>
  <c r="X524" s="1"/>
  <c r="AA524" s="1"/>
  <c r="AD524" s="1"/>
  <c r="AG524" s="1"/>
  <c r="AJ524" s="1"/>
  <c r="AM524" s="1"/>
  <c r="AP524" s="1"/>
  <c r="AS524" s="1"/>
  <c r="AV524" s="1"/>
  <c r="CD524"/>
  <c r="CD71" i="31"/>
  <c r="CD70"/>
  <c r="CD69"/>
  <c r="CD68"/>
  <c r="AJ90" i="32"/>
  <c r="AM90" s="1"/>
  <c r="AJ89"/>
  <c r="AM89" s="1"/>
  <c r="AJ88"/>
  <c r="AM88" s="1"/>
  <c r="AJ87"/>
  <c r="AM87" s="1"/>
  <c r="B89"/>
  <c r="CC89" s="1"/>
  <c r="B88"/>
  <c r="CC88" s="1"/>
  <c r="B87"/>
  <c r="CC87" s="1"/>
  <c r="I523" i="30"/>
  <c r="L523" s="1"/>
  <c r="O523" s="1"/>
  <c r="R523" s="1"/>
  <c r="U523" s="1"/>
  <c r="X523" s="1"/>
  <c r="AA523" s="1"/>
  <c r="AD523" s="1"/>
  <c r="AG523" s="1"/>
  <c r="AJ523" s="1"/>
  <c r="AM523" s="1"/>
  <c r="AP523" s="1"/>
  <c r="AS523" s="1"/>
  <c r="AV523" s="1"/>
  <c r="AY523" s="1"/>
  <c r="BB523" s="1"/>
  <c r="BE523" s="1"/>
  <c r="BH523" s="1"/>
  <c r="BK523" s="1"/>
  <c r="BN523" s="1"/>
  <c r="CD523"/>
  <c r="I522"/>
  <c r="L522" s="1"/>
  <c r="O522" s="1"/>
  <c r="R522" s="1"/>
  <c r="U522" s="1"/>
  <c r="X522" s="1"/>
  <c r="AA522" s="1"/>
  <c r="AD522" s="1"/>
  <c r="AG522" s="1"/>
  <c r="AJ522" s="1"/>
  <c r="AM522" s="1"/>
  <c r="AP522" s="1"/>
  <c r="AS522" s="1"/>
  <c r="AV522" s="1"/>
  <c r="AY522" s="1"/>
  <c r="BB522" s="1"/>
  <c r="BE522" s="1"/>
  <c r="BH522" s="1"/>
  <c r="BK522" s="1"/>
  <c r="BN522" s="1"/>
  <c r="CD522"/>
  <c r="I521"/>
  <c r="L521" s="1"/>
  <c r="O521" s="1"/>
  <c r="R521" s="1"/>
  <c r="U521" s="1"/>
  <c r="X521" s="1"/>
  <c r="AA521" s="1"/>
  <c r="AD521" s="1"/>
  <c r="AG521" s="1"/>
  <c r="AJ521" s="1"/>
  <c r="AM521" s="1"/>
  <c r="AP521" s="1"/>
  <c r="AS521" s="1"/>
  <c r="AV521" s="1"/>
  <c r="AY521" s="1"/>
  <c r="BB521" s="1"/>
  <c r="BE521" s="1"/>
  <c r="BH521" s="1"/>
  <c r="BK521" s="1"/>
  <c r="CD521"/>
  <c r="I520"/>
  <c r="L520" s="1"/>
  <c r="O520" s="1"/>
  <c r="R520" s="1"/>
  <c r="U520" s="1"/>
  <c r="X520" s="1"/>
  <c r="AA520" s="1"/>
  <c r="AD520" s="1"/>
  <c r="AG520" s="1"/>
  <c r="AJ520" s="1"/>
  <c r="AM520" s="1"/>
  <c r="AP520" s="1"/>
  <c r="AS520" s="1"/>
  <c r="AV520" s="1"/>
  <c r="AY520" s="1"/>
  <c r="BB520" s="1"/>
  <c r="BE520" s="1"/>
  <c r="BH520" s="1"/>
  <c r="BK520" s="1"/>
  <c r="BN520" s="1"/>
  <c r="CD520"/>
  <c r="I519"/>
  <c r="L519" s="1"/>
  <c r="O519" s="1"/>
  <c r="R519" s="1"/>
  <c r="U519" s="1"/>
  <c r="X519" s="1"/>
  <c r="AA519" s="1"/>
  <c r="AD519" s="1"/>
  <c r="AG519" s="1"/>
  <c r="AJ519" s="1"/>
  <c r="AM519" s="1"/>
  <c r="AP519" s="1"/>
  <c r="AS519" s="1"/>
  <c r="AV519" s="1"/>
  <c r="AY519" s="1"/>
  <c r="BB519" s="1"/>
  <c r="BE519" s="1"/>
  <c r="BH519" s="1"/>
  <c r="BK519" s="1"/>
  <c r="BN519" s="1"/>
  <c r="CD519"/>
  <c r="I518"/>
  <c r="L518" s="1"/>
  <c r="O518" s="1"/>
  <c r="R518" s="1"/>
  <c r="U518" s="1"/>
  <c r="X518" s="1"/>
  <c r="AA518" s="1"/>
  <c r="AD518" s="1"/>
  <c r="AG518" s="1"/>
  <c r="AJ518" s="1"/>
  <c r="AM518" s="1"/>
  <c r="AP518" s="1"/>
  <c r="AS518" s="1"/>
  <c r="AV518" s="1"/>
  <c r="AY518" s="1"/>
  <c r="BB518" s="1"/>
  <c r="BE518" s="1"/>
  <c r="CD518"/>
  <c r="I517"/>
  <c r="L517" s="1"/>
  <c r="O517" s="1"/>
  <c r="R517" s="1"/>
  <c r="U517" s="1"/>
  <c r="X517" s="1"/>
  <c r="AA517" s="1"/>
  <c r="AD517" s="1"/>
  <c r="AG517" s="1"/>
  <c r="AJ517" s="1"/>
  <c r="AM517" s="1"/>
  <c r="AP517" s="1"/>
  <c r="AS517" s="1"/>
  <c r="AV517" s="1"/>
  <c r="AY517" s="1"/>
  <c r="CD517"/>
  <c r="I516"/>
  <c r="L516" s="1"/>
  <c r="O516" s="1"/>
  <c r="R516" s="1"/>
  <c r="U516" s="1"/>
  <c r="X516" s="1"/>
  <c r="AA516" s="1"/>
  <c r="AD516" s="1"/>
  <c r="AG516" s="1"/>
  <c r="AJ516" s="1"/>
  <c r="AM516" s="1"/>
  <c r="AP516" s="1"/>
  <c r="AS516" s="1"/>
  <c r="AV516" s="1"/>
  <c r="AY516" s="1"/>
  <c r="BB516" s="1"/>
  <c r="BE516" s="1"/>
  <c r="BH516" s="1"/>
  <c r="CD516"/>
  <c r="I515"/>
  <c r="L515" s="1"/>
  <c r="O515" s="1"/>
  <c r="R515" s="1"/>
  <c r="U515" s="1"/>
  <c r="X515" s="1"/>
  <c r="AA515" s="1"/>
  <c r="AD515" s="1"/>
  <c r="AG515" s="1"/>
  <c r="AJ515" s="1"/>
  <c r="AM515" s="1"/>
  <c r="AP515" s="1"/>
  <c r="AS515" s="1"/>
  <c r="AV515" s="1"/>
  <c r="AY515" s="1"/>
  <c r="CD515"/>
  <c r="I514"/>
  <c r="L514" s="1"/>
  <c r="O514" s="1"/>
  <c r="R514" s="1"/>
  <c r="U514" s="1"/>
  <c r="X514" s="1"/>
  <c r="AA514" s="1"/>
  <c r="AD514" s="1"/>
  <c r="AG514" s="1"/>
  <c r="AJ514" s="1"/>
  <c r="AM514" s="1"/>
  <c r="AP514" s="1"/>
  <c r="AS514" s="1"/>
  <c r="AV514" s="1"/>
  <c r="AY514" s="1"/>
  <c r="BB514" s="1"/>
  <c r="CD514"/>
  <c r="I513"/>
  <c r="L513" s="1"/>
  <c r="O513" s="1"/>
  <c r="R513" s="1"/>
  <c r="U513" s="1"/>
  <c r="X513" s="1"/>
  <c r="AA513" s="1"/>
  <c r="AD513" s="1"/>
  <c r="AG513" s="1"/>
  <c r="AJ513" s="1"/>
  <c r="AM513" s="1"/>
  <c r="AP513" s="1"/>
  <c r="AS513" s="1"/>
  <c r="AV513" s="1"/>
  <c r="AY513" s="1"/>
  <c r="BB513" s="1"/>
  <c r="BE513" s="1"/>
  <c r="BH513" s="1"/>
  <c r="BK513" s="1"/>
  <c r="BN513" s="1"/>
  <c r="CD513"/>
  <c r="I512"/>
  <c r="L512" s="1"/>
  <c r="O512" s="1"/>
  <c r="R512" s="1"/>
  <c r="U512" s="1"/>
  <c r="X512" s="1"/>
  <c r="AA512" s="1"/>
  <c r="AD512" s="1"/>
  <c r="AG512" s="1"/>
  <c r="AJ512" s="1"/>
  <c r="AM512" s="1"/>
  <c r="AP512" s="1"/>
  <c r="AS512" s="1"/>
  <c r="AV512" s="1"/>
  <c r="AY512" s="1"/>
  <c r="BB512" s="1"/>
  <c r="BE512" s="1"/>
  <c r="BH512" s="1"/>
  <c r="BK512" s="1"/>
  <c r="BN512" s="1"/>
  <c r="CD512"/>
  <c r="I511"/>
  <c r="L511" s="1"/>
  <c r="O511" s="1"/>
  <c r="R511" s="1"/>
  <c r="U511" s="1"/>
  <c r="X511" s="1"/>
  <c r="AA511" s="1"/>
  <c r="AD511" s="1"/>
  <c r="AG511" s="1"/>
  <c r="AJ511" s="1"/>
  <c r="AM511" s="1"/>
  <c r="AP511" s="1"/>
  <c r="AS511" s="1"/>
  <c r="AV511" s="1"/>
  <c r="AY511" s="1"/>
  <c r="BB511" s="1"/>
  <c r="BE511" s="1"/>
  <c r="BH511" s="1"/>
  <c r="BK511" s="1"/>
  <c r="BN511" s="1"/>
  <c r="CD511"/>
  <c r="I510"/>
  <c r="L510" s="1"/>
  <c r="O510" s="1"/>
  <c r="R510" s="1"/>
  <c r="U510" s="1"/>
  <c r="X510" s="1"/>
  <c r="AA510" s="1"/>
  <c r="AD510" s="1"/>
  <c r="AG510" s="1"/>
  <c r="AJ510" s="1"/>
  <c r="AM510" s="1"/>
  <c r="AP510" s="1"/>
  <c r="AS510" s="1"/>
  <c r="AV510" s="1"/>
  <c r="AY510" s="1"/>
  <c r="BB510" s="1"/>
  <c r="CD510"/>
  <c r="I509"/>
  <c r="L509" s="1"/>
  <c r="O509" s="1"/>
  <c r="R509" s="1"/>
  <c r="U509" s="1"/>
  <c r="X509" s="1"/>
  <c r="AA509" s="1"/>
  <c r="AD509" s="1"/>
  <c r="AG509" s="1"/>
  <c r="AJ509" s="1"/>
  <c r="AM509" s="1"/>
  <c r="AP509" s="1"/>
  <c r="AS509" s="1"/>
  <c r="AV509" s="1"/>
  <c r="AY509" s="1"/>
  <c r="BB509" s="1"/>
  <c r="BE509" s="1"/>
  <c r="BH509" s="1"/>
  <c r="BK509" s="1"/>
  <c r="BN509" s="1"/>
  <c r="CD509"/>
  <c r="I508"/>
  <c r="L508" s="1"/>
  <c r="O508" s="1"/>
  <c r="R508" s="1"/>
  <c r="U508" s="1"/>
  <c r="X508" s="1"/>
  <c r="AA508" s="1"/>
  <c r="AD508" s="1"/>
  <c r="AG508" s="1"/>
  <c r="AJ508" s="1"/>
  <c r="AM508" s="1"/>
  <c r="AP508" s="1"/>
  <c r="AS508" s="1"/>
  <c r="AV508" s="1"/>
  <c r="CD508"/>
  <c r="I507"/>
  <c r="L507" s="1"/>
  <c r="O507" s="1"/>
  <c r="R507" s="1"/>
  <c r="U507" s="1"/>
  <c r="X507" s="1"/>
  <c r="AA507" s="1"/>
  <c r="AD507" s="1"/>
  <c r="AG507" s="1"/>
  <c r="AJ507" s="1"/>
  <c r="AM507" s="1"/>
  <c r="AP507" s="1"/>
  <c r="AS507" s="1"/>
  <c r="AV507" s="1"/>
  <c r="AY507" s="1"/>
  <c r="BB507" s="1"/>
  <c r="BE507" s="1"/>
  <c r="BH507" s="1"/>
  <c r="BK507" s="1"/>
  <c r="BN507" s="1"/>
  <c r="CD507"/>
  <c r="I506"/>
  <c r="L506" s="1"/>
  <c r="O506" s="1"/>
  <c r="R506" s="1"/>
  <c r="U506" s="1"/>
  <c r="X506" s="1"/>
  <c r="AA506" s="1"/>
  <c r="AD506" s="1"/>
  <c r="AG506" s="1"/>
  <c r="AJ506" s="1"/>
  <c r="AM506" s="1"/>
  <c r="AP506" s="1"/>
  <c r="AS506" s="1"/>
  <c r="AV506" s="1"/>
  <c r="AY506" s="1"/>
  <c r="BB506" s="1"/>
  <c r="I505"/>
  <c r="L505" s="1"/>
  <c r="O505" s="1"/>
  <c r="R505" s="1"/>
  <c r="U505" s="1"/>
  <c r="X505" s="1"/>
  <c r="AA505" s="1"/>
  <c r="AD505" s="1"/>
  <c r="AG505" s="1"/>
  <c r="AJ505" s="1"/>
  <c r="AM505" s="1"/>
  <c r="AP505" s="1"/>
  <c r="AS505" s="1"/>
  <c r="AV505" s="1"/>
  <c r="AY505" s="1"/>
  <c r="I504"/>
  <c r="L504" s="1"/>
  <c r="O504" s="1"/>
  <c r="R504" s="1"/>
  <c r="U504" s="1"/>
  <c r="X504" s="1"/>
  <c r="AA504" s="1"/>
  <c r="AD504" s="1"/>
  <c r="AG504" s="1"/>
  <c r="AJ504" s="1"/>
  <c r="AM504" s="1"/>
  <c r="AP504" s="1"/>
  <c r="AS504" s="1"/>
  <c r="AV504" s="1"/>
  <c r="AY504" s="1"/>
  <c r="BB504" s="1"/>
  <c r="BE504" s="1"/>
  <c r="BH504" s="1"/>
  <c r="BK504" s="1"/>
  <c r="BN504" s="1"/>
  <c r="CD504"/>
  <c r="I503"/>
  <c r="L503" s="1"/>
  <c r="O503" s="1"/>
  <c r="R503" s="1"/>
  <c r="U503" s="1"/>
  <c r="X503" s="1"/>
  <c r="AA503" s="1"/>
  <c r="AD503" s="1"/>
  <c r="AG503" s="1"/>
  <c r="AJ503" s="1"/>
  <c r="AM503" s="1"/>
  <c r="AP503" s="1"/>
  <c r="AS503" s="1"/>
  <c r="AV503" s="1"/>
  <c r="AY503" s="1"/>
  <c r="BB503" s="1"/>
  <c r="BE503" s="1"/>
  <c r="BH503" s="1"/>
  <c r="CD503"/>
  <c r="I502"/>
  <c r="L502" s="1"/>
  <c r="O502" s="1"/>
  <c r="R502" s="1"/>
  <c r="U502" s="1"/>
  <c r="X502" s="1"/>
  <c r="AA502" s="1"/>
  <c r="AD502" s="1"/>
  <c r="AG502" s="1"/>
  <c r="AJ502" s="1"/>
  <c r="AM502" s="1"/>
  <c r="AP502" s="1"/>
  <c r="AS502" s="1"/>
  <c r="CD502"/>
  <c r="I501"/>
  <c r="L501" s="1"/>
  <c r="O501" s="1"/>
  <c r="R501" s="1"/>
  <c r="U501" s="1"/>
  <c r="X501" s="1"/>
  <c r="AA501" s="1"/>
  <c r="AD501" s="1"/>
  <c r="AG501" s="1"/>
  <c r="AJ501" s="1"/>
  <c r="AM501" s="1"/>
  <c r="AP501" s="1"/>
  <c r="AS501" s="1"/>
  <c r="AV501" s="1"/>
  <c r="AY501" s="1"/>
  <c r="BB501" s="1"/>
  <c r="CD501"/>
  <c r="I500"/>
  <c r="L500" s="1"/>
  <c r="O500" s="1"/>
  <c r="R500" s="1"/>
  <c r="U500" s="1"/>
  <c r="X500" s="1"/>
  <c r="AA500" s="1"/>
  <c r="AD500" s="1"/>
  <c r="AG500" s="1"/>
  <c r="AJ500" s="1"/>
  <c r="AM500" s="1"/>
  <c r="AP500" s="1"/>
  <c r="AS500" s="1"/>
  <c r="AV500" s="1"/>
  <c r="CD500"/>
  <c r="I499"/>
  <c r="L499" s="1"/>
  <c r="O499" s="1"/>
  <c r="R499" s="1"/>
  <c r="U499" s="1"/>
  <c r="X499" s="1"/>
  <c r="AA499" s="1"/>
  <c r="AD499" s="1"/>
  <c r="AG499" s="1"/>
  <c r="AJ499" s="1"/>
  <c r="AM499" s="1"/>
  <c r="AP499" s="1"/>
  <c r="AS499" s="1"/>
  <c r="AV499" s="1"/>
  <c r="AY499" s="1"/>
  <c r="BB499" s="1"/>
  <c r="CD499"/>
  <c r="I498"/>
  <c r="L498" s="1"/>
  <c r="O498" s="1"/>
  <c r="R498" s="1"/>
  <c r="U498" s="1"/>
  <c r="X498" s="1"/>
  <c r="AA498" s="1"/>
  <c r="AD498" s="1"/>
  <c r="AG498" s="1"/>
  <c r="AJ498" s="1"/>
  <c r="AM498" s="1"/>
  <c r="AP498" s="1"/>
  <c r="AS498" s="1"/>
  <c r="AV498" s="1"/>
  <c r="AY498" s="1"/>
  <c r="BB498" s="1"/>
  <c r="BE498" s="1"/>
  <c r="BH498" s="1"/>
  <c r="BK498" s="1"/>
  <c r="BN498" s="1"/>
  <c r="CD498"/>
  <c r="I497"/>
  <c r="L497" s="1"/>
  <c r="O497" s="1"/>
  <c r="R497" s="1"/>
  <c r="U497" s="1"/>
  <c r="X497" s="1"/>
  <c r="AA497" s="1"/>
  <c r="AD497" s="1"/>
  <c r="AG497" s="1"/>
  <c r="AJ497" s="1"/>
  <c r="AM497" s="1"/>
  <c r="AP497" s="1"/>
  <c r="AS497" s="1"/>
  <c r="AV497" s="1"/>
  <c r="AY497" s="1"/>
  <c r="BB497" s="1"/>
  <c r="BE497" s="1"/>
  <c r="BH497" s="1"/>
  <c r="BK497" s="1"/>
  <c r="BN497" s="1"/>
  <c r="CD497"/>
  <c r="I496"/>
  <c r="L496" s="1"/>
  <c r="O496" s="1"/>
  <c r="R496" s="1"/>
  <c r="U496" s="1"/>
  <c r="X496" s="1"/>
  <c r="AA496" s="1"/>
  <c r="AD496" s="1"/>
  <c r="AG496" s="1"/>
  <c r="AJ496" s="1"/>
  <c r="AM496" s="1"/>
  <c r="AP496" s="1"/>
  <c r="AS496" s="1"/>
  <c r="AV496" s="1"/>
  <c r="AY496" s="1"/>
  <c r="BB496" s="1"/>
  <c r="BE496" s="1"/>
  <c r="BH496" s="1"/>
  <c r="BK496" s="1"/>
  <c r="CD496"/>
  <c r="I495"/>
  <c r="L495" s="1"/>
  <c r="O495" s="1"/>
  <c r="R495" s="1"/>
  <c r="U495" s="1"/>
  <c r="X495" s="1"/>
  <c r="AA495" s="1"/>
  <c r="AD495" s="1"/>
  <c r="AG495" s="1"/>
  <c r="AJ495" s="1"/>
  <c r="AM495" s="1"/>
  <c r="AP495" s="1"/>
  <c r="AS495" s="1"/>
  <c r="AV495" s="1"/>
  <c r="AY495" s="1"/>
  <c r="BB495" s="1"/>
  <c r="CD495"/>
  <c r="I494"/>
  <c r="L494" s="1"/>
  <c r="O494" s="1"/>
  <c r="R494" s="1"/>
  <c r="U494" s="1"/>
  <c r="X494" s="1"/>
  <c r="AA494" s="1"/>
  <c r="AD494" s="1"/>
  <c r="AG494" s="1"/>
  <c r="AJ494" s="1"/>
  <c r="AM494" s="1"/>
  <c r="AP494" s="1"/>
  <c r="AS494" s="1"/>
  <c r="AV494" s="1"/>
  <c r="AY494" s="1"/>
  <c r="BB494" s="1"/>
  <c r="BE494" s="1"/>
  <c r="BH494" s="1"/>
  <c r="BK494" s="1"/>
  <c r="BN494" s="1"/>
  <c r="CD494"/>
  <c r="AJ86" i="32"/>
  <c r="AJ85"/>
  <c r="AM85" s="1"/>
  <c r="B86"/>
  <c r="CC86" s="1"/>
  <c r="CD65" i="31"/>
  <c r="CD64"/>
  <c r="BT542" i="30" l="1"/>
  <c r="BW542" s="1"/>
  <c r="BZ542" s="1"/>
  <c r="BT541"/>
  <c r="BW541" s="1"/>
  <c r="BZ541" s="1"/>
  <c r="BQ498"/>
  <c r="BT498" s="1"/>
  <c r="BW498" s="1"/>
  <c r="BZ498" s="1"/>
  <c r="BQ507"/>
  <c r="BT507" s="1"/>
  <c r="BW507" s="1"/>
  <c r="BZ507" s="1"/>
  <c r="BQ526"/>
  <c r="BT526" s="1"/>
  <c r="BW526" s="1"/>
  <c r="BZ526" s="1"/>
  <c r="BQ494"/>
  <c r="BT494" s="1"/>
  <c r="BQ512"/>
  <c r="BT512" s="1"/>
  <c r="BW512" s="1"/>
  <c r="BZ512" s="1"/>
  <c r="BQ520"/>
  <c r="BT520" s="1"/>
  <c r="BW520" s="1"/>
  <c r="BZ520" s="1"/>
  <c r="BQ522"/>
  <c r="BQ626"/>
  <c r="BT626" s="1"/>
  <c r="BW626" s="1"/>
  <c r="BZ626" s="1"/>
  <c r="BQ547"/>
  <c r="BT547" s="1"/>
  <c r="BW547" s="1"/>
  <c r="BZ547" s="1"/>
  <c r="BQ546"/>
  <c r="BT546" s="1"/>
  <c r="BW546" s="1"/>
  <c r="BZ546" s="1"/>
  <c r="BQ509"/>
  <c r="BT509" s="1"/>
  <c r="BW509" s="1"/>
  <c r="BZ509" s="1"/>
  <c r="BQ511"/>
  <c r="BT511" s="1"/>
  <c r="BW511" s="1"/>
  <c r="BZ511" s="1"/>
  <c r="BQ519"/>
  <c r="BT519" s="1"/>
  <c r="BW519" s="1"/>
  <c r="BZ519" s="1"/>
  <c r="BQ523"/>
  <c r="BT523" s="1"/>
  <c r="BW523" s="1"/>
  <c r="BZ523" s="1"/>
  <c r="BQ525"/>
  <c r="BT525" s="1"/>
  <c r="BW525" s="1"/>
  <c r="BZ525" s="1"/>
  <c r="BP497"/>
  <c r="BQ497" s="1"/>
  <c r="BT497" s="1"/>
  <c r="BW497" s="1"/>
  <c r="BZ497" s="1"/>
  <c r="BP504"/>
  <c r="BM521"/>
  <c r="BN521" s="1"/>
  <c r="BM496"/>
  <c r="BM703" s="1"/>
  <c r="BN703" s="1"/>
  <c r="BJ516"/>
  <c r="BK516" s="1"/>
  <c r="BN516" s="1"/>
  <c r="BJ650"/>
  <c r="BJ692" s="1"/>
  <c r="BK692" s="1"/>
  <c r="BN692" s="1"/>
  <c r="BJ503"/>
  <c r="BK503" s="1"/>
  <c r="BN503" s="1"/>
  <c r="BH618"/>
  <c r="BK618" s="1"/>
  <c r="BN618" s="1"/>
  <c r="BH588"/>
  <c r="BK588" s="1"/>
  <c r="BN588" s="1"/>
  <c r="BG518"/>
  <c r="BH518" s="1"/>
  <c r="BK518" s="1"/>
  <c r="BN518" s="1"/>
  <c r="BD548"/>
  <c r="BD582" s="1"/>
  <c r="BE582" s="1"/>
  <c r="BH582" s="1"/>
  <c r="BK582" s="1"/>
  <c r="BN582" s="1"/>
  <c r="BD510"/>
  <c r="BD587" s="1"/>
  <c r="BE587" s="1"/>
  <c r="BH587" s="1"/>
  <c r="BK587" s="1"/>
  <c r="BD499"/>
  <c r="BE499" s="1"/>
  <c r="BH499" s="1"/>
  <c r="BK499" s="1"/>
  <c r="BN499" s="1"/>
  <c r="BD495"/>
  <c r="BE495" s="1"/>
  <c r="BH495" s="1"/>
  <c r="BK495" s="1"/>
  <c r="BN495" s="1"/>
  <c r="BA505"/>
  <c r="BB505" s="1"/>
  <c r="BE505" s="1"/>
  <c r="BH505" s="1"/>
  <c r="BK505" s="1"/>
  <c r="BN505" s="1"/>
  <c r="BA515"/>
  <c r="BB515" s="1"/>
  <c r="BE515" s="1"/>
  <c r="BH515" s="1"/>
  <c r="BK515" s="1"/>
  <c r="BN515" s="1"/>
  <c r="BA517"/>
  <c r="BB517" s="1"/>
  <c r="BE517" s="1"/>
  <c r="BH517" s="1"/>
  <c r="BK517" s="1"/>
  <c r="BN517" s="1"/>
  <c r="AX524"/>
  <c r="AY524" s="1"/>
  <c r="BB524" s="1"/>
  <c r="BE524" s="1"/>
  <c r="BH524" s="1"/>
  <c r="BK524" s="1"/>
  <c r="BN524" s="1"/>
  <c r="AV93" i="32"/>
  <c r="AY93" s="1"/>
  <c r="BB93" s="1"/>
  <c r="BE93" s="1"/>
  <c r="AV92"/>
  <c r="AY92" s="1"/>
  <c r="BB92" s="1"/>
  <c r="BE92" s="1"/>
  <c r="AV91"/>
  <c r="AY91" s="1"/>
  <c r="AP90"/>
  <c r="AP89"/>
  <c r="AP88"/>
  <c r="AP87"/>
  <c r="AM86"/>
  <c r="AP86" s="1"/>
  <c r="AS86" s="1"/>
  <c r="AV86" s="1"/>
  <c r="AY86" s="1"/>
  <c r="BB86" s="1"/>
  <c r="BE86" s="1"/>
  <c r="BH86" s="1"/>
  <c r="AP85"/>
  <c r="BT750" i="30" l="1"/>
  <c r="BQ703"/>
  <c r="BT703" s="1"/>
  <c r="BW703" s="1"/>
  <c r="BZ703" s="1"/>
  <c r="BQ618"/>
  <c r="BT618" s="1"/>
  <c r="BW618" s="1"/>
  <c r="BZ618" s="1"/>
  <c r="BQ517"/>
  <c r="BT517" s="1"/>
  <c r="BW517" s="1"/>
  <c r="BZ517" s="1"/>
  <c r="BQ499"/>
  <c r="BT499" s="1"/>
  <c r="BW499" s="1"/>
  <c r="BZ499" s="1"/>
  <c r="BQ588"/>
  <c r="BT588" s="1"/>
  <c r="BW588" s="1"/>
  <c r="BZ588" s="1"/>
  <c r="BQ516"/>
  <c r="BT516" s="1"/>
  <c r="BW516" s="1"/>
  <c r="BZ516" s="1"/>
  <c r="BQ524"/>
  <c r="BT524" s="1"/>
  <c r="BW524" s="1"/>
  <c r="BZ524" s="1"/>
  <c r="BQ515"/>
  <c r="BT515" s="1"/>
  <c r="BW515" s="1"/>
  <c r="BZ515" s="1"/>
  <c r="BQ495"/>
  <c r="BT495" s="1"/>
  <c r="BW495" s="1"/>
  <c r="BZ495" s="1"/>
  <c r="BQ518"/>
  <c r="BT518" s="1"/>
  <c r="BW518" s="1"/>
  <c r="BZ518" s="1"/>
  <c r="BQ505"/>
  <c r="BT505" s="1"/>
  <c r="BW505" s="1"/>
  <c r="BZ505" s="1"/>
  <c r="BQ582"/>
  <c r="BT582" s="1"/>
  <c r="BW582" s="1"/>
  <c r="BZ582" s="1"/>
  <c r="BQ503"/>
  <c r="BT503" s="1"/>
  <c r="BW503" s="1"/>
  <c r="BZ503" s="1"/>
  <c r="BQ521"/>
  <c r="BT521" s="1"/>
  <c r="BW521" s="1"/>
  <c r="BZ521" s="1"/>
  <c r="BQ504"/>
  <c r="BT504" s="1"/>
  <c r="BW504" s="1"/>
  <c r="BZ504" s="1"/>
  <c r="BP692"/>
  <c r="BP716" s="1"/>
  <c r="BN496"/>
  <c r="BM587"/>
  <c r="BN587" s="1"/>
  <c r="BK650"/>
  <c r="BN650" s="1"/>
  <c r="BJ86" i="32"/>
  <c r="BK86" s="1"/>
  <c r="BN86" s="1"/>
  <c r="BQ86" s="1"/>
  <c r="BT86" s="1"/>
  <c r="BW86" s="1"/>
  <c r="BZ86" s="1"/>
  <c r="BG93"/>
  <c r="BH93" s="1"/>
  <c r="BK93" s="1"/>
  <c r="BN93" s="1"/>
  <c r="BQ93" s="1"/>
  <c r="BT93" s="1"/>
  <c r="BW93" s="1"/>
  <c r="BZ93" s="1"/>
  <c r="BH92"/>
  <c r="BK92" s="1"/>
  <c r="BN92" s="1"/>
  <c r="BQ92" s="1"/>
  <c r="BT92" s="1"/>
  <c r="BW92" s="1"/>
  <c r="BZ92" s="1"/>
  <c r="BE548" i="30"/>
  <c r="BH548" s="1"/>
  <c r="BK548" s="1"/>
  <c r="BN548" s="1"/>
  <c r="BE510"/>
  <c r="BH510" s="1"/>
  <c r="BK510" s="1"/>
  <c r="BN510" s="1"/>
  <c r="BA91" i="32"/>
  <c r="BB91" s="1"/>
  <c r="BE91" s="1"/>
  <c r="BH91" s="1"/>
  <c r="BK91" s="1"/>
  <c r="BN91" s="1"/>
  <c r="BQ91" s="1"/>
  <c r="BT91" s="1"/>
  <c r="BW91" s="1"/>
  <c r="BZ91" s="1"/>
  <c r="AS90"/>
  <c r="AV90" s="1"/>
  <c r="AS89"/>
  <c r="AV89" s="1"/>
  <c r="AY89" s="1"/>
  <c r="BB89" s="1"/>
  <c r="BE89" s="1"/>
  <c r="BH89" s="1"/>
  <c r="BK89" s="1"/>
  <c r="BN89" s="1"/>
  <c r="BQ89" s="1"/>
  <c r="AS88"/>
  <c r="AV88" s="1"/>
  <c r="AY88" s="1"/>
  <c r="BB88" s="1"/>
  <c r="BE88" s="1"/>
  <c r="BH88" s="1"/>
  <c r="BK88" s="1"/>
  <c r="BN88" s="1"/>
  <c r="BQ88" s="1"/>
  <c r="BT88" s="1"/>
  <c r="BW88" s="1"/>
  <c r="BZ88" s="1"/>
  <c r="AS87"/>
  <c r="AV87" s="1"/>
  <c r="AY87" s="1"/>
  <c r="BB87" s="1"/>
  <c r="BE87" s="1"/>
  <c r="BH87" s="1"/>
  <c r="BK87" s="1"/>
  <c r="BN87" s="1"/>
  <c r="BQ87" s="1"/>
  <c r="BT87" s="1"/>
  <c r="BW87" s="1"/>
  <c r="BZ87" s="1"/>
  <c r="AS85"/>
  <c r="AV85" s="1"/>
  <c r="AY85" s="1"/>
  <c r="BB85" s="1"/>
  <c r="BE85" s="1"/>
  <c r="BH85" s="1"/>
  <c r="BT522" i="30" l="1"/>
  <c r="BS89" i="32"/>
  <c r="BQ692" i="30"/>
  <c r="BT692" s="1"/>
  <c r="BW692" s="1"/>
  <c r="BZ692" s="1"/>
  <c r="BQ587"/>
  <c r="BT587" s="1"/>
  <c r="BW587" s="1"/>
  <c r="BZ587" s="1"/>
  <c r="BQ548"/>
  <c r="BT548" s="1"/>
  <c r="BW548" s="1"/>
  <c r="BZ548" s="1"/>
  <c r="BQ496"/>
  <c r="BT496" s="1"/>
  <c r="BW496" s="1"/>
  <c r="BZ496" s="1"/>
  <c r="BQ650"/>
  <c r="BT650" s="1"/>
  <c r="BW650" s="1"/>
  <c r="BZ650" s="1"/>
  <c r="BQ510"/>
  <c r="BT510" s="1"/>
  <c r="BW510" s="1"/>
  <c r="BZ510" s="1"/>
  <c r="BQ716"/>
  <c r="BT716" s="1"/>
  <c r="BW716" s="1"/>
  <c r="BZ716" s="1"/>
  <c r="BM667"/>
  <c r="BN667" s="1"/>
  <c r="BJ85" i="32"/>
  <c r="BK85" s="1"/>
  <c r="BN85" s="1"/>
  <c r="BQ85" s="1"/>
  <c r="BT85" s="1"/>
  <c r="BW85" s="1"/>
  <c r="BZ85" s="1"/>
  <c r="AR422" i="30"/>
  <c r="AR359"/>
  <c r="BV522" l="1"/>
  <c r="BV750" s="1"/>
  <c r="BW750" s="1"/>
  <c r="BZ750" s="1"/>
  <c r="BS96" i="32"/>
  <c r="BT96" s="1"/>
  <c r="BW96" s="1"/>
  <c r="BZ96" s="1"/>
  <c r="BT89"/>
  <c r="BW89" s="1"/>
  <c r="BZ89" s="1"/>
  <c r="BQ667" i="30"/>
  <c r="AR79" i="32"/>
  <c r="AR146" i="30"/>
  <c r="BS184" i="32" l="1"/>
  <c r="BW522" i="30"/>
  <c r="BZ522" s="1"/>
  <c r="BS667"/>
  <c r="AR69" i="32"/>
  <c r="AR314" i="30"/>
  <c r="AR369"/>
  <c r="AJ81" i="32"/>
  <c r="AM81" s="1"/>
  <c r="AP81" s="1"/>
  <c r="AS81" s="1"/>
  <c r="AV81" s="1"/>
  <c r="AY81" s="1"/>
  <c r="BB81" s="1"/>
  <c r="BE81" s="1"/>
  <c r="BH81" s="1"/>
  <c r="AJ82"/>
  <c r="AM82" s="1"/>
  <c r="AP82" s="1"/>
  <c r="AS82" s="1"/>
  <c r="AV82" s="1"/>
  <c r="AY82" s="1"/>
  <c r="BB82" s="1"/>
  <c r="BE82" s="1"/>
  <c r="BH82" s="1"/>
  <c r="BK82" s="1"/>
  <c r="BN82" s="1"/>
  <c r="BQ82" s="1"/>
  <c r="BT82" s="1"/>
  <c r="BW82" s="1"/>
  <c r="BZ82" s="1"/>
  <c r="AJ83"/>
  <c r="AM83" s="1"/>
  <c r="AP83" s="1"/>
  <c r="AS83" s="1"/>
  <c r="AV83" s="1"/>
  <c r="AY83" s="1"/>
  <c r="AJ84"/>
  <c r="AM84" s="1"/>
  <c r="AP84" s="1"/>
  <c r="AS84" s="1"/>
  <c r="AV84" s="1"/>
  <c r="AY84" s="1"/>
  <c r="BB84" s="1"/>
  <c r="BE84" s="1"/>
  <c r="AJ80"/>
  <c r="AM61" i="31"/>
  <c r="AP61" s="1"/>
  <c r="AS61" s="1"/>
  <c r="AV61" s="1"/>
  <c r="AY61" s="1"/>
  <c r="BB61" s="1"/>
  <c r="BE61" s="1"/>
  <c r="BH61" s="1"/>
  <c r="BK61" s="1"/>
  <c r="BN61" s="1"/>
  <c r="CD457" i="30"/>
  <c r="I457"/>
  <c r="L457" s="1"/>
  <c r="O457" s="1"/>
  <c r="R457" s="1"/>
  <c r="U457" s="1"/>
  <c r="X457" s="1"/>
  <c r="AA457" s="1"/>
  <c r="AD457" s="1"/>
  <c r="AG457" s="1"/>
  <c r="AJ457" s="1"/>
  <c r="AM457" s="1"/>
  <c r="AP457" s="1"/>
  <c r="AS457" s="1"/>
  <c r="AV457" s="1"/>
  <c r="CD458"/>
  <c r="I458"/>
  <c r="L458" s="1"/>
  <c r="O458" s="1"/>
  <c r="R458" s="1"/>
  <c r="U458" s="1"/>
  <c r="X458" s="1"/>
  <c r="AA458" s="1"/>
  <c r="AD458" s="1"/>
  <c r="AG458" s="1"/>
  <c r="AJ458" s="1"/>
  <c r="AM458" s="1"/>
  <c r="AP458" s="1"/>
  <c r="AS458" s="1"/>
  <c r="AV458" s="1"/>
  <c r="AY458" s="1"/>
  <c r="CD459"/>
  <c r="I459"/>
  <c r="L459" s="1"/>
  <c r="O459" s="1"/>
  <c r="R459" s="1"/>
  <c r="U459" s="1"/>
  <c r="X459" s="1"/>
  <c r="AA459" s="1"/>
  <c r="AD459" s="1"/>
  <c r="AG459" s="1"/>
  <c r="AJ459" s="1"/>
  <c r="AM459" s="1"/>
  <c r="AP459" s="1"/>
  <c r="AS459" s="1"/>
  <c r="AV459" s="1"/>
  <c r="AY459" s="1"/>
  <c r="BB459" s="1"/>
  <c r="BE459" s="1"/>
  <c r="BH459" s="1"/>
  <c r="BK459" s="1"/>
  <c r="BN459" s="1"/>
  <c r="CD460"/>
  <c r="I460"/>
  <c r="L460" s="1"/>
  <c r="O460" s="1"/>
  <c r="R460" s="1"/>
  <c r="U460" s="1"/>
  <c r="X460" s="1"/>
  <c r="AA460" s="1"/>
  <c r="AD460" s="1"/>
  <c r="AG460" s="1"/>
  <c r="AJ460" s="1"/>
  <c r="AM460" s="1"/>
  <c r="AP460" s="1"/>
  <c r="AS460" s="1"/>
  <c r="AV460" s="1"/>
  <c r="AY460" s="1"/>
  <c r="BB460" s="1"/>
  <c r="BE460" s="1"/>
  <c r="BH460" s="1"/>
  <c r="BK460" s="1"/>
  <c r="BN460" s="1"/>
  <c r="CD461"/>
  <c r="I461"/>
  <c r="L461" s="1"/>
  <c r="O461" s="1"/>
  <c r="R461" s="1"/>
  <c r="U461" s="1"/>
  <c r="X461" s="1"/>
  <c r="AA461" s="1"/>
  <c r="AD461" s="1"/>
  <c r="AG461" s="1"/>
  <c r="AJ461" s="1"/>
  <c r="AM461" s="1"/>
  <c r="AP461" s="1"/>
  <c r="AS461" s="1"/>
  <c r="AV461" s="1"/>
  <c r="AY461" s="1"/>
  <c r="CD462"/>
  <c r="I462"/>
  <c r="L462" s="1"/>
  <c r="O462" s="1"/>
  <c r="R462" s="1"/>
  <c r="U462" s="1"/>
  <c r="X462" s="1"/>
  <c r="AA462" s="1"/>
  <c r="AD462" s="1"/>
  <c r="AG462" s="1"/>
  <c r="AJ462" s="1"/>
  <c r="AM462" s="1"/>
  <c r="AP462" s="1"/>
  <c r="AS462" s="1"/>
  <c r="AV462" s="1"/>
  <c r="AY462" s="1"/>
  <c r="BB462" s="1"/>
  <c r="BE462" s="1"/>
  <c r="BH462" s="1"/>
  <c r="BK462" s="1"/>
  <c r="BN462" s="1"/>
  <c r="CD463"/>
  <c r="I463"/>
  <c r="L463" s="1"/>
  <c r="O463" s="1"/>
  <c r="R463" s="1"/>
  <c r="U463" s="1"/>
  <c r="X463" s="1"/>
  <c r="AA463" s="1"/>
  <c r="AD463" s="1"/>
  <c r="AG463" s="1"/>
  <c r="AJ463" s="1"/>
  <c r="AM463" s="1"/>
  <c r="AP463" s="1"/>
  <c r="AS463" s="1"/>
  <c r="AV463" s="1"/>
  <c r="AY463" s="1"/>
  <c r="BB463" s="1"/>
  <c r="BE463" s="1"/>
  <c r="BH463" s="1"/>
  <c r="BK463" s="1"/>
  <c r="BN463" s="1"/>
  <c r="CD464"/>
  <c r="I464"/>
  <c r="L464" s="1"/>
  <c r="O464" s="1"/>
  <c r="R464" s="1"/>
  <c r="U464" s="1"/>
  <c r="X464" s="1"/>
  <c r="AA464" s="1"/>
  <c r="AD464" s="1"/>
  <c r="AG464" s="1"/>
  <c r="AJ464" s="1"/>
  <c r="AM464" s="1"/>
  <c r="AP464" s="1"/>
  <c r="AS464" s="1"/>
  <c r="AV464" s="1"/>
  <c r="AY464" s="1"/>
  <c r="BB464" s="1"/>
  <c r="BE464" s="1"/>
  <c r="BH464" s="1"/>
  <c r="BK464" s="1"/>
  <c r="BN464" s="1"/>
  <c r="CD465"/>
  <c r="I465"/>
  <c r="L465" s="1"/>
  <c r="O465" s="1"/>
  <c r="R465" s="1"/>
  <c r="U465" s="1"/>
  <c r="X465" s="1"/>
  <c r="AA465" s="1"/>
  <c r="AD465" s="1"/>
  <c r="AG465" s="1"/>
  <c r="AJ465" s="1"/>
  <c r="AM465" s="1"/>
  <c r="AP465" s="1"/>
  <c r="AS465" s="1"/>
  <c r="AV465" s="1"/>
  <c r="AY465" s="1"/>
  <c r="BB465" s="1"/>
  <c r="CD466"/>
  <c r="I466"/>
  <c r="L466" s="1"/>
  <c r="O466" s="1"/>
  <c r="R466" s="1"/>
  <c r="U466" s="1"/>
  <c r="X466" s="1"/>
  <c r="AA466" s="1"/>
  <c r="AD466" s="1"/>
  <c r="AG466" s="1"/>
  <c r="AJ466" s="1"/>
  <c r="AM466" s="1"/>
  <c r="AP466" s="1"/>
  <c r="AS466" s="1"/>
  <c r="AV466" s="1"/>
  <c r="AY466" s="1"/>
  <c r="CD467"/>
  <c r="I467"/>
  <c r="L467" s="1"/>
  <c r="O467" s="1"/>
  <c r="R467" s="1"/>
  <c r="U467" s="1"/>
  <c r="X467" s="1"/>
  <c r="AA467" s="1"/>
  <c r="AD467" s="1"/>
  <c r="AG467" s="1"/>
  <c r="AJ467" s="1"/>
  <c r="AM467" s="1"/>
  <c r="AP467" s="1"/>
  <c r="AS467" s="1"/>
  <c r="AV467" s="1"/>
  <c r="AY467" s="1"/>
  <c r="BB467" s="1"/>
  <c r="BE467" s="1"/>
  <c r="BH467" s="1"/>
  <c r="BK467" s="1"/>
  <c r="BN467" s="1"/>
  <c r="CD468"/>
  <c r="I468"/>
  <c r="L468" s="1"/>
  <c r="O468" s="1"/>
  <c r="R468" s="1"/>
  <c r="U468" s="1"/>
  <c r="X468" s="1"/>
  <c r="AA468" s="1"/>
  <c r="AD468" s="1"/>
  <c r="AG468" s="1"/>
  <c r="AJ468" s="1"/>
  <c r="AM468" s="1"/>
  <c r="AP468" s="1"/>
  <c r="AS468" s="1"/>
  <c r="AV468" s="1"/>
  <c r="AY468" s="1"/>
  <c r="BB468" s="1"/>
  <c r="BE468" s="1"/>
  <c r="BH468" s="1"/>
  <c r="BK468" s="1"/>
  <c r="BN468" s="1"/>
  <c r="CD469"/>
  <c r="I469"/>
  <c r="L469" s="1"/>
  <c r="O469" s="1"/>
  <c r="R469" s="1"/>
  <c r="U469" s="1"/>
  <c r="X469" s="1"/>
  <c r="AA469" s="1"/>
  <c r="AD469" s="1"/>
  <c r="AG469" s="1"/>
  <c r="AJ469" s="1"/>
  <c r="AM469" s="1"/>
  <c r="AP469" s="1"/>
  <c r="AS469" s="1"/>
  <c r="AV469" s="1"/>
  <c r="AY469" s="1"/>
  <c r="BB469" s="1"/>
  <c r="CD470"/>
  <c r="I470"/>
  <c r="L470" s="1"/>
  <c r="O470" s="1"/>
  <c r="R470" s="1"/>
  <c r="U470" s="1"/>
  <c r="X470" s="1"/>
  <c r="AA470" s="1"/>
  <c r="AD470" s="1"/>
  <c r="AG470" s="1"/>
  <c r="AJ470" s="1"/>
  <c r="AM470" s="1"/>
  <c r="AP470" s="1"/>
  <c r="AS470" s="1"/>
  <c r="AV470" s="1"/>
  <c r="CD471"/>
  <c r="I471"/>
  <c r="L471" s="1"/>
  <c r="O471" s="1"/>
  <c r="R471" s="1"/>
  <c r="U471" s="1"/>
  <c r="X471" s="1"/>
  <c r="AA471" s="1"/>
  <c r="AD471" s="1"/>
  <c r="AG471" s="1"/>
  <c r="AJ471" s="1"/>
  <c r="AM471" s="1"/>
  <c r="AP471" s="1"/>
  <c r="AS471" s="1"/>
  <c r="AV471" s="1"/>
  <c r="AY471" s="1"/>
  <c r="CD472"/>
  <c r="I472"/>
  <c r="L472" s="1"/>
  <c r="O472" s="1"/>
  <c r="R472" s="1"/>
  <c r="U472" s="1"/>
  <c r="X472" s="1"/>
  <c r="AA472" s="1"/>
  <c r="AD472" s="1"/>
  <c r="AG472" s="1"/>
  <c r="AJ472" s="1"/>
  <c r="AM472" s="1"/>
  <c r="AP472" s="1"/>
  <c r="AS472" s="1"/>
  <c r="AU472" s="1"/>
  <c r="AU502" s="1"/>
  <c r="CD473"/>
  <c r="I473"/>
  <c r="L473" s="1"/>
  <c r="O473" s="1"/>
  <c r="R473" s="1"/>
  <c r="U473" s="1"/>
  <c r="X473" s="1"/>
  <c r="AA473" s="1"/>
  <c r="AD473" s="1"/>
  <c r="AG473" s="1"/>
  <c r="AJ473" s="1"/>
  <c r="AM473" s="1"/>
  <c r="AP473" s="1"/>
  <c r="AS473" s="1"/>
  <c r="AV473" s="1"/>
  <c r="AY473" s="1"/>
  <c r="BB473" s="1"/>
  <c r="BE473" s="1"/>
  <c r="BH473" s="1"/>
  <c r="BK473" s="1"/>
  <c r="BN473" s="1"/>
  <c r="CD474"/>
  <c r="I474"/>
  <c r="L474" s="1"/>
  <c r="O474" s="1"/>
  <c r="R474" s="1"/>
  <c r="U474" s="1"/>
  <c r="X474" s="1"/>
  <c r="AA474" s="1"/>
  <c r="AD474" s="1"/>
  <c r="AG474" s="1"/>
  <c r="AJ474" s="1"/>
  <c r="AM474" s="1"/>
  <c r="AP474" s="1"/>
  <c r="AS474" s="1"/>
  <c r="AV474" s="1"/>
  <c r="AY474" s="1"/>
  <c r="BB474" s="1"/>
  <c r="BE474" s="1"/>
  <c r="BH474" s="1"/>
  <c r="BK474" s="1"/>
  <c r="BN474" s="1"/>
  <c r="CD475"/>
  <c r="I475"/>
  <c r="L475" s="1"/>
  <c r="O475" s="1"/>
  <c r="R475" s="1"/>
  <c r="U475" s="1"/>
  <c r="X475" s="1"/>
  <c r="AA475" s="1"/>
  <c r="AD475" s="1"/>
  <c r="AG475" s="1"/>
  <c r="AJ475" s="1"/>
  <c r="AM475" s="1"/>
  <c r="AP475" s="1"/>
  <c r="AS475" s="1"/>
  <c r="AV475" s="1"/>
  <c r="AY475" s="1"/>
  <c r="CD476"/>
  <c r="I476"/>
  <c r="L476" s="1"/>
  <c r="O476" s="1"/>
  <c r="R476" s="1"/>
  <c r="U476" s="1"/>
  <c r="X476" s="1"/>
  <c r="AA476" s="1"/>
  <c r="AD476" s="1"/>
  <c r="AG476" s="1"/>
  <c r="AJ476" s="1"/>
  <c r="AM476" s="1"/>
  <c r="AP476" s="1"/>
  <c r="AS476" s="1"/>
  <c r="AV476" s="1"/>
  <c r="AY476" s="1"/>
  <c r="BB476" s="1"/>
  <c r="BE476" s="1"/>
  <c r="BH476" s="1"/>
  <c r="BK476" s="1"/>
  <c r="BN476" s="1"/>
  <c r="CD477"/>
  <c r="I477"/>
  <c r="L477" s="1"/>
  <c r="O477" s="1"/>
  <c r="R477" s="1"/>
  <c r="U477" s="1"/>
  <c r="X477" s="1"/>
  <c r="AA477" s="1"/>
  <c r="AD477" s="1"/>
  <c r="AG477" s="1"/>
  <c r="AJ477" s="1"/>
  <c r="AM477" s="1"/>
  <c r="AP477" s="1"/>
  <c r="AS477" s="1"/>
  <c r="AV477" s="1"/>
  <c r="AY477" s="1"/>
  <c r="BB477" s="1"/>
  <c r="CD478"/>
  <c r="I478"/>
  <c r="L478" s="1"/>
  <c r="O478" s="1"/>
  <c r="R478" s="1"/>
  <c r="U478" s="1"/>
  <c r="X478" s="1"/>
  <c r="AA478" s="1"/>
  <c r="AD478" s="1"/>
  <c r="AG478" s="1"/>
  <c r="AJ478" s="1"/>
  <c r="AM478" s="1"/>
  <c r="AP478" s="1"/>
  <c r="AS478" s="1"/>
  <c r="CD479"/>
  <c r="I479"/>
  <c r="L479" s="1"/>
  <c r="O479" s="1"/>
  <c r="R479" s="1"/>
  <c r="U479" s="1"/>
  <c r="X479" s="1"/>
  <c r="AA479" s="1"/>
  <c r="AD479" s="1"/>
  <c r="AG479" s="1"/>
  <c r="AJ479" s="1"/>
  <c r="AM479" s="1"/>
  <c r="AP479" s="1"/>
  <c r="AS479" s="1"/>
  <c r="AV479" s="1"/>
  <c r="AY479" s="1"/>
  <c r="BB479" s="1"/>
  <c r="BE479" s="1"/>
  <c r="BH479" s="1"/>
  <c r="BK479" s="1"/>
  <c r="CD480"/>
  <c r="I480"/>
  <c r="L480" s="1"/>
  <c r="O480" s="1"/>
  <c r="R480" s="1"/>
  <c r="U480" s="1"/>
  <c r="X480" s="1"/>
  <c r="AA480" s="1"/>
  <c r="AD480" s="1"/>
  <c r="AG480" s="1"/>
  <c r="AJ480" s="1"/>
  <c r="AM480" s="1"/>
  <c r="AP480" s="1"/>
  <c r="AS480" s="1"/>
  <c r="AV480" s="1"/>
  <c r="AY480" s="1"/>
  <c r="BB480" s="1"/>
  <c r="BE480" s="1"/>
  <c r="BH480" s="1"/>
  <c r="CD481"/>
  <c r="I481"/>
  <c r="L481" s="1"/>
  <c r="O481" s="1"/>
  <c r="R481" s="1"/>
  <c r="U481" s="1"/>
  <c r="X481" s="1"/>
  <c r="AA481" s="1"/>
  <c r="AD481" s="1"/>
  <c r="AG481" s="1"/>
  <c r="AJ481" s="1"/>
  <c r="AM481" s="1"/>
  <c r="AP481" s="1"/>
  <c r="AS481" s="1"/>
  <c r="AV481" s="1"/>
  <c r="AY481" s="1"/>
  <c r="BB481" s="1"/>
  <c r="CD482"/>
  <c r="I482"/>
  <c r="L482" s="1"/>
  <c r="O482" s="1"/>
  <c r="R482" s="1"/>
  <c r="U482" s="1"/>
  <c r="X482" s="1"/>
  <c r="AA482" s="1"/>
  <c r="AD482" s="1"/>
  <c r="AG482" s="1"/>
  <c r="AJ482" s="1"/>
  <c r="AM482" s="1"/>
  <c r="AP482" s="1"/>
  <c r="AS482" s="1"/>
  <c r="AV482" s="1"/>
  <c r="AY482" s="1"/>
  <c r="BB482" s="1"/>
  <c r="BE482" s="1"/>
  <c r="BH482" s="1"/>
  <c r="BK482" s="1"/>
  <c r="BN482" s="1"/>
  <c r="CD483"/>
  <c r="I483"/>
  <c r="L483" s="1"/>
  <c r="O483" s="1"/>
  <c r="R483" s="1"/>
  <c r="U483" s="1"/>
  <c r="X483" s="1"/>
  <c r="AA483" s="1"/>
  <c r="AD483" s="1"/>
  <c r="AG483" s="1"/>
  <c r="AJ483" s="1"/>
  <c r="AM483" s="1"/>
  <c r="AP483" s="1"/>
  <c r="AS483" s="1"/>
  <c r="AV483" s="1"/>
  <c r="AY483" s="1"/>
  <c r="BB483" s="1"/>
  <c r="BE483" s="1"/>
  <c r="BH483" s="1"/>
  <c r="BK483" s="1"/>
  <c r="BN483" s="1"/>
  <c r="CD484"/>
  <c r="I484"/>
  <c r="L484" s="1"/>
  <c r="O484" s="1"/>
  <c r="R484" s="1"/>
  <c r="U484" s="1"/>
  <c r="X484" s="1"/>
  <c r="AA484" s="1"/>
  <c r="AD484" s="1"/>
  <c r="AG484" s="1"/>
  <c r="AJ484" s="1"/>
  <c r="AM484" s="1"/>
  <c r="AP484" s="1"/>
  <c r="AS484" s="1"/>
  <c r="AV484" s="1"/>
  <c r="AY484" s="1"/>
  <c r="BB484" s="1"/>
  <c r="BE484" s="1"/>
  <c r="BH484" s="1"/>
  <c r="BK484" s="1"/>
  <c r="BN484" s="1"/>
  <c r="CD485"/>
  <c r="I485"/>
  <c r="L485" s="1"/>
  <c r="O485" s="1"/>
  <c r="R485" s="1"/>
  <c r="U485" s="1"/>
  <c r="X485" s="1"/>
  <c r="AA485" s="1"/>
  <c r="AD485" s="1"/>
  <c r="AG485" s="1"/>
  <c r="AJ485" s="1"/>
  <c r="AM485" s="1"/>
  <c r="AP485" s="1"/>
  <c r="AS485" s="1"/>
  <c r="AV485" s="1"/>
  <c r="CD486"/>
  <c r="I486"/>
  <c r="L486" s="1"/>
  <c r="O486" s="1"/>
  <c r="R486" s="1"/>
  <c r="U486" s="1"/>
  <c r="X486" s="1"/>
  <c r="AA486" s="1"/>
  <c r="AD486" s="1"/>
  <c r="AG486" s="1"/>
  <c r="AJ486" s="1"/>
  <c r="AM486" s="1"/>
  <c r="AP486" s="1"/>
  <c r="AS486" s="1"/>
  <c r="AV486" s="1"/>
  <c r="AY486" s="1"/>
  <c r="CD487"/>
  <c r="I487"/>
  <c r="L487" s="1"/>
  <c r="O487" s="1"/>
  <c r="R487" s="1"/>
  <c r="U487" s="1"/>
  <c r="X487" s="1"/>
  <c r="AA487" s="1"/>
  <c r="AD487" s="1"/>
  <c r="AG487" s="1"/>
  <c r="AJ487" s="1"/>
  <c r="AM487" s="1"/>
  <c r="AP487" s="1"/>
  <c r="AY487" s="1"/>
  <c r="BB487" s="1"/>
  <c r="BE487" s="1"/>
  <c r="BH487" s="1"/>
  <c r="BK487" s="1"/>
  <c r="BN487" s="1"/>
  <c r="CD488"/>
  <c r="I488"/>
  <c r="L488" s="1"/>
  <c r="O488" s="1"/>
  <c r="R488" s="1"/>
  <c r="U488" s="1"/>
  <c r="X488" s="1"/>
  <c r="AA488" s="1"/>
  <c r="AD488" s="1"/>
  <c r="AG488" s="1"/>
  <c r="AJ488" s="1"/>
  <c r="AM488" s="1"/>
  <c r="AP488" s="1"/>
  <c r="AS488" s="1"/>
  <c r="CD489"/>
  <c r="I489"/>
  <c r="L489" s="1"/>
  <c r="O489" s="1"/>
  <c r="R489" s="1"/>
  <c r="U489" s="1"/>
  <c r="X489" s="1"/>
  <c r="AA489" s="1"/>
  <c r="AD489" s="1"/>
  <c r="AG489" s="1"/>
  <c r="AJ489" s="1"/>
  <c r="AM489" s="1"/>
  <c r="AP489" s="1"/>
  <c r="AV489" s="1"/>
  <c r="AY489" s="1"/>
  <c r="BB489" s="1"/>
  <c r="BE489" s="1"/>
  <c r="BH489" s="1"/>
  <c r="BK489" s="1"/>
  <c r="BN489" s="1"/>
  <c r="BT667" l="1"/>
  <c r="BW667" s="1"/>
  <c r="BZ667" s="1"/>
  <c r="BS700"/>
  <c r="BT700" s="1"/>
  <c r="BW700" s="1"/>
  <c r="BZ700" s="1"/>
  <c r="BQ484"/>
  <c r="BT484" s="1"/>
  <c r="BW484" s="1"/>
  <c r="BZ484" s="1"/>
  <c r="BQ476"/>
  <c r="BT476" s="1"/>
  <c r="BW476" s="1"/>
  <c r="BZ476" s="1"/>
  <c r="BQ468"/>
  <c r="BT468" s="1"/>
  <c r="BW468" s="1"/>
  <c r="BZ468" s="1"/>
  <c r="BQ464"/>
  <c r="BT464" s="1"/>
  <c r="BW464" s="1"/>
  <c r="BZ464" s="1"/>
  <c r="BQ462"/>
  <c r="BQ460"/>
  <c r="BQ474"/>
  <c r="BT474" s="1"/>
  <c r="BW474" s="1"/>
  <c r="BZ474" s="1"/>
  <c r="BQ489"/>
  <c r="BT489" s="1"/>
  <c r="BW489" s="1"/>
  <c r="BZ489" s="1"/>
  <c r="BQ473"/>
  <c r="BT473" s="1"/>
  <c r="BW473" s="1"/>
  <c r="BZ473" s="1"/>
  <c r="BQ463"/>
  <c r="BT463" s="1"/>
  <c r="BQ459"/>
  <c r="BT459" s="1"/>
  <c r="BW459" s="1"/>
  <c r="BZ459" s="1"/>
  <c r="BQ487"/>
  <c r="BT487" s="1"/>
  <c r="BW487" s="1"/>
  <c r="BZ487" s="1"/>
  <c r="BQ483"/>
  <c r="BT483" s="1"/>
  <c r="BP467"/>
  <c r="BQ467" s="1"/>
  <c r="BT467" s="1"/>
  <c r="BW467" s="1"/>
  <c r="BZ467" s="1"/>
  <c r="BP61" i="31"/>
  <c r="BQ61" s="1"/>
  <c r="BT61" s="1"/>
  <c r="BW61" s="1"/>
  <c r="BZ61" s="1"/>
  <c r="BP482" i="30"/>
  <c r="BQ482" s="1"/>
  <c r="BT482" s="1"/>
  <c r="BW482" s="1"/>
  <c r="BZ482" s="1"/>
  <c r="BM479"/>
  <c r="BJ81" i="32"/>
  <c r="BK81" s="1"/>
  <c r="BN81" s="1"/>
  <c r="BQ81" s="1"/>
  <c r="BT81" s="1"/>
  <c r="BW81" s="1"/>
  <c r="BZ81" s="1"/>
  <c r="BJ480" i="30"/>
  <c r="BK480" s="1"/>
  <c r="BN480" s="1"/>
  <c r="BG84" i="32"/>
  <c r="BH84" s="1"/>
  <c r="BK84" s="1"/>
  <c r="BN84" s="1"/>
  <c r="BQ84" s="1"/>
  <c r="BT84" s="1"/>
  <c r="BW84" s="1"/>
  <c r="BZ84" s="1"/>
  <c r="BD481" i="30"/>
  <c r="BE481" s="1"/>
  <c r="BH481" s="1"/>
  <c r="BK481" s="1"/>
  <c r="BN481" s="1"/>
  <c r="BD469"/>
  <c r="BE469" s="1"/>
  <c r="BH469" s="1"/>
  <c r="BK469" s="1"/>
  <c r="BN469" s="1"/>
  <c r="BD477"/>
  <c r="BE477" s="1"/>
  <c r="BH477" s="1"/>
  <c r="BK477" s="1"/>
  <c r="BN477" s="1"/>
  <c r="BD465"/>
  <c r="BE465" s="1"/>
  <c r="BH465" s="1"/>
  <c r="BK465" s="1"/>
  <c r="BN465" s="1"/>
  <c r="BA83" i="32"/>
  <c r="BB83" s="1"/>
  <c r="BE83" s="1"/>
  <c r="BH83" s="1"/>
  <c r="BK83" s="1"/>
  <c r="BN83" s="1"/>
  <c r="BQ83" s="1"/>
  <c r="BT83" s="1"/>
  <c r="BW83" s="1"/>
  <c r="BZ83" s="1"/>
  <c r="BA486" i="30"/>
  <c r="BB486" s="1"/>
  <c r="BE486" s="1"/>
  <c r="BH486" s="1"/>
  <c r="BK486" s="1"/>
  <c r="BN486" s="1"/>
  <c r="BA461"/>
  <c r="BB461" s="1"/>
  <c r="BE461" s="1"/>
  <c r="BH461" s="1"/>
  <c r="BK461" s="1"/>
  <c r="BN461" s="1"/>
  <c r="AX485"/>
  <c r="AY485" s="1"/>
  <c r="BB485" s="1"/>
  <c r="BE485" s="1"/>
  <c r="BH485" s="1"/>
  <c r="BK485" s="1"/>
  <c r="BN485" s="1"/>
  <c r="BA475"/>
  <c r="BB475" s="1"/>
  <c r="BE475" s="1"/>
  <c r="BH475" s="1"/>
  <c r="BK475" s="1"/>
  <c r="BN475" s="1"/>
  <c r="BA458"/>
  <c r="BB458" s="1"/>
  <c r="BE458" s="1"/>
  <c r="BH458" s="1"/>
  <c r="BK458" s="1"/>
  <c r="BN458" s="1"/>
  <c r="BA466"/>
  <c r="BB466" s="1"/>
  <c r="BE466" s="1"/>
  <c r="BH466" s="1"/>
  <c r="BK466" s="1"/>
  <c r="BN466" s="1"/>
  <c r="AX470"/>
  <c r="AY470" s="1"/>
  <c r="BB470" s="1"/>
  <c r="BE470" s="1"/>
  <c r="BH470" s="1"/>
  <c r="BK470" s="1"/>
  <c r="BN470" s="1"/>
  <c r="AU488"/>
  <c r="AV488" s="1"/>
  <c r="AM80" i="32"/>
  <c r="AO359" i="30"/>
  <c r="AO373"/>
  <c r="AO250"/>
  <c r="AO369"/>
  <c r="AO12" i="32"/>
  <c r="BV463" i="30" l="1"/>
  <c r="BW463" s="1"/>
  <c r="BZ463" s="1"/>
  <c r="BV483"/>
  <c r="BW483" s="1"/>
  <c r="BZ483" s="1"/>
  <c r="BS460"/>
  <c r="BT460" s="1"/>
  <c r="BW460" s="1"/>
  <c r="BZ460" s="1"/>
  <c r="BQ477"/>
  <c r="BT477" s="1"/>
  <c r="BW477" s="1"/>
  <c r="BZ477" s="1"/>
  <c r="BQ475"/>
  <c r="BT475" s="1"/>
  <c r="BW475" s="1"/>
  <c r="BZ475" s="1"/>
  <c r="BQ481"/>
  <c r="BT481" s="1"/>
  <c r="BW481" s="1"/>
  <c r="BZ481" s="1"/>
  <c r="BQ461"/>
  <c r="BT461" s="1"/>
  <c r="BW461" s="1"/>
  <c r="BZ461" s="1"/>
  <c r="BQ458"/>
  <c r="BT458" s="1"/>
  <c r="BW458" s="1"/>
  <c r="BZ458" s="1"/>
  <c r="BQ486"/>
  <c r="BT486" s="1"/>
  <c r="BW486" s="1"/>
  <c r="BZ486" s="1"/>
  <c r="BQ469"/>
  <c r="BT469" s="1"/>
  <c r="BW469" s="1"/>
  <c r="BZ469" s="1"/>
  <c r="BQ466"/>
  <c r="BT466" s="1"/>
  <c r="BW466" s="1"/>
  <c r="BZ466" s="1"/>
  <c r="BQ480"/>
  <c r="BT480" s="1"/>
  <c r="BW480" s="1"/>
  <c r="BZ480" s="1"/>
  <c r="BQ470"/>
  <c r="BT470" s="1"/>
  <c r="BW470" s="1"/>
  <c r="BZ470" s="1"/>
  <c r="BQ485"/>
  <c r="BT485" s="1"/>
  <c r="BW485" s="1"/>
  <c r="BZ485" s="1"/>
  <c r="BQ465"/>
  <c r="BT465" s="1"/>
  <c r="BW465" s="1"/>
  <c r="BZ465" s="1"/>
  <c r="BM713"/>
  <c r="BN713" s="1"/>
  <c r="BN479"/>
  <c r="AY488"/>
  <c r="BB488" s="1"/>
  <c r="BE488" s="1"/>
  <c r="BH488" s="1"/>
  <c r="BK488" s="1"/>
  <c r="BN488" s="1"/>
  <c r="AV502"/>
  <c r="AY502" s="1"/>
  <c r="BB502" s="1"/>
  <c r="BE502" s="1"/>
  <c r="BH502" s="1"/>
  <c r="BK502" s="1"/>
  <c r="BN502" s="1"/>
  <c r="AV472"/>
  <c r="AY472" s="1"/>
  <c r="BB472" s="1"/>
  <c r="BE472" s="1"/>
  <c r="BH472" s="1"/>
  <c r="BK472" s="1"/>
  <c r="BN472" s="1"/>
  <c r="AP80" i="32"/>
  <c r="AO79"/>
  <c r="AO245" i="30"/>
  <c r="AO299"/>
  <c r="AO235"/>
  <c r="AO269"/>
  <c r="AO452"/>
  <c r="BQ502" l="1"/>
  <c r="BT502" s="1"/>
  <c r="BW502" s="1"/>
  <c r="BZ502" s="1"/>
  <c r="BQ713"/>
  <c r="BT713" s="1"/>
  <c r="BW713" s="1"/>
  <c r="BZ713" s="1"/>
  <c r="BQ472"/>
  <c r="BT472" s="1"/>
  <c r="BW472" s="1"/>
  <c r="BZ472" s="1"/>
  <c r="BQ479"/>
  <c r="BT479" s="1"/>
  <c r="BW479" s="1"/>
  <c r="BZ479" s="1"/>
  <c r="BQ488"/>
  <c r="BT488" s="1"/>
  <c r="BW488" s="1"/>
  <c r="BZ488" s="1"/>
  <c r="AO342"/>
  <c r="AO59" i="32"/>
  <c r="CD420" i="30"/>
  <c r="I420"/>
  <c r="L420" s="1"/>
  <c r="O420" s="1"/>
  <c r="R420" s="1"/>
  <c r="U420" s="1"/>
  <c r="X420" s="1"/>
  <c r="AA420" s="1"/>
  <c r="AD420" s="1"/>
  <c r="AG420" s="1"/>
  <c r="AJ420" s="1"/>
  <c r="AM420" s="1"/>
  <c r="AP420" s="1"/>
  <c r="AS420" s="1"/>
  <c r="AV420" s="1"/>
  <c r="AY420" s="1"/>
  <c r="BB420" s="1"/>
  <c r="BE420" s="1"/>
  <c r="BH420" s="1"/>
  <c r="BK420" s="1"/>
  <c r="BN420" s="1"/>
  <c r="CD421"/>
  <c r="I421"/>
  <c r="L421" s="1"/>
  <c r="O421" s="1"/>
  <c r="R421" s="1"/>
  <c r="U421" s="1"/>
  <c r="X421" s="1"/>
  <c r="AA421" s="1"/>
  <c r="AD421" s="1"/>
  <c r="AG421" s="1"/>
  <c r="AJ421" s="1"/>
  <c r="AM421" s="1"/>
  <c r="AP421" s="1"/>
  <c r="AS421" s="1"/>
  <c r="AV421" s="1"/>
  <c r="AY421" s="1"/>
  <c r="BB421" s="1"/>
  <c r="BE421" s="1"/>
  <c r="BH421" s="1"/>
  <c r="BK421" s="1"/>
  <c r="CD422"/>
  <c r="I422"/>
  <c r="L422" s="1"/>
  <c r="O422" s="1"/>
  <c r="R422" s="1"/>
  <c r="U422" s="1"/>
  <c r="X422" s="1"/>
  <c r="AA422" s="1"/>
  <c r="AD422" s="1"/>
  <c r="AG422" s="1"/>
  <c r="AJ422" s="1"/>
  <c r="AM422" s="1"/>
  <c r="AP422" s="1"/>
  <c r="AS422" s="1"/>
  <c r="AV422" s="1"/>
  <c r="AY422" s="1"/>
  <c r="BB422" s="1"/>
  <c r="BE422" s="1"/>
  <c r="BH422" s="1"/>
  <c r="BK422" s="1"/>
  <c r="BN422" s="1"/>
  <c r="CD423"/>
  <c r="I423"/>
  <c r="L423" s="1"/>
  <c r="O423" s="1"/>
  <c r="R423" s="1"/>
  <c r="U423" s="1"/>
  <c r="X423" s="1"/>
  <c r="AA423" s="1"/>
  <c r="AD423" s="1"/>
  <c r="AG423" s="1"/>
  <c r="AJ423" s="1"/>
  <c r="AM423" s="1"/>
  <c r="AP423" s="1"/>
  <c r="AS423" s="1"/>
  <c r="AV423" s="1"/>
  <c r="AY423" s="1"/>
  <c r="BB423" s="1"/>
  <c r="BE423" s="1"/>
  <c r="BH423" s="1"/>
  <c r="BK423" s="1"/>
  <c r="BN423" s="1"/>
  <c r="CD424"/>
  <c r="I424"/>
  <c r="L424" s="1"/>
  <c r="O424" s="1"/>
  <c r="R424" s="1"/>
  <c r="U424" s="1"/>
  <c r="X424" s="1"/>
  <c r="AA424" s="1"/>
  <c r="AD424" s="1"/>
  <c r="AG424" s="1"/>
  <c r="AJ424" s="1"/>
  <c r="AM424" s="1"/>
  <c r="AP424" s="1"/>
  <c r="AS424" s="1"/>
  <c r="AV424" s="1"/>
  <c r="AY424" s="1"/>
  <c r="BB424" s="1"/>
  <c r="BE424" s="1"/>
  <c r="BH424" s="1"/>
  <c r="BK424" s="1"/>
  <c r="BN424" s="1"/>
  <c r="CD425"/>
  <c r="I425"/>
  <c r="L425" s="1"/>
  <c r="O425" s="1"/>
  <c r="R425" s="1"/>
  <c r="U425" s="1"/>
  <c r="X425" s="1"/>
  <c r="AA425" s="1"/>
  <c r="AD425" s="1"/>
  <c r="AG425" s="1"/>
  <c r="AJ425" s="1"/>
  <c r="AM425" s="1"/>
  <c r="AP425" s="1"/>
  <c r="AS425" s="1"/>
  <c r="AV425" s="1"/>
  <c r="AY425" s="1"/>
  <c r="BB425" s="1"/>
  <c r="BE425" s="1"/>
  <c r="BH425" s="1"/>
  <c r="BK425" s="1"/>
  <c r="BN425" s="1"/>
  <c r="CD426"/>
  <c r="I426"/>
  <c r="L426" s="1"/>
  <c r="O426" s="1"/>
  <c r="R426" s="1"/>
  <c r="U426" s="1"/>
  <c r="X426" s="1"/>
  <c r="AA426" s="1"/>
  <c r="AD426" s="1"/>
  <c r="AG426" s="1"/>
  <c r="AJ426" s="1"/>
  <c r="AM426" s="1"/>
  <c r="AP426" s="1"/>
  <c r="AS426" s="1"/>
  <c r="AV426" s="1"/>
  <c r="AY426" s="1"/>
  <c r="BB426" s="1"/>
  <c r="BE426" s="1"/>
  <c r="BH426" s="1"/>
  <c r="BK426" s="1"/>
  <c r="CD427"/>
  <c r="I427"/>
  <c r="L427" s="1"/>
  <c r="O427" s="1"/>
  <c r="R427" s="1"/>
  <c r="U427" s="1"/>
  <c r="X427" s="1"/>
  <c r="AA427" s="1"/>
  <c r="AD427" s="1"/>
  <c r="AG427" s="1"/>
  <c r="AJ427" s="1"/>
  <c r="AM427" s="1"/>
  <c r="AP427" s="1"/>
  <c r="AS427" s="1"/>
  <c r="AV427" s="1"/>
  <c r="AY427" s="1"/>
  <c r="BB427" s="1"/>
  <c r="CD428"/>
  <c r="I428"/>
  <c r="L428" s="1"/>
  <c r="O428" s="1"/>
  <c r="R428" s="1"/>
  <c r="U428" s="1"/>
  <c r="X428" s="1"/>
  <c r="AA428" s="1"/>
  <c r="AD428" s="1"/>
  <c r="AG428" s="1"/>
  <c r="AJ428" s="1"/>
  <c r="AM428" s="1"/>
  <c r="AP428" s="1"/>
  <c r="AS428" s="1"/>
  <c r="AV428" s="1"/>
  <c r="AY428" s="1"/>
  <c r="CD429"/>
  <c r="I429"/>
  <c r="L429" s="1"/>
  <c r="O429" s="1"/>
  <c r="R429" s="1"/>
  <c r="U429" s="1"/>
  <c r="X429" s="1"/>
  <c r="AA429" s="1"/>
  <c r="AD429" s="1"/>
  <c r="AG429" s="1"/>
  <c r="AJ429" s="1"/>
  <c r="AM429" s="1"/>
  <c r="AP429" s="1"/>
  <c r="AS429" s="1"/>
  <c r="AV429" s="1"/>
  <c r="AY429" s="1"/>
  <c r="BB429" s="1"/>
  <c r="BE429" s="1"/>
  <c r="BH429" s="1"/>
  <c r="BK429" s="1"/>
  <c r="BN429" s="1"/>
  <c r="CD430"/>
  <c r="I430"/>
  <c r="L430" s="1"/>
  <c r="O430" s="1"/>
  <c r="R430" s="1"/>
  <c r="U430" s="1"/>
  <c r="X430" s="1"/>
  <c r="AA430" s="1"/>
  <c r="AD430" s="1"/>
  <c r="AG430" s="1"/>
  <c r="AJ430" s="1"/>
  <c r="AM430" s="1"/>
  <c r="AP430" s="1"/>
  <c r="AS430" s="1"/>
  <c r="CD431"/>
  <c r="I431"/>
  <c r="L431" s="1"/>
  <c r="O431" s="1"/>
  <c r="R431" s="1"/>
  <c r="U431" s="1"/>
  <c r="X431" s="1"/>
  <c r="AA431" s="1"/>
  <c r="AD431" s="1"/>
  <c r="AG431" s="1"/>
  <c r="AJ431" s="1"/>
  <c r="AM431" s="1"/>
  <c r="AP431" s="1"/>
  <c r="AS431" s="1"/>
  <c r="AV431" s="1"/>
  <c r="AY431" s="1"/>
  <c r="BB431" s="1"/>
  <c r="BE431" s="1"/>
  <c r="BH431" s="1"/>
  <c r="BK431" s="1"/>
  <c r="BN431" s="1"/>
  <c r="CD432"/>
  <c r="I432"/>
  <c r="L432" s="1"/>
  <c r="O432" s="1"/>
  <c r="R432" s="1"/>
  <c r="U432" s="1"/>
  <c r="X432" s="1"/>
  <c r="AA432" s="1"/>
  <c r="AD432" s="1"/>
  <c r="AG432" s="1"/>
  <c r="AJ432" s="1"/>
  <c r="AM432" s="1"/>
  <c r="AP432" s="1"/>
  <c r="AS432" s="1"/>
  <c r="AV432" s="1"/>
  <c r="AY432" s="1"/>
  <c r="BB432" s="1"/>
  <c r="BE432" s="1"/>
  <c r="BH432" s="1"/>
  <c r="BK432" s="1"/>
  <c r="BN432" s="1"/>
  <c r="CD433"/>
  <c r="I433"/>
  <c r="L433" s="1"/>
  <c r="O433" s="1"/>
  <c r="R433" s="1"/>
  <c r="U433" s="1"/>
  <c r="X433" s="1"/>
  <c r="AA433" s="1"/>
  <c r="AD433" s="1"/>
  <c r="AG433" s="1"/>
  <c r="AJ433" s="1"/>
  <c r="AM433" s="1"/>
  <c r="AP433" s="1"/>
  <c r="AS433" s="1"/>
  <c r="AV433" s="1"/>
  <c r="AY433" s="1"/>
  <c r="BB433" s="1"/>
  <c r="BE433" s="1"/>
  <c r="BH433" s="1"/>
  <c r="BK433" s="1"/>
  <c r="BN433" s="1"/>
  <c r="CD434"/>
  <c r="I434"/>
  <c r="L434" s="1"/>
  <c r="O434" s="1"/>
  <c r="R434" s="1"/>
  <c r="U434" s="1"/>
  <c r="X434" s="1"/>
  <c r="AA434" s="1"/>
  <c r="AD434" s="1"/>
  <c r="AG434" s="1"/>
  <c r="AJ434" s="1"/>
  <c r="AM434" s="1"/>
  <c r="AP434" s="1"/>
  <c r="AS434" s="1"/>
  <c r="AV434" s="1"/>
  <c r="AY434" s="1"/>
  <c r="BB434" s="1"/>
  <c r="CD435"/>
  <c r="I435"/>
  <c r="L435" s="1"/>
  <c r="O435" s="1"/>
  <c r="R435" s="1"/>
  <c r="U435" s="1"/>
  <c r="X435" s="1"/>
  <c r="AA435" s="1"/>
  <c r="AD435" s="1"/>
  <c r="AG435" s="1"/>
  <c r="AJ435" s="1"/>
  <c r="AM435" s="1"/>
  <c r="AP435" s="1"/>
  <c r="AS435" s="1"/>
  <c r="AV435" s="1"/>
  <c r="CD436"/>
  <c r="I436"/>
  <c r="L436" s="1"/>
  <c r="O436" s="1"/>
  <c r="R436" s="1"/>
  <c r="U436" s="1"/>
  <c r="X436" s="1"/>
  <c r="AA436" s="1"/>
  <c r="AD436" s="1"/>
  <c r="AG436" s="1"/>
  <c r="AJ436" s="1"/>
  <c r="AM436" s="1"/>
  <c r="AP436" s="1"/>
  <c r="AS436" s="1"/>
  <c r="AV436" s="1"/>
  <c r="AY436" s="1"/>
  <c r="CD437"/>
  <c r="I437"/>
  <c r="L437" s="1"/>
  <c r="O437" s="1"/>
  <c r="R437" s="1"/>
  <c r="U437" s="1"/>
  <c r="X437" s="1"/>
  <c r="AA437" s="1"/>
  <c r="AD437" s="1"/>
  <c r="AG437" s="1"/>
  <c r="AJ437" s="1"/>
  <c r="AM437" s="1"/>
  <c r="CD438"/>
  <c r="I438"/>
  <c r="L438" s="1"/>
  <c r="O438" s="1"/>
  <c r="R438" s="1"/>
  <c r="U438" s="1"/>
  <c r="X438" s="1"/>
  <c r="AA438" s="1"/>
  <c r="AD438" s="1"/>
  <c r="AG438" s="1"/>
  <c r="AJ438" s="1"/>
  <c r="AM438" s="1"/>
  <c r="AP438" s="1"/>
  <c r="AS438" s="1"/>
  <c r="AV438" s="1"/>
  <c r="AY438" s="1"/>
  <c r="BB438" s="1"/>
  <c r="CD419"/>
  <c r="I419"/>
  <c r="L419" s="1"/>
  <c r="O419" s="1"/>
  <c r="R419" s="1"/>
  <c r="U419" s="1"/>
  <c r="X419" s="1"/>
  <c r="AA419" s="1"/>
  <c r="AD419" s="1"/>
  <c r="AG419" s="1"/>
  <c r="AJ419" s="1"/>
  <c r="AM419" s="1"/>
  <c r="AP419" s="1"/>
  <c r="AS419" s="1"/>
  <c r="AV419" s="1"/>
  <c r="AY419" s="1"/>
  <c r="BB419" s="1"/>
  <c r="BE419" s="1"/>
  <c r="BH419" s="1"/>
  <c r="BK419" s="1"/>
  <c r="BN419" s="1"/>
  <c r="CD439"/>
  <c r="I439"/>
  <c r="L439" s="1"/>
  <c r="O439" s="1"/>
  <c r="R439" s="1"/>
  <c r="U439" s="1"/>
  <c r="X439" s="1"/>
  <c r="AA439" s="1"/>
  <c r="AD439" s="1"/>
  <c r="AG439" s="1"/>
  <c r="AJ439" s="1"/>
  <c r="AM439" s="1"/>
  <c r="AP439" s="1"/>
  <c r="AS439" s="1"/>
  <c r="AV439" s="1"/>
  <c r="AY439" s="1"/>
  <c r="CD440"/>
  <c r="I440"/>
  <c r="L440" s="1"/>
  <c r="O440" s="1"/>
  <c r="R440" s="1"/>
  <c r="U440" s="1"/>
  <c r="X440" s="1"/>
  <c r="AA440" s="1"/>
  <c r="AD440" s="1"/>
  <c r="AG440" s="1"/>
  <c r="AJ440" s="1"/>
  <c r="AM440" s="1"/>
  <c r="AP440" s="1"/>
  <c r="AS440" s="1"/>
  <c r="AV440" s="1"/>
  <c r="AY440" s="1"/>
  <c r="BB440" s="1"/>
  <c r="BE440" s="1"/>
  <c r="BH440" s="1"/>
  <c r="BK440" s="1"/>
  <c r="BN440" s="1"/>
  <c r="CD441"/>
  <c r="I441"/>
  <c r="L441" s="1"/>
  <c r="O441" s="1"/>
  <c r="R441" s="1"/>
  <c r="U441" s="1"/>
  <c r="X441" s="1"/>
  <c r="AA441" s="1"/>
  <c r="AD441" s="1"/>
  <c r="AG441" s="1"/>
  <c r="AJ441" s="1"/>
  <c r="AM441" s="1"/>
  <c r="AP441" s="1"/>
  <c r="AS441" s="1"/>
  <c r="AV441" s="1"/>
  <c r="AY441" s="1"/>
  <c r="BB441" s="1"/>
  <c r="BE441" s="1"/>
  <c r="BH441" s="1"/>
  <c r="BK441" s="1"/>
  <c r="BN441" s="1"/>
  <c r="CD442"/>
  <c r="I442"/>
  <c r="L442" s="1"/>
  <c r="O442" s="1"/>
  <c r="R442" s="1"/>
  <c r="U442" s="1"/>
  <c r="X442" s="1"/>
  <c r="AA442" s="1"/>
  <c r="AD442" s="1"/>
  <c r="AG442" s="1"/>
  <c r="AJ442" s="1"/>
  <c r="CD443"/>
  <c r="I443"/>
  <c r="L443" s="1"/>
  <c r="O443" s="1"/>
  <c r="R443" s="1"/>
  <c r="U443" s="1"/>
  <c r="X443" s="1"/>
  <c r="AA443" s="1"/>
  <c r="AD443" s="1"/>
  <c r="AG443" s="1"/>
  <c r="AJ443" s="1"/>
  <c r="AM443" s="1"/>
  <c r="AP443" s="1"/>
  <c r="AS443" s="1"/>
  <c r="AV443" s="1"/>
  <c r="AY443" s="1"/>
  <c r="BB443" s="1"/>
  <c r="BE443" s="1"/>
  <c r="BH443" s="1"/>
  <c r="BK443" s="1"/>
  <c r="BN443" s="1"/>
  <c r="CD444"/>
  <c r="I444"/>
  <c r="L444" s="1"/>
  <c r="O444" s="1"/>
  <c r="R444" s="1"/>
  <c r="U444" s="1"/>
  <c r="X444" s="1"/>
  <c r="AA444" s="1"/>
  <c r="AD444" s="1"/>
  <c r="AG444" s="1"/>
  <c r="AJ444" s="1"/>
  <c r="AM444" s="1"/>
  <c r="AP444" s="1"/>
  <c r="AS444" s="1"/>
  <c r="AV444" s="1"/>
  <c r="AY444" s="1"/>
  <c r="BB444" s="1"/>
  <c r="BE444" s="1"/>
  <c r="BH444" s="1"/>
  <c r="BK444" s="1"/>
  <c r="BN444" s="1"/>
  <c r="CD445"/>
  <c r="I445"/>
  <c r="L445" s="1"/>
  <c r="O445" s="1"/>
  <c r="R445" s="1"/>
  <c r="U445" s="1"/>
  <c r="X445" s="1"/>
  <c r="AA445" s="1"/>
  <c r="AD445" s="1"/>
  <c r="AG445" s="1"/>
  <c r="AJ445" s="1"/>
  <c r="AM445" s="1"/>
  <c r="CD446"/>
  <c r="I446"/>
  <c r="L446" s="1"/>
  <c r="O446" s="1"/>
  <c r="R446" s="1"/>
  <c r="U446" s="1"/>
  <c r="X446" s="1"/>
  <c r="AA446" s="1"/>
  <c r="AD446" s="1"/>
  <c r="AG446" s="1"/>
  <c r="AJ446" s="1"/>
  <c r="AM446" s="1"/>
  <c r="AP446" s="1"/>
  <c r="AS446" s="1"/>
  <c r="AV446" s="1"/>
  <c r="AY446" s="1"/>
  <c r="BB446" s="1"/>
  <c r="BE446" s="1"/>
  <c r="BH446" s="1"/>
  <c r="BK446" s="1"/>
  <c r="CD447"/>
  <c r="I447"/>
  <c r="L447" s="1"/>
  <c r="O447" s="1"/>
  <c r="R447" s="1"/>
  <c r="U447" s="1"/>
  <c r="X447" s="1"/>
  <c r="AA447" s="1"/>
  <c r="AD447" s="1"/>
  <c r="AG447" s="1"/>
  <c r="AJ447" s="1"/>
  <c r="AM447" s="1"/>
  <c r="AP447" s="1"/>
  <c r="AS447" s="1"/>
  <c r="AV447" s="1"/>
  <c r="AY447" s="1"/>
  <c r="BB447" s="1"/>
  <c r="BE447" s="1"/>
  <c r="BH447" s="1"/>
  <c r="CD448"/>
  <c r="I448"/>
  <c r="L448" s="1"/>
  <c r="O448" s="1"/>
  <c r="R448" s="1"/>
  <c r="U448" s="1"/>
  <c r="X448" s="1"/>
  <c r="AA448" s="1"/>
  <c r="AD448" s="1"/>
  <c r="AG448" s="1"/>
  <c r="AJ448" s="1"/>
  <c r="AM448" s="1"/>
  <c r="AP448" s="1"/>
  <c r="AS448" s="1"/>
  <c r="AV448" s="1"/>
  <c r="AY448" s="1"/>
  <c r="BB448" s="1"/>
  <c r="BE448" s="1"/>
  <c r="BH448" s="1"/>
  <c r="BK448" s="1"/>
  <c r="BN448" s="1"/>
  <c r="CD449"/>
  <c r="I449"/>
  <c r="L449" s="1"/>
  <c r="O449" s="1"/>
  <c r="R449" s="1"/>
  <c r="U449" s="1"/>
  <c r="X449" s="1"/>
  <c r="AA449" s="1"/>
  <c r="AD449" s="1"/>
  <c r="AG449" s="1"/>
  <c r="AJ449" s="1"/>
  <c r="AM449" s="1"/>
  <c r="AP449" s="1"/>
  <c r="AS449" s="1"/>
  <c r="AV449" s="1"/>
  <c r="AY449" s="1"/>
  <c r="BB449" s="1"/>
  <c r="BE449" s="1"/>
  <c r="BH449" s="1"/>
  <c r="BK449" s="1"/>
  <c r="BN449" s="1"/>
  <c r="CD450"/>
  <c r="I450"/>
  <c r="L450" s="1"/>
  <c r="O450" s="1"/>
  <c r="R450" s="1"/>
  <c r="U450" s="1"/>
  <c r="X450" s="1"/>
  <c r="AA450" s="1"/>
  <c r="AD450" s="1"/>
  <c r="AG450" s="1"/>
  <c r="AJ450" s="1"/>
  <c r="AM450" s="1"/>
  <c r="AP450" s="1"/>
  <c r="AS450" s="1"/>
  <c r="AV450" s="1"/>
  <c r="AY450" s="1"/>
  <c r="BB450" s="1"/>
  <c r="BE450" s="1"/>
  <c r="BH450" s="1"/>
  <c r="BK450" s="1"/>
  <c r="BN450" s="1"/>
  <c r="CD451"/>
  <c r="I451"/>
  <c r="L451" s="1"/>
  <c r="O451" s="1"/>
  <c r="R451" s="1"/>
  <c r="U451" s="1"/>
  <c r="X451" s="1"/>
  <c r="AA451" s="1"/>
  <c r="AD451" s="1"/>
  <c r="AG451" s="1"/>
  <c r="AJ451" s="1"/>
  <c r="AM451" s="1"/>
  <c r="CD452"/>
  <c r="I452"/>
  <c r="L452" s="1"/>
  <c r="O452" s="1"/>
  <c r="R452" s="1"/>
  <c r="U452" s="1"/>
  <c r="X452" s="1"/>
  <c r="AA452" s="1"/>
  <c r="AD452" s="1"/>
  <c r="AG452" s="1"/>
  <c r="AJ452" s="1"/>
  <c r="AM452" s="1"/>
  <c r="AP452" s="1"/>
  <c r="AS452" s="1"/>
  <c r="AV452" s="1"/>
  <c r="CD453"/>
  <c r="I453"/>
  <c r="L453" s="1"/>
  <c r="O453" s="1"/>
  <c r="R453" s="1"/>
  <c r="U453" s="1"/>
  <c r="X453" s="1"/>
  <c r="AA453" s="1"/>
  <c r="AD453" s="1"/>
  <c r="AG453" s="1"/>
  <c r="AJ453" s="1"/>
  <c r="AM453" s="1"/>
  <c r="AP453" s="1"/>
  <c r="AS453" s="1"/>
  <c r="AV453" s="1"/>
  <c r="AY453" s="1"/>
  <c r="CD454"/>
  <c r="I454"/>
  <c r="L454" s="1"/>
  <c r="O454" s="1"/>
  <c r="R454" s="1"/>
  <c r="U454" s="1"/>
  <c r="X454" s="1"/>
  <c r="AA454" s="1"/>
  <c r="AD454" s="1"/>
  <c r="AG454" s="1"/>
  <c r="AJ454" s="1"/>
  <c r="AM454" s="1"/>
  <c r="AP454" s="1"/>
  <c r="AS454" s="1"/>
  <c r="AV454" s="1"/>
  <c r="AY454" s="1"/>
  <c r="BB454" s="1"/>
  <c r="BE454" s="1"/>
  <c r="BH454" s="1"/>
  <c r="BK454" s="1"/>
  <c r="BN454" s="1"/>
  <c r="CD455"/>
  <c r="I455"/>
  <c r="L455" s="1"/>
  <c r="O455" s="1"/>
  <c r="R455" s="1"/>
  <c r="U455" s="1"/>
  <c r="X455" s="1"/>
  <c r="AA455" s="1"/>
  <c r="AD455" s="1"/>
  <c r="AG455" s="1"/>
  <c r="AJ455" s="1"/>
  <c r="AM455" s="1"/>
  <c r="AP455" s="1"/>
  <c r="AS455" s="1"/>
  <c r="AV455" s="1"/>
  <c r="AY455" s="1"/>
  <c r="AM58" i="31"/>
  <c r="AP58" s="1"/>
  <c r="AS58" s="1"/>
  <c r="AV58" s="1"/>
  <c r="AY58" s="1"/>
  <c r="BB58" s="1"/>
  <c r="BE58" s="1"/>
  <c r="BH58" s="1"/>
  <c r="BK58" s="1"/>
  <c r="BN58" s="1"/>
  <c r="AM59"/>
  <c r="AP59" s="1"/>
  <c r="AS59" s="1"/>
  <c r="AV59" s="1"/>
  <c r="AY59" s="1"/>
  <c r="BB59" s="1"/>
  <c r="BE59" s="1"/>
  <c r="BH59" s="1"/>
  <c r="BK59" s="1"/>
  <c r="BN59" s="1"/>
  <c r="AM60"/>
  <c r="AP60" s="1"/>
  <c r="AS60" s="1"/>
  <c r="AV60" s="1"/>
  <c r="AY60" s="1"/>
  <c r="BB60" s="1"/>
  <c r="BE60" s="1"/>
  <c r="BH60" s="1"/>
  <c r="BK60" s="1"/>
  <c r="BN60" s="1"/>
  <c r="BQ60" s="1"/>
  <c r="BT60" s="1"/>
  <c r="BW60" s="1"/>
  <c r="BZ60" s="1"/>
  <c r="AM76" i="32"/>
  <c r="AP76" s="1"/>
  <c r="AS76" s="1"/>
  <c r="AV76" s="1"/>
  <c r="AY76" s="1"/>
  <c r="BB76" s="1"/>
  <c r="BE76" s="1"/>
  <c r="BH76" s="1"/>
  <c r="AM77"/>
  <c r="AP77" s="1"/>
  <c r="AS77" s="1"/>
  <c r="AV77" s="1"/>
  <c r="AY77" s="1"/>
  <c r="BB77" s="1"/>
  <c r="BE77" s="1"/>
  <c r="BH77" s="1"/>
  <c r="BK77" s="1"/>
  <c r="BN77" s="1"/>
  <c r="BQ77" s="1"/>
  <c r="BT77" s="1"/>
  <c r="BW77" s="1"/>
  <c r="BZ77" s="1"/>
  <c r="AM78"/>
  <c r="AP78" s="1"/>
  <c r="AS78" s="1"/>
  <c r="AV78" s="1"/>
  <c r="AY78" s="1"/>
  <c r="BB78" s="1"/>
  <c r="BE78" s="1"/>
  <c r="BH78" s="1"/>
  <c r="BK78" s="1"/>
  <c r="BN78" s="1"/>
  <c r="BQ78" s="1"/>
  <c r="BT78" s="1"/>
  <c r="BW78" s="1"/>
  <c r="BZ78" s="1"/>
  <c r="AM79"/>
  <c r="B76"/>
  <c r="CC76" s="1"/>
  <c r="B77"/>
  <c r="CC77" s="1"/>
  <c r="B78"/>
  <c r="CC78" s="1"/>
  <c r="B79"/>
  <c r="BQ454" i="30" l="1"/>
  <c r="BT454" s="1"/>
  <c r="BW454" s="1"/>
  <c r="BZ454" s="1"/>
  <c r="BQ444"/>
  <c r="BT444" s="1"/>
  <c r="BW444" s="1"/>
  <c r="BZ444" s="1"/>
  <c r="BQ441"/>
  <c r="BT441" s="1"/>
  <c r="BW441" s="1"/>
  <c r="BZ441" s="1"/>
  <c r="BQ424"/>
  <c r="BQ422"/>
  <c r="BT422" s="1"/>
  <c r="BW422" s="1"/>
  <c r="BZ422" s="1"/>
  <c r="BQ420"/>
  <c r="BQ449"/>
  <c r="BT449" s="1"/>
  <c r="BQ443"/>
  <c r="BT443" s="1"/>
  <c r="BW443" s="1"/>
  <c r="BZ443" s="1"/>
  <c r="BQ450"/>
  <c r="BT450" s="1"/>
  <c r="BQ440"/>
  <c r="BT440" s="1"/>
  <c r="BW440" s="1"/>
  <c r="BZ440" s="1"/>
  <c r="BQ419"/>
  <c r="BT419" s="1"/>
  <c r="BW419" s="1"/>
  <c r="BZ419" s="1"/>
  <c r="BQ433"/>
  <c r="BT433" s="1"/>
  <c r="BW433" s="1"/>
  <c r="BZ433" s="1"/>
  <c r="BQ429"/>
  <c r="BT429" s="1"/>
  <c r="BQ425"/>
  <c r="BQ423"/>
  <c r="BT423" s="1"/>
  <c r="BW423" s="1"/>
  <c r="BZ423" s="1"/>
  <c r="BP431"/>
  <c r="BQ431" s="1"/>
  <c r="BT431" s="1"/>
  <c r="BW431" s="1"/>
  <c r="BZ431" s="1"/>
  <c r="BP58" i="31"/>
  <c r="BQ58" s="1"/>
  <c r="BT58" s="1"/>
  <c r="BW58" s="1"/>
  <c r="BZ58" s="1"/>
  <c r="BP448" i="30"/>
  <c r="BQ448" s="1"/>
  <c r="BT448" s="1"/>
  <c r="BW448" s="1"/>
  <c r="BZ448" s="1"/>
  <c r="BP59" i="31"/>
  <c r="BQ59" s="1"/>
  <c r="BT59" s="1"/>
  <c r="BW59" s="1"/>
  <c r="BZ59" s="1"/>
  <c r="BP432" i="30"/>
  <c r="BJ76" i="32"/>
  <c r="BK76" s="1"/>
  <c r="BN76" s="1"/>
  <c r="BQ76" s="1"/>
  <c r="BT76" s="1"/>
  <c r="BW76" s="1"/>
  <c r="BZ76" s="1"/>
  <c r="BJ447" i="30"/>
  <c r="BK447" s="1"/>
  <c r="BN447" s="1"/>
  <c r="BM421"/>
  <c r="BN421" s="1"/>
  <c r="BD438"/>
  <c r="BE438" s="1"/>
  <c r="BH438" s="1"/>
  <c r="BK438" s="1"/>
  <c r="BN438" s="1"/>
  <c r="BD434"/>
  <c r="BE434" s="1"/>
  <c r="BH434" s="1"/>
  <c r="BK434" s="1"/>
  <c r="BN434" s="1"/>
  <c r="BD427"/>
  <c r="BE427" s="1"/>
  <c r="BH427" s="1"/>
  <c r="BK427" s="1"/>
  <c r="BN427" s="1"/>
  <c r="BA453"/>
  <c r="BA581" s="1"/>
  <c r="BB581" s="1"/>
  <c r="BE581" s="1"/>
  <c r="BH581" s="1"/>
  <c r="BK581" s="1"/>
  <c r="BN581" s="1"/>
  <c r="BA455"/>
  <c r="BA550" s="1"/>
  <c r="BB550" s="1"/>
  <c r="BE550" s="1"/>
  <c r="BA439"/>
  <c r="BB439" s="1"/>
  <c r="BE439" s="1"/>
  <c r="BH439" s="1"/>
  <c r="BK439" s="1"/>
  <c r="BN439" s="1"/>
  <c r="BA428"/>
  <c r="BB428" s="1"/>
  <c r="BE428" s="1"/>
  <c r="BH428" s="1"/>
  <c r="BK428" s="1"/>
  <c r="BN428" s="1"/>
  <c r="BA436"/>
  <c r="BB436" s="1"/>
  <c r="BE436" s="1"/>
  <c r="BH436" s="1"/>
  <c r="BK436" s="1"/>
  <c r="BN436" s="1"/>
  <c r="AX435"/>
  <c r="AY435" s="1"/>
  <c r="BB435" s="1"/>
  <c r="BE435" s="1"/>
  <c r="BH435" s="1"/>
  <c r="BK435" s="1"/>
  <c r="BN435" s="1"/>
  <c r="AX452"/>
  <c r="AY452" s="1"/>
  <c r="BB452" s="1"/>
  <c r="BE452" s="1"/>
  <c r="BH452" s="1"/>
  <c r="BK452" s="1"/>
  <c r="BN452" s="1"/>
  <c r="AU430"/>
  <c r="AV430" s="1"/>
  <c r="AY430" s="1"/>
  <c r="BB430" s="1"/>
  <c r="BE430" s="1"/>
  <c r="BH430" s="1"/>
  <c r="BK430" s="1"/>
  <c r="BN430" s="1"/>
  <c r="AM442"/>
  <c r="AP442" s="1"/>
  <c r="AS442" s="1"/>
  <c r="AV442" s="1"/>
  <c r="AP451"/>
  <c r="AS451" s="1"/>
  <c r="AV451" s="1"/>
  <c r="AY451" s="1"/>
  <c r="BB451" s="1"/>
  <c r="BE451" s="1"/>
  <c r="BH451" s="1"/>
  <c r="BK451" s="1"/>
  <c r="BN451" s="1"/>
  <c r="AO445"/>
  <c r="AP445" s="1"/>
  <c r="AS445" s="1"/>
  <c r="AV445" s="1"/>
  <c r="AY445" s="1"/>
  <c r="BB445" s="1"/>
  <c r="BE445" s="1"/>
  <c r="BH445" s="1"/>
  <c r="BK445" s="1"/>
  <c r="BN445" s="1"/>
  <c r="AP79" i="32"/>
  <c r="AS79" s="1"/>
  <c r="AV79" s="1"/>
  <c r="AY79" s="1"/>
  <c r="AL403" i="30"/>
  <c r="BV429" l="1"/>
  <c r="BW429" s="1"/>
  <c r="BZ429" s="1"/>
  <c r="BV449"/>
  <c r="BW449" s="1"/>
  <c r="BZ449" s="1"/>
  <c r="BV450"/>
  <c r="BW450" s="1"/>
  <c r="BZ450" s="1"/>
  <c r="BS424"/>
  <c r="BT424" s="1"/>
  <c r="BW424" s="1"/>
  <c r="BZ424" s="1"/>
  <c r="BS420"/>
  <c r="BT420" s="1"/>
  <c r="BW420" s="1"/>
  <c r="BZ420" s="1"/>
  <c r="BQ581"/>
  <c r="BT581" s="1"/>
  <c r="BW581" s="1"/>
  <c r="BZ581" s="1"/>
  <c r="BQ421"/>
  <c r="BT421" s="1"/>
  <c r="BW421" s="1"/>
  <c r="BZ421" s="1"/>
  <c r="BQ451"/>
  <c r="BT451" s="1"/>
  <c r="BW451" s="1"/>
  <c r="BZ451" s="1"/>
  <c r="BQ438"/>
  <c r="BT438" s="1"/>
  <c r="BW438" s="1"/>
  <c r="BZ438" s="1"/>
  <c r="BQ432"/>
  <c r="BT432" s="1"/>
  <c r="BW432" s="1"/>
  <c r="BZ432" s="1"/>
  <c r="BQ436"/>
  <c r="BT436" s="1"/>
  <c r="BW436" s="1"/>
  <c r="BZ436" s="1"/>
  <c r="BQ435"/>
  <c r="BT435" s="1"/>
  <c r="BW435" s="1"/>
  <c r="BZ435" s="1"/>
  <c r="BQ445"/>
  <c r="BT445" s="1"/>
  <c r="BW445" s="1"/>
  <c r="BZ445" s="1"/>
  <c r="BQ452"/>
  <c r="BT452" s="1"/>
  <c r="BW452" s="1"/>
  <c r="BZ452" s="1"/>
  <c r="BQ439"/>
  <c r="BT439" s="1"/>
  <c r="BW439" s="1"/>
  <c r="BZ439" s="1"/>
  <c r="BQ434"/>
  <c r="BT434" s="1"/>
  <c r="BW434" s="1"/>
  <c r="BZ434" s="1"/>
  <c r="BQ430"/>
  <c r="BT430" s="1"/>
  <c r="BW430" s="1"/>
  <c r="BZ430" s="1"/>
  <c r="BQ428"/>
  <c r="BT428" s="1"/>
  <c r="BW428" s="1"/>
  <c r="BZ428" s="1"/>
  <c r="BQ427"/>
  <c r="BT427" s="1"/>
  <c r="BW427" s="1"/>
  <c r="BZ427" s="1"/>
  <c r="BQ447"/>
  <c r="BT447" s="1"/>
  <c r="BW447" s="1"/>
  <c r="BZ447" s="1"/>
  <c r="BH550"/>
  <c r="BK550" s="1"/>
  <c r="BN550" s="1"/>
  <c r="BB453"/>
  <c r="BE453" s="1"/>
  <c r="BH453" s="1"/>
  <c r="BK453" s="1"/>
  <c r="BN453" s="1"/>
  <c r="BA79" i="32"/>
  <c r="BA184" s="1"/>
  <c r="BB455" i="30"/>
  <c r="BE455" s="1"/>
  <c r="BH455" s="1"/>
  <c r="BK455" s="1"/>
  <c r="BN455" s="1"/>
  <c r="AL141"/>
  <c r="AL110"/>
  <c r="AL402"/>
  <c r="AL409"/>
  <c r="AL392"/>
  <c r="AO414"/>
  <c r="AO65" i="32"/>
  <c r="AO69"/>
  <c r="AO326" i="30"/>
  <c r="BQ453" l="1"/>
  <c r="BT453" s="1"/>
  <c r="BW453" s="1"/>
  <c r="BZ453" s="1"/>
  <c r="BQ550"/>
  <c r="BT550" s="1"/>
  <c r="BW550" s="1"/>
  <c r="BZ550" s="1"/>
  <c r="BQ455"/>
  <c r="BT455" s="1"/>
  <c r="BW455" s="1"/>
  <c r="BZ455" s="1"/>
  <c r="BB79" i="32"/>
  <c r="BE79" s="1"/>
  <c r="BH79" s="1"/>
  <c r="BK79" s="1"/>
  <c r="BN79" s="1"/>
  <c r="BQ79" s="1"/>
  <c r="BT79" s="1"/>
  <c r="BW79" s="1"/>
  <c r="BZ79" s="1"/>
  <c r="AM370" i="30"/>
  <c r="AP370" s="1"/>
  <c r="AS370" s="1"/>
  <c r="AV370" s="1"/>
  <c r="AY370" s="1"/>
  <c r="BB370" s="1"/>
  <c r="BE370" s="1"/>
  <c r="BH370" s="1"/>
  <c r="BK370" s="1"/>
  <c r="BN370" s="1"/>
  <c r="AO351"/>
  <c r="AO246"/>
  <c r="AO344"/>
  <c r="AO332"/>
  <c r="AO340"/>
  <c r="AO388"/>
  <c r="AO383"/>
  <c r="AO349"/>
  <c r="AL136"/>
  <c r="AL59" i="32"/>
  <c r="AL230" i="30"/>
  <c r="AL37" i="31"/>
  <c r="CD395" i="30"/>
  <c r="I395"/>
  <c r="L395" s="1"/>
  <c r="O395" s="1"/>
  <c r="R395" s="1"/>
  <c r="U395" s="1"/>
  <c r="X395" s="1"/>
  <c r="AA395" s="1"/>
  <c r="AD395" s="1"/>
  <c r="AG395" s="1"/>
  <c r="AJ395" s="1"/>
  <c r="AM395" s="1"/>
  <c r="AP395" s="1"/>
  <c r="AS395" s="1"/>
  <c r="AV395" s="1"/>
  <c r="AY395" s="1"/>
  <c r="BB395" s="1"/>
  <c r="BE395" s="1"/>
  <c r="BH395" s="1"/>
  <c r="BK395" s="1"/>
  <c r="BN395" s="1"/>
  <c r="CD396"/>
  <c r="I396"/>
  <c r="L396" s="1"/>
  <c r="O396" s="1"/>
  <c r="R396" s="1"/>
  <c r="U396" s="1"/>
  <c r="X396" s="1"/>
  <c r="AA396" s="1"/>
  <c r="AD396" s="1"/>
  <c r="AG396" s="1"/>
  <c r="AJ396" s="1"/>
  <c r="CD397"/>
  <c r="I397"/>
  <c r="L397" s="1"/>
  <c r="O397" s="1"/>
  <c r="R397" s="1"/>
  <c r="U397" s="1"/>
  <c r="X397" s="1"/>
  <c r="AA397" s="1"/>
  <c r="AD397" s="1"/>
  <c r="AG397" s="1"/>
  <c r="AJ397" s="1"/>
  <c r="AM397" s="1"/>
  <c r="AP397" s="1"/>
  <c r="AS397" s="1"/>
  <c r="CD398"/>
  <c r="I398"/>
  <c r="L398" s="1"/>
  <c r="O398" s="1"/>
  <c r="R398" s="1"/>
  <c r="U398" s="1"/>
  <c r="X398" s="1"/>
  <c r="AA398" s="1"/>
  <c r="AD398" s="1"/>
  <c r="AG398" s="1"/>
  <c r="AJ398" s="1"/>
  <c r="AM398" s="1"/>
  <c r="AP398" s="1"/>
  <c r="AS398" s="1"/>
  <c r="AV398" s="1"/>
  <c r="CD399"/>
  <c r="I399"/>
  <c r="L399" s="1"/>
  <c r="O399" s="1"/>
  <c r="R399" s="1"/>
  <c r="U399" s="1"/>
  <c r="X399" s="1"/>
  <c r="AA399" s="1"/>
  <c r="AD399" s="1"/>
  <c r="AG399" s="1"/>
  <c r="AJ399" s="1"/>
  <c r="AM399" s="1"/>
  <c r="AP399" s="1"/>
  <c r="AS399" s="1"/>
  <c r="AV399" s="1"/>
  <c r="AY399" s="1"/>
  <c r="CD400"/>
  <c r="I400"/>
  <c r="L400" s="1"/>
  <c r="O400" s="1"/>
  <c r="R400" s="1"/>
  <c r="U400" s="1"/>
  <c r="X400" s="1"/>
  <c r="AA400" s="1"/>
  <c r="AD400" s="1"/>
  <c r="AG400" s="1"/>
  <c r="AJ400" s="1"/>
  <c r="AM400" s="1"/>
  <c r="CD401"/>
  <c r="I401"/>
  <c r="L401" s="1"/>
  <c r="O401" s="1"/>
  <c r="R401" s="1"/>
  <c r="U401" s="1"/>
  <c r="X401" s="1"/>
  <c r="AA401" s="1"/>
  <c r="AD401" s="1"/>
  <c r="AG401" s="1"/>
  <c r="AJ401" s="1"/>
  <c r="AM401" s="1"/>
  <c r="AP401" s="1"/>
  <c r="AS401" s="1"/>
  <c r="AV401" s="1"/>
  <c r="AY401" s="1"/>
  <c r="BB401" s="1"/>
  <c r="CD402"/>
  <c r="I402"/>
  <c r="L402" s="1"/>
  <c r="O402" s="1"/>
  <c r="R402" s="1"/>
  <c r="U402" s="1"/>
  <c r="X402" s="1"/>
  <c r="AA402" s="1"/>
  <c r="AD402" s="1"/>
  <c r="AG402" s="1"/>
  <c r="AJ402" s="1"/>
  <c r="AM402" s="1"/>
  <c r="AP402" s="1"/>
  <c r="AS402" s="1"/>
  <c r="AV402" s="1"/>
  <c r="CD403"/>
  <c r="I403"/>
  <c r="L403" s="1"/>
  <c r="O403" s="1"/>
  <c r="R403" s="1"/>
  <c r="U403" s="1"/>
  <c r="X403" s="1"/>
  <c r="AA403" s="1"/>
  <c r="AD403" s="1"/>
  <c r="AG403" s="1"/>
  <c r="AJ403" s="1"/>
  <c r="AM403" s="1"/>
  <c r="AP403" s="1"/>
  <c r="AS403" s="1"/>
  <c r="AV403" s="1"/>
  <c r="AY403" s="1"/>
  <c r="BB403" s="1"/>
  <c r="BE403" s="1"/>
  <c r="BH403" s="1"/>
  <c r="BK403" s="1"/>
  <c r="BN403" s="1"/>
  <c r="CD404"/>
  <c r="I404"/>
  <c r="L404" s="1"/>
  <c r="O404" s="1"/>
  <c r="R404" s="1"/>
  <c r="U404" s="1"/>
  <c r="X404" s="1"/>
  <c r="AA404" s="1"/>
  <c r="AD404" s="1"/>
  <c r="AG404" s="1"/>
  <c r="AJ404" s="1"/>
  <c r="AM404" s="1"/>
  <c r="AP404" s="1"/>
  <c r="AS404" s="1"/>
  <c r="AV404" s="1"/>
  <c r="CD405"/>
  <c r="I405"/>
  <c r="L405" s="1"/>
  <c r="O405" s="1"/>
  <c r="R405" s="1"/>
  <c r="U405" s="1"/>
  <c r="X405" s="1"/>
  <c r="AA405" s="1"/>
  <c r="AD405" s="1"/>
  <c r="AG405" s="1"/>
  <c r="AJ405" s="1"/>
  <c r="CD406"/>
  <c r="I406"/>
  <c r="L406" s="1"/>
  <c r="O406" s="1"/>
  <c r="R406" s="1"/>
  <c r="U406" s="1"/>
  <c r="X406" s="1"/>
  <c r="AA406" s="1"/>
  <c r="AD406" s="1"/>
  <c r="AG406" s="1"/>
  <c r="AJ406" s="1"/>
  <c r="CD407"/>
  <c r="I407"/>
  <c r="L407" s="1"/>
  <c r="O407" s="1"/>
  <c r="R407" s="1"/>
  <c r="U407" s="1"/>
  <c r="X407" s="1"/>
  <c r="AA407" s="1"/>
  <c r="AD407" s="1"/>
  <c r="AG407" s="1"/>
  <c r="AJ407" s="1"/>
  <c r="CD408"/>
  <c r="I408"/>
  <c r="L408" s="1"/>
  <c r="O408" s="1"/>
  <c r="R408" s="1"/>
  <c r="U408" s="1"/>
  <c r="X408" s="1"/>
  <c r="AA408" s="1"/>
  <c r="AD408" s="1"/>
  <c r="AG408" s="1"/>
  <c r="AJ408" s="1"/>
  <c r="AM408" s="1"/>
  <c r="AP408" s="1"/>
  <c r="AS408" s="1"/>
  <c r="AV408" s="1"/>
  <c r="AY408" s="1"/>
  <c r="BB408" s="1"/>
  <c r="BE408" s="1"/>
  <c r="BH408" s="1"/>
  <c r="CD409"/>
  <c r="I409"/>
  <c r="L409" s="1"/>
  <c r="O409" s="1"/>
  <c r="R409" s="1"/>
  <c r="U409" s="1"/>
  <c r="X409" s="1"/>
  <c r="AA409" s="1"/>
  <c r="AD409" s="1"/>
  <c r="AG409" s="1"/>
  <c r="AJ409" s="1"/>
  <c r="AM409" s="1"/>
  <c r="AP409" s="1"/>
  <c r="AS409" s="1"/>
  <c r="AV409" s="1"/>
  <c r="AY409" s="1"/>
  <c r="BB409" s="1"/>
  <c r="CD410"/>
  <c r="I410"/>
  <c r="L410" s="1"/>
  <c r="O410" s="1"/>
  <c r="R410" s="1"/>
  <c r="U410" s="1"/>
  <c r="X410" s="1"/>
  <c r="AA410" s="1"/>
  <c r="AD410" s="1"/>
  <c r="AG410" s="1"/>
  <c r="AJ410" s="1"/>
  <c r="CD411"/>
  <c r="I411"/>
  <c r="L411" s="1"/>
  <c r="O411" s="1"/>
  <c r="R411" s="1"/>
  <c r="U411" s="1"/>
  <c r="X411" s="1"/>
  <c r="AA411" s="1"/>
  <c r="AD411" s="1"/>
  <c r="AG411" s="1"/>
  <c r="AJ411" s="1"/>
  <c r="AM411" s="1"/>
  <c r="AP411" s="1"/>
  <c r="AS411" s="1"/>
  <c r="AV411" s="1"/>
  <c r="AY411" s="1"/>
  <c r="BB411" s="1"/>
  <c r="BE411" s="1"/>
  <c r="BH411" s="1"/>
  <c r="BK411" s="1"/>
  <c r="BN411" s="1"/>
  <c r="CD412"/>
  <c r="I412"/>
  <c r="L412" s="1"/>
  <c r="O412" s="1"/>
  <c r="R412" s="1"/>
  <c r="U412" s="1"/>
  <c r="X412" s="1"/>
  <c r="AA412" s="1"/>
  <c r="AD412" s="1"/>
  <c r="AG412" s="1"/>
  <c r="AJ412" s="1"/>
  <c r="AM412" s="1"/>
  <c r="AP412" s="1"/>
  <c r="AS412" s="1"/>
  <c r="AV412" s="1"/>
  <c r="AY412" s="1"/>
  <c r="BB412" s="1"/>
  <c r="BE412" s="1"/>
  <c r="BH412" s="1"/>
  <c r="BK412" s="1"/>
  <c r="BN412" s="1"/>
  <c r="CD413"/>
  <c r="I413"/>
  <c r="L413" s="1"/>
  <c r="O413" s="1"/>
  <c r="R413" s="1"/>
  <c r="U413" s="1"/>
  <c r="X413" s="1"/>
  <c r="AA413" s="1"/>
  <c r="AD413" s="1"/>
  <c r="AG413" s="1"/>
  <c r="AJ413" s="1"/>
  <c r="AM413" s="1"/>
  <c r="AP413" s="1"/>
  <c r="AS413" s="1"/>
  <c r="AV413" s="1"/>
  <c r="AY413" s="1"/>
  <c r="BB413" s="1"/>
  <c r="BE413" s="1"/>
  <c r="BH413" s="1"/>
  <c r="BK413" s="1"/>
  <c r="BN413" s="1"/>
  <c r="CD414"/>
  <c r="I414"/>
  <c r="L414" s="1"/>
  <c r="O414" s="1"/>
  <c r="R414" s="1"/>
  <c r="U414" s="1"/>
  <c r="X414" s="1"/>
  <c r="AA414" s="1"/>
  <c r="AD414" s="1"/>
  <c r="AG414" s="1"/>
  <c r="AJ414" s="1"/>
  <c r="CD415"/>
  <c r="I415"/>
  <c r="L415" s="1"/>
  <c r="O415" s="1"/>
  <c r="R415" s="1"/>
  <c r="U415" s="1"/>
  <c r="X415" s="1"/>
  <c r="AA415" s="1"/>
  <c r="AD415" s="1"/>
  <c r="AG415" s="1"/>
  <c r="AJ415" s="1"/>
  <c r="AM415" s="1"/>
  <c r="AP415" s="1"/>
  <c r="AS415" s="1"/>
  <c r="AV415" s="1"/>
  <c r="AY415" s="1"/>
  <c r="BB415" s="1"/>
  <c r="CD416"/>
  <c r="I416"/>
  <c r="L416" s="1"/>
  <c r="O416" s="1"/>
  <c r="R416" s="1"/>
  <c r="U416" s="1"/>
  <c r="X416" s="1"/>
  <c r="AA416" s="1"/>
  <c r="AD416" s="1"/>
  <c r="AG416" s="1"/>
  <c r="AJ416" s="1"/>
  <c r="AM416" s="1"/>
  <c r="AP416" s="1"/>
  <c r="AS416" s="1"/>
  <c r="AV416" s="1"/>
  <c r="AY416" s="1"/>
  <c r="BB416" s="1"/>
  <c r="CD417"/>
  <c r="I417"/>
  <c r="L417" s="1"/>
  <c r="O417" s="1"/>
  <c r="R417" s="1"/>
  <c r="U417" s="1"/>
  <c r="X417" s="1"/>
  <c r="AA417" s="1"/>
  <c r="AD417" s="1"/>
  <c r="AG417" s="1"/>
  <c r="AJ417" s="1"/>
  <c r="AM417" s="1"/>
  <c r="AP417" s="1"/>
  <c r="AS417" s="1"/>
  <c r="AV417" s="1"/>
  <c r="CD418"/>
  <c r="I418"/>
  <c r="L418" s="1"/>
  <c r="O418" s="1"/>
  <c r="R418" s="1"/>
  <c r="U418" s="1"/>
  <c r="X418" s="1"/>
  <c r="AA418" s="1"/>
  <c r="AD418" s="1"/>
  <c r="AG418" s="1"/>
  <c r="AJ418" s="1"/>
  <c r="AM418" s="1"/>
  <c r="AP418" s="1"/>
  <c r="AS418" s="1"/>
  <c r="AV418" s="1"/>
  <c r="CD456"/>
  <c r="I456"/>
  <c r="L456" s="1"/>
  <c r="O456" s="1"/>
  <c r="R456" s="1"/>
  <c r="U456" s="1"/>
  <c r="X456" s="1"/>
  <c r="AA456" s="1"/>
  <c r="AD456" s="1"/>
  <c r="AG456" s="1"/>
  <c r="AJ456" s="1"/>
  <c r="AM456" s="1"/>
  <c r="AP456" s="1"/>
  <c r="AS456" s="1"/>
  <c r="AV456" s="1"/>
  <c r="AY456" s="1"/>
  <c r="BB456" s="1"/>
  <c r="CD490"/>
  <c r="I490"/>
  <c r="L490" s="1"/>
  <c r="O490" s="1"/>
  <c r="R490" s="1"/>
  <c r="U490" s="1"/>
  <c r="X490" s="1"/>
  <c r="AA490" s="1"/>
  <c r="AD490" s="1"/>
  <c r="AG490" s="1"/>
  <c r="AJ490" s="1"/>
  <c r="AM490" s="1"/>
  <c r="AP490" s="1"/>
  <c r="AY490" s="1"/>
  <c r="BB490" s="1"/>
  <c r="BE490" s="1"/>
  <c r="BH490" s="1"/>
  <c r="BK490" s="1"/>
  <c r="BN490" s="1"/>
  <c r="CD491"/>
  <c r="I491"/>
  <c r="L491" s="1"/>
  <c r="O491" s="1"/>
  <c r="R491" s="1"/>
  <c r="U491" s="1"/>
  <c r="X491" s="1"/>
  <c r="AA491" s="1"/>
  <c r="AD491" s="1"/>
  <c r="AG491" s="1"/>
  <c r="AJ491" s="1"/>
  <c r="AM491" s="1"/>
  <c r="AP491" s="1"/>
  <c r="AS491" s="1"/>
  <c r="AV491" s="1"/>
  <c r="AY491" s="1"/>
  <c r="BB491" s="1"/>
  <c r="BE491" s="1"/>
  <c r="BH491" s="1"/>
  <c r="BK491" s="1"/>
  <c r="BN491" s="1"/>
  <c r="CD492"/>
  <c r="I492"/>
  <c r="L492" s="1"/>
  <c r="O492" s="1"/>
  <c r="R492" s="1"/>
  <c r="U492" s="1"/>
  <c r="X492" s="1"/>
  <c r="AA492" s="1"/>
  <c r="AD492" s="1"/>
  <c r="AG492" s="1"/>
  <c r="AJ492" s="1"/>
  <c r="AM492" s="1"/>
  <c r="CD493"/>
  <c r="I493"/>
  <c r="L493" s="1"/>
  <c r="O493" s="1"/>
  <c r="R493" s="1"/>
  <c r="U493" s="1"/>
  <c r="X493" s="1"/>
  <c r="AA493" s="1"/>
  <c r="AD493" s="1"/>
  <c r="AG493" s="1"/>
  <c r="AJ493" s="1"/>
  <c r="AM493" s="1"/>
  <c r="AP493" s="1"/>
  <c r="AS493" s="1"/>
  <c r="AV493" s="1"/>
  <c r="AY493" s="1"/>
  <c r="BB493" s="1"/>
  <c r="BE493" s="1"/>
  <c r="BH493" s="1"/>
  <c r="BK493" s="1"/>
  <c r="BN493" s="1"/>
  <c r="BQ493" l="1"/>
  <c r="BT493" s="1"/>
  <c r="BQ413"/>
  <c r="BT413" s="1"/>
  <c r="BW413" s="1"/>
  <c r="BZ413" s="1"/>
  <c r="BQ411"/>
  <c r="BT411" s="1"/>
  <c r="BQ403"/>
  <c r="BT403" s="1"/>
  <c r="BW403" s="1"/>
  <c r="BZ403" s="1"/>
  <c r="BQ491"/>
  <c r="BT491" s="1"/>
  <c r="BQ490"/>
  <c r="BT490" s="1"/>
  <c r="BW490" s="1"/>
  <c r="BZ490" s="1"/>
  <c r="BQ412"/>
  <c r="BT412" s="1"/>
  <c r="BQ370"/>
  <c r="BT370" s="1"/>
  <c r="BW370" s="1"/>
  <c r="BZ370" s="1"/>
  <c r="BP395"/>
  <c r="BQ395" s="1"/>
  <c r="BT395" s="1"/>
  <c r="BW395" s="1"/>
  <c r="BZ395" s="1"/>
  <c r="BJ408"/>
  <c r="BK408" s="1"/>
  <c r="BN408" s="1"/>
  <c r="BD401"/>
  <c r="BE401" s="1"/>
  <c r="BH401" s="1"/>
  <c r="BK401" s="1"/>
  <c r="BN401" s="1"/>
  <c r="BD415"/>
  <c r="BD620" s="1"/>
  <c r="BE620" s="1"/>
  <c r="BH620" s="1"/>
  <c r="BK620" s="1"/>
  <c r="BN620" s="1"/>
  <c r="BD409"/>
  <c r="BD506" s="1"/>
  <c r="BE506" s="1"/>
  <c r="BD416"/>
  <c r="BE416" s="1"/>
  <c r="BH416" s="1"/>
  <c r="BK416" s="1"/>
  <c r="BN416" s="1"/>
  <c r="BA399"/>
  <c r="BB399" s="1"/>
  <c r="BE399" s="1"/>
  <c r="BH399" s="1"/>
  <c r="BK399" s="1"/>
  <c r="BN399" s="1"/>
  <c r="AX398"/>
  <c r="AY398" s="1"/>
  <c r="BB398" s="1"/>
  <c r="BE398" s="1"/>
  <c r="BH398" s="1"/>
  <c r="BK398" s="1"/>
  <c r="BN398" s="1"/>
  <c r="AP492"/>
  <c r="AX404"/>
  <c r="AY404" s="1"/>
  <c r="BB404" s="1"/>
  <c r="BE404" s="1"/>
  <c r="BH404" s="1"/>
  <c r="BK404" s="1"/>
  <c r="BN404" s="1"/>
  <c r="AX417"/>
  <c r="AY417" s="1"/>
  <c r="BB417" s="1"/>
  <c r="BE417" s="1"/>
  <c r="BH417" s="1"/>
  <c r="BK417" s="1"/>
  <c r="BN417" s="1"/>
  <c r="AO400"/>
  <c r="AO437" s="1"/>
  <c r="AP437" s="1"/>
  <c r="AS437" s="1"/>
  <c r="AV437" s="1"/>
  <c r="AY437" s="1"/>
  <c r="BB437" s="1"/>
  <c r="BE437" s="1"/>
  <c r="BH437" s="1"/>
  <c r="BK437" s="1"/>
  <c r="BN437" s="1"/>
  <c r="AL405"/>
  <c r="AM405" s="1"/>
  <c r="AP405" s="1"/>
  <c r="AS405" s="1"/>
  <c r="AV405" s="1"/>
  <c r="AY405" s="1"/>
  <c r="BB405" s="1"/>
  <c r="BE405" s="1"/>
  <c r="BH405" s="1"/>
  <c r="BK405" s="1"/>
  <c r="BN405" s="1"/>
  <c r="AM396"/>
  <c r="AP396" s="1"/>
  <c r="AS396" s="1"/>
  <c r="AV396" s="1"/>
  <c r="AY396" s="1"/>
  <c r="BB396" s="1"/>
  <c r="BE396" s="1"/>
  <c r="BH396" s="1"/>
  <c r="BK396" s="1"/>
  <c r="BN396" s="1"/>
  <c r="AM414"/>
  <c r="AP414" s="1"/>
  <c r="AS414" s="1"/>
  <c r="AV414" s="1"/>
  <c r="AY414" s="1"/>
  <c r="BB414" s="1"/>
  <c r="BE414" s="1"/>
  <c r="BH414" s="1"/>
  <c r="BK414" s="1"/>
  <c r="BN414" s="1"/>
  <c r="AM406"/>
  <c r="AP406" s="1"/>
  <c r="AS406" s="1"/>
  <c r="AV406" s="1"/>
  <c r="AY406" s="1"/>
  <c r="BB406" s="1"/>
  <c r="BE406" s="1"/>
  <c r="BH406" s="1"/>
  <c r="BK406" s="1"/>
  <c r="BN406" s="1"/>
  <c r="AI382"/>
  <c r="AI368"/>
  <c r="BV491" l="1"/>
  <c r="BW491" s="1"/>
  <c r="BZ491" s="1"/>
  <c r="BV411"/>
  <c r="BW411" s="1"/>
  <c r="BZ411" s="1"/>
  <c r="BW493"/>
  <c r="BZ493" s="1"/>
  <c r="BV412"/>
  <c r="BW412" s="1"/>
  <c r="BZ412" s="1"/>
  <c r="BQ414"/>
  <c r="BT414" s="1"/>
  <c r="BW414" s="1"/>
  <c r="BZ414" s="1"/>
  <c r="BQ417"/>
  <c r="BT417" s="1"/>
  <c r="BW417" s="1"/>
  <c r="BZ417" s="1"/>
  <c r="BQ399"/>
  <c r="BT399" s="1"/>
  <c r="BW399" s="1"/>
  <c r="BZ399" s="1"/>
  <c r="BQ401"/>
  <c r="BT401" s="1"/>
  <c r="BW401" s="1"/>
  <c r="BZ401" s="1"/>
  <c r="BQ406"/>
  <c r="BT406" s="1"/>
  <c r="BW406" s="1"/>
  <c r="BZ406" s="1"/>
  <c r="BQ437"/>
  <c r="BT437" s="1"/>
  <c r="BW437" s="1"/>
  <c r="BZ437" s="1"/>
  <c r="BQ398"/>
  <c r="BT398" s="1"/>
  <c r="BW398" s="1"/>
  <c r="BZ398" s="1"/>
  <c r="BQ620"/>
  <c r="BT620" s="1"/>
  <c r="BW620" s="1"/>
  <c r="BZ620" s="1"/>
  <c r="BQ405"/>
  <c r="BT405" s="1"/>
  <c r="BW405" s="1"/>
  <c r="BZ405" s="1"/>
  <c r="BQ396"/>
  <c r="BT396" s="1"/>
  <c r="BW396" s="1"/>
  <c r="BZ396" s="1"/>
  <c r="BQ404"/>
  <c r="BT404" s="1"/>
  <c r="BW404" s="1"/>
  <c r="BZ404" s="1"/>
  <c r="BQ416"/>
  <c r="BT416" s="1"/>
  <c r="BW416" s="1"/>
  <c r="BZ416" s="1"/>
  <c r="BQ408"/>
  <c r="BT408" s="1"/>
  <c r="BW408" s="1"/>
  <c r="BZ408" s="1"/>
  <c r="BG506"/>
  <c r="BH506" s="1"/>
  <c r="BK506" s="1"/>
  <c r="BN506" s="1"/>
  <c r="BE409"/>
  <c r="BH409" s="1"/>
  <c r="BK409" s="1"/>
  <c r="BN409" s="1"/>
  <c r="BE415"/>
  <c r="BH415" s="1"/>
  <c r="BK415" s="1"/>
  <c r="BN415" s="1"/>
  <c r="AS492"/>
  <c r="AP400"/>
  <c r="AS400" s="1"/>
  <c r="AV400" s="1"/>
  <c r="AY400" s="1"/>
  <c r="BB400" s="1"/>
  <c r="BE400" s="1"/>
  <c r="BH400" s="1"/>
  <c r="BK400" s="1"/>
  <c r="BN400" s="1"/>
  <c r="AL120"/>
  <c r="AL151"/>
  <c r="AL119"/>
  <c r="AL45"/>
  <c r="AL6"/>
  <c r="AL11"/>
  <c r="AL144"/>
  <c r="AL118"/>
  <c r="AL147"/>
  <c r="AI11"/>
  <c r="AI383"/>
  <c r="AI314"/>
  <c r="AI244"/>
  <c r="AI59" i="32"/>
  <c r="AI346" i="30"/>
  <c r="AI230"/>
  <c r="BQ400" l="1"/>
  <c r="BT400" s="1"/>
  <c r="BW400" s="1"/>
  <c r="BZ400" s="1"/>
  <c r="BQ415"/>
  <c r="BT415" s="1"/>
  <c r="BW415" s="1"/>
  <c r="BZ415" s="1"/>
  <c r="BQ506"/>
  <c r="BT506" s="1"/>
  <c r="BW506" s="1"/>
  <c r="BZ506" s="1"/>
  <c r="BQ409"/>
  <c r="BT409" s="1"/>
  <c r="BW409" s="1"/>
  <c r="BZ409" s="1"/>
  <c r="BG615"/>
  <c r="BH615" s="1"/>
  <c r="BK615" s="1"/>
  <c r="AV492"/>
  <c r="AJ328"/>
  <c r="AM328" s="1"/>
  <c r="AP328" s="1"/>
  <c r="AS328" s="1"/>
  <c r="AV328" s="1"/>
  <c r="AY328" s="1"/>
  <c r="BB328" s="1"/>
  <c r="BE328" s="1"/>
  <c r="BH328" s="1"/>
  <c r="BK328" s="1"/>
  <c r="BN328" s="1"/>
  <c r="BQ328" l="1"/>
  <c r="BT328" s="1"/>
  <c r="BW328" s="1"/>
  <c r="BZ328" s="1"/>
  <c r="BM615"/>
  <c r="BM688" s="1"/>
  <c r="BN688" s="1"/>
  <c r="AY492"/>
  <c r="AF53" i="31"/>
  <c r="AF322" i="30"/>
  <c r="AF369"/>
  <c r="AA66" i="32"/>
  <c r="AA67"/>
  <c r="AA68"/>
  <c r="AA65"/>
  <c r="B66"/>
  <c r="CC66" s="1"/>
  <c r="L66"/>
  <c r="O66" s="1"/>
  <c r="R66" s="1"/>
  <c r="U66" s="1"/>
  <c r="X66" s="1"/>
  <c r="B67"/>
  <c r="CC67" s="1"/>
  <c r="L67"/>
  <c r="O67" s="1"/>
  <c r="R67" s="1"/>
  <c r="U67" s="1"/>
  <c r="X67" s="1"/>
  <c r="B68"/>
  <c r="CC68" s="1"/>
  <c r="L68"/>
  <c r="O68" s="1"/>
  <c r="R68" s="1"/>
  <c r="U68" s="1"/>
  <c r="X68" s="1"/>
  <c r="B69"/>
  <c r="L69"/>
  <c r="O69" s="1"/>
  <c r="R69" s="1"/>
  <c r="U69" s="1"/>
  <c r="X69" s="1"/>
  <c r="AA69" s="1"/>
  <c r="AD69" s="1"/>
  <c r="AJ69" s="1"/>
  <c r="AM69" s="1"/>
  <c r="AP69" s="1"/>
  <c r="AS69" s="1"/>
  <c r="AV69" s="1"/>
  <c r="AY69" s="1"/>
  <c r="BB69" s="1"/>
  <c r="BE69" s="1"/>
  <c r="BH69" s="1"/>
  <c r="BK69" s="1"/>
  <c r="BN69" s="1"/>
  <c r="BQ69" s="1"/>
  <c r="BT69" s="1"/>
  <c r="BW69" s="1"/>
  <c r="BZ69" s="1"/>
  <c r="B70"/>
  <c r="CC70" s="1"/>
  <c r="L70"/>
  <c r="O70" s="1"/>
  <c r="R70" s="1"/>
  <c r="U70" s="1"/>
  <c r="X70" s="1"/>
  <c r="AA70" s="1"/>
  <c r="AD70" s="1"/>
  <c r="AJ70" s="1"/>
  <c r="AM70" s="1"/>
  <c r="AP70" s="1"/>
  <c r="AS70" s="1"/>
  <c r="AV70" s="1"/>
  <c r="AY70" s="1"/>
  <c r="BB70" s="1"/>
  <c r="BE70" s="1"/>
  <c r="BH70" s="1"/>
  <c r="B71"/>
  <c r="CC71" s="1"/>
  <c r="L71"/>
  <c r="O71" s="1"/>
  <c r="R71" s="1"/>
  <c r="U71" s="1"/>
  <c r="X71" s="1"/>
  <c r="AA71" s="1"/>
  <c r="AD71" s="1"/>
  <c r="AJ71" s="1"/>
  <c r="AM71" s="1"/>
  <c r="AP71" s="1"/>
  <c r="AS71" s="1"/>
  <c r="AV71" s="1"/>
  <c r="AY71" s="1"/>
  <c r="BB71" s="1"/>
  <c r="BE71" s="1"/>
  <c r="BH71" s="1"/>
  <c r="BK71" s="1"/>
  <c r="BN71" s="1"/>
  <c r="BQ71" s="1"/>
  <c r="BT71" s="1"/>
  <c r="BW71" s="1"/>
  <c r="BZ71" s="1"/>
  <c r="B72"/>
  <c r="CC72" s="1"/>
  <c r="L72"/>
  <c r="O72" s="1"/>
  <c r="R72" s="1"/>
  <c r="U72" s="1"/>
  <c r="X72" s="1"/>
  <c r="AA72" s="1"/>
  <c r="AD72" s="1"/>
  <c r="AJ72" s="1"/>
  <c r="AM72" s="1"/>
  <c r="AP72" s="1"/>
  <c r="AS72" s="1"/>
  <c r="AV72" s="1"/>
  <c r="AY72" s="1"/>
  <c r="BB72" s="1"/>
  <c r="BE72" s="1"/>
  <c r="BH72" s="1"/>
  <c r="BK72" s="1"/>
  <c r="BN72" s="1"/>
  <c r="BQ72" s="1"/>
  <c r="BT72" s="1"/>
  <c r="BW72" s="1"/>
  <c r="BZ72" s="1"/>
  <c r="B73"/>
  <c r="L73"/>
  <c r="O73" s="1"/>
  <c r="R73" s="1"/>
  <c r="U73" s="1"/>
  <c r="X73" s="1"/>
  <c r="AA73" s="1"/>
  <c r="AD73" s="1"/>
  <c r="AJ73" s="1"/>
  <c r="AM73" s="1"/>
  <c r="AO73" s="1"/>
  <c r="B74"/>
  <c r="L74"/>
  <c r="O74" s="1"/>
  <c r="R74" s="1"/>
  <c r="U74" s="1"/>
  <c r="X74" s="1"/>
  <c r="AA74" s="1"/>
  <c r="AD74" s="1"/>
  <c r="AG74" s="1"/>
  <c r="AM74" s="1"/>
  <c r="AA57" i="31"/>
  <c r="AA56"/>
  <c r="AI376" i="30"/>
  <c r="CD365"/>
  <c r="I365"/>
  <c r="L365" s="1"/>
  <c r="O365" s="1"/>
  <c r="R365" s="1"/>
  <c r="U365" s="1"/>
  <c r="X365" s="1"/>
  <c r="AA365" s="1"/>
  <c r="AD365" s="1"/>
  <c r="AG365" s="1"/>
  <c r="AJ365" s="1"/>
  <c r="AM365" s="1"/>
  <c r="AP365" s="1"/>
  <c r="AS365" s="1"/>
  <c r="AV365" s="1"/>
  <c r="AY365" s="1"/>
  <c r="BB365" s="1"/>
  <c r="BE365" s="1"/>
  <c r="BH365" s="1"/>
  <c r="BK365" s="1"/>
  <c r="BN365" s="1"/>
  <c r="CD366"/>
  <c r="I366"/>
  <c r="L366" s="1"/>
  <c r="O366" s="1"/>
  <c r="R366" s="1"/>
  <c r="U366" s="1"/>
  <c r="X366" s="1"/>
  <c r="AA366" s="1"/>
  <c r="AD366" s="1"/>
  <c r="CD367"/>
  <c r="I367"/>
  <c r="L367" s="1"/>
  <c r="O367" s="1"/>
  <c r="R367" s="1"/>
  <c r="U367" s="1"/>
  <c r="X367" s="1"/>
  <c r="AA367" s="1"/>
  <c r="AD367" s="1"/>
  <c r="AG367" s="1"/>
  <c r="AJ367" s="1"/>
  <c r="CD368"/>
  <c r="I368"/>
  <c r="L368" s="1"/>
  <c r="O368" s="1"/>
  <c r="R368" s="1"/>
  <c r="U368" s="1"/>
  <c r="X368" s="1"/>
  <c r="AA368" s="1"/>
  <c r="AD368" s="1"/>
  <c r="AG368" s="1"/>
  <c r="AJ368" s="1"/>
  <c r="AM368" s="1"/>
  <c r="AP368" s="1"/>
  <c r="AS368" s="1"/>
  <c r="AV368" s="1"/>
  <c r="CD369"/>
  <c r="I369"/>
  <c r="L369" s="1"/>
  <c r="O369" s="1"/>
  <c r="R369" s="1"/>
  <c r="U369" s="1"/>
  <c r="X369" s="1"/>
  <c r="AA369" s="1"/>
  <c r="AD369" s="1"/>
  <c r="CD370"/>
  <c r="I370"/>
  <c r="L370" s="1"/>
  <c r="O370" s="1"/>
  <c r="R370" s="1"/>
  <c r="U370" s="1"/>
  <c r="X370" s="1"/>
  <c r="AA370" s="1"/>
  <c r="AD370" s="1"/>
  <c r="AG370" s="1"/>
  <c r="CD371"/>
  <c r="I371"/>
  <c r="L371" s="1"/>
  <c r="O371" s="1"/>
  <c r="R371" s="1"/>
  <c r="U371" s="1"/>
  <c r="X371" s="1"/>
  <c r="AA371" s="1"/>
  <c r="AD371" s="1"/>
  <c r="AG371" s="1"/>
  <c r="CD372"/>
  <c r="I372"/>
  <c r="L372" s="1"/>
  <c r="O372" s="1"/>
  <c r="R372" s="1"/>
  <c r="U372" s="1"/>
  <c r="X372" s="1"/>
  <c r="AA372" s="1"/>
  <c r="AD372" s="1"/>
  <c r="AG372" s="1"/>
  <c r="CD373"/>
  <c r="I373"/>
  <c r="L373" s="1"/>
  <c r="O373" s="1"/>
  <c r="R373" s="1"/>
  <c r="U373" s="1"/>
  <c r="X373" s="1"/>
  <c r="AA373" s="1"/>
  <c r="AD373" s="1"/>
  <c r="AG373" s="1"/>
  <c r="AJ373" s="1"/>
  <c r="AM373" s="1"/>
  <c r="AP373" s="1"/>
  <c r="AS373" s="1"/>
  <c r="AV373" s="1"/>
  <c r="AY373" s="1"/>
  <c r="BB373" s="1"/>
  <c r="BE373" s="1"/>
  <c r="BH373" s="1"/>
  <c r="BK373" s="1"/>
  <c r="BN373" s="1"/>
  <c r="CD374"/>
  <c r="I374"/>
  <c r="L374" s="1"/>
  <c r="O374" s="1"/>
  <c r="R374" s="1"/>
  <c r="U374" s="1"/>
  <c r="X374" s="1"/>
  <c r="AA374" s="1"/>
  <c r="AD374" s="1"/>
  <c r="AG374" s="1"/>
  <c r="CD375"/>
  <c r="I375"/>
  <c r="L375" s="1"/>
  <c r="O375" s="1"/>
  <c r="R375" s="1"/>
  <c r="U375" s="1"/>
  <c r="X375" s="1"/>
  <c r="AA375" s="1"/>
  <c r="AD375" s="1"/>
  <c r="AG375" s="1"/>
  <c r="AJ375" s="1"/>
  <c r="AM375" s="1"/>
  <c r="AP375" s="1"/>
  <c r="AS375" s="1"/>
  <c r="AV375" s="1"/>
  <c r="AY375" s="1"/>
  <c r="BB375" s="1"/>
  <c r="CD376"/>
  <c r="I376"/>
  <c r="L376" s="1"/>
  <c r="O376" s="1"/>
  <c r="R376" s="1"/>
  <c r="U376" s="1"/>
  <c r="X376" s="1"/>
  <c r="AA376" s="1"/>
  <c r="AD376" s="1"/>
  <c r="AG376" s="1"/>
  <c r="AJ376" s="1"/>
  <c r="CD377"/>
  <c r="I377"/>
  <c r="L377" s="1"/>
  <c r="O377" s="1"/>
  <c r="R377" s="1"/>
  <c r="U377" s="1"/>
  <c r="X377" s="1"/>
  <c r="AA377" s="1"/>
  <c r="AD377" s="1"/>
  <c r="AG377" s="1"/>
  <c r="AJ377" s="1"/>
  <c r="AM377" s="1"/>
  <c r="AP377" s="1"/>
  <c r="AS377" s="1"/>
  <c r="AV377" s="1"/>
  <c r="AY377" s="1"/>
  <c r="BB377" s="1"/>
  <c r="BE377" s="1"/>
  <c r="BH377" s="1"/>
  <c r="BK377" s="1"/>
  <c r="CD378"/>
  <c r="I378"/>
  <c r="L378" s="1"/>
  <c r="O378" s="1"/>
  <c r="R378" s="1"/>
  <c r="U378" s="1"/>
  <c r="X378" s="1"/>
  <c r="AA378" s="1"/>
  <c r="AD378" s="1"/>
  <c r="AG378" s="1"/>
  <c r="AJ378" s="1"/>
  <c r="AM378" s="1"/>
  <c r="AP378" s="1"/>
  <c r="AS378" s="1"/>
  <c r="AV378" s="1"/>
  <c r="AY378" s="1"/>
  <c r="BB378" s="1"/>
  <c r="BE378" s="1"/>
  <c r="BH378" s="1"/>
  <c r="CD379"/>
  <c r="I379"/>
  <c r="L379" s="1"/>
  <c r="O379" s="1"/>
  <c r="R379" s="1"/>
  <c r="U379" s="1"/>
  <c r="X379" s="1"/>
  <c r="AA379" s="1"/>
  <c r="AD379" s="1"/>
  <c r="AG379" s="1"/>
  <c r="AJ379" s="1"/>
  <c r="AM379" s="1"/>
  <c r="AP379" s="1"/>
  <c r="AS379" s="1"/>
  <c r="AV379" s="1"/>
  <c r="AY379" s="1"/>
  <c r="BB379" s="1"/>
  <c r="BE379" s="1"/>
  <c r="BH379" s="1"/>
  <c r="BK379" s="1"/>
  <c r="BN379" s="1"/>
  <c r="BQ373" l="1"/>
  <c r="BT373" s="1"/>
  <c r="BW373" s="1"/>
  <c r="BZ373" s="1"/>
  <c r="BQ379"/>
  <c r="BT379" s="1"/>
  <c r="BW379" s="1"/>
  <c r="BZ379" s="1"/>
  <c r="BQ688"/>
  <c r="BP365"/>
  <c r="BQ365" s="1"/>
  <c r="BT365" s="1"/>
  <c r="BW365" s="1"/>
  <c r="BZ365" s="1"/>
  <c r="BN615"/>
  <c r="BM377"/>
  <c r="BN377" s="1"/>
  <c r="BJ70" i="32"/>
  <c r="BK70" s="1"/>
  <c r="BN70" s="1"/>
  <c r="BQ70" s="1"/>
  <c r="BT70" s="1"/>
  <c r="BW70" s="1"/>
  <c r="BZ70" s="1"/>
  <c r="BJ378" i="30"/>
  <c r="BJ687" s="1"/>
  <c r="BK687" s="1"/>
  <c r="BN687" s="1"/>
  <c r="AG369"/>
  <c r="AJ369" s="1"/>
  <c r="BD375"/>
  <c r="BD611" s="1"/>
  <c r="BE611" s="1"/>
  <c r="BH611" s="1"/>
  <c r="BK611" s="1"/>
  <c r="BA492"/>
  <c r="BB492" s="1"/>
  <c r="BE492" s="1"/>
  <c r="AX368"/>
  <c r="AY368" s="1"/>
  <c r="BB368" s="1"/>
  <c r="BE368" s="1"/>
  <c r="BH368" s="1"/>
  <c r="BK368" s="1"/>
  <c r="BN368" s="1"/>
  <c r="AL376"/>
  <c r="AM376" s="1"/>
  <c r="AP376" s="1"/>
  <c r="AS376" s="1"/>
  <c r="AV376" s="1"/>
  <c r="AY376" s="1"/>
  <c r="BB376" s="1"/>
  <c r="BE376" s="1"/>
  <c r="BH376" s="1"/>
  <c r="BK376" s="1"/>
  <c r="BN376" s="1"/>
  <c r="AM367"/>
  <c r="AP367" s="1"/>
  <c r="AS367" s="1"/>
  <c r="AD67" i="32"/>
  <c r="AG67" s="1"/>
  <c r="AJ67" s="1"/>
  <c r="AM67" s="1"/>
  <c r="AP67" s="1"/>
  <c r="AS67" s="1"/>
  <c r="AV67" s="1"/>
  <c r="AY67" s="1"/>
  <c r="BB67" s="1"/>
  <c r="BE67" s="1"/>
  <c r="BH67" s="1"/>
  <c r="BK67" s="1"/>
  <c r="BN67" s="1"/>
  <c r="BQ67" s="1"/>
  <c r="BT67" s="1"/>
  <c r="BW67" s="1"/>
  <c r="BZ67" s="1"/>
  <c r="AG366" i="30"/>
  <c r="AJ366" s="1"/>
  <c r="AD68" i="32"/>
  <c r="AG68" s="1"/>
  <c r="AD66"/>
  <c r="AG66" s="1"/>
  <c r="AJ66" s="1"/>
  <c r="AM66" s="1"/>
  <c r="AP66" s="1"/>
  <c r="BS688" i="30" l="1"/>
  <c r="BS745" s="1"/>
  <c r="BT745" s="1"/>
  <c r="BQ687"/>
  <c r="BT687" s="1"/>
  <c r="BW687" s="1"/>
  <c r="BZ687" s="1"/>
  <c r="BQ368"/>
  <c r="BT368" s="1"/>
  <c r="BW368" s="1"/>
  <c r="BZ368" s="1"/>
  <c r="BQ377"/>
  <c r="BT377" s="1"/>
  <c r="BW377" s="1"/>
  <c r="BZ377" s="1"/>
  <c r="BQ376"/>
  <c r="BT376" s="1"/>
  <c r="BW376" s="1"/>
  <c r="BZ376" s="1"/>
  <c r="BQ615"/>
  <c r="BT615" s="1"/>
  <c r="BW615" s="1"/>
  <c r="BZ615" s="1"/>
  <c r="BK378"/>
  <c r="BN378" s="1"/>
  <c r="BM611"/>
  <c r="BM684" s="1"/>
  <c r="BN684" s="1"/>
  <c r="BH492"/>
  <c r="BK492" s="1"/>
  <c r="BN492" s="1"/>
  <c r="BE375"/>
  <c r="BH375" s="1"/>
  <c r="BK375" s="1"/>
  <c r="BN375" s="1"/>
  <c r="AU367"/>
  <c r="AV367" s="1"/>
  <c r="AY367" s="1"/>
  <c r="BB367" s="1"/>
  <c r="BE367" s="1"/>
  <c r="BH367" s="1"/>
  <c r="BK367" s="1"/>
  <c r="BN367" s="1"/>
  <c r="AM366"/>
  <c r="AP366" s="1"/>
  <c r="AS366" s="1"/>
  <c r="AV366" s="1"/>
  <c r="AY366" s="1"/>
  <c r="BB366" s="1"/>
  <c r="BE366" s="1"/>
  <c r="BH366" s="1"/>
  <c r="BK366" s="1"/>
  <c r="BN366" s="1"/>
  <c r="AF302"/>
  <c r="AF328"/>
  <c r="BV745" l="1"/>
  <c r="BV783" s="1"/>
  <c r="BW783" s="1"/>
  <c r="BZ783" s="1"/>
  <c r="BT688"/>
  <c r="BW688" s="1"/>
  <c r="BZ688" s="1"/>
  <c r="BQ492"/>
  <c r="BT492" s="1"/>
  <c r="BW492" s="1"/>
  <c r="BZ492" s="1"/>
  <c r="BQ684"/>
  <c r="BT684" s="1"/>
  <c r="BW684" s="1"/>
  <c r="BZ684" s="1"/>
  <c r="BQ375"/>
  <c r="BT375" s="1"/>
  <c r="BW375" s="1"/>
  <c r="BZ375" s="1"/>
  <c r="BQ366"/>
  <c r="BT366" s="1"/>
  <c r="BW366" s="1"/>
  <c r="BZ366" s="1"/>
  <c r="BQ367"/>
  <c r="BT367" s="1"/>
  <c r="BW367" s="1"/>
  <c r="BZ367" s="1"/>
  <c r="BQ378"/>
  <c r="BT378" s="1"/>
  <c r="BW378" s="1"/>
  <c r="BZ378" s="1"/>
  <c r="BN611"/>
  <c r="AF216"/>
  <c r="AF253"/>
  <c r="AF118"/>
  <c r="AG117"/>
  <c r="AJ117" s="1"/>
  <c r="AM117" s="1"/>
  <c r="AP117" s="1"/>
  <c r="AS117" s="1"/>
  <c r="AV117" s="1"/>
  <c r="AY117" s="1"/>
  <c r="BB117" s="1"/>
  <c r="BE117" s="1"/>
  <c r="BH117" s="1"/>
  <c r="BK117" s="1"/>
  <c r="BN117" s="1"/>
  <c r="AG274"/>
  <c r="AJ274" s="1"/>
  <c r="AF54" i="32"/>
  <c r="AF119" i="30"/>
  <c r="AF355"/>
  <c r="AF323"/>
  <c r="AF334"/>
  <c r="AF227"/>
  <c r="AA351"/>
  <c r="AD351" s="1"/>
  <c r="AG351" s="1"/>
  <c r="AJ351" s="1"/>
  <c r="CD351"/>
  <c r="AA337"/>
  <c r="AD337" s="1"/>
  <c r="AG337" s="1"/>
  <c r="AJ337" s="1"/>
  <c r="CD337"/>
  <c r="AA322"/>
  <c r="AA323"/>
  <c r="AA324"/>
  <c r="AA325"/>
  <c r="AA326"/>
  <c r="AA327"/>
  <c r="AA328"/>
  <c r="AA329"/>
  <c r="AA330"/>
  <c r="AA331"/>
  <c r="AA332"/>
  <c r="AA333"/>
  <c r="AD333" s="1"/>
  <c r="AG333" s="1"/>
  <c r="AJ333" s="1"/>
  <c r="AM333" s="1"/>
  <c r="AP333" s="1"/>
  <c r="AS333" s="1"/>
  <c r="AV333" s="1"/>
  <c r="AA334"/>
  <c r="AA335"/>
  <c r="AA336"/>
  <c r="AA338"/>
  <c r="AA339"/>
  <c r="AA340"/>
  <c r="AA341"/>
  <c r="AA342"/>
  <c r="AA343"/>
  <c r="AA344"/>
  <c r="AA345"/>
  <c r="AA346"/>
  <c r="AA347"/>
  <c r="AA348"/>
  <c r="AA349"/>
  <c r="AA350"/>
  <c r="AA352"/>
  <c r="AA353"/>
  <c r="AA354"/>
  <c r="AA355"/>
  <c r="AA321"/>
  <c r="CD333"/>
  <c r="X59" i="32"/>
  <c r="X61"/>
  <c r="X62"/>
  <c r="X63"/>
  <c r="X64"/>
  <c r="X60"/>
  <c r="BW745" i="30" l="1"/>
  <c r="BZ745" s="1"/>
  <c r="BQ117"/>
  <c r="BT117" s="1"/>
  <c r="BW117" s="1"/>
  <c r="BZ117" s="1"/>
  <c r="BQ611"/>
  <c r="BT611" s="1"/>
  <c r="BW611" s="1"/>
  <c r="BZ611" s="1"/>
  <c r="AX333"/>
  <c r="AY333" s="1"/>
  <c r="BB333" s="1"/>
  <c r="BE333" s="1"/>
  <c r="BH333" s="1"/>
  <c r="BK333" s="1"/>
  <c r="BN333" s="1"/>
  <c r="AM274"/>
  <c r="AP274" s="1"/>
  <c r="AS274" s="1"/>
  <c r="AV274" s="1"/>
  <c r="AY274" s="1"/>
  <c r="BB274" s="1"/>
  <c r="BE274" s="1"/>
  <c r="BH274" s="1"/>
  <c r="BK274" s="1"/>
  <c r="BN274" s="1"/>
  <c r="AM337"/>
  <c r="AP337" s="1"/>
  <c r="AS337" s="1"/>
  <c r="AV337" s="1"/>
  <c r="AM351"/>
  <c r="AP351" s="1"/>
  <c r="AS351" s="1"/>
  <c r="AV351" s="1"/>
  <c r="AY351" s="1"/>
  <c r="BB351" s="1"/>
  <c r="BE351" s="1"/>
  <c r="BH351" s="1"/>
  <c r="BK351" s="1"/>
  <c r="BN351" s="1"/>
  <c r="B61" i="32"/>
  <c r="L61"/>
  <c r="O61" s="1"/>
  <c r="R61" s="1"/>
  <c r="U61" s="1"/>
  <c r="AA61" s="1"/>
  <c r="AD61" s="1"/>
  <c r="AG61" s="1"/>
  <c r="AJ61" s="1"/>
  <c r="AM61" s="1"/>
  <c r="AP61" s="1"/>
  <c r="B62"/>
  <c r="CC62" s="1"/>
  <c r="L62"/>
  <c r="O62" s="1"/>
  <c r="R62" s="1"/>
  <c r="U62" s="1"/>
  <c r="AA62" s="1"/>
  <c r="AD62" s="1"/>
  <c r="AG62" s="1"/>
  <c r="AJ62" s="1"/>
  <c r="AM62" s="1"/>
  <c r="AP62" s="1"/>
  <c r="AS62" s="1"/>
  <c r="AV62" s="1"/>
  <c r="AY62" s="1"/>
  <c r="BB62" s="1"/>
  <c r="BE62" s="1"/>
  <c r="BH62" s="1"/>
  <c r="BK62" s="1"/>
  <c r="BN62" s="1"/>
  <c r="BQ62" s="1"/>
  <c r="BT62" s="1"/>
  <c r="BW62" s="1"/>
  <c r="BZ62" s="1"/>
  <c r="B63"/>
  <c r="L63"/>
  <c r="O63" s="1"/>
  <c r="R63" s="1"/>
  <c r="U63" s="1"/>
  <c r="AA63" s="1"/>
  <c r="AD63" s="1"/>
  <c r="B64"/>
  <c r="L64"/>
  <c r="O64" s="1"/>
  <c r="R64" s="1"/>
  <c r="U64" s="1"/>
  <c r="AA64" s="1"/>
  <c r="AD64" s="1"/>
  <c r="AG64" s="1"/>
  <c r="AJ64" s="1"/>
  <c r="AM64" s="1"/>
  <c r="B65"/>
  <c r="L65"/>
  <c r="O65" s="1"/>
  <c r="R65" s="1"/>
  <c r="U65" s="1"/>
  <c r="X65" s="1"/>
  <c r="AD65" s="1"/>
  <c r="AG65" s="1"/>
  <c r="AJ65" s="1"/>
  <c r="B75"/>
  <c r="L75"/>
  <c r="O75" s="1"/>
  <c r="R75" s="1"/>
  <c r="U75" s="1"/>
  <c r="X75" s="1"/>
  <c r="AA75" s="1"/>
  <c r="AD75" s="1"/>
  <c r="AG75" s="1"/>
  <c r="AM75" s="1"/>
  <c r="AP75" s="1"/>
  <c r="BQ333" i="30" l="1"/>
  <c r="BT333" s="1"/>
  <c r="BW333" s="1"/>
  <c r="BZ333" s="1"/>
  <c r="BQ274"/>
  <c r="BT274" s="1"/>
  <c r="BW274" s="1"/>
  <c r="BZ274" s="1"/>
  <c r="BQ351"/>
  <c r="BT351" s="1"/>
  <c r="BW351" s="1"/>
  <c r="BZ351" s="1"/>
  <c r="AR61" i="32"/>
  <c r="AS61" s="1"/>
  <c r="AV61" s="1"/>
  <c r="AY61" s="1"/>
  <c r="BB61" s="1"/>
  <c r="BE61" s="1"/>
  <c r="BH61" s="1"/>
  <c r="BK61" s="1"/>
  <c r="BN61" s="1"/>
  <c r="BQ61" s="1"/>
  <c r="BT61" s="1"/>
  <c r="BW61" s="1"/>
  <c r="BZ61" s="1"/>
  <c r="AR75"/>
  <c r="AR80" s="1"/>
  <c r="AO64"/>
  <c r="AG63"/>
  <c r="CD323" i="30"/>
  <c r="I323"/>
  <c r="L323" s="1"/>
  <c r="O323" s="1"/>
  <c r="R323" s="1"/>
  <c r="U323" s="1"/>
  <c r="X323" s="1"/>
  <c r="AD323" s="1"/>
  <c r="AG323" s="1"/>
  <c r="AJ323" s="1"/>
  <c r="AM323" s="1"/>
  <c r="AP323" s="1"/>
  <c r="AS323" s="1"/>
  <c r="AV323" s="1"/>
  <c r="AY323" s="1"/>
  <c r="BB323" s="1"/>
  <c r="BE323" s="1"/>
  <c r="BH323" s="1"/>
  <c r="BK323" s="1"/>
  <c r="BN323" s="1"/>
  <c r="CD324"/>
  <c r="I324"/>
  <c r="L324" s="1"/>
  <c r="O324" s="1"/>
  <c r="R324" s="1"/>
  <c r="U324" s="1"/>
  <c r="X324" s="1"/>
  <c r="AD324" s="1"/>
  <c r="AG324" s="1"/>
  <c r="AJ324" s="1"/>
  <c r="AM324" s="1"/>
  <c r="AP324" s="1"/>
  <c r="AS324" s="1"/>
  <c r="AV324" s="1"/>
  <c r="AY324" s="1"/>
  <c r="BB324" s="1"/>
  <c r="BE324" s="1"/>
  <c r="BH324" s="1"/>
  <c r="BK324" s="1"/>
  <c r="BN324" s="1"/>
  <c r="CD325"/>
  <c r="I325"/>
  <c r="L325" s="1"/>
  <c r="O325" s="1"/>
  <c r="R325" s="1"/>
  <c r="U325" s="1"/>
  <c r="X325" s="1"/>
  <c r="AD325" s="1"/>
  <c r="AG325" s="1"/>
  <c r="AJ325" s="1"/>
  <c r="AM325" s="1"/>
  <c r="AP325" s="1"/>
  <c r="AS325" s="1"/>
  <c r="AV325" s="1"/>
  <c r="AY325" s="1"/>
  <c r="BB325" s="1"/>
  <c r="BE325" s="1"/>
  <c r="BH325" s="1"/>
  <c r="BK325" s="1"/>
  <c r="BN325" s="1"/>
  <c r="CD326"/>
  <c r="I326"/>
  <c r="L326" s="1"/>
  <c r="O326" s="1"/>
  <c r="R326" s="1"/>
  <c r="U326" s="1"/>
  <c r="X326" s="1"/>
  <c r="AD326" s="1"/>
  <c r="CD327"/>
  <c r="I327"/>
  <c r="L327" s="1"/>
  <c r="O327" s="1"/>
  <c r="R327" s="1"/>
  <c r="U327" s="1"/>
  <c r="X327" s="1"/>
  <c r="AD327" s="1"/>
  <c r="AG327" s="1"/>
  <c r="AJ327" s="1"/>
  <c r="CD328"/>
  <c r="I328"/>
  <c r="L328" s="1"/>
  <c r="O328" s="1"/>
  <c r="R328" s="1"/>
  <c r="U328" s="1"/>
  <c r="X328" s="1"/>
  <c r="AD328" s="1"/>
  <c r="CD329"/>
  <c r="I329"/>
  <c r="L329" s="1"/>
  <c r="O329" s="1"/>
  <c r="R329" s="1"/>
  <c r="U329" s="1"/>
  <c r="X329" s="1"/>
  <c r="AD329" s="1"/>
  <c r="AG329" s="1"/>
  <c r="AJ329" s="1"/>
  <c r="CD330"/>
  <c r="I330"/>
  <c r="L330" s="1"/>
  <c r="O330" s="1"/>
  <c r="R330" s="1"/>
  <c r="U330" s="1"/>
  <c r="X330" s="1"/>
  <c r="AD330" s="1"/>
  <c r="AG330" s="1"/>
  <c r="AJ330" s="1"/>
  <c r="AM330" s="1"/>
  <c r="AP330" s="1"/>
  <c r="AS330" s="1"/>
  <c r="AV330" s="1"/>
  <c r="AY330" s="1"/>
  <c r="BB330" s="1"/>
  <c r="BE330" s="1"/>
  <c r="BH330" s="1"/>
  <c r="BK330" s="1"/>
  <c r="BN330" s="1"/>
  <c r="CD331"/>
  <c r="I331"/>
  <c r="L331" s="1"/>
  <c r="O331" s="1"/>
  <c r="R331" s="1"/>
  <c r="U331" s="1"/>
  <c r="X331" s="1"/>
  <c r="AD331" s="1"/>
  <c r="AG331" s="1"/>
  <c r="AJ331" s="1"/>
  <c r="CD332"/>
  <c r="I332"/>
  <c r="L332" s="1"/>
  <c r="O332" s="1"/>
  <c r="R332" s="1"/>
  <c r="U332" s="1"/>
  <c r="X332" s="1"/>
  <c r="AD332" s="1"/>
  <c r="AG332" s="1"/>
  <c r="AJ332" s="1"/>
  <c r="CD334"/>
  <c r="I334"/>
  <c r="L334" s="1"/>
  <c r="O334" s="1"/>
  <c r="R334" s="1"/>
  <c r="U334" s="1"/>
  <c r="X334" s="1"/>
  <c r="AD334" s="1"/>
  <c r="AG334" s="1"/>
  <c r="AJ334" s="1"/>
  <c r="AM334" s="1"/>
  <c r="AP334" s="1"/>
  <c r="AS334" s="1"/>
  <c r="AV334" s="1"/>
  <c r="AY334" s="1"/>
  <c r="BB334" s="1"/>
  <c r="BE334" s="1"/>
  <c r="BH334" s="1"/>
  <c r="BK334" s="1"/>
  <c r="BN334" s="1"/>
  <c r="CD335"/>
  <c r="I335"/>
  <c r="L335" s="1"/>
  <c r="O335" s="1"/>
  <c r="R335" s="1"/>
  <c r="U335" s="1"/>
  <c r="X335" s="1"/>
  <c r="AD335" s="1"/>
  <c r="AG335" s="1"/>
  <c r="AJ335" s="1"/>
  <c r="AM335" s="1"/>
  <c r="AP335" s="1"/>
  <c r="AS335" s="1"/>
  <c r="AV335" s="1"/>
  <c r="AY335" s="1"/>
  <c r="BB335" s="1"/>
  <c r="CD336"/>
  <c r="I336"/>
  <c r="L336" s="1"/>
  <c r="O336" s="1"/>
  <c r="R336" s="1"/>
  <c r="U336" s="1"/>
  <c r="X336" s="1"/>
  <c r="AD336" s="1"/>
  <c r="AG336" s="1"/>
  <c r="AJ336" s="1"/>
  <c r="CD338"/>
  <c r="I338"/>
  <c r="L338" s="1"/>
  <c r="O338" s="1"/>
  <c r="R338" s="1"/>
  <c r="U338" s="1"/>
  <c r="X338" s="1"/>
  <c r="AD338" s="1"/>
  <c r="AG338" s="1"/>
  <c r="AJ338" s="1"/>
  <c r="AM338" s="1"/>
  <c r="AP338" s="1"/>
  <c r="AS338" s="1"/>
  <c r="CD339"/>
  <c r="I339"/>
  <c r="L339" s="1"/>
  <c r="O339" s="1"/>
  <c r="R339" s="1"/>
  <c r="U339" s="1"/>
  <c r="X339" s="1"/>
  <c r="AD339" s="1"/>
  <c r="AG339" s="1"/>
  <c r="AJ339" s="1"/>
  <c r="AM339" s="1"/>
  <c r="AP339" s="1"/>
  <c r="AS339" s="1"/>
  <c r="AV339" s="1"/>
  <c r="AY339" s="1"/>
  <c r="BB339" s="1"/>
  <c r="BE339" s="1"/>
  <c r="BH339" s="1"/>
  <c r="BK339" s="1"/>
  <c r="BN339" s="1"/>
  <c r="CD340"/>
  <c r="I340"/>
  <c r="L340" s="1"/>
  <c r="O340" s="1"/>
  <c r="R340" s="1"/>
  <c r="U340" s="1"/>
  <c r="X340" s="1"/>
  <c r="AD340" s="1"/>
  <c r="AG340" s="1"/>
  <c r="CD341"/>
  <c r="I341"/>
  <c r="L341" s="1"/>
  <c r="O341" s="1"/>
  <c r="R341" s="1"/>
  <c r="U341" s="1"/>
  <c r="X341" s="1"/>
  <c r="AD341" s="1"/>
  <c r="AG341" s="1"/>
  <c r="CD342"/>
  <c r="I342"/>
  <c r="L342" s="1"/>
  <c r="O342" s="1"/>
  <c r="R342" s="1"/>
  <c r="U342" s="1"/>
  <c r="X342" s="1"/>
  <c r="AD342" s="1"/>
  <c r="CD343"/>
  <c r="I343"/>
  <c r="L343" s="1"/>
  <c r="O343" s="1"/>
  <c r="R343" s="1"/>
  <c r="U343" s="1"/>
  <c r="X343" s="1"/>
  <c r="AD343" s="1"/>
  <c r="AG343" s="1"/>
  <c r="AJ343" s="1"/>
  <c r="CD344"/>
  <c r="I344"/>
  <c r="L344" s="1"/>
  <c r="O344" s="1"/>
  <c r="R344" s="1"/>
  <c r="U344" s="1"/>
  <c r="X344" s="1"/>
  <c r="AD344" s="1"/>
  <c r="AG344" s="1"/>
  <c r="AJ344" s="1"/>
  <c r="CD345"/>
  <c r="I345"/>
  <c r="L345" s="1"/>
  <c r="O345" s="1"/>
  <c r="R345" s="1"/>
  <c r="U345" s="1"/>
  <c r="X345" s="1"/>
  <c r="AD345" s="1"/>
  <c r="AG345" s="1"/>
  <c r="AJ345" s="1"/>
  <c r="AM345" s="1"/>
  <c r="AP345" s="1"/>
  <c r="AS345" s="1"/>
  <c r="AV345" s="1"/>
  <c r="CD346"/>
  <c r="I346"/>
  <c r="L346" s="1"/>
  <c r="O346" s="1"/>
  <c r="R346" s="1"/>
  <c r="U346" s="1"/>
  <c r="X346" s="1"/>
  <c r="AD346" s="1"/>
  <c r="AG346" s="1"/>
  <c r="AJ346" s="1"/>
  <c r="CD347"/>
  <c r="I347"/>
  <c r="L347" s="1"/>
  <c r="O347" s="1"/>
  <c r="R347" s="1"/>
  <c r="U347" s="1"/>
  <c r="X347" s="1"/>
  <c r="AD347" s="1"/>
  <c r="AG347" s="1"/>
  <c r="CD348"/>
  <c r="I348"/>
  <c r="L348" s="1"/>
  <c r="O348" s="1"/>
  <c r="R348" s="1"/>
  <c r="U348" s="1"/>
  <c r="X348" s="1"/>
  <c r="AD348" s="1"/>
  <c r="AG348" s="1"/>
  <c r="AJ348" s="1"/>
  <c r="AM348" s="1"/>
  <c r="AP348" s="1"/>
  <c r="AS348" s="1"/>
  <c r="AV348" s="1"/>
  <c r="AY348" s="1"/>
  <c r="BB348" s="1"/>
  <c r="BE348" s="1"/>
  <c r="BH348" s="1"/>
  <c r="BK348" s="1"/>
  <c r="BN348" s="1"/>
  <c r="CD349"/>
  <c r="I349"/>
  <c r="L349" s="1"/>
  <c r="O349" s="1"/>
  <c r="R349" s="1"/>
  <c r="U349" s="1"/>
  <c r="X349" s="1"/>
  <c r="AD349" s="1"/>
  <c r="AG349" s="1"/>
  <c r="AJ349" s="1"/>
  <c r="CD350"/>
  <c r="I350"/>
  <c r="L350" s="1"/>
  <c r="O350" s="1"/>
  <c r="R350" s="1"/>
  <c r="U350" s="1"/>
  <c r="X350" s="1"/>
  <c r="AD350" s="1"/>
  <c r="AG350" s="1"/>
  <c r="CD352"/>
  <c r="I352"/>
  <c r="L352" s="1"/>
  <c r="O352" s="1"/>
  <c r="R352" s="1"/>
  <c r="U352" s="1"/>
  <c r="X352" s="1"/>
  <c r="AD352" s="1"/>
  <c r="AG352" s="1"/>
  <c r="AJ352" s="1"/>
  <c r="CD353"/>
  <c r="I353"/>
  <c r="L353" s="1"/>
  <c r="O353" s="1"/>
  <c r="R353" s="1"/>
  <c r="U353" s="1"/>
  <c r="X353" s="1"/>
  <c r="AD353" s="1"/>
  <c r="AG353" s="1"/>
  <c r="AJ353" s="1"/>
  <c r="CD354"/>
  <c r="I354"/>
  <c r="L354" s="1"/>
  <c r="O354" s="1"/>
  <c r="R354" s="1"/>
  <c r="U354" s="1"/>
  <c r="X354" s="1"/>
  <c r="AD354" s="1"/>
  <c r="AG354" s="1"/>
  <c r="AJ354" s="1"/>
  <c r="AM354" s="1"/>
  <c r="AP354" s="1"/>
  <c r="AS354" s="1"/>
  <c r="AV354" s="1"/>
  <c r="AY354" s="1"/>
  <c r="BB354" s="1"/>
  <c r="BE354" s="1"/>
  <c r="BH354" s="1"/>
  <c r="BK354" s="1"/>
  <c r="CD355"/>
  <c r="I355"/>
  <c r="L355" s="1"/>
  <c r="O355" s="1"/>
  <c r="R355" s="1"/>
  <c r="U355" s="1"/>
  <c r="X355" s="1"/>
  <c r="AD355" s="1"/>
  <c r="AG355" s="1"/>
  <c r="AJ355" s="1"/>
  <c r="AM355" s="1"/>
  <c r="AP355" s="1"/>
  <c r="AS355" s="1"/>
  <c r="AV355" s="1"/>
  <c r="AY355" s="1"/>
  <c r="BB355" s="1"/>
  <c r="BE355" s="1"/>
  <c r="BH355" s="1"/>
  <c r="BK355" s="1"/>
  <c r="BN355" s="1"/>
  <c r="CD356"/>
  <c r="I356"/>
  <c r="L356" s="1"/>
  <c r="O356" s="1"/>
  <c r="R356" s="1"/>
  <c r="U356" s="1"/>
  <c r="X356" s="1"/>
  <c r="AA356" s="1"/>
  <c r="AD356" s="1"/>
  <c r="AG356" s="1"/>
  <c r="AJ356" s="1"/>
  <c r="CD357"/>
  <c r="I357"/>
  <c r="L357" s="1"/>
  <c r="O357" s="1"/>
  <c r="R357" s="1"/>
  <c r="U357" s="1"/>
  <c r="X357" s="1"/>
  <c r="AA357" s="1"/>
  <c r="AD357" s="1"/>
  <c r="AG357" s="1"/>
  <c r="AJ357" s="1"/>
  <c r="AM357" s="1"/>
  <c r="AP357" s="1"/>
  <c r="AS357" s="1"/>
  <c r="CD358"/>
  <c r="I358"/>
  <c r="L358" s="1"/>
  <c r="O358" s="1"/>
  <c r="R358" s="1"/>
  <c r="U358" s="1"/>
  <c r="X358" s="1"/>
  <c r="AA358" s="1"/>
  <c r="AD358" s="1"/>
  <c r="AG358" s="1"/>
  <c r="AJ358" s="1"/>
  <c r="AM358" s="1"/>
  <c r="AP358" s="1"/>
  <c r="AS358" s="1"/>
  <c r="AV358" s="1"/>
  <c r="AY358" s="1"/>
  <c r="BB358" s="1"/>
  <c r="BE358" s="1"/>
  <c r="BH358" s="1"/>
  <c r="BK358" s="1"/>
  <c r="BN358" s="1"/>
  <c r="CD359"/>
  <c r="I359"/>
  <c r="L359" s="1"/>
  <c r="O359" s="1"/>
  <c r="R359" s="1"/>
  <c r="U359" s="1"/>
  <c r="X359" s="1"/>
  <c r="AA359" s="1"/>
  <c r="AD359" s="1"/>
  <c r="AG359" s="1"/>
  <c r="AJ359" s="1"/>
  <c r="CD360"/>
  <c r="I360"/>
  <c r="L360" s="1"/>
  <c r="O360" s="1"/>
  <c r="R360" s="1"/>
  <c r="U360" s="1"/>
  <c r="X360" s="1"/>
  <c r="AA360" s="1"/>
  <c r="AD360" s="1"/>
  <c r="AG360" s="1"/>
  <c r="AJ360" s="1"/>
  <c r="AM360" s="1"/>
  <c r="CD361"/>
  <c r="I361"/>
  <c r="L361" s="1"/>
  <c r="O361" s="1"/>
  <c r="R361" s="1"/>
  <c r="U361" s="1"/>
  <c r="X361" s="1"/>
  <c r="AA361" s="1"/>
  <c r="AD361" s="1"/>
  <c r="AG361" s="1"/>
  <c r="AJ361" s="1"/>
  <c r="CD362"/>
  <c r="I362"/>
  <c r="L362" s="1"/>
  <c r="O362" s="1"/>
  <c r="R362" s="1"/>
  <c r="U362" s="1"/>
  <c r="X362" s="1"/>
  <c r="AA362" s="1"/>
  <c r="AD362" s="1"/>
  <c r="AG362" s="1"/>
  <c r="AJ362" s="1"/>
  <c r="AM362" s="1"/>
  <c r="AP362" s="1"/>
  <c r="AS362" s="1"/>
  <c r="AV362" s="1"/>
  <c r="AY362" s="1"/>
  <c r="BB362" s="1"/>
  <c r="CD363"/>
  <c r="I363"/>
  <c r="L363" s="1"/>
  <c r="O363" s="1"/>
  <c r="R363" s="1"/>
  <c r="U363" s="1"/>
  <c r="X363" s="1"/>
  <c r="AA363" s="1"/>
  <c r="AD363" s="1"/>
  <c r="AG363" s="1"/>
  <c r="AJ363" s="1"/>
  <c r="AM363" s="1"/>
  <c r="CD364"/>
  <c r="I364"/>
  <c r="L364" s="1"/>
  <c r="O364" s="1"/>
  <c r="R364" s="1"/>
  <c r="U364" s="1"/>
  <c r="X364" s="1"/>
  <c r="AA364" s="1"/>
  <c r="AD364" s="1"/>
  <c r="AG364" s="1"/>
  <c r="CD380"/>
  <c r="I380"/>
  <c r="L380" s="1"/>
  <c r="O380" s="1"/>
  <c r="R380" s="1"/>
  <c r="U380" s="1"/>
  <c r="X380" s="1"/>
  <c r="AA380" s="1"/>
  <c r="AD380" s="1"/>
  <c r="AG380" s="1"/>
  <c r="CD381"/>
  <c r="I381"/>
  <c r="L381" s="1"/>
  <c r="O381" s="1"/>
  <c r="R381" s="1"/>
  <c r="U381" s="1"/>
  <c r="X381" s="1"/>
  <c r="AA381" s="1"/>
  <c r="AD381" s="1"/>
  <c r="AG381" s="1"/>
  <c r="AJ381" s="1"/>
  <c r="AM381" s="1"/>
  <c r="AP381" s="1"/>
  <c r="AS381" s="1"/>
  <c r="AV381" s="1"/>
  <c r="AY381" s="1"/>
  <c r="BB381" s="1"/>
  <c r="BE381" s="1"/>
  <c r="BH381" s="1"/>
  <c r="BK381" s="1"/>
  <c r="BN381" s="1"/>
  <c r="CD382"/>
  <c r="I382"/>
  <c r="L382" s="1"/>
  <c r="O382" s="1"/>
  <c r="R382" s="1"/>
  <c r="U382" s="1"/>
  <c r="X382" s="1"/>
  <c r="AA382" s="1"/>
  <c r="AD382" s="1"/>
  <c r="AG382" s="1"/>
  <c r="AJ382" s="1"/>
  <c r="AM382" s="1"/>
  <c r="AP382" s="1"/>
  <c r="AS382" s="1"/>
  <c r="AV382" s="1"/>
  <c r="AY382" s="1"/>
  <c r="BB382" s="1"/>
  <c r="BE382" s="1"/>
  <c r="BH382" s="1"/>
  <c r="BK382" s="1"/>
  <c r="BN382" s="1"/>
  <c r="CD383"/>
  <c r="I383"/>
  <c r="CD384"/>
  <c r="I384"/>
  <c r="L384" s="1"/>
  <c r="O384" s="1"/>
  <c r="R384" s="1"/>
  <c r="U384" s="1"/>
  <c r="X384" s="1"/>
  <c r="AA384" s="1"/>
  <c r="AD384" s="1"/>
  <c r="AG384" s="1"/>
  <c r="AJ384" s="1"/>
  <c r="AM384" s="1"/>
  <c r="AP384" s="1"/>
  <c r="AS384" s="1"/>
  <c r="AV384" s="1"/>
  <c r="CD385"/>
  <c r="I385"/>
  <c r="L385" s="1"/>
  <c r="O385" s="1"/>
  <c r="R385" s="1"/>
  <c r="U385" s="1"/>
  <c r="X385" s="1"/>
  <c r="AA385" s="1"/>
  <c r="AD385" s="1"/>
  <c r="AG385" s="1"/>
  <c r="AJ385" s="1"/>
  <c r="AM385" s="1"/>
  <c r="CD386"/>
  <c r="I386"/>
  <c r="L386" s="1"/>
  <c r="O386" s="1"/>
  <c r="R386" s="1"/>
  <c r="U386" s="1"/>
  <c r="X386" s="1"/>
  <c r="AA386" s="1"/>
  <c r="AD386" s="1"/>
  <c r="AG386" s="1"/>
  <c r="AJ386" s="1"/>
  <c r="AM386" s="1"/>
  <c r="AP386" s="1"/>
  <c r="AS386" s="1"/>
  <c r="AV386" s="1"/>
  <c r="AY386" s="1"/>
  <c r="BB386" s="1"/>
  <c r="BE386" s="1"/>
  <c r="BH386" s="1"/>
  <c r="BK386" s="1"/>
  <c r="BN386" s="1"/>
  <c r="CD387"/>
  <c r="I387"/>
  <c r="L387" s="1"/>
  <c r="O387" s="1"/>
  <c r="R387" s="1"/>
  <c r="U387" s="1"/>
  <c r="X387" s="1"/>
  <c r="AA387" s="1"/>
  <c r="AD387" s="1"/>
  <c r="AG387" s="1"/>
  <c r="AJ387" s="1"/>
  <c r="CD388"/>
  <c r="I388"/>
  <c r="L388" s="1"/>
  <c r="O388" s="1"/>
  <c r="R388" s="1"/>
  <c r="U388" s="1"/>
  <c r="X388" s="1"/>
  <c r="AA388" s="1"/>
  <c r="AD388" s="1"/>
  <c r="AG388" s="1"/>
  <c r="AJ388" s="1"/>
  <c r="CD389"/>
  <c r="I389"/>
  <c r="L389" s="1"/>
  <c r="O389" s="1"/>
  <c r="R389" s="1"/>
  <c r="U389" s="1"/>
  <c r="X389" s="1"/>
  <c r="AA389" s="1"/>
  <c r="AD389" s="1"/>
  <c r="AG389" s="1"/>
  <c r="AJ389" s="1"/>
  <c r="CD390"/>
  <c r="I390"/>
  <c r="L390" s="1"/>
  <c r="O390" s="1"/>
  <c r="R390" s="1"/>
  <c r="U390" s="1"/>
  <c r="X390" s="1"/>
  <c r="AA390" s="1"/>
  <c r="AD390" s="1"/>
  <c r="AG390" s="1"/>
  <c r="AJ390" s="1"/>
  <c r="AM390" s="1"/>
  <c r="CD391"/>
  <c r="I391"/>
  <c r="L391" s="1"/>
  <c r="O391" s="1"/>
  <c r="R391" s="1"/>
  <c r="U391" s="1"/>
  <c r="X391" s="1"/>
  <c r="AA391" s="1"/>
  <c r="AD391" s="1"/>
  <c r="AG391" s="1"/>
  <c r="AJ391" s="1"/>
  <c r="AM391" s="1"/>
  <c r="AP391" s="1"/>
  <c r="AS391" s="1"/>
  <c r="CD392"/>
  <c r="I392"/>
  <c r="L392" s="1"/>
  <c r="O392" s="1"/>
  <c r="R392" s="1"/>
  <c r="U392" s="1"/>
  <c r="X392" s="1"/>
  <c r="AA392" s="1"/>
  <c r="AD392" s="1"/>
  <c r="AG392" s="1"/>
  <c r="AJ392" s="1"/>
  <c r="AM392" s="1"/>
  <c r="AP392" s="1"/>
  <c r="AS392" s="1"/>
  <c r="AV392" s="1"/>
  <c r="AY392" s="1"/>
  <c r="BB392" s="1"/>
  <c r="BE392" s="1"/>
  <c r="BH392" s="1"/>
  <c r="BK392" s="1"/>
  <c r="BN392" s="1"/>
  <c r="CD393"/>
  <c r="I393"/>
  <c r="L393" s="1"/>
  <c r="O393" s="1"/>
  <c r="R393" s="1"/>
  <c r="U393" s="1"/>
  <c r="X393" s="1"/>
  <c r="AA393" s="1"/>
  <c r="AD393" s="1"/>
  <c r="AG393" s="1"/>
  <c r="AJ393" s="1"/>
  <c r="CD394"/>
  <c r="I394"/>
  <c r="L394" s="1"/>
  <c r="O394" s="1"/>
  <c r="R394" s="1"/>
  <c r="U394" s="1"/>
  <c r="X394" s="1"/>
  <c r="AA394" s="1"/>
  <c r="AD394" s="1"/>
  <c r="AG394" s="1"/>
  <c r="AJ394" s="1"/>
  <c r="AM394" s="1"/>
  <c r="AP394" s="1"/>
  <c r="AS394" s="1"/>
  <c r="AV394" s="1"/>
  <c r="AY394" s="1"/>
  <c r="BB394" s="1"/>
  <c r="BE394" s="1"/>
  <c r="BH394" s="1"/>
  <c r="BK394" s="1"/>
  <c r="BN394" s="1"/>
  <c r="BQ392" l="1"/>
  <c r="BT392" s="1"/>
  <c r="BW392" s="1"/>
  <c r="BZ392" s="1"/>
  <c r="BQ386"/>
  <c r="BT386" s="1"/>
  <c r="BW386" s="1"/>
  <c r="BZ386" s="1"/>
  <c r="BQ355"/>
  <c r="BT355" s="1"/>
  <c r="BW355" s="1"/>
  <c r="BZ355" s="1"/>
  <c r="BQ348"/>
  <c r="BT348" s="1"/>
  <c r="BW348" s="1"/>
  <c r="BZ348" s="1"/>
  <c r="BQ330"/>
  <c r="BQ324"/>
  <c r="BT324" s="1"/>
  <c r="BW324" s="1"/>
  <c r="BZ324" s="1"/>
  <c r="BQ382"/>
  <c r="BT382" s="1"/>
  <c r="BW382" s="1"/>
  <c r="BZ382" s="1"/>
  <c r="BQ381"/>
  <c r="BT381" s="1"/>
  <c r="BQ358"/>
  <c r="BT358" s="1"/>
  <c r="BW358" s="1"/>
  <c r="BZ358" s="1"/>
  <c r="BQ339"/>
  <c r="BT339" s="1"/>
  <c r="BW339" s="1"/>
  <c r="BZ339" s="1"/>
  <c r="BQ334"/>
  <c r="BT334" s="1"/>
  <c r="BW334" s="1"/>
  <c r="BZ334" s="1"/>
  <c r="BQ325"/>
  <c r="BQ323"/>
  <c r="BT323" s="1"/>
  <c r="BW323" s="1"/>
  <c r="BZ323" s="1"/>
  <c r="BP394"/>
  <c r="BQ394" s="1"/>
  <c r="BT394" s="1"/>
  <c r="BW394" s="1"/>
  <c r="BZ394" s="1"/>
  <c r="BM354"/>
  <c r="BN354" s="1"/>
  <c r="BD362"/>
  <c r="BE362" s="1"/>
  <c r="BH362" s="1"/>
  <c r="BK362" s="1"/>
  <c r="BN362" s="1"/>
  <c r="BD335"/>
  <c r="BE335" s="1"/>
  <c r="BH335" s="1"/>
  <c r="BK335" s="1"/>
  <c r="BN335" s="1"/>
  <c r="AX345"/>
  <c r="AX500" s="1"/>
  <c r="AY500" s="1"/>
  <c r="BB500" s="1"/>
  <c r="AX384"/>
  <c r="AY384" s="1"/>
  <c r="BB384" s="1"/>
  <c r="BE384" s="1"/>
  <c r="BH384" s="1"/>
  <c r="BK384" s="1"/>
  <c r="BN384" s="1"/>
  <c r="AU338"/>
  <c r="AU391" s="1"/>
  <c r="AS75" i="32"/>
  <c r="AV75" s="1"/>
  <c r="AY75" s="1"/>
  <c r="BB75" s="1"/>
  <c r="BE75" s="1"/>
  <c r="BH75" s="1"/>
  <c r="BK75" s="1"/>
  <c r="BN75" s="1"/>
  <c r="BQ75" s="1"/>
  <c r="BT75" s="1"/>
  <c r="BW75" s="1"/>
  <c r="BZ75" s="1"/>
  <c r="AS80"/>
  <c r="AV80" s="1"/>
  <c r="L383" i="30"/>
  <c r="AP64" i="32"/>
  <c r="AS64" s="1"/>
  <c r="AV64" s="1"/>
  <c r="AY64" s="1"/>
  <c r="BB64" s="1"/>
  <c r="BE64" s="1"/>
  <c r="BH64" s="1"/>
  <c r="BK64" s="1"/>
  <c r="BN64" s="1"/>
  <c r="BQ64" s="1"/>
  <c r="BT64" s="1"/>
  <c r="BW64" s="1"/>
  <c r="BZ64" s="1"/>
  <c r="AO74"/>
  <c r="AP74" s="1"/>
  <c r="AS74" s="1"/>
  <c r="AV74" s="1"/>
  <c r="AY74" s="1"/>
  <c r="BB74" s="1"/>
  <c r="BE74" s="1"/>
  <c r="AL353" i="30"/>
  <c r="AM353" s="1"/>
  <c r="AP353" s="1"/>
  <c r="AS353" s="1"/>
  <c r="AV353" s="1"/>
  <c r="AY353" s="1"/>
  <c r="BB353" s="1"/>
  <c r="BE353" s="1"/>
  <c r="BH353" s="1"/>
  <c r="BK353" s="1"/>
  <c r="BN353" s="1"/>
  <c r="AP73" i="32"/>
  <c r="AS73" s="1"/>
  <c r="AV73" s="1"/>
  <c r="AY73" s="1"/>
  <c r="BB73" s="1"/>
  <c r="BE73" s="1"/>
  <c r="BH73" s="1"/>
  <c r="BK73" s="1"/>
  <c r="BN73" s="1"/>
  <c r="BQ73" s="1"/>
  <c r="BT73" s="1"/>
  <c r="BW73" s="1"/>
  <c r="BZ73" s="1"/>
  <c r="AL387" i="30"/>
  <c r="AM387" s="1"/>
  <c r="AP387" s="1"/>
  <c r="AS387" s="1"/>
  <c r="AV387" s="1"/>
  <c r="AY387" s="1"/>
  <c r="BB387" s="1"/>
  <c r="BE387" s="1"/>
  <c r="BH387" s="1"/>
  <c r="BK387" s="1"/>
  <c r="BN387" s="1"/>
  <c r="AM388"/>
  <c r="AP388" s="1"/>
  <c r="AS388" s="1"/>
  <c r="AV388" s="1"/>
  <c r="AY388" s="1"/>
  <c r="BB388" s="1"/>
  <c r="BE388" s="1"/>
  <c r="BH388" s="1"/>
  <c r="BK388" s="1"/>
  <c r="BN388" s="1"/>
  <c r="AM344"/>
  <c r="AP344" s="1"/>
  <c r="AS344" s="1"/>
  <c r="AV344" s="1"/>
  <c r="AY344" s="1"/>
  <c r="BB344" s="1"/>
  <c r="BE344" s="1"/>
  <c r="BH344" s="1"/>
  <c r="BK344" s="1"/>
  <c r="BN344" s="1"/>
  <c r="AM332"/>
  <c r="AP332" s="1"/>
  <c r="AS332" s="1"/>
  <c r="AV332" s="1"/>
  <c r="AY332" s="1"/>
  <c r="BB332" s="1"/>
  <c r="BE332" s="1"/>
  <c r="BH332" s="1"/>
  <c r="BK332" s="1"/>
  <c r="BN332" s="1"/>
  <c r="AM349"/>
  <c r="AP349" s="1"/>
  <c r="AS349" s="1"/>
  <c r="AV349" s="1"/>
  <c r="AY349" s="1"/>
  <c r="BB349" s="1"/>
  <c r="BE349" s="1"/>
  <c r="BH349" s="1"/>
  <c r="BK349" s="1"/>
  <c r="BN349" s="1"/>
  <c r="AM336"/>
  <c r="AM331"/>
  <c r="AP331" s="1"/>
  <c r="AS331" s="1"/>
  <c r="AV331" s="1"/>
  <c r="AM329"/>
  <c r="AP329" s="1"/>
  <c r="AS329" s="1"/>
  <c r="AV329" s="1"/>
  <c r="AY329" s="1"/>
  <c r="BB329" s="1"/>
  <c r="BE329" s="1"/>
  <c r="BH329" s="1"/>
  <c r="BK329" s="1"/>
  <c r="BN329" s="1"/>
  <c r="AM361"/>
  <c r="AP361" s="1"/>
  <c r="AS361" s="1"/>
  <c r="AV361" s="1"/>
  <c r="AL346"/>
  <c r="AM346" s="1"/>
  <c r="AP346" s="1"/>
  <c r="AS346" s="1"/>
  <c r="AV346" s="1"/>
  <c r="AY346" s="1"/>
  <c r="BB346" s="1"/>
  <c r="BE346" s="1"/>
  <c r="BH346" s="1"/>
  <c r="BK346" s="1"/>
  <c r="BN346" s="1"/>
  <c r="AM393"/>
  <c r="AP393" s="1"/>
  <c r="AM389"/>
  <c r="AP389" s="1"/>
  <c r="AS389" s="1"/>
  <c r="AV389" s="1"/>
  <c r="AM356"/>
  <c r="AP356" s="1"/>
  <c r="AS356" s="1"/>
  <c r="AV356" s="1"/>
  <c r="AY356" s="1"/>
  <c r="BB356" s="1"/>
  <c r="AM352"/>
  <c r="AP352" s="1"/>
  <c r="AS352" s="1"/>
  <c r="AV352" s="1"/>
  <c r="AY352" s="1"/>
  <c r="BB352" s="1"/>
  <c r="BE352" s="1"/>
  <c r="BH352" s="1"/>
  <c r="BK352" s="1"/>
  <c r="BN352" s="1"/>
  <c r="AM343"/>
  <c r="AP343" s="1"/>
  <c r="AS343" s="1"/>
  <c r="AV343" s="1"/>
  <c r="AY343" s="1"/>
  <c r="AO363"/>
  <c r="AP363" s="1"/>
  <c r="AS363" s="1"/>
  <c r="AV363" s="1"/>
  <c r="AY363" s="1"/>
  <c r="BB363" s="1"/>
  <c r="BE363" s="1"/>
  <c r="BH363" s="1"/>
  <c r="BK363" s="1"/>
  <c r="BN363" s="1"/>
  <c r="AI350"/>
  <c r="AJ350" s="1"/>
  <c r="AM350" s="1"/>
  <c r="AP350" s="1"/>
  <c r="AS350" s="1"/>
  <c r="AV350" s="1"/>
  <c r="AY350" s="1"/>
  <c r="BB350" s="1"/>
  <c r="BE350" s="1"/>
  <c r="BH350" s="1"/>
  <c r="BK350" s="1"/>
  <c r="BN350" s="1"/>
  <c r="AI347"/>
  <c r="AJ347" s="1"/>
  <c r="AM347" s="1"/>
  <c r="AP347" s="1"/>
  <c r="AS347" s="1"/>
  <c r="AV347" s="1"/>
  <c r="AY347" s="1"/>
  <c r="BB347" s="1"/>
  <c r="BE347" s="1"/>
  <c r="BH347" s="1"/>
  <c r="BK347" s="1"/>
  <c r="BN347" s="1"/>
  <c r="AL327"/>
  <c r="AI341"/>
  <c r="AJ341" s="1"/>
  <c r="AM341" s="1"/>
  <c r="AP341" s="1"/>
  <c r="AS341" s="1"/>
  <c r="AV341" s="1"/>
  <c r="AY341" s="1"/>
  <c r="BB341" s="1"/>
  <c r="BE341" s="1"/>
  <c r="BH341" s="1"/>
  <c r="BK341" s="1"/>
  <c r="BN341" s="1"/>
  <c r="AI63" i="32"/>
  <c r="AJ63" s="1"/>
  <c r="AM63" s="1"/>
  <c r="AP63" s="1"/>
  <c r="AS63" s="1"/>
  <c r="AV63" s="1"/>
  <c r="AY63" s="1"/>
  <c r="BB63" s="1"/>
  <c r="BE63" s="1"/>
  <c r="BH63" s="1"/>
  <c r="BK63" s="1"/>
  <c r="BN63" s="1"/>
  <c r="BQ63" s="1"/>
  <c r="BT63" s="1"/>
  <c r="BW63" s="1"/>
  <c r="BZ63" s="1"/>
  <c r="AJ340" i="30"/>
  <c r="AC317"/>
  <c r="BV381" l="1"/>
  <c r="BS330"/>
  <c r="BT330" s="1"/>
  <c r="BW330" s="1"/>
  <c r="BZ330" s="1"/>
  <c r="BS325"/>
  <c r="BS762" s="1"/>
  <c r="BT762" s="1"/>
  <c r="BW762" s="1"/>
  <c r="BZ762" s="1"/>
  <c r="BQ344"/>
  <c r="BT344" s="1"/>
  <c r="BW344" s="1"/>
  <c r="BZ344" s="1"/>
  <c r="BQ353"/>
  <c r="BT353" s="1"/>
  <c r="BW353" s="1"/>
  <c r="BZ353" s="1"/>
  <c r="BQ341"/>
  <c r="BT341" s="1"/>
  <c r="BW341" s="1"/>
  <c r="BZ341" s="1"/>
  <c r="BQ363"/>
  <c r="BT363" s="1"/>
  <c r="BW363" s="1"/>
  <c r="BZ363" s="1"/>
  <c r="BQ329"/>
  <c r="BQ332"/>
  <c r="BT332" s="1"/>
  <c r="BW332" s="1"/>
  <c r="BZ332" s="1"/>
  <c r="BQ384"/>
  <c r="BT384" s="1"/>
  <c r="BW384" s="1"/>
  <c r="BZ384" s="1"/>
  <c r="BQ354"/>
  <c r="BT354" s="1"/>
  <c r="BW354" s="1"/>
  <c r="BZ354" s="1"/>
  <c r="BQ387"/>
  <c r="BT387" s="1"/>
  <c r="BW387" s="1"/>
  <c r="BZ387" s="1"/>
  <c r="BQ362"/>
  <c r="BT362" s="1"/>
  <c r="BW362" s="1"/>
  <c r="BZ362" s="1"/>
  <c r="BQ350"/>
  <c r="BT350" s="1"/>
  <c r="BW350" s="1"/>
  <c r="BZ350" s="1"/>
  <c r="BQ349"/>
  <c r="BT349" s="1"/>
  <c r="BW349" s="1"/>
  <c r="BZ349" s="1"/>
  <c r="BQ347"/>
  <c r="BT347" s="1"/>
  <c r="BW347" s="1"/>
  <c r="BZ347" s="1"/>
  <c r="BQ352"/>
  <c r="BT352" s="1"/>
  <c r="BW352" s="1"/>
  <c r="BZ352" s="1"/>
  <c r="BQ346"/>
  <c r="BT346" s="1"/>
  <c r="BW346" s="1"/>
  <c r="BZ346" s="1"/>
  <c r="BQ388"/>
  <c r="BT388" s="1"/>
  <c r="BW388" s="1"/>
  <c r="BZ388" s="1"/>
  <c r="BQ335"/>
  <c r="BT335" s="1"/>
  <c r="BW335" s="1"/>
  <c r="BZ335" s="1"/>
  <c r="AV391"/>
  <c r="AY391" s="1"/>
  <c r="BB391" s="1"/>
  <c r="BE391" s="1"/>
  <c r="BH391" s="1"/>
  <c r="BK391" s="1"/>
  <c r="BN391" s="1"/>
  <c r="BG74" i="32"/>
  <c r="BH74" s="1"/>
  <c r="BK74" s="1"/>
  <c r="BN74" s="1"/>
  <c r="BQ74" s="1"/>
  <c r="BT74" s="1"/>
  <c r="BW74" s="1"/>
  <c r="BZ74" s="1"/>
  <c r="BD500" i="30"/>
  <c r="BD567" s="1"/>
  <c r="BE567" s="1"/>
  <c r="BH567" s="1"/>
  <c r="BK567" s="1"/>
  <c r="BN567" s="1"/>
  <c r="BD356"/>
  <c r="BE356" s="1"/>
  <c r="BH356" s="1"/>
  <c r="BK356" s="1"/>
  <c r="BN356" s="1"/>
  <c r="AY345"/>
  <c r="BB345" s="1"/>
  <c r="BE345" s="1"/>
  <c r="BH345" s="1"/>
  <c r="BK345" s="1"/>
  <c r="BN345" s="1"/>
  <c r="AX361"/>
  <c r="AY361" s="1"/>
  <c r="BB361" s="1"/>
  <c r="BE361" s="1"/>
  <c r="BH361" s="1"/>
  <c r="BK361" s="1"/>
  <c r="BN361" s="1"/>
  <c r="AX331"/>
  <c r="AY331" s="1"/>
  <c r="BB331" s="1"/>
  <c r="BE331" s="1"/>
  <c r="BH331" s="1"/>
  <c r="BK331" s="1"/>
  <c r="BN331" s="1"/>
  <c r="AX80" i="32"/>
  <c r="AV338" i="30"/>
  <c r="AY338" s="1"/>
  <c r="BB338" s="1"/>
  <c r="BE338" s="1"/>
  <c r="BH338" s="1"/>
  <c r="BK338" s="1"/>
  <c r="BN338" s="1"/>
  <c r="O383"/>
  <c r="AO336"/>
  <c r="AP336" s="1"/>
  <c r="AS336" s="1"/>
  <c r="AV336" s="1"/>
  <c r="AY336" s="1"/>
  <c r="BB336" s="1"/>
  <c r="BE336" s="1"/>
  <c r="BH336" s="1"/>
  <c r="BK336" s="1"/>
  <c r="BN336" s="1"/>
  <c r="AL369"/>
  <c r="AM369" s="1"/>
  <c r="AP369" s="1"/>
  <c r="AS369" s="1"/>
  <c r="AV369" s="1"/>
  <c r="AY369" s="1"/>
  <c r="AM327"/>
  <c r="AP327" s="1"/>
  <c r="AS327" s="1"/>
  <c r="AV327" s="1"/>
  <c r="AY327" s="1"/>
  <c r="BB327" s="1"/>
  <c r="BE327" s="1"/>
  <c r="BH327" s="1"/>
  <c r="BK327" s="1"/>
  <c r="BN327" s="1"/>
  <c r="AM340"/>
  <c r="AP340" s="1"/>
  <c r="AC227"/>
  <c r="AC308"/>
  <c r="AC235"/>
  <c r="AC214"/>
  <c r="AC305"/>
  <c r="AC316"/>
  <c r="AC57" i="32"/>
  <c r="AC53"/>
  <c r="AC43"/>
  <c r="X58"/>
  <c r="BV577" i="30" l="1"/>
  <c r="BW577" s="1"/>
  <c r="BZ577" s="1"/>
  <c r="BW381"/>
  <c r="BZ381" s="1"/>
  <c r="BS329"/>
  <c r="BT329" s="1"/>
  <c r="BW329" s="1"/>
  <c r="BZ329" s="1"/>
  <c r="BT325"/>
  <c r="BW325" s="1"/>
  <c r="BZ325" s="1"/>
  <c r="BQ336"/>
  <c r="BT336" s="1"/>
  <c r="BW336" s="1"/>
  <c r="BZ336" s="1"/>
  <c r="BQ567"/>
  <c r="BT567" s="1"/>
  <c r="BW567" s="1"/>
  <c r="BZ567" s="1"/>
  <c r="BQ338"/>
  <c r="BT338" s="1"/>
  <c r="BW338" s="1"/>
  <c r="BZ338" s="1"/>
  <c r="BQ345"/>
  <c r="BT345" s="1"/>
  <c r="BW345" s="1"/>
  <c r="BZ345" s="1"/>
  <c r="BQ391"/>
  <c r="BT391" s="1"/>
  <c r="BQ331"/>
  <c r="BT331" s="1"/>
  <c r="BW331" s="1"/>
  <c r="BZ331" s="1"/>
  <c r="BQ356"/>
  <c r="BT356" s="1"/>
  <c r="BW356" s="1"/>
  <c r="BZ356" s="1"/>
  <c r="BQ327"/>
  <c r="BT327" s="1"/>
  <c r="BW327" s="1"/>
  <c r="BZ327" s="1"/>
  <c r="BQ361"/>
  <c r="BT361" s="1"/>
  <c r="BW361" s="1"/>
  <c r="BZ361" s="1"/>
  <c r="BG109" i="32"/>
  <c r="BG184" s="1"/>
  <c r="BE500" i="30"/>
  <c r="AX90" i="32"/>
  <c r="AX184" s="1"/>
  <c r="BA369" i="30"/>
  <c r="BA471" s="1"/>
  <c r="AY80" i="32"/>
  <c r="BB80" s="1"/>
  <c r="BE80" s="1"/>
  <c r="BH80" s="1"/>
  <c r="BK80" s="1"/>
  <c r="BN80" s="1"/>
  <c r="BQ80" s="1"/>
  <c r="BT80" s="1"/>
  <c r="BW80" s="1"/>
  <c r="BZ80" s="1"/>
  <c r="AR340" i="30"/>
  <c r="AS340" s="1"/>
  <c r="AV340" s="1"/>
  <c r="AY340" s="1"/>
  <c r="BB340" s="1"/>
  <c r="BE340" s="1"/>
  <c r="BH340" s="1"/>
  <c r="BK340" s="1"/>
  <c r="BN340" s="1"/>
  <c r="R383"/>
  <c r="X55" i="32"/>
  <c r="X56"/>
  <c r="X57"/>
  <c r="X54"/>
  <c r="X52" i="31"/>
  <c r="X51"/>
  <c r="CD53"/>
  <c r="L53"/>
  <c r="O53" s="1"/>
  <c r="R53" s="1"/>
  <c r="U53" s="1"/>
  <c r="AA53" s="1"/>
  <c r="AD53" s="1"/>
  <c r="AG53" s="1"/>
  <c r="AJ53" s="1"/>
  <c r="AM53" s="1"/>
  <c r="AP53" s="1"/>
  <c r="AS53" s="1"/>
  <c r="AV53" s="1"/>
  <c r="AY53" s="1"/>
  <c r="BB53" s="1"/>
  <c r="BE53" s="1"/>
  <c r="BH53" s="1"/>
  <c r="BK53" s="1"/>
  <c r="BN53" s="1"/>
  <c r="CD54"/>
  <c r="L54"/>
  <c r="O54" s="1"/>
  <c r="R54" s="1"/>
  <c r="U54" s="1"/>
  <c r="AA54" s="1"/>
  <c r="AD54" s="1"/>
  <c r="AG54" s="1"/>
  <c r="AJ54" s="1"/>
  <c r="AM54" s="1"/>
  <c r="AP54" s="1"/>
  <c r="AS54" s="1"/>
  <c r="AV54" s="1"/>
  <c r="AY54" s="1"/>
  <c r="BB54" s="1"/>
  <c r="BE54" s="1"/>
  <c r="BH54" s="1"/>
  <c r="BK54" s="1"/>
  <c r="BN54" s="1"/>
  <c r="CD55"/>
  <c r="L55"/>
  <c r="O55" s="1"/>
  <c r="R55" s="1"/>
  <c r="U55" s="1"/>
  <c r="AA55" s="1"/>
  <c r="AD55" s="1"/>
  <c r="AG55" s="1"/>
  <c r="AJ55" s="1"/>
  <c r="AM55" s="1"/>
  <c r="AP55" s="1"/>
  <c r="AS55" s="1"/>
  <c r="AV55" s="1"/>
  <c r="AY55" s="1"/>
  <c r="BB55" s="1"/>
  <c r="BE55" s="1"/>
  <c r="BH55" s="1"/>
  <c r="BK55" s="1"/>
  <c r="BN55" s="1"/>
  <c r="BQ55" s="1"/>
  <c r="BT55" s="1"/>
  <c r="BW55" s="1"/>
  <c r="BZ55" s="1"/>
  <c r="CD56"/>
  <c r="L56"/>
  <c r="O56" s="1"/>
  <c r="R56" s="1"/>
  <c r="U56" s="1"/>
  <c r="X56" s="1"/>
  <c r="AD56" s="1"/>
  <c r="AG56" s="1"/>
  <c r="AJ56" s="1"/>
  <c r="AM56" s="1"/>
  <c r="AP56" s="1"/>
  <c r="AS56" s="1"/>
  <c r="AV56" s="1"/>
  <c r="AY56" s="1"/>
  <c r="BB56" s="1"/>
  <c r="BE56" s="1"/>
  <c r="BH56" s="1"/>
  <c r="BK56" s="1"/>
  <c r="BN56" s="1"/>
  <c r="CD57"/>
  <c r="L57"/>
  <c r="O57" s="1"/>
  <c r="R57" s="1"/>
  <c r="U57" s="1"/>
  <c r="X57" s="1"/>
  <c r="AD57" s="1"/>
  <c r="AG57" s="1"/>
  <c r="AJ57" s="1"/>
  <c r="AM57" s="1"/>
  <c r="AP57" s="1"/>
  <c r="AS57" s="1"/>
  <c r="AV57" s="1"/>
  <c r="AY57" s="1"/>
  <c r="BB57" s="1"/>
  <c r="BE57" s="1"/>
  <c r="BH57" s="1"/>
  <c r="BK57" s="1"/>
  <c r="BN57" s="1"/>
  <c r="CD58"/>
  <c r="L58"/>
  <c r="O58" s="1"/>
  <c r="R58" s="1"/>
  <c r="U58" s="1"/>
  <c r="X58" s="1"/>
  <c r="AA58" s="1"/>
  <c r="AD58" s="1"/>
  <c r="AG58" s="1"/>
  <c r="CD59"/>
  <c r="L59"/>
  <c r="O59" s="1"/>
  <c r="R59" s="1"/>
  <c r="U59" s="1"/>
  <c r="X59" s="1"/>
  <c r="AA59" s="1"/>
  <c r="AD59" s="1"/>
  <c r="AG59" s="1"/>
  <c r="CD60"/>
  <c r="L60"/>
  <c r="O60" s="1"/>
  <c r="R60" s="1"/>
  <c r="U60" s="1"/>
  <c r="X60" s="1"/>
  <c r="AA60" s="1"/>
  <c r="AD60" s="1"/>
  <c r="AG60" s="1"/>
  <c r="L63"/>
  <c r="O63" s="1"/>
  <c r="R63" s="1"/>
  <c r="U63" s="1"/>
  <c r="X63" s="1"/>
  <c r="AA63" s="1"/>
  <c r="AD63" s="1"/>
  <c r="AG63" s="1"/>
  <c r="X317" i="30"/>
  <c r="AA317" s="1"/>
  <c r="AD317" s="1"/>
  <c r="AG317" s="1"/>
  <c r="AJ317" s="1"/>
  <c r="CD317"/>
  <c r="AC230"/>
  <c r="Z119"/>
  <c r="Z250"/>
  <c r="Z224"/>
  <c r="BV391" l="1"/>
  <c r="BW391" s="1"/>
  <c r="BZ391" s="1"/>
  <c r="BQ340"/>
  <c r="BT340" s="1"/>
  <c r="BW340" s="1"/>
  <c r="BZ340" s="1"/>
  <c r="BP56" i="31"/>
  <c r="BQ56" s="1"/>
  <c r="BT56" s="1"/>
  <c r="BW56" s="1"/>
  <c r="BZ56" s="1"/>
  <c r="BP57"/>
  <c r="BQ57" s="1"/>
  <c r="BT57" s="1"/>
  <c r="BW57" s="1"/>
  <c r="BZ57" s="1"/>
  <c r="BP53"/>
  <c r="BQ53" s="1"/>
  <c r="BT53" s="1"/>
  <c r="BW53" s="1"/>
  <c r="BZ53" s="1"/>
  <c r="BP54"/>
  <c r="BQ54" s="1"/>
  <c r="BT54" s="1"/>
  <c r="BW54" s="1"/>
  <c r="BZ54" s="1"/>
  <c r="BH109" i="32"/>
  <c r="BK109" s="1"/>
  <c r="BN109" s="1"/>
  <c r="BH500" i="30"/>
  <c r="BK500" s="1"/>
  <c r="BN500" s="1"/>
  <c r="BB471"/>
  <c r="AY90" i="32"/>
  <c r="BB90" s="1"/>
  <c r="BE90" s="1"/>
  <c r="BH90" s="1"/>
  <c r="BK90" s="1"/>
  <c r="BN90" s="1"/>
  <c r="BQ90" s="1"/>
  <c r="BT90" s="1"/>
  <c r="BW90" s="1"/>
  <c r="BZ90" s="1"/>
  <c r="BB369" i="30"/>
  <c r="BE369" s="1"/>
  <c r="BH369" s="1"/>
  <c r="BK369" s="1"/>
  <c r="BN369" s="1"/>
  <c r="U383"/>
  <c r="AL317"/>
  <c r="AL407" s="1"/>
  <c r="AM407" s="1"/>
  <c r="AP407" s="1"/>
  <c r="AS407" s="1"/>
  <c r="AV407" s="1"/>
  <c r="AY407" s="1"/>
  <c r="BB407" s="1"/>
  <c r="BE407" s="1"/>
  <c r="BH407" s="1"/>
  <c r="BK407" s="1"/>
  <c r="BN407" s="1"/>
  <c r="AC175"/>
  <c r="AD176"/>
  <c r="AG176" s="1"/>
  <c r="AJ176" s="1"/>
  <c r="AM176" s="1"/>
  <c r="AP176" s="1"/>
  <c r="AS176" s="1"/>
  <c r="AV176" s="1"/>
  <c r="AY176" s="1"/>
  <c r="BB176" s="1"/>
  <c r="BE176" s="1"/>
  <c r="BH176" s="1"/>
  <c r="BK176" s="1"/>
  <c r="BN176" s="1"/>
  <c r="AD226"/>
  <c r="AG226" s="1"/>
  <c r="AJ226" s="1"/>
  <c r="AM226" s="1"/>
  <c r="AP226" s="1"/>
  <c r="AS226" s="1"/>
  <c r="AV226" s="1"/>
  <c r="AY226" s="1"/>
  <c r="BB226" s="1"/>
  <c r="BE226" s="1"/>
  <c r="BH226" s="1"/>
  <c r="BK226" s="1"/>
  <c r="BN226" s="1"/>
  <c r="AC297"/>
  <c r="Z46" i="32"/>
  <c r="AC232" i="30"/>
  <c r="Z244"/>
  <c r="Z4" i="32"/>
  <c r="Z3"/>
  <c r="Z7"/>
  <c r="Z154" i="30"/>
  <c r="CD283"/>
  <c r="I283"/>
  <c r="L283" s="1"/>
  <c r="O283" s="1"/>
  <c r="R283" s="1"/>
  <c r="U283" s="1"/>
  <c r="X283" s="1"/>
  <c r="CD284"/>
  <c r="I284"/>
  <c r="L284" s="1"/>
  <c r="O284" s="1"/>
  <c r="R284" s="1"/>
  <c r="U284" s="1"/>
  <c r="X284" s="1"/>
  <c r="CD285"/>
  <c r="I285"/>
  <c r="L285" s="1"/>
  <c r="O285" s="1"/>
  <c r="R285" s="1"/>
  <c r="U285" s="1"/>
  <c r="X285" s="1"/>
  <c r="CD286"/>
  <c r="I286"/>
  <c r="L286" s="1"/>
  <c r="O286" s="1"/>
  <c r="R286" s="1"/>
  <c r="U286" s="1"/>
  <c r="X286" s="1"/>
  <c r="CD287"/>
  <c r="I287"/>
  <c r="L287" s="1"/>
  <c r="O287" s="1"/>
  <c r="R287" s="1"/>
  <c r="U287" s="1"/>
  <c r="X287" s="1"/>
  <c r="CD288"/>
  <c r="I288"/>
  <c r="L288" s="1"/>
  <c r="O288" s="1"/>
  <c r="R288" s="1"/>
  <c r="U288" s="1"/>
  <c r="X288" s="1"/>
  <c r="CD289"/>
  <c r="I289"/>
  <c r="L289" s="1"/>
  <c r="O289" s="1"/>
  <c r="R289" s="1"/>
  <c r="U289" s="1"/>
  <c r="X289" s="1"/>
  <c r="CD290"/>
  <c r="I290"/>
  <c r="L290" s="1"/>
  <c r="O290" s="1"/>
  <c r="R290" s="1"/>
  <c r="U290" s="1"/>
  <c r="X290" s="1"/>
  <c r="CD291"/>
  <c r="I291"/>
  <c r="L291" s="1"/>
  <c r="O291" s="1"/>
  <c r="R291" s="1"/>
  <c r="U291" s="1"/>
  <c r="X291" s="1"/>
  <c r="CD292"/>
  <c r="I292"/>
  <c r="L292" s="1"/>
  <c r="O292" s="1"/>
  <c r="R292" s="1"/>
  <c r="U292" s="1"/>
  <c r="X292" s="1"/>
  <c r="CD293"/>
  <c r="I293"/>
  <c r="L293" s="1"/>
  <c r="O293" s="1"/>
  <c r="R293" s="1"/>
  <c r="U293" s="1"/>
  <c r="X293" s="1"/>
  <c r="CD294"/>
  <c r="I294"/>
  <c r="L294" s="1"/>
  <c r="O294" s="1"/>
  <c r="R294" s="1"/>
  <c r="U294" s="1"/>
  <c r="X294" s="1"/>
  <c r="CD295"/>
  <c r="I295"/>
  <c r="L295" s="1"/>
  <c r="O295" s="1"/>
  <c r="R295" s="1"/>
  <c r="U295" s="1"/>
  <c r="X295" s="1"/>
  <c r="CD296"/>
  <c r="I296"/>
  <c r="L296" s="1"/>
  <c r="O296" s="1"/>
  <c r="R296" s="1"/>
  <c r="U296" s="1"/>
  <c r="X296" s="1"/>
  <c r="CD297"/>
  <c r="I297"/>
  <c r="L297" s="1"/>
  <c r="O297" s="1"/>
  <c r="R297" s="1"/>
  <c r="U297" s="1"/>
  <c r="X297" s="1"/>
  <c r="CD298"/>
  <c r="I298"/>
  <c r="L298" s="1"/>
  <c r="O298" s="1"/>
  <c r="R298" s="1"/>
  <c r="U298" s="1"/>
  <c r="X298" s="1"/>
  <c r="Z298" s="1"/>
  <c r="CD299"/>
  <c r="I299"/>
  <c r="L299" s="1"/>
  <c r="O299" s="1"/>
  <c r="R299" s="1"/>
  <c r="U299" s="1"/>
  <c r="X299" s="1"/>
  <c r="CD300"/>
  <c r="I300"/>
  <c r="L300" s="1"/>
  <c r="O300" s="1"/>
  <c r="R300" s="1"/>
  <c r="U300" s="1"/>
  <c r="X300" s="1"/>
  <c r="CD301"/>
  <c r="I301"/>
  <c r="L301" s="1"/>
  <c r="O301" s="1"/>
  <c r="R301" s="1"/>
  <c r="U301" s="1"/>
  <c r="X301" s="1"/>
  <c r="CD302"/>
  <c r="I302"/>
  <c r="L302" s="1"/>
  <c r="O302" s="1"/>
  <c r="R302" s="1"/>
  <c r="U302" s="1"/>
  <c r="X302" s="1"/>
  <c r="CD303"/>
  <c r="I303"/>
  <c r="L303" s="1"/>
  <c r="O303" s="1"/>
  <c r="R303" s="1"/>
  <c r="U303" s="1"/>
  <c r="X303" s="1"/>
  <c r="CD304"/>
  <c r="I304"/>
  <c r="L304" s="1"/>
  <c r="O304" s="1"/>
  <c r="R304" s="1"/>
  <c r="U304" s="1"/>
  <c r="X304" s="1"/>
  <c r="CD305"/>
  <c r="I305"/>
  <c r="L305" s="1"/>
  <c r="O305" s="1"/>
  <c r="R305" s="1"/>
  <c r="U305" s="1"/>
  <c r="X305" s="1"/>
  <c r="CD306"/>
  <c r="I306"/>
  <c r="L306" s="1"/>
  <c r="O306" s="1"/>
  <c r="R306" s="1"/>
  <c r="U306" s="1"/>
  <c r="X306" s="1"/>
  <c r="CD307"/>
  <c r="I307"/>
  <c r="L307" s="1"/>
  <c r="O307" s="1"/>
  <c r="R307" s="1"/>
  <c r="U307" s="1"/>
  <c r="X307" s="1"/>
  <c r="CD308"/>
  <c r="I308"/>
  <c r="L308" s="1"/>
  <c r="O308" s="1"/>
  <c r="R308" s="1"/>
  <c r="U308" s="1"/>
  <c r="X308" s="1"/>
  <c r="CD309"/>
  <c r="I309"/>
  <c r="L309" s="1"/>
  <c r="O309" s="1"/>
  <c r="R309" s="1"/>
  <c r="U309" s="1"/>
  <c r="X309" s="1"/>
  <c r="CD310"/>
  <c r="I310"/>
  <c r="L310" s="1"/>
  <c r="O310" s="1"/>
  <c r="R310" s="1"/>
  <c r="U310" s="1"/>
  <c r="X310" s="1"/>
  <c r="CD311"/>
  <c r="I311"/>
  <c r="L311" s="1"/>
  <c r="O311" s="1"/>
  <c r="R311" s="1"/>
  <c r="U311" s="1"/>
  <c r="X311" s="1"/>
  <c r="CD312"/>
  <c r="I312"/>
  <c r="L312" s="1"/>
  <c r="O312" s="1"/>
  <c r="R312" s="1"/>
  <c r="U312" s="1"/>
  <c r="X312" s="1"/>
  <c r="CD313"/>
  <c r="I313"/>
  <c r="L313" s="1"/>
  <c r="O313" s="1"/>
  <c r="R313" s="1"/>
  <c r="U313" s="1"/>
  <c r="X313" s="1"/>
  <c r="CD314"/>
  <c r="I314"/>
  <c r="L314" s="1"/>
  <c r="O314" s="1"/>
  <c r="R314" s="1"/>
  <c r="U314" s="1"/>
  <c r="X314" s="1"/>
  <c r="CD315"/>
  <c r="I315"/>
  <c r="L315" s="1"/>
  <c r="O315" s="1"/>
  <c r="R315" s="1"/>
  <c r="U315" s="1"/>
  <c r="X315" s="1"/>
  <c r="CD316"/>
  <c r="I316"/>
  <c r="L316" s="1"/>
  <c r="O316" s="1"/>
  <c r="R316" s="1"/>
  <c r="U316" s="1"/>
  <c r="X316" s="1"/>
  <c r="CD318"/>
  <c r="I318"/>
  <c r="L318" s="1"/>
  <c r="O318" s="1"/>
  <c r="R318" s="1"/>
  <c r="U318" s="1"/>
  <c r="X318" s="1"/>
  <c r="CD319"/>
  <c r="I319"/>
  <c r="L319" s="1"/>
  <c r="O319" s="1"/>
  <c r="R319" s="1"/>
  <c r="U319" s="1"/>
  <c r="X319" s="1"/>
  <c r="CD320"/>
  <c r="I320"/>
  <c r="L320" s="1"/>
  <c r="O320" s="1"/>
  <c r="R320" s="1"/>
  <c r="U320" s="1"/>
  <c r="X320" s="1"/>
  <c r="CD321"/>
  <c r="I321"/>
  <c r="L321" s="1"/>
  <c r="O321" s="1"/>
  <c r="R321" s="1"/>
  <c r="U321" s="1"/>
  <c r="X321" s="1"/>
  <c r="CD322"/>
  <c r="I322"/>
  <c r="L322" s="1"/>
  <c r="O322" s="1"/>
  <c r="R322" s="1"/>
  <c r="U322" s="1"/>
  <c r="X322" s="1"/>
  <c r="Z43" i="32"/>
  <c r="Z277" i="30"/>
  <c r="Z245"/>
  <c r="Z135"/>
  <c r="Z140"/>
  <c r="W140"/>
  <c r="W39" i="32"/>
  <c r="W158" i="30"/>
  <c r="W203"/>
  <c r="W47"/>
  <c r="W209"/>
  <c r="W41" i="32"/>
  <c r="W272" i="30"/>
  <c r="CD252"/>
  <c r="I252"/>
  <c r="L252" s="1"/>
  <c r="O252" s="1"/>
  <c r="R252" s="1"/>
  <c r="U252" s="1"/>
  <c r="X252" s="1"/>
  <c r="CD253"/>
  <c r="I253"/>
  <c r="L253" s="1"/>
  <c r="O253" s="1"/>
  <c r="R253" s="1"/>
  <c r="U253" s="1"/>
  <c r="X253" s="1"/>
  <c r="CD254"/>
  <c r="I254"/>
  <c r="L254" s="1"/>
  <c r="O254" s="1"/>
  <c r="R254" s="1"/>
  <c r="U254" s="1"/>
  <c r="X254" s="1"/>
  <c r="CD255"/>
  <c r="I255"/>
  <c r="L255" s="1"/>
  <c r="O255" s="1"/>
  <c r="R255" s="1"/>
  <c r="U255" s="1"/>
  <c r="X255" s="1"/>
  <c r="CD256"/>
  <c r="I256"/>
  <c r="L256" s="1"/>
  <c r="O256" s="1"/>
  <c r="R256" s="1"/>
  <c r="U256" s="1"/>
  <c r="X256" s="1"/>
  <c r="CD257"/>
  <c r="I257"/>
  <c r="L257" s="1"/>
  <c r="O257" s="1"/>
  <c r="R257" s="1"/>
  <c r="U257" s="1"/>
  <c r="X257" s="1"/>
  <c r="CD258"/>
  <c r="I258"/>
  <c r="L258" s="1"/>
  <c r="O258" s="1"/>
  <c r="R258" s="1"/>
  <c r="U258" s="1"/>
  <c r="X258" s="1"/>
  <c r="CD259"/>
  <c r="I259"/>
  <c r="L259" s="1"/>
  <c r="O259" s="1"/>
  <c r="R259" s="1"/>
  <c r="U259" s="1"/>
  <c r="X259" s="1"/>
  <c r="CD260"/>
  <c r="I260"/>
  <c r="L260" s="1"/>
  <c r="O260" s="1"/>
  <c r="R260" s="1"/>
  <c r="U260" s="1"/>
  <c r="X260" s="1"/>
  <c r="CD261"/>
  <c r="I261"/>
  <c r="L261" s="1"/>
  <c r="O261" s="1"/>
  <c r="R261" s="1"/>
  <c r="U261" s="1"/>
  <c r="X261" s="1"/>
  <c r="CD262"/>
  <c r="I262"/>
  <c r="L262" s="1"/>
  <c r="O262" s="1"/>
  <c r="R262" s="1"/>
  <c r="U262" s="1"/>
  <c r="X262" s="1"/>
  <c r="CD263"/>
  <c r="I263"/>
  <c r="L263" s="1"/>
  <c r="O263" s="1"/>
  <c r="R263" s="1"/>
  <c r="U263" s="1"/>
  <c r="X263" s="1"/>
  <c r="CD264"/>
  <c r="I264"/>
  <c r="L264" s="1"/>
  <c r="O264" s="1"/>
  <c r="R264" s="1"/>
  <c r="U264" s="1"/>
  <c r="X264" s="1"/>
  <c r="CD265"/>
  <c r="I265"/>
  <c r="L265" s="1"/>
  <c r="O265" s="1"/>
  <c r="R265" s="1"/>
  <c r="U265" s="1"/>
  <c r="X265" s="1"/>
  <c r="CD266"/>
  <c r="I266"/>
  <c r="L266" s="1"/>
  <c r="O266" s="1"/>
  <c r="R266" s="1"/>
  <c r="U266" s="1"/>
  <c r="X266" s="1"/>
  <c r="CD267"/>
  <c r="I267"/>
  <c r="L267" s="1"/>
  <c r="O267" s="1"/>
  <c r="R267" s="1"/>
  <c r="U267" s="1"/>
  <c r="CD268"/>
  <c r="I268"/>
  <c r="L268" s="1"/>
  <c r="O268" s="1"/>
  <c r="R268" s="1"/>
  <c r="U268" s="1"/>
  <c r="X268" s="1"/>
  <c r="CD269"/>
  <c r="I269"/>
  <c r="L269" s="1"/>
  <c r="O269" s="1"/>
  <c r="R269" s="1"/>
  <c r="U269" s="1"/>
  <c r="X269" s="1"/>
  <c r="CD270"/>
  <c r="I270"/>
  <c r="L270" s="1"/>
  <c r="O270" s="1"/>
  <c r="R270" s="1"/>
  <c r="U270" s="1"/>
  <c r="X270" s="1"/>
  <c r="CD271"/>
  <c r="I271"/>
  <c r="L271" s="1"/>
  <c r="O271" s="1"/>
  <c r="R271" s="1"/>
  <c r="U271" s="1"/>
  <c r="X271" s="1"/>
  <c r="CD272"/>
  <c r="I272"/>
  <c r="L272" s="1"/>
  <c r="O272" s="1"/>
  <c r="R272" s="1"/>
  <c r="U272" s="1"/>
  <c r="CD273"/>
  <c r="I273"/>
  <c r="L273" s="1"/>
  <c r="O273" s="1"/>
  <c r="R273" s="1"/>
  <c r="U273" s="1"/>
  <c r="CD274"/>
  <c r="I274"/>
  <c r="L274" s="1"/>
  <c r="O274" s="1"/>
  <c r="R274" s="1"/>
  <c r="U274" s="1"/>
  <c r="X274" s="1"/>
  <c r="CD275"/>
  <c r="I275"/>
  <c r="L275" s="1"/>
  <c r="O275" s="1"/>
  <c r="R275" s="1"/>
  <c r="U275" s="1"/>
  <c r="X275" s="1"/>
  <c r="CD276"/>
  <c r="I276"/>
  <c r="L276" s="1"/>
  <c r="O276" s="1"/>
  <c r="R276" s="1"/>
  <c r="U276" s="1"/>
  <c r="X276" s="1"/>
  <c r="CD277"/>
  <c r="I277"/>
  <c r="L277" s="1"/>
  <c r="O277" s="1"/>
  <c r="R277" s="1"/>
  <c r="U277" s="1"/>
  <c r="X277" s="1"/>
  <c r="CD278"/>
  <c r="I278"/>
  <c r="L278" s="1"/>
  <c r="O278" s="1"/>
  <c r="R278" s="1"/>
  <c r="U278" s="1"/>
  <c r="X278" s="1"/>
  <c r="CD279"/>
  <c r="I279"/>
  <c r="L279" s="1"/>
  <c r="O279" s="1"/>
  <c r="R279" s="1"/>
  <c r="U279" s="1"/>
  <c r="X279" s="1"/>
  <c r="CD280"/>
  <c r="I280"/>
  <c r="L280" s="1"/>
  <c r="O280" s="1"/>
  <c r="R280" s="1"/>
  <c r="U280" s="1"/>
  <c r="X280" s="1"/>
  <c r="CD281"/>
  <c r="I281"/>
  <c r="L281" s="1"/>
  <c r="O281" s="1"/>
  <c r="R281" s="1"/>
  <c r="U281" s="1"/>
  <c r="X281" s="1"/>
  <c r="CD282"/>
  <c r="I282"/>
  <c r="L282" s="1"/>
  <c r="O282" s="1"/>
  <c r="R282" s="1"/>
  <c r="U282" s="1"/>
  <c r="X282" s="1"/>
  <c r="CD48" i="31"/>
  <c r="L48"/>
  <c r="O48" s="1"/>
  <c r="U48" s="1"/>
  <c r="X48" s="1"/>
  <c r="CD49"/>
  <c r="L49"/>
  <c r="O49" s="1"/>
  <c r="U49" s="1"/>
  <c r="W49" s="1"/>
  <c r="CD50"/>
  <c r="L50"/>
  <c r="O50" s="1"/>
  <c r="R50" s="1"/>
  <c r="X50" s="1"/>
  <c r="CD51"/>
  <c r="L51"/>
  <c r="O51" s="1"/>
  <c r="R51" s="1"/>
  <c r="U51" s="1"/>
  <c r="CD52"/>
  <c r="L52"/>
  <c r="O52" s="1"/>
  <c r="R52" s="1"/>
  <c r="U52" s="1"/>
  <c r="CD66"/>
  <c r="L66"/>
  <c r="O66" s="1"/>
  <c r="R66" s="1"/>
  <c r="U66" s="1"/>
  <c r="X66" s="1"/>
  <c r="BQ407" i="30" l="1"/>
  <c r="BT407" s="1"/>
  <c r="BW407" s="1"/>
  <c r="BZ407" s="1"/>
  <c r="BQ176"/>
  <c r="BT176" s="1"/>
  <c r="BW176" s="1"/>
  <c r="BZ176" s="1"/>
  <c r="BQ369"/>
  <c r="BT369" s="1"/>
  <c r="BW369" s="1"/>
  <c r="BZ369" s="1"/>
  <c r="BQ226"/>
  <c r="BT226" s="1"/>
  <c r="BW226" s="1"/>
  <c r="BZ226" s="1"/>
  <c r="BQ500"/>
  <c r="BT500" s="1"/>
  <c r="BW500" s="1"/>
  <c r="BZ500" s="1"/>
  <c r="BP109" i="32"/>
  <c r="BQ109" s="1"/>
  <c r="BT109" s="1"/>
  <c r="BW109" s="1"/>
  <c r="BZ109" s="1"/>
  <c r="BD471" i="30"/>
  <c r="BD501" s="1"/>
  <c r="BE501" s="1"/>
  <c r="BG501" s="1"/>
  <c r="BG605" s="1"/>
  <c r="X383"/>
  <c r="AM317"/>
  <c r="AP317" s="1"/>
  <c r="AS317" s="1"/>
  <c r="AV317" s="1"/>
  <c r="AY317" s="1"/>
  <c r="BB317" s="1"/>
  <c r="BE317" s="1"/>
  <c r="BH317" s="1"/>
  <c r="BK317" s="1"/>
  <c r="BN317" s="1"/>
  <c r="AA52" i="31"/>
  <c r="AA48"/>
  <c r="AD48" s="1"/>
  <c r="AG48" s="1"/>
  <c r="AJ48" s="1"/>
  <c r="AM48" s="1"/>
  <c r="AP48" s="1"/>
  <c r="AS48" s="1"/>
  <c r="AV48" s="1"/>
  <c r="AY48" s="1"/>
  <c r="BB48" s="1"/>
  <c r="BE48" s="1"/>
  <c r="AA66"/>
  <c r="AD66" s="1"/>
  <c r="AG66" s="1"/>
  <c r="AA51"/>
  <c r="AD51" s="1"/>
  <c r="AG51" s="1"/>
  <c r="AJ51" s="1"/>
  <c r="AA50"/>
  <c r="AD50" s="1"/>
  <c r="AG50" s="1"/>
  <c r="AA277" i="30"/>
  <c r="AD277" s="1"/>
  <c r="AG277" s="1"/>
  <c r="AJ277" s="1"/>
  <c r="AM277" s="1"/>
  <c r="AP277" s="1"/>
  <c r="AS277" s="1"/>
  <c r="AV277" s="1"/>
  <c r="AY277" s="1"/>
  <c r="BB277" s="1"/>
  <c r="BE277" s="1"/>
  <c r="AA260"/>
  <c r="AC260" s="1"/>
  <c r="AD260" s="1"/>
  <c r="AG260" s="1"/>
  <c r="AJ260" s="1"/>
  <c r="AA288"/>
  <c r="AA301"/>
  <c r="AA291"/>
  <c r="AA285"/>
  <c r="AA281"/>
  <c r="AD281" s="1"/>
  <c r="AG281" s="1"/>
  <c r="AJ281" s="1"/>
  <c r="AM281" s="1"/>
  <c r="AA271"/>
  <c r="AD271" s="1"/>
  <c r="AG271" s="1"/>
  <c r="AA269"/>
  <c r="AD269" s="1"/>
  <c r="AG269" s="1"/>
  <c r="AJ269" s="1"/>
  <c r="AA265"/>
  <c r="AD265" s="1"/>
  <c r="AG265" s="1"/>
  <c r="AA263"/>
  <c r="AD263" s="1"/>
  <c r="AG263" s="1"/>
  <c r="AJ263" s="1"/>
  <c r="AM263" s="1"/>
  <c r="AP263" s="1"/>
  <c r="AS263" s="1"/>
  <c r="AV263" s="1"/>
  <c r="AY263" s="1"/>
  <c r="BB263" s="1"/>
  <c r="BE263" s="1"/>
  <c r="BH263" s="1"/>
  <c r="BK263" s="1"/>
  <c r="BN263" s="1"/>
  <c r="AA261"/>
  <c r="AD261" s="1"/>
  <c r="AG261" s="1"/>
  <c r="AJ261" s="1"/>
  <c r="AA259"/>
  <c r="AD259" s="1"/>
  <c r="AG259" s="1"/>
  <c r="AJ259" s="1"/>
  <c r="AM259" s="1"/>
  <c r="AP259" s="1"/>
  <c r="AS259" s="1"/>
  <c r="AV259" s="1"/>
  <c r="AA257"/>
  <c r="AD257" s="1"/>
  <c r="AD255"/>
  <c r="AG255" s="1"/>
  <c r="AJ255" s="1"/>
  <c r="AM255" s="1"/>
  <c r="AP255" s="1"/>
  <c r="AS255" s="1"/>
  <c r="AV255" s="1"/>
  <c r="AY255" s="1"/>
  <c r="BB255" s="1"/>
  <c r="BE255" s="1"/>
  <c r="BH255" s="1"/>
  <c r="BK255" s="1"/>
  <c r="BN255" s="1"/>
  <c r="AA253"/>
  <c r="AD253" s="1"/>
  <c r="AG253" s="1"/>
  <c r="AJ253" s="1"/>
  <c r="AM253" s="1"/>
  <c r="AP253" s="1"/>
  <c r="AS253" s="1"/>
  <c r="AV253" s="1"/>
  <c r="AY253" s="1"/>
  <c r="BB253" s="1"/>
  <c r="BE253" s="1"/>
  <c r="BH253" s="1"/>
  <c r="BK253" s="1"/>
  <c r="BN253" s="1"/>
  <c r="AD321"/>
  <c r="AG321" s="1"/>
  <c r="AJ321" s="1"/>
  <c r="AA319"/>
  <c r="AD319" s="1"/>
  <c r="AG319" s="1"/>
  <c r="AA316"/>
  <c r="AD316" s="1"/>
  <c r="AG316" s="1"/>
  <c r="AA314"/>
  <c r="AA312"/>
  <c r="AD312" s="1"/>
  <c r="AG312" s="1"/>
  <c r="AA310"/>
  <c r="AD310" s="1"/>
  <c r="AG310" s="1"/>
  <c r="AJ310" s="1"/>
  <c r="AA308"/>
  <c r="AD308" s="1"/>
  <c r="AG308" s="1"/>
  <c r="AA306"/>
  <c r="AA304"/>
  <c r="AD304" s="1"/>
  <c r="AG304" s="1"/>
  <c r="AJ304" s="1"/>
  <c r="AA302"/>
  <c r="AD302" s="1"/>
  <c r="AG302" s="1"/>
  <c r="AJ302" s="1"/>
  <c r="AM302" s="1"/>
  <c r="AA300"/>
  <c r="AD300" s="1"/>
  <c r="AG300" s="1"/>
  <c r="AJ300" s="1"/>
  <c r="AM300" s="1"/>
  <c r="AP300" s="1"/>
  <c r="AS300" s="1"/>
  <c r="AV300" s="1"/>
  <c r="AY300" s="1"/>
  <c r="BB300" s="1"/>
  <c r="BE300" s="1"/>
  <c r="BH300" s="1"/>
  <c r="BK300" s="1"/>
  <c r="BN300" s="1"/>
  <c r="AA298"/>
  <c r="AD298" s="1"/>
  <c r="AG298" s="1"/>
  <c r="AJ298" s="1"/>
  <c r="AM298" s="1"/>
  <c r="AP298" s="1"/>
  <c r="AS298" s="1"/>
  <c r="AV298" s="1"/>
  <c r="AY298" s="1"/>
  <c r="BB298" s="1"/>
  <c r="BE298" s="1"/>
  <c r="BH298" s="1"/>
  <c r="BK298" s="1"/>
  <c r="BN298" s="1"/>
  <c r="AA294"/>
  <c r="AD294" s="1"/>
  <c r="AG294" s="1"/>
  <c r="AA292"/>
  <c r="AD292" s="1"/>
  <c r="AG292" s="1"/>
  <c r="AJ292" s="1"/>
  <c r="AA290"/>
  <c r="AD290" s="1"/>
  <c r="AG290" s="1"/>
  <c r="AJ290" s="1"/>
  <c r="AM290" s="1"/>
  <c r="AP290" s="1"/>
  <c r="AS290" s="1"/>
  <c r="AV290" s="1"/>
  <c r="AY290" s="1"/>
  <c r="BB290" s="1"/>
  <c r="AA286"/>
  <c r="AD286" s="1"/>
  <c r="AG286" s="1"/>
  <c r="AJ286" s="1"/>
  <c r="AA284"/>
  <c r="AD284" s="1"/>
  <c r="AA279"/>
  <c r="AD279" s="1"/>
  <c r="AG279" s="1"/>
  <c r="AJ279" s="1"/>
  <c r="AM279" s="1"/>
  <c r="AP279" s="1"/>
  <c r="AS279" s="1"/>
  <c r="AV279" s="1"/>
  <c r="AY279" s="1"/>
  <c r="BB279" s="1"/>
  <c r="BE279" s="1"/>
  <c r="BH279" s="1"/>
  <c r="BK279" s="1"/>
  <c r="BN279" s="1"/>
  <c r="AA275"/>
  <c r="AA282"/>
  <c r="AD282" s="1"/>
  <c r="AA280"/>
  <c r="AD280" s="1"/>
  <c r="AG280" s="1"/>
  <c r="AA278"/>
  <c r="AD278" s="1"/>
  <c r="AG278" s="1"/>
  <c r="AJ278" s="1"/>
  <c r="AA276"/>
  <c r="AD276" s="1"/>
  <c r="AA270"/>
  <c r="AC270" s="1"/>
  <c r="AA268"/>
  <c r="AD268" s="1"/>
  <c r="AG268" s="1"/>
  <c r="AJ268" s="1"/>
  <c r="AA266"/>
  <c r="AC266" s="1"/>
  <c r="AA264"/>
  <c r="AD264" s="1"/>
  <c r="AG264" s="1"/>
  <c r="AJ264" s="1"/>
  <c r="AM264" s="1"/>
  <c r="AP264" s="1"/>
  <c r="AS264" s="1"/>
  <c r="AV264" s="1"/>
  <c r="AY264" s="1"/>
  <c r="BB264" s="1"/>
  <c r="BE264" s="1"/>
  <c r="BH264" s="1"/>
  <c r="BK264" s="1"/>
  <c r="BN264" s="1"/>
  <c r="AA258"/>
  <c r="AD258" s="1"/>
  <c r="AG258" s="1"/>
  <c r="AJ258" s="1"/>
  <c r="AA256"/>
  <c r="AD256" s="1"/>
  <c r="AG256" s="1"/>
  <c r="AJ256" s="1"/>
  <c r="AA254"/>
  <c r="AD254" s="1"/>
  <c r="AG254" s="1"/>
  <c r="AJ254" s="1"/>
  <c r="AA252"/>
  <c r="AD252" s="1"/>
  <c r="AG252" s="1"/>
  <c r="AJ252" s="1"/>
  <c r="AM252" s="1"/>
  <c r="AP252" s="1"/>
  <c r="AS252" s="1"/>
  <c r="AV252" s="1"/>
  <c r="AY252" s="1"/>
  <c r="BB252" s="1"/>
  <c r="BE252" s="1"/>
  <c r="BH252" s="1"/>
  <c r="BK252" s="1"/>
  <c r="BN252" s="1"/>
  <c r="AD322"/>
  <c r="AG322" s="1"/>
  <c r="AA320"/>
  <c r="AD320" s="1"/>
  <c r="AG320" s="1"/>
  <c r="AJ320" s="1"/>
  <c r="AM320" s="1"/>
  <c r="AP320" s="1"/>
  <c r="AS320" s="1"/>
  <c r="AV320" s="1"/>
  <c r="AY320" s="1"/>
  <c r="BB320" s="1"/>
  <c r="BE320" s="1"/>
  <c r="BH320" s="1"/>
  <c r="BK320" s="1"/>
  <c r="BN320" s="1"/>
  <c r="AA318"/>
  <c r="AD318" s="1"/>
  <c r="AG318" s="1"/>
  <c r="AJ318" s="1"/>
  <c r="AM318" s="1"/>
  <c r="AP318" s="1"/>
  <c r="AS318" s="1"/>
  <c r="AV318" s="1"/>
  <c r="AA315"/>
  <c r="AA313"/>
  <c r="AD313" s="1"/>
  <c r="AG313" s="1"/>
  <c r="AA311"/>
  <c r="AD311" s="1"/>
  <c r="AG311" s="1"/>
  <c r="AJ311" s="1"/>
  <c r="AA309"/>
  <c r="AD309" s="1"/>
  <c r="AA307"/>
  <c r="AD307" s="1"/>
  <c r="AG307" s="1"/>
  <c r="AA305"/>
  <c r="AD305" s="1"/>
  <c r="AG305" s="1"/>
  <c r="AJ305" s="1"/>
  <c r="AM305" s="1"/>
  <c r="AA303"/>
  <c r="AD303" s="1"/>
  <c r="AG303" s="1"/>
  <c r="AJ303" s="1"/>
  <c r="AM303" s="1"/>
  <c r="AP303" s="1"/>
  <c r="AS303" s="1"/>
  <c r="AV303" s="1"/>
  <c r="AY303" s="1"/>
  <c r="BB303" s="1"/>
  <c r="BE303" s="1"/>
  <c r="BH303" s="1"/>
  <c r="BK303" s="1"/>
  <c r="BN303" s="1"/>
  <c r="AA299"/>
  <c r="AD299" s="1"/>
  <c r="AG299" s="1"/>
  <c r="AA297"/>
  <c r="AD297" s="1"/>
  <c r="AG297" s="1"/>
  <c r="AJ297" s="1"/>
  <c r="AA295"/>
  <c r="AA293"/>
  <c r="AD293" s="1"/>
  <c r="AG293" s="1"/>
  <c r="AA289"/>
  <c r="AD289" s="1"/>
  <c r="AG289" s="1"/>
  <c r="AJ289" s="1"/>
  <c r="AM289" s="1"/>
  <c r="AP289" s="1"/>
  <c r="AS289" s="1"/>
  <c r="AV289" s="1"/>
  <c r="AY289" s="1"/>
  <c r="BB289" s="1"/>
  <c r="BE289" s="1"/>
  <c r="BH289" s="1"/>
  <c r="BK289" s="1"/>
  <c r="BN289" s="1"/>
  <c r="AA287"/>
  <c r="AD287" s="1"/>
  <c r="AG287" s="1"/>
  <c r="AJ287" s="1"/>
  <c r="AA283"/>
  <c r="AD283" s="1"/>
  <c r="AG283" s="1"/>
  <c r="AJ283" s="1"/>
  <c r="AM283" s="1"/>
  <c r="AP283" s="1"/>
  <c r="AS283" s="1"/>
  <c r="AV283" s="1"/>
  <c r="AY283" s="1"/>
  <c r="BB283" s="1"/>
  <c r="BE283" s="1"/>
  <c r="BH283" s="1"/>
  <c r="BK283" s="1"/>
  <c r="BN283" s="1"/>
  <c r="Z296"/>
  <c r="AA296" s="1"/>
  <c r="X49" i="31"/>
  <c r="X272" i="30"/>
  <c r="W34" i="31"/>
  <c r="T237" i="30"/>
  <c r="T229"/>
  <c r="W18" i="31"/>
  <c r="W11"/>
  <c r="W31"/>
  <c r="W16"/>
  <c r="BQ320" i="30" l="1"/>
  <c r="BT320" s="1"/>
  <c r="BW320" s="1"/>
  <c r="BZ320" s="1"/>
  <c r="BQ303"/>
  <c r="BT303" s="1"/>
  <c r="BW303" s="1"/>
  <c r="BZ303" s="1"/>
  <c r="BQ279"/>
  <c r="BT279" s="1"/>
  <c r="BW279" s="1"/>
  <c r="BZ279" s="1"/>
  <c r="BQ264"/>
  <c r="BT264" s="1"/>
  <c r="BW264" s="1"/>
  <c r="BZ264" s="1"/>
  <c r="BQ300"/>
  <c r="BT300" s="1"/>
  <c r="BQ255"/>
  <c r="BT255" s="1"/>
  <c r="BW255" s="1"/>
  <c r="BZ255" s="1"/>
  <c r="BQ263"/>
  <c r="BT263" s="1"/>
  <c r="BW263" s="1"/>
  <c r="BZ263" s="1"/>
  <c r="BQ317"/>
  <c r="BT317" s="1"/>
  <c r="BW317" s="1"/>
  <c r="BZ317" s="1"/>
  <c r="BQ289"/>
  <c r="BT289" s="1"/>
  <c r="BW289" s="1"/>
  <c r="BZ289" s="1"/>
  <c r="BQ252"/>
  <c r="BT252" s="1"/>
  <c r="BW252" s="1"/>
  <c r="BZ252" s="1"/>
  <c r="BQ283"/>
  <c r="BT283" s="1"/>
  <c r="BW283" s="1"/>
  <c r="BZ283" s="1"/>
  <c r="BQ298"/>
  <c r="BT298" s="1"/>
  <c r="BW298" s="1"/>
  <c r="BZ298" s="1"/>
  <c r="BQ253"/>
  <c r="BT253" s="1"/>
  <c r="BW253" s="1"/>
  <c r="BZ253" s="1"/>
  <c r="BP117" i="32"/>
  <c r="BQ117" s="1"/>
  <c r="BT117" s="1"/>
  <c r="BW117" s="1"/>
  <c r="BZ117" s="1"/>
  <c r="BH605" i="30"/>
  <c r="BK605" s="1"/>
  <c r="BN605" s="1"/>
  <c r="BG48" i="31"/>
  <c r="BH48" s="1"/>
  <c r="BK48" s="1"/>
  <c r="BN48" s="1"/>
  <c r="BQ48" s="1"/>
  <c r="BT48" s="1"/>
  <c r="BW48" s="1"/>
  <c r="BZ48" s="1"/>
  <c r="BG277" i="30"/>
  <c r="BE471"/>
  <c r="BH471" s="1"/>
  <c r="BK471" s="1"/>
  <c r="BN471" s="1"/>
  <c r="BH501"/>
  <c r="BK501" s="1"/>
  <c r="BN501" s="1"/>
  <c r="AX259"/>
  <c r="AY259" s="1"/>
  <c r="BB259" s="1"/>
  <c r="BE259" s="1"/>
  <c r="BH259" s="1"/>
  <c r="BK259" s="1"/>
  <c r="BN259" s="1"/>
  <c r="AA383"/>
  <c r="AO302"/>
  <c r="AP302" s="1"/>
  <c r="AS302" s="1"/>
  <c r="AV302" s="1"/>
  <c r="AY302" s="1"/>
  <c r="BB302" s="1"/>
  <c r="BE302" s="1"/>
  <c r="BH302" s="1"/>
  <c r="BK302" s="1"/>
  <c r="BN302" s="1"/>
  <c r="AO281"/>
  <c r="AP281" s="1"/>
  <c r="AS281" s="1"/>
  <c r="AV281" s="1"/>
  <c r="AY281" s="1"/>
  <c r="BB281" s="1"/>
  <c r="BE281" s="1"/>
  <c r="BH281" s="1"/>
  <c r="BK281" s="1"/>
  <c r="BN281" s="1"/>
  <c r="AM256"/>
  <c r="AP256" s="1"/>
  <c r="AS256" s="1"/>
  <c r="AV256" s="1"/>
  <c r="AY256" s="1"/>
  <c r="BB256" s="1"/>
  <c r="BE256" s="1"/>
  <c r="BH256" s="1"/>
  <c r="BK256" s="1"/>
  <c r="BN256" s="1"/>
  <c r="AM268"/>
  <c r="AP268" s="1"/>
  <c r="AS268" s="1"/>
  <c r="AV268" s="1"/>
  <c r="AM304"/>
  <c r="AM321"/>
  <c r="AP321" s="1"/>
  <c r="AS321" s="1"/>
  <c r="AV321" s="1"/>
  <c r="AM269"/>
  <c r="AP269" s="1"/>
  <c r="AS269" s="1"/>
  <c r="AM286"/>
  <c r="AP286" s="1"/>
  <c r="AS286" s="1"/>
  <c r="AV286" s="1"/>
  <c r="AY286" s="1"/>
  <c r="BB286" s="1"/>
  <c r="BE286" s="1"/>
  <c r="BH286" s="1"/>
  <c r="BK286" s="1"/>
  <c r="BN286" s="1"/>
  <c r="AM278"/>
  <c r="AM292"/>
  <c r="AP292" s="1"/>
  <c r="AS292" s="1"/>
  <c r="AV292" s="1"/>
  <c r="AM310"/>
  <c r="AP310" s="1"/>
  <c r="AS310" s="1"/>
  <c r="AV310" s="1"/>
  <c r="AY310" s="1"/>
  <c r="AM260"/>
  <c r="AP260" s="1"/>
  <c r="AS260" s="1"/>
  <c r="AV260" s="1"/>
  <c r="AY260" s="1"/>
  <c r="BB260" s="1"/>
  <c r="BE260" s="1"/>
  <c r="BH260" s="1"/>
  <c r="BK260" s="1"/>
  <c r="BN260" s="1"/>
  <c r="AM258"/>
  <c r="AM261"/>
  <c r="AP261" s="1"/>
  <c r="AS261" s="1"/>
  <c r="AV261" s="1"/>
  <c r="AM311"/>
  <c r="AP311" s="1"/>
  <c r="AS311" s="1"/>
  <c r="AM287"/>
  <c r="AM297"/>
  <c r="AP297" s="1"/>
  <c r="AS297" s="1"/>
  <c r="AV297" s="1"/>
  <c r="AY297" s="1"/>
  <c r="BB297" s="1"/>
  <c r="BE297" s="1"/>
  <c r="BH297" s="1"/>
  <c r="BK297" s="1"/>
  <c r="BN297" s="1"/>
  <c r="AO305"/>
  <c r="AO390" s="1"/>
  <c r="AP390" s="1"/>
  <c r="AS390" s="1"/>
  <c r="AV390" s="1"/>
  <c r="AY390" s="1"/>
  <c r="AI294"/>
  <c r="AJ294" s="1"/>
  <c r="AM294" s="1"/>
  <c r="AP294" s="1"/>
  <c r="AS294" s="1"/>
  <c r="AV294" s="1"/>
  <c r="AY294" s="1"/>
  <c r="BB294" s="1"/>
  <c r="BE294" s="1"/>
  <c r="BH294" s="1"/>
  <c r="BK294" s="1"/>
  <c r="BN294" s="1"/>
  <c r="AL254"/>
  <c r="AM254" s="1"/>
  <c r="AP254" s="1"/>
  <c r="AS254" s="1"/>
  <c r="AV254" s="1"/>
  <c r="AY254" s="1"/>
  <c r="BB254" s="1"/>
  <c r="BE254" s="1"/>
  <c r="BH254" s="1"/>
  <c r="BK254" s="1"/>
  <c r="BN254" s="1"/>
  <c r="AI308"/>
  <c r="AI364" s="1"/>
  <c r="AI280"/>
  <c r="AI299" s="1"/>
  <c r="AJ299" s="1"/>
  <c r="AM299" s="1"/>
  <c r="AP299" s="1"/>
  <c r="AS299" s="1"/>
  <c r="AV299" s="1"/>
  <c r="AI313"/>
  <c r="AJ313" s="1"/>
  <c r="AM313" s="1"/>
  <c r="AP313" s="1"/>
  <c r="AS313" s="1"/>
  <c r="AV313" s="1"/>
  <c r="AY313" s="1"/>
  <c r="BB313" s="1"/>
  <c r="BE313" s="1"/>
  <c r="BH313" s="1"/>
  <c r="BK313" s="1"/>
  <c r="BN313" s="1"/>
  <c r="AJ319"/>
  <c r="AJ265"/>
  <c r="AJ307"/>
  <c r="AI293"/>
  <c r="AJ293" s="1"/>
  <c r="AM293" s="1"/>
  <c r="AP293" s="1"/>
  <c r="AS293" s="1"/>
  <c r="AV293" s="1"/>
  <c r="AY293" s="1"/>
  <c r="BB293" s="1"/>
  <c r="BE293" s="1"/>
  <c r="BH293" s="1"/>
  <c r="BK293" s="1"/>
  <c r="BN293" s="1"/>
  <c r="AI316"/>
  <c r="AF309"/>
  <c r="AG309" s="1"/>
  <c r="AJ309" s="1"/>
  <c r="AM309" s="1"/>
  <c r="AP309" s="1"/>
  <c r="AS309" s="1"/>
  <c r="AV309" s="1"/>
  <c r="AY309" s="1"/>
  <c r="BB309" s="1"/>
  <c r="BE309" s="1"/>
  <c r="BH309" s="1"/>
  <c r="BK309" s="1"/>
  <c r="BN309" s="1"/>
  <c r="AI271"/>
  <c r="AJ271" s="1"/>
  <c r="AM271" s="1"/>
  <c r="AP271" s="1"/>
  <c r="AS271" s="1"/>
  <c r="AV271" s="1"/>
  <c r="AY271" s="1"/>
  <c r="BB271" s="1"/>
  <c r="BE271" s="1"/>
  <c r="BH271" s="1"/>
  <c r="BK271" s="1"/>
  <c r="BN271" s="1"/>
  <c r="AF284"/>
  <c r="AF326" s="1"/>
  <c r="AC52" i="31"/>
  <c r="AC105" s="1"/>
  <c r="AC275" i="30"/>
  <c r="AD275" s="1"/>
  <c r="AG275" s="1"/>
  <c r="AJ275" s="1"/>
  <c r="AM275" s="1"/>
  <c r="AP275" s="1"/>
  <c r="AS275" s="1"/>
  <c r="AV275" s="1"/>
  <c r="AY275" s="1"/>
  <c r="BB275" s="1"/>
  <c r="BE275" s="1"/>
  <c r="BH275" s="1"/>
  <c r="BK275" s="1"/>
  <c r="BN275" s="1"/>
  <c r="AC295"/>
  <c r="AD295" s="1"/>
  <c r="AG295" s="1"/>
  <c r="AJ295" s="1"/>
  <c r="AM295" s="1"/>
  <c r="AP295" s="1"/>
  <c r="AS295" s="1"/>
  <c r="AV295" s="1"/>
  <c r="AY295" s="1"/>
  <c r="BB295" s="1"/>
  <c r="BE295" s="1"/>
  <c r="BH295" s="1"/>
  <c r="BK295" s="1"/>
  <c r="BN295" s="1"/>
  <c r="AC306"/>
  <c r="AD306" s="1"/>
  <c r="AG306" s="1"/>
  <c r="AJ306" s="1"/>
  <c r="AM306" s="1"/>
  <c r="AP306" s="1"/>
  <c r="AS306" s="1"/>
  <c r="AV306" s="1"/>
  <c r="AY306" s="1"/>
  <c r="BB306" s="1"/>
  <c r="BE306" s="1"/>
  <c r="BH306" s="1"/>
  <c r="BK306" s="1"/>
  <c r="BN306" s="1"/>
  <c r="AA49" i="31"/>
  <c r="AD49" s="1"/>
  <c r="AG49" s="1"/>
  <c r="AJ49" s="1"/>
  <c r="AM49" s="1"/>
  <c r="AP49" s="1"/>
  <c r="AS49" s="1"/>
  <c r="AV49" s="1"/>
  <c r="AY49" s="1"/>
  <c r="BB49" s="1"/>
  <c r="BE49" s="1"/>
  <c r="BH49" s="1"/>
  <c r="BK49" s="1"/>
  <c r="BN49" s="1"/>
  <c r="BQ49" s="1"/>
  <c r="BT49" s="1"/>
  <c r="BW49" s="1"/>
  <c r="BZ49" s="1"/>
  <c r="AD270" i="30"/>
  <c r="AG270" s="1"/>
  <c r="AJ270" s="1"/>
  <c r="AM270" s="1"/>
  <c r="AP270" s="1"/>
  <c r="AS270" s="1"/>
  <c r="AV270" s="1"/>
  <c r="AY270" s="1"/>
  <c r="BB270" s="1"/>
  <c r="BE270" s="1"/>
  <c r="BH270" s="1"/>
  <c r="BK270" s="1"/>
  <c r="BN270" s="1"/>
  <c r="AD272"/>
  <c r="AG272" s="1"/>
  <c r="AJ272" s="1"/>
  <c r="AM272" s="1"/>
  <c r="AP272" s="1"/>
  <c r="AS272" s="1"/>
  <c r="AV272" s="1"/>
  <c r="AY272" s="1"/>
  <c r="BB272" s="1"/>
  <c r="BE272" s="1"/>
  <c r="BH272" s="1"/>
  <c r="BK272" s="1"/>
  <c r="BN272" s="1"/>
  <c r="AD296"/>
  <c r="AG296" s="1"/>
  <c r="AJ296" s="1"/>
  <c r="AM296" s="1"/>
  <c r="AP296" s="1"/>
  <c r="AS296" s="1"/>
  <c r="AV296" s="1"/>
  <c r="AY296" s="1"/>
  <c r="BB296" s="1"/>
  <c r="BE296" s="1"/>
  <c r="BH296" s="1"/>
  <c r="BK296" s="1"/>
  <c r="BN296" s="1"/>
  <c r="AD266"/>
  <c r="AG266" s="1"/>
  <c r="AJ266" s="1"/>
  <c r="AM266" s="1"/>
  <c r="AP266" s="1"/>
  <c r="AS266" s="1"/>
  <c r="AV266" s="1"/>
  <c r="AY266" s="1"/>
  <c r="BB266" s="1"/>
  <c r="BE266" s="1"/>
  <c r="BH266" s="1"/>
  <c r="BK266" s="1"/>
  <c r="BN266" s="1"/>
  <c r="W36" i="32"/>
  <c r="BV300" i="30" l="1"/>
  <c r="BV747" s="1"/>
  <c r="BW747" s="1"/>
  <c r="BZ747" s="1"/>
  <c r="BQ293"/>
  <c r="BT293" s="1"/>
  <c r="BW293" s="1"/>
  <c r="BZ293" s="1"/>
  <c r="BQ313"/>
  <c r="BT313" s="1"/>
  <c r="BW313" s="1"/>
  <c r="BZ313" s="1"/>
  <c r="BQ294"/>
  <c r="BT294" s="1"/>
  <c r="BW294" s="1"/>
  <c r="BZ294" s="1"/>
  <c r="BQ256"/>
  <c r="BQ259"/>
  <c r="BT259" s="1"/>
  <c r="BW259" s="1"/>
  <c r="BZ259" s="1"/>
  <c r="BQ266"/>
  <c r="BT266" s="1"/>
  <c r="BW266" s="1"/>
  <c r="BZ266" s="1"/>
  <c r="BQ254"/>
  <c r="BT254" s="1"/>
  <c r="BW254" s="1"/>
  <c r="BZ254" s="1"/>
  <c r="BQ260"/>
  <c r="BT260" s="1"/>
  <c r="BW260" s="1"/>
  <c r="BZ260" s="1"/>
  <c r="BQ286"/>
  <c r="BQ296"/>
  <c r="BT296" s="1"/>
  <c r="BW296" s="1"/>
  <c r="BZ296" s="1"/>
  <c r="BQ270"/>
  <c r="BT270" s="1"/>
  <c r="BW270" s="1"/>
  <c r="BZ270" s="1"/>
  <c r="BQ275"/>
  <c r="BT275" s="1"/>
  <c r="BW275" s="1"/>
  <c r="BZ275" s="1"/>
  <c r="BQ309"/>
  <c r="BT309" s="1"/>
  <c r="BW309" s="1"/>
  <c r="BZ309" s="1"/>
  <c r="BQ297"/>
  <c r="BT297" s="1"/>
  <c r="BW297" s="1"/>
  <c r="BZ297" s="1"/>
  <c r="BQ302"/>
  <c r="BT302" s="1"/>
  <c r="BW302" s="1"/>
  <c r="BZ302" s="1"/>
  <c r="BQ471"/>
  <c r="BT471" s="1"/>
  <c r="BW471" s="1"/>
  <c r="BZ471" s="1"/>
  <c r="BQ306"/>
  <c r="BT306" s="1"/>
  <c r="BW306" s="1"/>
  <c r="BZ306" s="1"/>
  <c r="BQ272"/>
  <c r="BT272" s="1"/>
  <c r="BW272" s="1"/>
  <c r="BZ272" s="1"/>
  <c r="BQ295"/>
  <c r="BT295" s="1"/>
  <c r="BW295" s="1"/>
  <c r="BZ295" s="1"/>
  <c r="BQ271"/>
  <c r="BT271" s="1"/>
  <c r="BW271" s="1"/>
  <c r="BZ271" s="1"/>
  <c r="BQ281"/>
  <c r="BT281" s="1"/>
  <c r="BW281" s="1"/>
  <c r="BZ281" s="1"/>
  <c r="BQ501"/>
  <c r="BT501" s="1"/>
  <c r="BW501" s="1"/>
  <c r="BZ501" s="1"/>
  <c r="BQ605"/>
  <c r="BP184" i="32"/>
  <c r="AJ364" i="30"/>
  <c r="AM364" s="1"/>
  <c r="AP364" s="1"/>
  <c r="AS364" s="1"/>
  <c r="AV364" s="1"/>
  <c r="AY364" s="1"/>
  <c r="BB364" s="1"/>
  <c r="BE364" s="1"/>
  <c r="BH364" s="1"/>
  <c r="BK364" s="1"/>
  <c r="BN364" s="1"/>
  <c r="BH277"/>
  <c r="BK277" s="1"/>
  <c r="BN277" s="1"/>
  <c r="BG608"/>
  <c r="BH608" s="1"/>
  <c r="BJ608" s="1"/>
  <c r="BK608" s="1"/>
  <c r="BN608" s="1"/>
  <c r="BA310"/>
  <c r="BB310" s="1"/>
  <c r="BE310" s="1"/>
  <c r="BH310" s="1"/>
  <c r="BK310" s="1"/>
  <c r="BN310" s="1"/>
  <c r="BA390"/>
  <c r="AX268"/>
  <c r="AY268" s="1"/>
  <c r="BB268" s="1"/>
  <c r="BE268" s="1"/>
  <c r="BH268" s="1"/>
  <c r="BK268" s="1"/>
  <c r="BN268" s="1"/>
  <c r="AX261"/>
  <c r="AY261" s="1"/>
  <c r="BB261" s="1"/>
  <c r="BE261" s="1"/>
  <c r="BH261" s="1"/>
  <c r="BK261" s="1"/>
  <c r="BN261" s="1"/>
  <c r="AX299"/>
  <c r="AU311"/>
  <c r="AV311" s="1"/>
  <c r="AY311" s="1"/>
  <c r="BB311" s="1"/>
  <c r="BE311" s="1"/>
  <c r="BH311" s="1"/>
  <c r="BK311" s="1"/>
  <c r="BN311" s="1"/>
  <c r="AU269"/>
  <c r="AD383"/>
  <c r="AO385"/>
  <c r="AP385" s="1"/>
  <c r="AS385" s="1"/>
  <c r="AV385" s="1"/>
  <c r="AO287"/>
  <c r="AP287" s="1"/>
  <c r="AS287" s="1"/>
  <c r="AV287" s="1"/>
  <c r="AY287" s="1"/>
  <c r="BB287" s="1"/>
  <c r="BE287" s="1"/>
  <c r="BH287" s="1"/>
  <c r="BK287" s="1"/>
  <c r="BN287" s="1"/>
  <c r="AO258"/>
  <c r="AP305"/>
  <c r="AS305" s="1"/>
  <c r="AV305" s="1"/>
  <c r="AY305" s="1"/>
  <c r="BB305" s="1"/>
  <c r="BE305" s="1"/>
  <c r="BH305" s="1"/>
  <c r="BK305" s="1"/>
  <c r="BN305" s="1"/>
  <c r="AL265"/>
  <c r="AL307" s="1"/>
  <c r="AL319"/>
  <c r="AM319" s="1"/>
  <c r="AP319" s="1"/>
  <c r="AS319" s="1"/>
  <c r="AV319" s="1"/>
  <c r="AY319" s="1"/>
  <c r="BB319" s="1"/>
  <c r="BE319" s="1"/>
  <c r="BH319" s="1"/>
  <c r="BK319" s="1"/>
  <c r="BN319" s="1"/>
  <c r="AI374"/>
  <c r="AJ374" s="1"/>
  <c r="AM374" s="1"/>
  <c r="AP374" s="1"/>
  <c r="AS374" s="1"/>
  <c r="AV374" s="1"/>
  <c r="AY374" s="1"/>
  <c r="BB374" s="1"/>
  <c r="AJ308"/>
  <c r="AM308" s="1"/>
  <c r="AP308" s="1"/>
  <c r="AS308" s="1"/>
  <c r="AV308" s="1"/>
  <c r="AY308" s="1"/>
  <c r="BB308" s="1"/>
  <c r="BE308" s="1"/>
  <c r="BH308" s="1"/>
  <c r="BK308" s="1"/>
  <c r="BN308" s="1"/>
  <c r="AJ280"/>
  <c r="AM280" s="1"/>
  <c r="AP280" s="1"/>
  <c r="AS280" s="1"/>
  <c r="AV280" s="1"/>
  <c r="AY280" s="1"/>
  <c r="BB280" s="1"/>
  <c r="BE280" s="1"/>
  <c r="BH280" s="1"/>
  <c r="BK280" s="1"/>
  <c r="BN280" s="1"/>
  <c r="AJ316"/>
  <c r="AM316" s="1"/>
  <c r="AP316" s="1"/>
  <c r="AS316" s="1"/>
  <c r="AV316" s="1"/>
  <c r="AY316" s="1"/>
  <c r="BB316" s="1"/>
  <c r="BE316" s="1"/>
  <c r="BH316" s="1"/>
  <c r="BK316" s="1"/>
  <c r="BN316" s="1"/>
  <c r="AJ380"/>
  <c r="AG284"/>
  <c r="AJ284" s="1"/>
  <c r="AM284" s="1"/>
  <c r="AP284" s="1"/>
  <c r="AS284" s="1"/>
  <c r="AV284" s="1"/>
  <c r="AY284" s="1"/>
  <c r="BB284" s="1"/>
  <c r="BE284" s="1"/>
  <c r="BH284" s="1"/>
  <c r="BK284" s="1"/>
  <c r="BN284" s="1"/>
  <c r="AG326"/>
  <c r="AJ326" s="1"/>
  <c r="AM326" s="1"/>
  <c r="AP326" s="1"/>
  <c r="AS326" s="1"/>
  <c r="AV326" s="1"/>
  <c r="AY326" s="1"/>
  <c r="BB326" s="1"/>
  <c r="BE326" s="1"/>
  <c r="BH326" s="1"/>
  <c r="BK326" s="1"/>
  <c r="AD52" i="31"/>
  <c r="AG52" s="1"/>
  <c r="AJ52" s="1"/>
  <c r="AM52" s="1"/>
  <c r="AP52" s="1"/>
  <c r="AS52" s="1"/>
  <c r="AV52" s="1"/>
  <c r="AY52" s="1"/>
  <c r="BB52" s="1"/>
  <c r="BE52" s="1"/>
  <c r="BH52" s="1"/>
  <c r="BK52" s="1"/>
  <c r="BN52" s="1"/>
  <c r="BQ52" s="1"/>
  <c r="BT52" s="1"/>
  <c r="BW52" s="1"/>
  <c r="BZ52" s="1"/>
  <c r="T11" i="30"/>
  <c r="T7"/>
  <c r="T90"/>
  <c r="T132"/>
  <c r="T69"/>
  <c r="T80"/>
  <c r="T22"/>
  <c r="T87"/>
  <c r="T75"/>
  <c r="T36" i="32"/>
  <c r="T221" i="30"/>
  <c r="BW300" l="1"/>
  <c r="BZ300" s="1"/>
  <c r="BS605"/>
  <c r="BS675" s="1"/>
  <c r="BT675" s="1"/>
  <c r="BW675" s="1"/>
  <c r="BZ675" s="1"/>
  <c r="BS256"/>
  <c r="BS286"/>
  <c r="BT286" s="1"/>
  <c r="BW286" s="1"/>
  <c r="BZ286" s="1"/>
  <c r="BQ268"/>
  <c r="BT268" s="1"/>
  <c r="BW268" s="1"/>
  <c r="BZ268" s="1"/>
  <c r="BQ277"/>
  <c r="BT277" s="1"/>
  <c r="BW277" s="1"/>
  <c r="BZ277" s="1"/>
  <c r="BQ284"/>
  <c r="BT284" s="1"/>
  <c r="BW284" s="1"/>
  <c r="BZ284" s="1"/>
  <c r="BQ305"/>
  <c r="BT305" s="1"/>
  <c r="BW305" s="1"/>
  <c r="BZ305" s="1"/>
  <c r="BQ261"/>
  <c r="BT261" s="1"/>
  <c r="BW261" s="1"/>
  <c r="BZ261" s="1"/>
  <c r="BQ608"/>
  <c r="BT608" s="1"/>
  <c r="BW608" s="1"/>
  <c r="BZ608" s="1"/>
  <c r="BQ280"/>
  <c r="BT280" s="1"/>
  <c r="BW280" s="1"/>
  <c r="BZ280" s="1"/>
  <c r="BQ310"/>
  <c r="BT310" s="1"/>
  <c r="BW310" s="1"/>
  <c r="BZ310" s="1"/>
  <c r="BQ308"/>
  <c r="BT308" s="1"/>
  <c r="BW308" s="1"/>
  <c r="BZ308" s="1"/>
  <c r="BQ316"/>
  <c r="BT316" s="1"/>
  <c r="BW316" s="1"/>
  <c r="BZ316" s="1"/>
  <c r="BQ319"/>
  <c r="BT319" s="1"/>
  <c r="BW319" s="1"/>
  <c r="BZ319" s="1"/>
  <c r="BQ287"/>
  <c r="BT287" s="1"/>
  <c r="BW287" s="1"/>
  <c r="BZ287" s="1"/>
  <c r="BQ311"/>
  <c r="BT311" s="1"/>
  <c r="BW311" s="1"/>
  <c r="BZ311" s="1"/>
  <c r="BP364"/>
  <c r="BP705" s="1"/>
  <c r="BM326"/>
  <c r="BM630" s="1"/>
  <c r="BD374"/>
  <c r="BD610" s="1"/>
  <c r="BE610" s="1"/>
  <c r="BH610" s="1"/>
  <c r="BK610" s="1"/>
  <c r="BN610" s="1"/>
  <c r="BB390"/>
  <c r="BE390" s="1"/>
  <c r="BH390" s="1"/>
  <c r="BK390" s="1"/>
  <c r="BN390" s="1"/>
  <c r="AV269"/>
  <c r="AY269" s="1"/>
  <c r="BB269" s="1"/>
  <c r="BE269" s="1"/>
  <c r="BH269" s="1"/>
  <c r="BK269" s="1"/>
  <c r="BN269" s="1"/>
  <c r="AY299"/>
  <c r="BB299" s="1"/>
  <c r="BE299" s="1"/>
  <c r="BH299" s="1"/>
  <c r="BK299" s="1"/>
  <c r="BN299" s="1"/>
  <c r="AX318"/>
  <c r="AX385"/>
  <c r="AU397"/>
  <c r="AV397" s="1"/>
  <c r="AY397" s="1"/>
  <c r="BB397" s="1"/>
  <c r="AG383"/>
  <c r="AO304"/>
  <c r="AP304" s="1"/>
  <c r="AS304" s="1"/>
  <c r="AV304" s="1"/>
  <c r="AP258"/>
  <c r="AS258" s="1"/>
  <c r="AV258" s="1"/>
  <c r="AY258" s="1"/>
  <c r="BB258" s="1"/>
  <c r="BE258" s="1"/>
  <c r="BH258" s="1"/>
  <c r="BK258" s="1"/>
  <c r="BN258" s="1"/>
  <c r="AM265"/>
  <c r="AP265" s="1"/>
  <c r="AS265" s="1"/>
  <c r="AV265" s="1"/>
  <c r="AY265" s="1"/>
  <c r="BB265" s="1"/>
  <c r="BE265" s="1"/>
  <c r="BH265" s="1"/>
  <c r="BK265" s="1"/>
  <c r="BN265" s="1"/>
  <c r="AL380"/>
  <c r="AM380" s="1"/>
  <c r="AP380" s="1"/>
  <c r="AS380" s="1"/>
  <c r="AV380" s="1"/>
  <c r="AY380" s="1"/>
  <c r="BB380" s="1"/>
  <c r="BE380" s="1"/>
  <c r="BH380" s="1"/>
  <c r="BK380" s="1"/>
  <c r="BN380" s="1"/>
  <c r="AM307"/>
  <c r="AP307" s="1"/>
  <c r="T161"/>
  <c r="B45" i="32"/>
  <c r="CC45" s="1"/>
  <c r="L45"/>
  <c r="R45" s="1"/>
  <c r="U45" s="1"/>
  <c r="X45" s="1"/>
  <c r="B46"/>
  <c r="L46"/>
  <c r="R46" s="1"/>
  <c r="U46" s="1"/>
  <c r="X46" s="1"/>
  <c r="B47"/>
  <c r="L47"/>
  <c r="O47" s="1"/>
  <c r="U47" s="1"/>
  <c r="X47" s="1"/>
  <c r="B48"/>
  <c r="L48"/>
  <c r="O48" s="1"/>
  <c r="U48" s="1"/>
  <c r="X48" s="1"/>
  <c r="B49"/>
  <c r="CC49" s="1"/>
  <c r="L49"/>
  <c r="O49" s="1"/>
  <c r="U49" s="1"/>
  <c r="X49" s="1"/>
  <c r="B50"/>
  <c r="L50"/>
  <c r="O50" s="1"/>
  <c r="U50" s="1"/>
  <c r="X50" s="1"/>
  <c r="B51"/>
  <c r="L51"/>
  <c r="O51" s="1"/>
  <c r="R51" s="1"/>
  <c r="X51" s="1"/>
  <c r="B52"/>
  <c r="CC52" s="1"/>
  <c r="L52"/>
  <c r="O52" s="1"/>
  <c r="R52" s="1"/>
  <c r="X52" s="1"/>
  <c r="B53"/>
  <c r="L53"/>
  <c r="O53" s="1"/>
  <c r="R53" s="1"/>
  <c r="X53" s="1"/>
  <c r="B54"/>
  <c r="L54"/>
  <c r="O54" s="1"/>
  <c r="R54" s="1"/>
  <c r="U54" s="1"/>
  <c r="B55"/>
  <c r="L55"/>
  <c r="O55" s="1"/>
  <c r="R55" s="1"/>
  <c r="U55" s="1"/>
  <c r="B56"/>
  <c r="L56"/>
  <c r="O56" s="1"/>
  <c r="R56" s="1"/>
  <c r="U56" s="1"/>
  <c r="B57"/>
  <c r="L57"/>
  <c r="O57" s="1"/>
  <c r="R57" s="1"/>
  <c r="U57" s="1"/>
  <c r="B58"/>
  <c r="CC58" s="1"/>
  <c r="L58"/>
  <c r="O58" s="1"/>
  <c r="R58" s="1"/>
  <c r="U58" s="1"/>
  <c r="B59"/>
  <c r="L59"/>
  <c r="O59" s="1"/>
  <c r="R59" s="1"/>
  <c r="U59" s="1"/>
  <c r="B60"/>
  <c r="L60"/>
  <c r="O60" s="1"/>
  <c r="R60" s="1"/>
  <c r="U60" s="1"/>
  <c r="R44" i="31"/>
  <c r="U44" s="1"/>
  <c r="X44" s="1"/>
  <c r="R45"/>
  <c r="U45" s="1"/>
  <c r="X45" s="1"/>
  <c r="CD227" i="30"/>
  <c r="I227"/>
  <c r="L227" s="1"/>
  <c r="O227" s="1"/>
  <c r="R227" s="1"/>
  <c r="U227" s="1"/>
  <c r="CD228"/>
  <c r="I228"/>
  <c r="L228" s="1"/>
  <c r="O228" s="1"/>
  <c r="R228" s="1"/>
  <c r="U228" s="1"/>
  <c r="X228" s="1"/>
  <c r="CD229"/>
  <c r="I229"/>
  <c r="L229" s="1"/>
  <c r="O229" s="1"/>
  <c r="R229" s="1"/>
  <c r="U229" s="1"/>
  <c r="X229" s="1"/>
  <c r="CD230"/>
  <c r="I230"/>
  <c r="L230" s="1"/>
  <c r="O230" s="1"/>
  <c r="R230" s="1"/>
  <c r="U230" s="1"/>
  <c r="X230" s="1"/>
  <c r="CD231"/>
  <c r="I231"/>
  <c r="L231" s="1"/>
  <c r="O231" s="1"/>
  <c r="R231" s="1"/>
  <c r="U231" s="1"/>
  <c r="X231" s="1"/>
  <c r="CD232"/>
  <c r="I232"/>
  <c r="L232" s="1"/>
  <c r="O232" s="1"/>
  <c r="R232" s="1"/>
  <c r="U232" s="1"/>
  <c r="X232" s="1"/>
  <c r="CD233"/>
  <c r="I233"/>
  <c r="L233" s="1"/>
  <c r="O233" s="1"/>
  <c r="R233" s="1"/>
  <c r="U233" s="1"/>
  <c r="CD234"/>
  <c r="I234"/>
  <c r="L234" s="1"/>
  <c r="O234" s="1"/>
  <c r="R234" s="1"/>
  <c r="U234" s="1"/>
  <c r="X234" s="1"/>
  <c r="CD235"/>
  <c r="I235"/>
  <c r="L235" s="1"/>
  <c r="O235" s="1"/>
  <c r="R235" s="1"/>
  <c r="U235" s="1"/>
  <c r="X235" s="1"/>
  <c r="CD236"/>
  <c r="I236"/>
  <c r="L236" s="1"/>
  <c r="O236" s="1"/>
  <c r="R236" s="1"/>
  <c r="U236" s="1"/>
  <c r="X236" s="1"/>
  <c r="CD237"/>
  <c r="I237"/>
  <c r="L237" s="1"/>
  <c r="O237" s="1"/>
  <c r="R237" s="1"/>
  <c r="U237" s="1"/>
  <c r="X237" s="1"/>
  <c r="CD238"/>
  <c r="I238"/>
  <c r="L238" s="1"/>
  <c r="O238" s="1"/>
  <c r="R238" s="1"/>
  <c r="U238" s="1"/>
  <c r="X238" s="1"/>
  <c r="CD239"/>
  <c r="I239"/>
  <c r="L239" s="1"/>
  <c r="O239" s="1"/>
  <c r="R239" s="1"/>
  <c r="U239" s="1"/>
  <c r="X239" s="1"/>
  <c r="CD240"/>
  <c r="I240"/>
  <c r="L240" s="1"/>
  <c r="O240" s="1"/>
  <c r="R240" s="1"/>
  <c r="U240" s="1"/>
  <c r="X240" s="1"/>
  <c r="CD241"/>
  <c r="I241"/>
  <c r="L241" s="1"/>
  <c r="O241" s="1"/>
  <c r="R241" s="1"/>
  <c r="U241" s="1"/>
  <c r="X241" s="1"/>
  <c r="CD242"/>
  <c r="I242"/>
  <c r="L242" s="1"/>
  <c r="O242" s="1"/>
  <c r="R242" s="1"/>
  <c r="CD243"/>
  <c r="I243"/>
  <c r="L243" s="1"/>
  <c r="O243" s="1"/>
  <c r="R243" s="1"/>
  <c r="CD244"/>
  <c r="I244"/>
  <c r="L244" s="1"/>
  <c r="O244" s="1"/>
  <c r="R244" s="1"/>
  <c r="U244" s="1"/>
  <c r="X244" s="1"/>
  <c r="CD245"/>
  <c r="I245"/>
  <c r="L245" s="1"/>
  <c r="O245" s="1"/>
  <c r="R245" s="1"/>
  <c r="U245" s="1"/>
  <c r="X245" s="1"/>
  <c r="CD246"/>
  <c r="I246"/>
  <c r="L246" s="1"/>
  <c r="O246" s="1"/>
  <c r="R246" s="1"/>
  <c r="U246" s="1"/>
  <c r="X246" s="1"/>
  <c r="CD247"/>
  <c r="I247"/>
  <c r="L247" s="1"/>
  <c r="O247" s="1"/>
  <c r="R247" s="1"/>
  <c r="U247" s="1"/>
  <c r="X247" s="1"/>
  <c r="CD248"/>
  <c r="I248"/>
  <c r="L248" s="1"/>
  <c r="O248" s="1"/>
  <c r="R248" s="1"/>
  <c r="U248" s="1"/>
  <c r="X248" s="1"/>
  <c r="CD249"/>
  <c r="I249"/>
  <c r="L249" s="1"/>
  <c r="O249" s="1"/>
  <c r="R249" s="1"/>
  <c r="U249" s="1"/>
  <c r="X249" s="1"/>
  <c r="CD250"/>
  <c r="I250"/>
  <c r="L250" s="1"/>
  <c r="O250" s="1"/>
  <c r="R250" s="1"/>
  <c r="U250" s="1"/>
  <c r="X250" s="1"/>
  <c r="CD251"/>
  <c r="I251"/>
  <c r="L251" s="1"/>
  <c r="O251" s="1"/>
  <c r="R251" s="1"/>
  <c r="U251" s="1"/>
  <c r="X251" s="1"/>
  <c r="Q172"/>
  <c r="Q138"/>
  <c r="Q97"/>
  <c r="BS462" l="1"/>
  <c r="BT462" s="1"/>
  <c r="BW462" s="1"/>
  <c r="BZ462" s="1"/>
  <c r="BT605"/>
  <c r="BW605" s="1"/>
  <c r="BZ605" s="1"/>
  <c r="BT256"/>
  <c r="BW256" s="1"/>
  <c r="BZ256" s="1"/>
  <c r="BQ364"/>
  <c r="BT364" s="1"/>
  <c r="BW364" s="1"/>
  <c r="BZ364" s="1"/>
  <c r="BQ380"/>
  <c r="BT380" s="1"/>
  <c r="BW380" s="1"/>
  <c r="BZ380" s="1"/>
  <c r="BQ299"/>
  <c r="BT299" s="1"/>
  <c r="BW299" s="1"/>
  <c r="BZ299" s="1"/>
  <c r="BQ610"/>
  <c r="BT610" s="1"/>
  <c r="BW610" s="1"/>
  <c r="BZ610" s="1"/>
  <c r="BQ258"/>
  <c r="BT258" s="1"/>
  <c r="BW258" s="1"/>
  <c r="BZ258" s="1"/>
  <c r="BQ390"/>
  <c r="BT390" s="1"/>
  <c r="BW390" s="1"/>
  <c r="BZ390" s="1"/>
  <c r="BQ265"/>
  <c r="BT265" s="1"/>
  <c r="BW265" s="1"/>
  <c r="BZ265" s="1"/>
  <c r="BQ269"/>
  <c r="BT269" s="1"/>
  <c r="BW269" s="1"/>
  <c r="BZ269" s="1"/>
  <c r="BQ705"/>
  <c r="BT705" s="1"/>
  <c r="BW705" s="1"/>
  <c r="AY318"/>
  <c r="BB318" s="1"/>
  <c r="BE318" s="1"/>
  <c r="BH318" s="1"/>
  <c r="BK318" s="1"/>
  <c r="BN326"/>
  <c r="BN630"/>
  <c r="BE374"/>
  <c r="BH374" s="1"/>
  <c r="BK374" s="1"/>
  <c r="BN374" s="1"/>
  <c r="BD397"/>
  <c r="BD604" s="1"/>
  <c r="AX304"/>
  <c r="AY304" s="1"/>
  <c r="BB304" s="1"/>
  <c r="BE304" s="1"/>
  <c r="BH304" s="1"/>
  <c r="BK304" s="1"/>
  <c r="BN304" s="1"/>
  <c r="AX418"/>
  <c r="AY418" s="1"/>
  <c r="AY385"/>
  <c r="BB385" s="1"/>
  <c r="BE385" s="1"/>
  <c r="BH385" s="1"/>
  <c r="BK385" s="1"/>
  <c r="BN385" s="1"/>
  <c r="AR307"/>
  <c r="AJ383"/>
  <c r="AL410"/>
  <c r="AA60" i="32"/>
  <c r="AD60" s="1"/>
  <c r="AG60" s="1"/>
  <c r="AA58"/>
  <c r="AD58" s="1"/>
  <c r="AG58" s="1"/>
  <c r="AJ58" s="1"/>
  <c r="AM58" s="1"/>
  <c r="AP58" s="1"/>
  <c r="AS58" s="1"/>
  <c r="AV58" s="1"/>
  <c r="AY58" s="1"/>
  <c r="BB58" s="1"/>
  <c r="BE58" s="1"/>
  <c r="BH58" s="1"/>
  <c r="BK58" s="1"/>
  <c r="BN58" s="1"/>
  <c r="BQ58" s="1"/>
  <c r="BT58" s="1"/>
  <c r="BW58" s="1"/>
  <c r="BZ58" s="1"/>
  <c r="AA56"/>
  <c r="AD56" s="1"/>
  <c r="AA54"/>
  <c r="AD54" s="1"/>
  <c r="AA52"/>
  <c r="AD52" s="1"/>
  <c r="AG52" s="1"/>
  <c r="AJ52" s="1"/>
  <c r="AM52" s="1"/>
  <c r="AP52" s="1"/>
  <c r="AS52" s="1"/>
  <c r="AV52" s="1"/>
  <c r="AY52" s="1"/>
  <c r="BB52" s="1"/>
  <c r="BE52" s="1"/>
  <c r="BH52" s="1"/>
  <c r="BK52" s="1"/>
  <c r="BN52" s="1"/>
  <c r="BQ52" s="1"/>
  <c r="BT52" s="1"/>
  <c r="BW52" s="1"/>
  <c r="BZ52" s="1"/>
  <c r="AA50"/>
  <c r="AD50" s="1"/>
  <c r="AA48"/>
  <c r="AD48" s="1"/>
  <c r="AG48" s="1"/>
  <c r="AJ48" s="1"/>
  <c r="AM48" s="1"/>
  <c r="AP48" s="1"/>
  <c r="AA59"/>
  <c r="AD59" s="1"/>
  <c r="AA57"/>
  <c r="AD57" s="1"/>
  <c r="AA55"/>
  <c r="AD55" s="1"/>
  <c r="AG55" s="1"/>
  <c r="AJ55" s="1"/>
  <c r="AM55" s="1"/>
  <c r="AP55" s="1"/>
  <c r="AA53"/>
  <c r="AD53" s="1"/>
  <c r="AG53" s="1"/>
  <c r="AJ53" s="1"/>
  <c r="AM53" s="1"/>
  <c r="AP53" s="1"/>
  <c r="AS53" s="1"/>
  <c r="AV53" s="1"/>
  <c r="AY53" s="1"/>
  <c r="BB53" s="1"/>
  <c r="BE53" s="1"/>
  <c r="BH53" s="1"/>
  <c r="BK53" s="1"/>
  <c r="BN53" s="1"/>
  <c r="BQ53" s="1"/>
  <c r="BT53" s="1"/>
  <c r="BW53" s="1"/>
  <c r="BZ53" s="1"/>
  <c r="AA51"/>
  <c r="AD51" s="1"/>
  <c r="AG51" s="1"/>
  <c r="AJ51" s="1"/>
  <c r="AM51" s="1"/>
  <c r="AP51" s="1"/>
  <c r="AA49"/>
  <c r="AD49" s="1"/>
  <c r="AG49" s="1"/>
  <c r="AJ49" s="1"/>
  <c r="AM49" s="1"/>
  <c r="AP49" s="1"/>
  <c r="AS49" s="1"/>
  <c r="AV49" s="1"/>
  <c r="AY49" s="1"/>
  <c r="BB49" s="1"/>
  <c r="BE49" s="1"/>
  <c r="BH49" s="1"/>
  <c r="BK49" s="1"/>
  <c r="BN49" s="1"/>
  <c r="BQ49" s="1"/>
  <c r="BT49" s="1"/>
  <c r="BW49" s="1"/>
  <c r="BZ49" s="1"/>
  <c r="AA47"/>
  <c r="AD47" s="1"/>
  <c r="AA45"/>
  <c r="AD45" s="1"/>
  <c r="AG45" s="1"/>
  <c r="AJ45" s="1"/>
  <c r="AM45" s="1"/>
  <c r="AP45" s="1"/>
  <c r="AS45" s="1"/>
  <c r="AV45" s="1"/>
  <c r="AY45" s="1"/>
  <c r="BB45" s="1"/>
  <c r="BE45" s="1"/>
  <c r="BH45" s="1"/>
  <c r="BK45" s="1"/>
  <c r="BN45" s="1"/>
  <c r="BQ45" s="1"/>
  <c r="BT45" s="1"/>
  <c r="BW45" s="1"/>
  <c r="BZ45" s="1"/>
  <c r="AA45" i="31"/>
  <c r="AD45" s="1"/>
  <c r="AG45" s="1"/>
  <c r="AJ45" s="1"/>
  <c r="AM45" s="1"/>
  <c r="AP45" s="1"/>
  <c r="AS45" s="1"/>
  <c r="AV45" s="1"/>
  <c r="AY45" s="1"/>
  <c r="BB45" s="1"/>
  <c r="BE45" s="1"/>
  <c r="BH45" s="1"/>
  <c r="BK45" s="1"/>
  <c r="BN45" s="1"/>
  <c r="AA231" i="30"/>
  <c r="AC231" s="1"/>
  <c r="AD231" s="1"/>
  <c r="AG231" s="1"/>
  <c r="AJ231" s="1"/>
  <c r="AM231" s="1"/>
  <c r="AP231" s="1"/>
  <c r="AS231" s="1"/>
  <c r="AV231" s="1"/>
  <c r="AY231" s="1"/>
  <c r="BB231" s="1"/>
  <c r="BE231" s="1"/>
  <c r="BH231" s="1"/>
  <c r="BK231" s="1"/>
  <c r="BN231" s="1"/>
  <c r="AA248"/>
  <c r="AA246"/>
  <c r="AA236"/>
  <c r="AA251"/>
  <c r="AD251" s="1"/>
  <c r="AA249"/>
  <c r="AD249" s="1"/>
  <c r="AG249" s="1"/>
  <c r="AA247"/>
  <c r="AD247" s="1"/>
  <c r="AG247" s="1"/>
  <c r="AA245"/>
  <c r="AD245" s="1"/>
  <c r="AG245" s="1"/>
  <c r="AJ245" s="1"/>
  <c r="AM245" s="1"/>
  <c r="AP245" s="1"/>
  <c r="AS245" s="1"/>
  <c r="AV245" s="1"/>
  <c r="AY245" s="1"/>
  <c r="BB245" s="1"/>
  <c r="BE245" s="1"/>
  <c r="BH245" s="1"/>
  <c r="BK245" s="1"/>
  <c r="BN245" s="1"/>
  <c r="AA241"/>
  <c r="AA239"/>
  <c r="AD239" s="1"/>
  <c r="AG239" s="1"/>
  <c r="AA237"/>
  <c r="AD237" s="1"/>
  <c r="AG237" s="1"/>
  <c r="AJ237" s="1"/>
  <c r="AM237" s="1"/>
  <c r="AP237" s="1"/>
  <c r="AS237" s="1"/>
  <c r="AV237" s="1"/>
  <c r="AY237" s="1"/>
  <c r="BB237" s="1"/>
  <c r="BE237" s="1"/>
  <c r="BH237" s="1"/>
  <c r="BK237" s="1"/>
  <c r="BN237" s="1"/>
  <c r="AA235"/>
  <c r="AD235" s="1"/>
  <c r="AG235" s="1"/>
  <c r="AJ235" s="1"/>
  <c r="AA229"/>
  <c r="AD229" s="1"/>
  <c r="AG229" s="1"/>
  <c r="AJ229" s="1"/>
  <c r="AM229" s="1"/>
  <c r="AP229" s="1"/>
  <c r="AS229" s="1"/>
  <c r="AV229" s="1"/>
  <c r="AY229" s="1"/>
  <c r="BB229" s="1"/>
  <c r="BE229" s="1"/>
  <c r="BH229" s="1"/>
  <c r="BK229" s="1"/>
  <c r="BN229" s="1"/>
  <c r="AA250"/>
  <c r="AD250" s="1"/>
  <c r="AG250" s="1"/>
  <c r="AJ250" s="1"/>
  <c r="AM250" s="1"/>
  <c r="AP250" s="1"/>
  <c r="AS250" s="1"/>
  <c r="AV250" s="1"/>
  <c r="AY250" s="1"/>
  <c r="BB250" s="1"/>
  <c r="BE250" s="1"/>
  <c r="BH250" s="1"/>
  <c r="BK250" s="1"/>
  <c r="BN250" s="1"/>
  <c r="AA244"/>
  <c r="AD244" s="1"/>
  <c r="AG244" s="1"/>
  <c r="AJ244" s="1"/>
  <c r="AM244" s="1"/>
  <c r="AP244" s="1"/>
  <c r="AS244" s="1"/>
  <c r="AV244" s="1"/>
  <c r="AY244" s="1"/>
  <c r="BB244" s="1"/>
  <c r="BE244" s="1"/>
  <c r="BH244" s="1"/>
  <c r="BK244" s="1"/>
  <c r="BN244" s="1"/>
  <c r="AA240"/>
  <c r="AA238"/>
  <c r="AD238" s="1"/>
  <c r="AG238" s="1"/>
  <c r="AA234"/>
  <c r="AD234" s="1"/>
  <c r="AG234" s="1"/>
  <c r="AJ234" s="1"/>
  <c r="AA232"/>
  <c r="AD232" s="1"/>
  <c r="AG232" s="1"/>
  <c r="AJ232" s="1"/>
  <c r="AM232" s="1"/>
  <c r="AP232" s="1"/>
  <c r="AS232" s="1"/>
  <c r="AV232" s="1"/>
  <c r="AY232" s="1"/>
  <c r="BB232" s="1"/>
  <c r="BE232" s="1"/>
  <c r="BH232" s="1"/>
  <c r="BK232" s="1"/>
  <c r="BN232" s="1"/>
  <c r="AA228"/>
  <c r="AD228" s="1"/>
  <c r="AG228" s="1"/>
  <c r="AJ228" s="1"/>
  <c r="AM228" s="1"/>
  <c r="AA46" i="32"/>
  <c r="AD46" s="1"/>
  <c r="AG46" s="1"/>
  <c r="AJ46" s="1"/>
  <c r="W233" i="30"/>
  <c r="X233" s="1"/>
  <c r="T243"/>
  <c r="U243" s="1"/>
  <c r="X243" s="1"/>
  <c r="T242"/>
  <c r="U242" s="1"/>
  <c r="X242" s="1"/>
  <c r="R7" i="31"/>
  <c r="U7" s="1"/>
  <c r="X7" s="1"/>
  <c r="R42"/>
  <c r="U42" s="1"/>
  <c r="X42" s="1"/>
  <c r="R43"/>
  <c r="U43" s="1"/>
  <c r="X43" s="1"/>
  <c r="T189" i="30"/>
  <c r="Q68"/>
  <c r="Q66"/>
  <c r="Q116"/>
  <c r="Q165"/>
  <c r="Q36" i="32"/>
  <c r="R41"/>
  <c r="U41" s="1"/>
  <c r="X41" s="1"/>
  <c r="R42"/>
  <c r="N41" i="31"/>
  <c r="N31"/>
  <c r="CD209" i="30"/>
  <c r="I209"/>
  <c r="L209" s="1"/>
  <c r="O209" s="1"/>
  <c r="R209" s="1"/>
  <c r="U209" s="1"/>
  <c r="X209" s="1"/>
  <c r="CD210"/>
  <c r="I210"/>
  <c r="L210" s="1"/>
  <c r="O210" s="1"/>
  <c r="R210" s="1"/>
  <c r="U210" s="1"/>
  <c r="X210" s="1"/>
  <c r="CD211"/>
  <c r="I211"/>
  <c r="L211" s="1"/>
  <c r="O211" s="1"/>
  <c r="R211" s="1"/>
  <c r="U211" s="1"/>
  <c r="X211" s="1"/>
  <c r="CD212"/>
  <c r="I212"/>
  <c r="L212" s="1"/>
  <c r="O212" s="1"/>
  <c r="R212" s="1"/>
  <c r="U212" s="1"/>
  <c r="CD213"/>
  <c r="I213"/>
  <c r="L213" s="1"/>
  <c r="O213" s="1"/>
  <c r="R213" s="1"/>
  <c r="U213" s="1"/>
  <c r="X213" s="1"/>
  <c r="CD214"/>
  <c r="I214"/>
  <c r="L214" s="1"/>
  <c r="O214" s="1"/>
  <c r="R214" s="1"/>
  <c r="U214" s="1"/>
  <c r="CD215"/>
  <c r="I215"/>
  <c r="L215" s="1"/>
  <c r="O215" s="1"/>
  <c r="R215" s="1"/>
  <c r="U215" s="1"/>
  <c r="X215" s="1"/>
  <c r="CD216"/>
  <c r="I216"/>
  <c r="L216" s="1"/>
  <c r="O216" s="1"/>
  <c r="R216" s="1"/>
  <c r="U216" s="1"/>
  <c r="X216" s="1"/>
  <c r="CD217"/>
  <c r="I217"/>
  <c r="L217" s="1"/>
  <c r="O217" s="1"/>
  <c r="R217" s="1"/>
  <c r="U217" s="1"/>
  <c r="CD218"/>
  <c r="I218"/>
  <c r="L218" s="1"/>
  <c r="O218" s="1"/>
  <c r="R218" s="1"/>
  <c r="U218" s="1"/>
  <c r="X218" s="1"/>
  <c r="CD219"/>
  <c r="I219"/>
  <c r="L219" s="1"/>
  <c r="O219" s="1"/>
  <c r="R219" s="1"/>
  <c r="U219" s="1"/>
  <c r="X219" s="1"/>
  <c r="CD220"/>
  <c r="I220"/>
  <c r="L220" s="1"/>
  <c r="O220" s="1"/>
  <c r="R220" s="1"/>
  <c r="U220" s="1"/>
  <c r="X220" s="1"/>
  <c r="CD221"/>
  <c r="I221"/>
  <c r="L221" s="1"/>
  <c r="O221" s="1"/>
  <c r="R221" s="1"/>
  <c r="U221" s="1"/>
  <c r="X221" s="1"/>
  <c r="CD222"/>
  <c r="I222"/>
  <c r="L222" s="1"/>
  <c r="O222" s="1"/>
  <c r="R222" s="1"/>
  <c r="U222" s="1"/>
  <c r="X222" s="1"/>
  <c r="CD223"/>
  <c r="I223"/>
  <c r="L223" s="1"/>
  <c r="O223" s="1"/>
  <c r="R223" s="1"/>
  <c r="U223" s="1"/>
  <c r="X223" s="1"/>
  <c r="CD224"/>
  <c r="I224"/>
  <c r="L224" s="1"/>
  <c r="O224" s="1"/>
  <c r="R224" s="1"/>
  <c r="CD225"/>
  <c r="I225"/>
  <c r="L225" s="1"/>
  <c r="O225" s="1"/>
  <c r="R225" s="1"/>
  <c r="U225" s="1"/>
  <c r="X225" s="1"/>
  <c r="CD226"/>
  <c r="I226"/>
  <c r="L226" s="1"/>
  <c r="O226" s="1"/>
  <c r="R226" s="1"/>
  <c r="U226" s="1"/>
  <c r="X226" s="1"/>
  <c r="BY705" l="1"/>
  <c r="BQ229"/>
  <c r="BQ231"/>
  <c r="BT231" s="1"/>
  <c r="BW231" s="1"/>
  <c r="BZ231" s="1"/>
  <c r="BQ385"/>
  <c r="BT385" s="1"/>
  <c r="BW385" s="1"/>
  <c r="BZ385" s="1"/>
  <c r="BQ374"/>
  <c r="BT374" s="1"/>
  <c r="BW374" s="1"/>
  <c r="BZ374" s="1"/>
  <c r="BQ250"/>
  <c r="BT250" s="1"/>
  <c r="BW250" s="1"/>
  <c r="BZ250" s="1"/>
  <c r="BQ232"/>
  <c r="BT232" s="1"/>
  <c r="BQ244"/>
  <c r="BT244" s="1"/>
  <c r="BW244" s="1"/>
  <c r="BZ244" s="1"/>
  <c r="BQ237"/>
  <c r="BT237" s="1"/>
  <c r="BW237" s="1"/>
  <c r="BZ237" s="1"/>
  <c r="BQ304"/>
  <c r="BT304" s="1"/>
  <c r="BW304" s="1"/>
  <c r="BZ304" s="1"/>
  <c r="BQ326"/>
  <c r="BT326" s="1"/>
  <c r="BW326" s="1"/>
  <c r="BZ326" s="1"/>
  <c r="BQ245"/>
  <c r="BT245" s="1"/>
  <c r="BW245" s="1"/>
  <c r="BZ245" s="1"/>
  <c r="BQ630"/>
  <c r="BT630" s="1"/>
  <c r="BP45" i="31"/>
  <c r="BQ45" s="1"/>
  <c r="BT45" s="1"/>
  <c r="BW45" s="1"/>
  <c r="BZ45" s="1"/>
  <c r="BM318" i="30"/>
  <c r="AM410"/>
  <c r="AP410" s="1"/>
  <c r="AS410" s="1"/>
  <c r="AV410" s="1"/>
  <c r="AY410" s="1"/>
  <c r="BB410" s="1"/>
  <c r="BE410" s="1"/>
  <c r="BH410" s="1"/>
  <c r="BK410" s="1"/>
  <c r="BN410" s="1"/>
  <c r="BE604"/>
  <c r="BH604" s="1"/>
  <c r="BK604" s="1"/>
  <c r="BE397"/>
  <c r="BH397" s="1"/>
  <c r="BK397" s="1"/>
  <c r="BN397" s="1"/>
  <c r="AR393"/>
  <c r="AS393" s="1"/>
  <c r="BA418"/>
  <c r="BB418" s="1"/>
  <c r="BE418" s="1"/>
  <c r="BH418" s="1"/>
  <c r="BK418" s="1"/>
  <c r="BN418" s="1"/>
  <c r="AM46" i="32"/>
  <c r="AS307" i="30"/>
  <c r="AV307" s="1"/>
  <c r="AY307" s="1"/>
  <c r="BB307" s="1"/>
  <c r="BE307" s="1"/>
  <c r="BH307" s="1"/>
  <c r="BK307" s="1"/>
  <c r="BN307" s="1"/>
  <c r="AR55" i="32"/>
  <c r="AS55" s="1"/>
  <c r="AV55" s="1"/>
  <c r="AY55" s="1"/>
  <c r="BB55" s="1"/>
  <c r="BE55" s="1"/>
  <c r="BH55" s="1"/>
  <c r="BK55" s="1"/>
  <c r="BN55" s="1"/>
  <c r="BQ55" s="1"/>
  <c r="BT55" s="1"/>
  <c r="BW55" s="1"/>
  <c r="BZ55" s="1"/>
  <c r="AR48"/>
  <c r="AS48" s="1"/>
  <c r="AV48" s="1"/>
  <c r="AY48" s="1"/>
  <c r="BB48" s="1"/>
  <c r="BE48" s="1"/>
  <c r="BH48" s="1"/>
  <c r="BK48" s="1"/>
  <c r="BN48" s="1"/>
  <c r="BQ48" s="1"/>
  <c r="BT48" s="1"/>
  <c r="BW48" s="1"/>
  <c r="BZ48" s="1"/>
  <c r="AR51"/>
  <c r="AS51" s="1"/>
  <c r="AV51" s="1"/>
  <c r="AY51" s="1"/>
  <c r="BB51" s="1"/>
  <c r="BE51" s="1"/>
  <c r="BH51" s="1"/>
  <c r="BK51" s="1"/>
  <c r="BN51" s="1"/>
  <c r="BQ51" s="1"/>
  <c r="BT51" s="1"/>
  <c r="BW51" s="1"/>
  <c r="BZ51" s="1"/>
  <c r="AM383" i="30"/>
  <c r="AM235"/>
  <c r="AP235" s="1"/>
  <c r="AS235" s="1"/>
  <c r="AV235" s="1"/>
  <c r="AY235" s="1"/>
  <c r="BB235" s="1"/>
  <c r="BE235" s="1"/>
  <c r="BH235" s="1"/>
  <c r="BK235" s="1"/>
  <c r="BN235" s="1"/>
  <c r="AI239"/>
  <c r="AI370" s="1"/>
  <c r="AI247"/>
  <c r="AJ247" s="1"/>
  <c r="AM247" s="1"/>
  <c r="AP247" s="1"/>
  <c r="AS247" s="1"/>
  <c r="AV247" s="1"/>
  <c r="AY247" s="1"/>
  <c r="BB247" s="1"/>
  <c r="BE247" s="1"/>
  <c r="BH247" s="1"/>
  <c r="BK247" s="1"/>
  <c r="BN247" s="1"/>
  <c r="AG54" i="32"/>
  <c r="AI54" s="1"/>
  <c r="AI60" s="1"/>
  <c r="AJ60" s="1"/>
  <c r="AF57"/>
  <c r="AG50"/>
  <c r="AG56"/>
  <c r="AI249" i="30"/>
  <c r="AJ249" s="1"/>
  <c r="AM249" s="1"/>
  <c r="AP249" s="1"/>
  <c r="AS249" s="1"/>
  <c r="AV249" s="1"/>
  <c r="AY249" s="1"/>
  <c r="BB249" s="1"/>
  <c r="BE249" s="1"/>
  <c r="BH249" s="1"/>
  <c r="BK249" s="1"/>
  <c r="BN249" s="1"/>
  <c r="AI238"/>
  <c r="AJ238" s="1"/>
  <c r="AM238" s="1"/>
  <c r="AP238" s="1"/>
  <c r="AS238" s="1"/>
  <c r="AV238" s="1"/>
  <c r="AY238" s="1"/>
  <c r="BB238" s="1"/>
  <c r="BE238" s="1"/>
  <c r="BH238" s="1"/>
  <c r="BK238" s="1"/>
  <c r="BN238" s="1"/>
  <c r="AF251"/>
  <c r="AG251" s="1"/>
  <c r="AJ251" s="1"/>
  <c r="AM251" s="1"/>
  <c r="AP251" s="1"/>
  <c r="AS251" s="1"/>
  <c r="AV251" s="1"/>
  <c r="AY251" s="1"/>
  <c r="BB251" s="1"/>
  <c r="BE251" s="1"/>
  <c r="BH251" s="1"/>
  <c r="BK251" s="1"/>
  <c r="BN251" s="1"/>
  <c r="AC240"/>
  <c r="AD240" s="1"/>
  <c r="AG240" s="1"/>
  <c r="AJ240" s="1"/>
  <c r="AM240" s="1"/>
  <c r="AP240" s="1"/>
  <c r="AS240" s="1"/>
  <c r="AV240" s="1"/>
  <c r="AY240" s="1"/>
  <c r="BB240" s="1"/>
  <c r="BE240" s="1"/>
  <c r="BH240" s="1"/>
  <c r="BK240" s="1"/>
  <c r="BN240" s="1"/>
  <c r="AC241"/>
  <c r="AD241" s="1"/>
  <c r="AG241" s="1"/>
  <c r="AJ241" s="1"/>
  <c r="AM241" s="1"/>
  <c r="AP241" s="1"/>
  <c r="AS241" s="1"/>
  <c r="AV241" s="1"/>
  <c r="AY241" s="1"/>
  <c r="BB241" s="1"/>
  <c r="BE241" s="1"/>
  <c r="BH241" s="1"/>
  <c r="BK241" s="1"/>
  <c r="BN241" s="1"/>
  <c r="AA7" i="31"/>
  <c r="AD7" s="1"/>
  <c r="AG7" s="1"/>
  <c r="AJ7" s="1"/>
  <c r="AM7" s="1"/>
  <c r="AP7" s="1"/>
  <c r="AS7" s="1"/>
  <c r="AV7" s="1"/>
  <c r="AY7" s="1"/>
  <c r="BB7" s="1"/>
  <c r="BE7" s="1"/>
  <c r="BH7" s="1"/>
  <c r="BK7" s="1"/>
  <c r="BN7" s="1"/>
  <c r="BQ7" s="1"/>
  <c r="BT7" s="1"/>
  <c r="BW7" s="1"/>
  <c r="BZ7" s="1"/>
  <c r="AA42"/>
  <c r="AD42" s="1"/>
  <c r="AG42" s="1"/>
  <c r="AJ42" s="1"/>
  <c r="AM42" s="1"/>
  <c r="AP42" s="1"/>
  <c r="AS42" s="1"/>
  <c r="AV42" s="1"/>
  <c r="AY42" s="1"/>
  <c r="BB42" s="1"/>
  <c r="BE42" s="1"/>
  <c r="AA43"/>
  <c r="AD43" s="1"/>
  <c r="AG43" s="1"/>
  <c r="AJ43" s="1"/>
  <c r="AM43" s="1"/>
  <c r="AP43" s="1"/>
  <c r="AS43" s="1"/>
  <c r="AV43" s="1"/>
  <c r="AY43" s="1"/>
  <c r="BB43" s="1"/>
  <c r="BE43" s="1"/>
  <c r="BH43" s="1"/>
  <c r="BK43" s="1"/>
  <c r="BN43" s="1"/>
  <c r="AA215" i="30"/>
  <c r="AA211"/>
  <c r="AC236"/>
  <c r="AD236" s="1"/>
  <c r="AG236" s="1"/>
  <c r="AJ236" s="1"/>
  <c r="AM236" s="1"/>
  <c r="AP236" s="1"/>
  <c r="AS236" s="1"/>
  <c r="AV236" s="1"/>
  <c r="AY236" s="1"/>
  <c r="BB236" s="1"/>
  <c r="BE236" s="1"/>
  <c r="BH236" s="1"/>
  <c r="BK236" s="1"/>
  <c r="BN236" s="1"/>
  <c r="AC248"/>
  <c r="AD248" s="1"/>
  <c r="AG248" s="1"/>
  <c r="AJ248" s="1"/>
  <c r="AA210"/>
  <c r="AA222"/>
  <c r="AA220"/>
  <c r="AD220" s="1"/>
  <c r="AG220" s="1"/>
  <c r="AJ220" s="1"/>
  <c r="AM220" s="1"/>
  <c r="AP220" s="1"/>
  <c r="AS220" s="1"/>
  <c r="AV220" s="1"/>
  <c r="AY220" s="1"/>
  <c r="BB220" s="1"/>
  <c r="BE220" s="1"/>
  <c r="BH220" s="1"/>
  <c r="BK220" s="1"/>
  <c r="BN220" s="1"/>
  <c r="AA218"/>
  <c r="AD218" s="1"/>
  <c r="AG218" s="1"/>
  <c r="AJ218" s="1"/>
  <c r="AM218" s="1"/>
  <c r="AP218" s="1"/>
  <c r="AS218" s="1"/>
  <c r="AV218" s="1"/>
  <c r="AY218" s="1"/>
  <c r="BB218" s="1"/>
  <c r="BE218" s="1"/>
  <c r="BH218" s="1"/>
  <c r="BK218" s="1"/>
  <c r="BN218" s="1"/>
  <c r="AA216"/>
  <c r="AA225"/>
  <c r="AD225" s="1"/>
  <c r="AG225" s="1"/>
  <c r="AJ225" s="1"/>
  <c r="AM225" s="1"/>
  <c r="AP225" s="1"/>
  <c r="AS225" s="1"/>
  <c r="AV225" s="1"/>
  <c r="AY225" s="1"/>
  <c r="BB225" s="1"/>
  <c r="BE225" s="1"/>
  <c r="BH225" s="1"/>
  <c r="BK225" s="1"/>
  <c r="BN225" s="1"/>
  <c r="AA223"/>
  <c r="AD223" s="1"/>
  <c r="AG223" s="1"/>
  <c r="AJ223" s="1"/>
  <c r="AM223" s="1"/>
  <c r="AP223" s="1"/>
  <c r="AS223" s="1"/>
  <c r="AV223" s="1"/>
  <c r="AY223" s="1"/>
  <c r="BB223" s="1"/>
  <c r="BE223" s="1"/>
  <c r="BH223" s="1"/>
  <c r="BK223" s="1"/>
  <c r="BN223" s="1"/>
  <c r="AA221"/>
  <c r="AD221" s="1"/>
  <c r="AG221" s="1"/>
  <c r="AJ221" s="1"/>
  <c r="AM221" s="1"/>
  <c r="AP221" s="1"/>
  <c r="AS221" s="1"/>
  <c r="AV221" s="1"/>
  <c r="AY221" s="1"/>
  <c r="BB221" s="1"/>
  <c r="BE221" s="1"/>
  <c r="BH221" s="1"/>
  <c r="BK221" s="1"/>
  <c r="BN221" s="1"/>
  <c r="AA219"/>
  <c r="AA213"/>
  <c r="AD213" s="1"/>
  <c r="AG213" s="1"/>
  <c r="AJ213" s="1"/>
  <c r="AA209"/>
  <c r="AD209" s="1"/>
  <c r="AG209" s="1"/>
  <c r="AJ209" s="1"/>
  <c r="AA243"/>
  <c r="AD243" s="1"/>
  <c r="AG243" s="1"/>
  <c r="AJ243" s="1"/>
  <c r="AM243" s="1"/>
  <c r="AP243" s="1"/>
  <c r="AS243" s="1"/>
  <c r="AV243" s="1"/>
  <c r="AY243" s="1"/>
  <c r="BB243" s="1"/>
  <c r="BE243" s="1"/>
  <c r="BH243" s="1"/>
  <c r="BK243" s="1"/>
  <c r="BN243" s="1"/>
  <c r="AA242"/>
  <c r="AD242" s="1"/>
  <c r="AG242" s="1"/>
  <c r="AJ242" s="1"/>
  <c r="AM242" s="1"/>
  <c r="AP242" s="1"/>
  <c r="AS242" s="1"/>
  <c r="AV242" s="1"/>
  <c r="AY242" s="1"/>
  <c r="BB242" s="1"/>
  <c r="BE242" s="1"/>
  <c r="BH242" s="1"/>
  <c r="BK242" s="1"/>
  <c r="BN242" s="1"/>
  <c r="AA233"/>
  <c r="AD233" s="1"/>
  <c r="AG233" s="1"/>
  <c r="AJ233" s="1"/>
  <c r="AM233" s="1"/>
  <c r="AP233" s="1"/>
  <c r="AS233" s="1"/>
  <c r="AV233" s="1"/>
  <c r="AY233" s="1"/>
  <c r="BB233" s="1"/>
  <c r="BE233" s="1"/>
  <c r="BH233" s="1"/>
  <c r="BK233" s="1"/>
  <c r="BN233" s="1"/>
  <c r="W212"/>
  <c r="X212" s="1"/>
  <c r="W217"/>
  <c r="X217" s="1"/>
  <c r="N191"/>
  <c r="BY815" l="1"/>
  <c r="BZ815" s="1"/>
  <c r="BZ705"/>
  <c r="BV232"/>
  <c r="BW232" s="1"/>
  <c r="BZ232" s="1"/>
  <c r="BV630"/>
  <c r="BV763" s="1"/>
  <c r="BW763" s="1"/>
  <c r="BZ763" s="1"/>
  <c r="BS229"/>
  <c r="BT229" s="1"/>
  <c r="BW229" s="1"/>
  <c r="BZ229" s="1"/>
  <c r="BQ233"/>
  <c r="BT233" s="1"/>
  <c r="BW233" s="1"/>
  <c r="BZ233" s="1"/>
  <c r="BQ225"/>
  <c r="BT225" s="1"/>
  <c r="BW225" s="1"/>
  <c r="BZ225" s="1"/>
  <c r="BQ238"/>
  <c r="BT238" s="1"/>
  <c r="BW238" s="1"/>
  <c r="BZ238" s="1"/>
  <c r="BQ235"/>
  <c r="BT235" s="1"/>
  <c r="BW235" s="1"/>
  <c r="BZ235" s="1"/>
  <c r="BQ223"/>
  <c r="BT223" s="1"/>
  <c r="BW223" s="1"/>
  <c r="BZ223" s="1"/>
  <c r="BQ236"/>
  <c r="BT236" s="1"/>
  <c r="BW236" s="1"/>
  <c r="BZ236" s="1"/>
  <c r="BQ251"/>
  <c r="BT251" s="1"/>
  <c r="BW251" s="1"/>
  <c r="BZ251" s="1"/>
  <c r="BQ418"/>
  <c r="BT418" s="1"/>
  <c r="BW418" s="1"/>
  <c r="BZ418" s="1"/>
  <c r="BQ220"/>
  <c r="BT220" s="1"/>
  <c r="BW220" s="1"/>
  <c r="BZ220" s="1"/>
  <c r="BQ221"/>
  <c r="BT221" s="1"/>
  <c r="BW221" s="1"/>
  <c r="BZ221" s="1"/>
  <c r="BQ240"/>
  <c r="BT240" s="1"/>
  <c r="BW240" s="1"/>
  <c r="BZ240" s="1"/>
  <c r="BQ247"/>
  <c r="BT247" s="1"/>
  <c r="BW247" s="1"/>
  <c r="BZ247" s="1"/>
  <c r="BQ243"/>
  <c r="BT243" s="1"/>
  <c r="BW243" s="1"/>
  <c r="BZ243" s="1"/>
  <c r="BQ218"/>
  <c r="BT218" s="1"/>
  <c r="BW218" s="1"/>
  <c r="BZ218" s="1"/>
  <c r="BQ242"/>
  <c r="BT242" s="1"/>
  <c r="BW242" s="1"/>
  <c r="BZ242" s="1"/>
  <c r="BQ241"/>
  <c r="BT241" s="1"/>
  <c r="BW241" s="1"/>
  <c r="BZ241" s="1"/>
  <c r="BQ249"/>
  <c r="BT249" s="1"/>
  <c r="BW249" s="1"/>
  <c r="BZ249" s="1"/>
  <c r="BQ307"/>
  <c r="BT307" s="1"/>
  <c r="BW307" s="1"/>
  <c r="BZ307" s="1"/>
  <c r="BQ397"/>
  <c r="BT397" s="1"/>
  <c r="BW397" s="1"/>
  <c r="BZ397" s="1"/>
  <c r="BP410"/>
  <c r="BP689" s="1"/>
  <c r="BP43" i="31"/>
  <c r="BQ43" s="1"/>
  <c r="BT43" s="1"/>
  <c r="BW43" s="1"/>
  <c r="BZ43" s="1"/>
  <c r="BN318" i="30"/>
  <c r="BM446"/>
  <c r="BN446" s="1"/>
  <c r="BM604"/>
  <c r="BM707" s="1"/>
  <c r="BN707" s="1"/>
  <c r="AR876"/>
  <c r="BG42" i="31"/>
  <c r="BH42" s="1"/>
  <c r="BK42" s="1"/>
  <c r="BN42" s="1"/>
  <c r="BQ42" s="1"/>
  <c r="BT42" s="1"/>
  <c r="BW42" s="1"/>
  <c r="BZ42" s="1"/>
  <c r="AU393" i="30"/>
  <c r="AV393" s="1"/>
  <c r="AY393" s="1"/>
  <c r="BB393" s="1"/>
  <c r="BE393" s="1"/>
  <c r="BH393" s="1"/>
  <c r="BK393" s="1"/>
  <c r="BN393" s="1"/>
  <c r="AP46" i="32"/>
  <c r="AP383" i="30"/>
  <c r="AS383" s="1"/>
  <c r="AV383" s="1"/>
  <c r="AY383" s="1"/>
  <c r="BB383" s="1"/>
  <c r="BE383" s="1"/>
  <c r="BH383" s="1"/>
  <c r="BK383" s="1"/>
  <c r="BN383" s="1"/>
  <c r="AM248"/>
  <c r="AP248" s="1"/>
  <c r="AS248" s="1"/>
  <c r="AV248" s="1"/>
  <c r="AY248" s="1"/>
  <c r="BB248" s="1"/>
  <c r="BE248" s="1"/>
  <c r="BH248" s="1"/>
  <c r="BK248" s="1"/>
  <c r="BN248" s="1"/>
  <c r="AM209"/>
  <c r="AP209" s="1"/>
  <c r="AS209" s="1"/>
  <c r="AV209" s="1"/>
  <c r="AY209" s="1"/>
  <c r="BB209" s="1"/>
  <c r="BE209" s="1"/>
  <c r="BH209" s="1"/>
  <c r="BK209" s="1"/>
  <c r="BN209" s="1"/>
  <c r="AL213"/>
  <c r="AM213" s="1"/>
  <c r="AP213" s="1"/>
  <c r="AS213" s="1"/>
  <c r="AV213" s="1"/>
  <c r="AY213" s="1"/>
  <c r="BB213" s="1"/>
  <c r="BE213" s="1"/>
  <c r="BH213" s="1"/>
  <c r="BK213" s="1"/>
  <c r="BN213" s="1"/>
  <c r="AL60" i="32"/>
  <c r="AJ239" i="30"/>
  <c r="AM239" s="1"/>
  <c r="AP239" s="1"/>
  <c r="AS239" s="1"/>
  <c r="AV239" s="1"/>
  <c r="AY239" s="1"/>
  <c r="BB239" s="1"/>
  <c r="BE239" s="1"/>
  <c r="BH239" s="1"/>
  <c r="BK239" s="1"/>
  <c r="BN239" s="1"/>
  <c r="AI50" i="32"/>
  <c r="AI56"/>
  <c r="AJ56" s="1"/>
  <c r="AM56" s="1"/>
  <c r="AP56" s="1"/>
  <c r="AS56" s="1"/>
  <c r="AV56" s="1"/>
  <c r="AY56" s="1"/>
  <c r="BB56" s="1"/>
  <c r="BE56" s="1"/>
  <c r="BH56" s="1"/>
  <c r="BK56" s="1"/>
  <c r="BN56" s="1"/>
  <c r="BQ56" s="1"/>
  <c r="BT56" s="1"/>
  <c r="BW56" s="1"/>
  <c r="BZ56" s="1"/>
  <c r="AJ54"/>
  <c r="AM54" s="1"/>
  <c r="AP54" s="1"/>
  <c r="AS54" s="1"/>
  <c r="AV54" s="1"/>
  <c r="AY54" s="1"/>
  <c r="BB54" s="1"/>
  <c r="BE54" s="1"/>
  <c r="BH54" s="1"/>
  <c r="BK54" s="1"/>
  <c r="BN54" s="1"/>
  <c r="BQ54" s="1"/>
  <c r="BT54" s="1"/>
  <c r="BW54" s="1"/>
  <c r="BZ54" s="1"/>
  <c r="AF59"/>
  <c r="AG59" s="1"/>
  <c r="AG57"/>
  <c r="AJ57" s="1"/>
  <c r="AI322" i="30"/>
  <c r="AJ322" s="1"/>
  <c r="AM322" s="1"/>
  <c r="AP322" s="1"/>
  <c r="AS322" s="1"/>
  <c r="AV322" s="1"/>
  <c r="AC219"/>
  <c r="AD219" s="1"/>
  <c r="AG219" s="1"/>
  <c r="AJ219" s="1"/>
  <c r="AM219" s="1"/>
  <c r="AP219" s="1"/>
  <c r="AS219" s="1"/>
  <c r="AV219" s="1"/>
  <c r="AY219" s="1"/>
  <c r="BB219" s="1"/>
  <c r="BE219" s="1"/>
  <c r="BH219" s="1"/>
  <c r="BK219" s="1"/>
  <c r="BN219" s="1"/>
  <c r="AC215"/>
  <c r="AD215" s="1"/>
  <c r="AG215" s="1"/>
  <c r="AJ215" s="1"/>
  <c r="AM215" s="1"/>
  <c r="AP215" s="1"/>
  <c r="AS215" s="1"/>
  <c r="AV215" s="1"/>
  <c r="AY215" s="1"/>
  <c r="BB215" s="1"/>
  <c r="BE215" s="1"/>
  <c r="BH215" s="1"/>
  <c r="BK215" s="1"/>
  <c r="BN215" s="1"/>
  <c r="AC211"/>
  <c r="AD211" s="1"/>
  <c r="AG211" s="1"/>
  <c r="AJ211" s="1"/>
  <c r="AM211" s="1"/>
  <c r="AP211" s="1"/>
  <c r="AS211" s="1"/>
  <c r="AV211" s="1"/>
  <c r="AY211" s="1"/>
  <c r="BB211" s="1"/>
  <c r="BE211" s="1"/>
  <c r="BH211" s="1"/>
  <c r="BK211" s="1"/>
  <c r="BN211" s="1"/>
  <c r="AD222"/>
  <c r="AG222" s="1"/>
  <c r="AJ222" s="1"/>
  <c r="AM222" s="1"/>
  <c r="AP222" s="1"/>
  <c r="AS222" s="1"/>
  <c r="AV222" s="1"/>
  <c r="AY222" s="1"/>
  <c r="BB222" s="1"/>
  <c r="BE222" s="1"/>
  <c r="BH222" s="1"/>
  <c r="BK222" s="1"/>
  <c r="BN222" s="1"/>
  <c r="AC210"/>
  <c r="AD210" s="1"/>
  <c r="AG210" s="1"/>
  <c r="AJ210" s="1"/>
  <c r="AA217"/>
  <c r="AD217" s="1"/>
  <c r="AG217" s="1"/>
  <c r="AJ217" s="1"/>
  <c r="AM217" s="1"/>
  <c r="AP217" s="1"/>
  <c r="AS217" s="1"/>
  <c r="AV217" s="1"/>
  <c r="AY217" s="1"/>
  <c r="BB217" s="1"/>
  <c r="BE217" s="1"/>
  <c r="BH217" s="1"/>
  <c r="BK217" s="1"/>
  <c r="BN217" s="1"/>
  <c r="AA212"/>
  <c r="AD212" s="1"/>
  <c r="AG212" s="1"/>
  <c r="AJ212" s="1"/>
  <c r="AM212" s="1"/>
  <c r="AP212" s="1"/>
  <c r="AS212" s="1"/>
  <c r="AV212" s="1"/>
  <c r="AY212" s="1"/>
  <c r="BB212" s="1"/>
  <c r="BE212" s="1"/>
  <c r="BH212" s="1"/>
  <c r="BK212" s="1"/>
  <c r="BN212" s="1"/>
  <c r="N196"/>
  <c r="N194"/>
  <c r="N199"/>
  <c r="N179"/>
  <c r="N197"/>
  <c r="N138"/>
  <c r="N171"/>
  <c r="N108"/>
  <c r="BW630" l="1"/>
  <c r="BZ630" s="1"/>
  <c r="BQ410"/>
  <c r="BT410" s="1"/>
  <c r="BW410" s="1"/>
  <c r="BZ410" s="1"/>
  <c r="BQ217"/>
  <c r="BT217" s="1"/>
  <c r="BW217" s="1"/>
  <c r="BZ217" s="1"/>
  <c r="BQ215"/>
  <c r="BT215" s="1"/>
  <c r="BW215" s="1"/>
  <c r="BZ215" s="1"/>
  <c r="BQ239"/>
  <c r="BT239" s="1"/>
  <c r="BW239" s="1"/>
  <c r="BZ239" s="1"/>
  <c r="BQ248"/>
  <c r="BT248" s="1"/>
  <c r="BW248" s="1"/>
  <c r="BZ248" s="1"/>
  <c r="BQ318"/>
  <c r="BT318" s="1"/>
  <c r="BW318" s="1"/>
  <c r="BZ318" s="1"/>
  <c r="BQ219"/>
  <c r="BT219" s="1"/>
  <c r="BW219" s="1"/>
  <c r="BZ219" s="1"/>
  <c r="BQ212"/>
  <c r="BT212" s="1"/>
  <c r="BW212" s="1"/>
  <c r="BZ212" s="1"/>
  <c r="BQ211"/>
  <c r="BT211" s="1"/>
  <c r="BW211" s="1"/>
  <c r="BZ211" s="1"/>
  <c r="BQ209"/>
  <c r="BT209" s="1"/>
  <c r="BW209" s="1"/>
  <c r="BZ209" s="1"/>
  <c r="BQ393"/>
  <c r="BT393" s="1"/>
  <c r="BW393" s="1"/>
  <c r="BZ393" s="1"/>
  <c r="BQ446"/>
  <c r="BT446" s="1"/>
  <c r="BW446" s="1"/>
  <c r="BZ446" s="1"/>
  <c r="BQ383"/>
  <c r="BT383" s="1"/>
  <c r="BW383" s="1"/>
  <c r="BZ383" s="1"/>
  <c r="BQ222"/>
  <c r="BT222" s="1"/>
  <c r="BW222" s="1"/>
  <c r="BZ222" s="1"/>
  <c r="BQ213"/>
  <c r="BT213" s="1"/>
  <c r="BW213" s="1"/>
  <c r="BZ213" s="1"/>
  <c r="BQ707"/>
  <c r="BQ689"/>
  <c r="BT689" s="1"/>
  <c r="BN604"/>
  <c r="AX322"/>
  <c r="AY322" s="1"/>
  <c r="BB322" s="1"/>
  <c r="BE322" s="1"/>
  <c r="BH322" s="1"/>
  <c r="BK322" s="1"/>
  <c r="BN322" s="1"/>
  <c r="AM57" i="32"/>
  <c r="AS46"/>
  <c r="AV46" s="1"/>
  <c r="AY46" s="1"/>
  <c r="BB46" s="1"/>
  <c r="BE46" s="1"/>
  <c r="BH46" s="1"/>
  <c r="BK46" s="1"/>
  <c r="BN46" s="1"/>
  <c r="BQ46" s="1"/>
  <c r="BT46" s="1"/>
  <c r="BW46" s="1"/>
  <c r="BZ46" s="1"/>
  <c r="AL65"/>
  <c r="AL184" s="1"/>
  <c r="AM210" i="30"/>
  <c r="AP210" s="1"/>
  <c r="AS210" s="1"/>
  <c r="AV210" s="1"/>
  <c r="AY210" s="1"/>
  <c r="BB210" s="1"/>
  <c r="BE210" s="1"/>
  <c r="BH210" s="1"/>
  <c r="BK210" s="1"/>
  <c r="BN210" s="1"/>
  <c r="AI68" i="32"/>
  <c r="AM60"/>
  <c r="AP60" s="1"/>
  <c r="AS60" s="1"/>
  <c r="AV60" s="1"/>
  <c r="AY60" s="1"/>
  <c r="BB60" s="1"/>
  <c r="BE60" s="1"/>
  <c r="BH60" s="1"/>
  <c r="BK60" s="1"/>
  <c r="BN60" s="1"/>
  <c r="BQ60" s="1"/>
  <c r="BT60" s="1"/>
  <c r="BW60" s="1"/>
  <c r="BZ60" s="1"/>
  <c r="AJ50"/>
  <c r="AM50" s="1"/>
  <c r="AP50" s="1"/>
  <c r="AS50" s="1"/>
  <c r="AV50" s="1"/>
  <c r="AY50" s="1"/>
  <c r="BB50" s="1"/>
  <c r="BE50" s="1"/>
  <c r="BH50" s="1"/>
  <c r="BK50" s="1"/>
  <c r="BN50" s="1"/>
  <c r="BQ50" s="1"/>
  <c r="BT50" s="1"/>
  <c r="BW50" s="1"/>
  <c r="BZ50" s="1"/>
  <c r="AJ59"/>
  <c r="N195" i="30"/>
  <c r="N165"/>
  <c r="Q177"/>
  <c r="Q161"/>
  <c r="Q150"/>
  <c r="Q147"/>
  <c r="BV689" l="1"/>
  <c r="BS707"/>
  <c r="BT707" s="1"/>
  <c r="BW707" s="1"/>
  <c r="BZ707" s="1"/>
  <c r="BQ604"/>
  <c r="BT604" s="1"/>
  <c r="BW604" s="1"/>
  <c r="BZ604" s="1"/>
  <c r="BQ322"/>
  <c r="BT322" s="1"/>
  <c r="BW322" s="1"/>
  <c r="BZ322" s="1"/>
  <c r="BQ210"/>
  <c r="BT210" s="1"/>
  <c r="BW210" s="1"/>
  <c r="BZ210" s="1"/>
  <c r="AJ68" i="32"/>
  <c r="AM68" s="1"/>
  <c r="AP68" s="1"/>
  <c r="AS68" s="1"/>
  <c r="AV68" s="1"/>
  <c r="AY68" s="1"/>
  <c r="BB68" s="1"/>
  <c r="BE68" s="1"/>
  <c r="BH68" s="1"/>
  <c r="BK68" s="1"/>
  <c r="BN68" s="1"/>
  <c r="BQ68" s="1"/>
  <c r="BT68" s="1"/>
  <c r="BW68" s="1"/>
  <c r="BZ68" s="1"/>
  <c r="AI184"/>
  <c r="AX457" i="30"/>
  <c r="AY457" s="1"/>
  <c r="AP57" i="32"/>
  <c r="AM65"/>
  <c r="AP65" s="1"/>
  <c r="AS65" s="1"/>
  <c r="AV65" s="1"/>
  <c r="AY65" s="1"/>
  <c r="BB65" s="1"/>
  <c r="BE65" s="1"/>
  <c r="BH65" s="1"/>
  <c r="BK65" s="1"/>
  <c r="BN65" s="1"/>
  <c r="BQ65" s="1"/>
  <c r="BT65" s="1"/>
  <c r="BW65" s="1"/>
  <c r="BZ65" s="1"/>
  <c r="AM59"/>
  <c r="AP59" s="1"/>
  <c r="AS59" s="1"/>
  <c r="AV59" s="1"/>
  <c r="AY59" s="1"/>
  <c r="BB59" s="1"/>
  <c r="BE59" s="1"/>
  <c r="BH59" s="1"/>
  <c r="BK59" s="1"/>
  <c r="BN59" s="1"/>
  <c r="BQ59" s="1"/>
  <c r="BT59" s="1"/>
  <c r="BW59" s="1"/>
  <c r="BZ59" s="1"/>
  <c r="Q8" i="30"/>
  <c r="N36" i="32"/>
  <c r="Q162" i="30"/>
  <c r="N30" i="31"/>
  <c r="N105" s="1"/>
  <c r="N109" i="30"/>
  <c r="N116"/>
  <c r="N34" i="31"/>
  <c r="O40"/>
  <c r="R40" s="1"/>
  <c r="U40" s="1"/>
  <c r="X40" s="1"/>
  <c r="O41"/>
  <c r="R41" s="1"/>
  <c r="U41" s="1"/>
  <c r="N127" i="30"/>
  <c r="L42" i="31"/>
  <c r="BV715" i="30" l="1"/>
  <c r="BW715" s="1"/>
  <c r="BZ715" s="1"/>
  <c r="BW689"/>
  <c r="BZ689" s="1"/>
  <c r="BA457"/>
  <c r="BB457" s="1"/>
  <c r="BE457" s="1"/>
  <c r="BH457" s="1"/>
  <c r="BK457" s="1"/>
  <c r="BN457" s="1"/>
  <c r="AS57" i="32"/>
  <c r="AV57" s="1"/>
  <c r="AY57" s="1"/>
  <c r="BB57" s="1"/>
  <c r="BE57" s="1"/>
  <c r="BH57" s="1"/>
  <c r="BK57" s="1"/>
  <c r="BN57" s="1"/>
  <c r="BQ57" s="1"/>
  <c r="BT57" s="1"/>
  <c r="BW57" s="1"/>
  <c r="BZ57" s="1"/>
  <c r="AA40" i="31"/>
  <c r="AD40" s="1"/>
  <c r="AG40" s="1"/>
  <c r="AJ40" s="1"/>
  <c r="AM40" s="1"/>
  <c r="AP40" s="1"/>
  <c r="AS40" s="1"/>
  <c r="AV40" s="1"/>
  <c r="AY40" s="1"/>
  <c r="BB40" s="1"/>
  <c r="BE40" s="1"/>
  <c r="BH40" s="1"/>
  <c r="BK40" s="1"/>
  <c r="BN40" s="1"/>
  <c r="K69" i="30"/>
  <c r="BQ457" l="1"/>
  <c r="BT457" s="1"/>
  <c r="BW457" s="1"/>
  <c r="BZ457" s="1"/>
  <c r="BP40" i="31"/>
  <c r="BQ40" s="1"/>
  <c r="BT40" s="1"/>
  <c r="BW40" s="1"/>
  <c r="BZ40" s="1"/>
  <c r="BA527" i="30"/>
  <c r="BB527" s="1"/>
  <c r="BE527" s="1"/>
  <c r="BG527" s="1"/>
  <c r="CD176"/>
  <c r="O176"/>
  <c r="R176" s="1"/>
  <c r="U176" s="1"/>
  <c r="X176" s="1"/>
  <c r="CD177"/>
  <c r="O177"/>
  <c r="R177" s="1"/>
  <c r="U177" s="1"/>
  <c r="X177" s="1"/>
  <c r="CD178"/>
  <c r="O178"/>
  <c r="R178" s="1"/>
  <c r="U178" s="1"/>
  <c r="X178" s="1"/>
  <c r="CD179"/>
  <c r="O179"/>
  <c r="R179" s="1"/>
  <c r="U179" s="1"/>
  <c r="X179" s="1"/>
  <c r="CD180"/>
  <c r="O180"/>
  <c r="R180" s="1"/>
  <c r="U180" s="1"/>
  <c r="CD181"/>
  <c r="O181"/>
  <c r="R181" s="1"/>
  <c r="U181" s="1"/>
  <c r="X181" s="1"/>
  <c r="CD182"/>
  <c r="O182"/>
  <c r="R182" s="1"/>
  <c r="U182" s="1"/>
  <c r="X182" s="1"/>
  <c r="CD183"/>
  <c r="O183"/>
  <c r="R183" s="1"/>
  <c r="U183" s="1"/>
  <c r="CD184"/>
  <c r="O184"/>
  <c r="R184" s="1"/>
  <c r="U184" s="1"/>
  <c r="X184" s="1"/>
  <c r="CD185"/>
  <c r="O185"/>
  <c r="R185" s="1"/>
  <c r="U185" s="1"/>
  <c r="CD186"/>
  <c r="O186"/>
  <c r="R186" s="1"/>
  <c r="U186" s="1"/>
  <c r="X186" s="1"/>
  <c r="CD187"/>
  <c r="O187"/>
  <c r="R187" s="1"/>
  <c r="U187" s="1"/>
  <c r="X187" s="1"/>
  <c r="CD188"/>
  <c r="O188"/>
  <c r="R188" s="1"/>
  <c r="U188" s="1"/>
  <c r="X188" s="1"/>
  <c r="CD189"/>
  <c r="O189"/>
  <c r="R189" s="1"/>
  <c r="U189" s="1"/>
  <c r="X189" s="1"/>
  <c r="CD190"/>
  <c r="O190"/>
  <c r="R190" s="1"/>
  <c r="U190" s="1"/>
  <c r="X190" s="1"/>
  <c r="CD191"/>
  <c r="O191"/>
  <c r="R191" s="1"/>
  <c r="U191" s="1"/>
  <c r="X191" s="1"/>
  <c r="CD192"/>
  <c r="O192"/>
  <c r="R192" s="1"/>
  <c r="U192" s="1"/>
  <c r="X192" s="1"/>
  <c r="CD193"/>
  <c r="CD194"/>
  <c r="O194"/>
  <c r="R194" s="1"/>
  <c r="U194" s="1"/>
  <c r="X194" s="1"/>
  <c r="CD195"/>
  <c r="I195"/>
  <c r="O195" s="1"/>
  <c r="R195" s="1"/>
  <c r="U195" s="1"/>
  <c r="X195" s="1"/>
  <c r="CD196"/>
  <c r="O196"/>
  <c r="R196" s="1"/>
  <c r="U196" s="1"/>
  <c r="X196" s="1"/>
  <c r="CD197"/>
  <c r="O197"/>
  <c r="R197" s="1"/>
  <c r="U197" s="1"/>
  <c r="X197" s="1"/>
  <c r="CD198"/>
  <c r="I198"/>
  <c r="L198" s="1"/>
  <c r="O198" s="1"/>
  <c r="R198" s="1"/>
  <c r="U198" s="1"/>
  <c r="X198" s="1"/>
  <c r="CD199"/>
  <c r="I199"/>
  <c r="L199" s="1"/>
  <c r="O199" s="1"/>
  <c r="R199" s="1"/>
  <c r="U199" s="1"/>
  <c r="X199" s="1"/>
  <c r="CD200"/>
  <c r="I200"/>
  <c r="L200" s="1"/>
  <c r="O200" s="1"/>
  <c r="R200" s="1"/>
  <c r="U200" s="1"/>
  <c r="X200" s="1"/>
  <c r="CD201"/>
  <c r="I201"/>
  <c r="L201" s="1"/>
  <c r="O201" s="1"/>
  <c r="R201" s="1"/>
  <c r="U201" s="1"/>
  <c r="X201" s="1"/>
  <c r="CD202"/>
  <c r="I202"/>
  <c r="L202" s="1"/>
  <c r="O202" s="1"/>
  <c r="R202" s="1"/>
  <c r="CD203"/>
  <c r="I203"/>
  <c r="L203" s="1"/>
  <c r="O203" s="1"/>
  <c r="R203" s="1"/>
  <c r="U203" s="1"/>
  <c r="X203" s="1"/>
  <c r="CD204"/>
  <c r="I204"/>
  <c r="L204" s="1"/>
  <c r="O204" s="1"/>
  <c r="R204" s="1"/>
  <c r="U204" s="1"/>
  <c r="X204" s="1"/>
  <c r="CD205"/>
  <c r="I205"/>
  <c r="L205" s="1"/>
  <c r="O205" s="1"/>
  <c r="R205" s="1"/>
  <c r="U205" s="1"/>
  <c r="X205" s="1"/>
  <c r="CD206"/>
  <c r="I206"/>
  <c r="L206" s="1"/>
  <c r="O206" s="1"/>
  <c r="R206" s="1"/>
  <c r="U206" s="1"/>
  <c r="X206" s="1"/>
  <c r="CD207"/>
  <c r="I207"/>
  <c r="L207" s="1"/>
  <c r="O207" s="1"/>
  <c r="R207" s="1"/>
  <c r="BG627" l="1"/>
  <c r="BH527"/>
  <c r="BK527" s="1"/>
  <c r="BN527" s="1"/>
  <c r="AA206"/>
  <c r="AC206" s="1"/>
  <c r="AC285" s="1"/>
  <c r="AD285" s="1"/>
  <c r="AG285" s="1"/>
  <c r="AJ285" s="1"/>
  <c r="AA186"/>
  <c r="AA182"/>
  <c r="AA178"/>
  <c r="AC178" s="1"/>
  <c r="AD178" s="1"/>
  <c r="AG178" s="1"/>
  <c r="AJ178" s="1"/>
  <c r="AA201"/>
  <c r="AC201" s="1"/>
  <c r="AD201" s="1"/>
  <c r="AG201" s="1"/>
  <c r="AJ201" s="1"/>
  <c r="AA203"/>
  <c r="AD203" s="1"/>
  <c r="AA204"/>
  <c r="AD204" s="1"/>
  <c r="AG204" s="1"/>
  <c r="AJ204" s="1"/>
  <c r="AM204" s="1"/>
  <c r="AP204" s="1"/>
  <c r="AS204" s="1"/>
  <c r="AV204" s="1"/>
  <c r="AY204" s="1"/>
  <c r="BB204" s="1"/>
  <c r="BE204" s="1"/>
  <c r="BH204" s="1"/>
  <c r="BK204" s="1"/>
  <c r="BN204" s="1"/>
  <c r="AA200"/>
  <c r="AD200" s="1"/>
  <c r="AG200" s="1"/>
  <c r="AJ200" s="1"/>
  <c r="AM200" s="1"/>
  <c r="AP200" s="1"/>
  <c r="AS200" s="1"/>
  <c r="AV200" s="1"/>
  <c r="AY200" s="1"/>
  <c r="BB200" s="1"/>
  <c r="BE200" s="1"/>
  <c r="BH200" s="1"/>
  <c r="BK200" s="1"/>
  <c r="BN200" s="1"/>
  <c r="AA198"/>
  <c r="AD198" s="1"/>
  <c r="AG198" s="1"/>
  <c r="AJ198" s="1"/>
  <c r="AM198" s="1"/>
  <c r="AP198" s="1"/>
  <c r="AS198" s="1"/>
  <c r="AV198" s="1"/>
  <c r="AY198" s="1"/>
  <c r="BB198" s="1"/>
  <c r="BE198" s="1"/>
  <c r="BH198" s="1"/>
  <c r="BK198" s="1"/>
  <c r="BN198" s="1"/>
  <c r="AA196"/>
  <c r="AD196" s="1"/>
  <c r="AG196" s="1"/>
  <c r="AJ196" s="1"/>
  <c r="AM196" s="1"/>
  <c r="AP196" s="1"/>
  <c r="AS196" s="1"/>
  <c r="AV196" s="1"/>
  <c r="AY196" s="1"/>
  <c r="BB196" s="1"/>
  <c r="BE196" s="1"/>
  <c r="BH196" s="1"/>
  <c r="BK196" s="1"/>
  <c r="BN196" s="1"/>
  <c r="AA194"/>
  <c r="AA192"/>
  <c r="AD192" s="1"/>
  <c r="AG192" s="1"/>
  <c r="AJ192" s="1"/>
  <c r="AM192" s="1"/>
  <c r="AP192" s="1"/>
  <c r="AS192" s="1"/>
  <c r="AV192" s="1"/>
  <c r="AY192" s="1"/>
  <c r="BB192" s="1"/>
  <c r="BE192" s="1"/>
  <c r="BH192" s="1"/>
  <c r="BK192" s="1"/>
  <c r="BN192" s="1"/>
  <c r="AA190"/>
  <c r="AD190" s="1"/>
  <c r="AG190" s="1"/>
  <c r="AJ190" s="1"/>
  <c r="AA188"/>
  <c r="AD188" s="1"/>
  <c r="AG188" s="1"/>
  <c r="AJ188" s="1"/>
  <c r="AM188" s="1"/>
  <c r="AA184"/>
  <c r="AD184" s="1"/>
  <c r="AG184" s="1"/>
  <c r="AJ184" s="1"/>
  <c r="AA199"/>
  <c r="AD199" s="1"/>
  <c r="AG199" s="1"/>
  <c r="AJ199" s="1"/>
  <c r="AM199" s="1"/>
  <c r="AP199" s="1"/>
  <c r="AS199" s="1"/>
  <c r="AV199" s="1"/>
  <c r="AY199" s="1"/>
  <c r="BB199" s="1"/>
  <c r="BE199" s="1"/>
  <c r="BH199" s="1"/>
  <c r="BK199" s="1"/>
  <c r="BN199" s="1"/>
  <c r="AA197"/>
  <c r="AD197" s="1"/>
  <c r="AG197" s="1"/>
  <c r="AJ197" s="1"/>
  <c r="AM197" s="1"/>
  <c r="AP197" s="1"/>
  <c r="AS197" s="1"/>
  <c r="AV197" s="1"/>
  <c r="AY197" s="1"/>
  <c r="BB197" s="1"/>
  <c r="BE197" s="1"/>
  <c r="BH197" s="1"/>
  <c r="BK197" s="1"/>
  <c r="BN197" s="1"/>
  <c r="AA195"/>
  <c r="AD195" s="1"/>
  <c r="AG195" s="1"/>
  <c r="AJ195" s="1"/>
  <c r="AM195" s="1"/>
  <c r="AP195" s="1"/>
  <c r="AS195" s="1"/>
  <c r="AV195" s="1"/>
  <c r="AY195" s="1"/>
  <c r="BB195" s="1"/>
  <c r="BE195" s="1"/>
  <c r="BH195" s="1"/>
  <c r="BK195" s="1"/>
  <c r="BN195" s="1"/>
  <c r="AA191"/>
  <c r="AD191" s="1"/>
  <c r="AG191" s="1"/>
  <c r="AJ191" s="1"/>
  <c r="AM191" s="1"/>
  <c r="AP191" s="1"/>
  <c r="AS191" s="1"/>
  <c r="AV191" s="1"/>
  <c r="AY191" s="1"/>
  <c r="BB191" s="1"/>
  <c r="BE191" s="1"/>
  <c r="BH191" s="1"/>
  <c r="BK191" s="1"/>
  <c r="BN191" s="1"/>
  <c r="AA189"/>
  <c r="AA179"/>
  <c r="AD179" s="1"/>
  <c r="AG179" s="1"/>
  <c r="AJ179" s="1"/>
  <c r="AM179" s="1"/>
  <c r="AP179" s="1"/>
  <c r="AS179" s="1"/>
  <c r="AV179" s="1"/>
  <c r="AY179" s="1"/>
  <c r="BB179" s="1"/>
  <c r="BE179" s="1"/>
  <c r="BH179" s="1"/>
  <c r="BK179" s="1"/>
  <c r="BN179" s="1"/>
  <c r="AA177"/>
  <c r="Z205"/>
  <c r="Z226" s="1"/>
  <c r="W185"/>
  <c r="W267" s="1"/>
  <c r="X267" s="1"/>
  <c r="W180"/>
  <c r="W273" s="1"/>
  <c r="X273" s="1"/>
  <c r="W183"/>
  <c r="X183" s="1"/>
  <c r="T202"/>
  <c r="U202" s="1"/>
  <c r="X202" s="1"/>
  <c r="K174"/>
  <c r="L100"/>
  <c r="L102"/>
  <c r="L112"/>
  <c r="L130"/>
  <c r="L131"/>
  <c r="K117"/>
  <c r="K76"/>
  <c r="K47"/>
  <c r="K36" i="32"/>
  <c r="K184" s="1"/>
  <c r="K26"/>
  <c r="BQ191" i="30" l="1"/>
  <c r="BT191" s="1"/>
  <c r="BW191" s="1"/>
  <c r="BZ191" s="1"/>
  <c r="BQ204"/>
  <c r="BT204" s="1"/>
  <c r="BW204" s="1"/>
  <c r="BZ204" s="1"/>
  <c r="BQ199"/>
  <c r="BT199" s="1"/>
  <c r="BW199" s="1"/>
  <c r="BZ199" s="1"/>
  <c r="BQ192"/>
  <c r="BT192" s="1"/>
  <c r="BW192" s="1"/>
  <c r="BZ192" s="1"/>
  <c r="BQ200"/>
  <c r="BT200" s="1"/>
  <c r="BW200" s="1"/>
  <c r="BZ200" s="1"/>
  <c r="BQ527"/>
  <c r="BT527" s="1"/>
  <c r="BW527" s="1"/>
  <c r="BZ527" s="1"/>
  <c r="BQ197"/>
  <c r="BT197" s="1"/>
  <c r="BW197" s="1"/>
  <c r="BZ197" s="1"/>
  <c r="BQ198"/>
  <c r="BT198" s="1"/>
  <c r="BW198" s="1"/>
  <c r="BZ198" s="1"/>
  <c r="BQ179"/>
  <c r="BT179" s="1"/>
  <c r="BW179" s="1"/>
  <c r="BZ179" s="1"/>
  <c r="BQ195"/>
  <c r="BT195" s="1"/>
  <c r="BW195" s="1"/>
  <c r="BZ195" s="1"/>
  <c r="BQ196"/>
  <c r="BT196" s="1"/>
  <c r="BW196" s="1"/>
  <c r="BZ196" s="1"/>
  <c r="BH627"/>
  <c r="BK627" s="1"/>
  <c r="BN627" s="1"/>
  <c r="BG876"/>
  <c r="AM178"/>
  <c r="AP178" s="1"/>
  <c r="AS178" s="1"/>
  <c r="AV178" s="1"/>
  <c r="AY178" s="1"/>
  <c r="BB178" s="1"/>
  <c r="BE178" s="1"/>
  <c r="BH178" s="1"/>
  <c r="BK178" s="1"/>
  <c r="BN178" s="1"/>
  <c r="AM190"/>
  <c r="AM201"/>
  <c r="AP201" s="1"/>
  <c r="AS201" s="1"/>
  <c r="AV201" s="1"/>
  <c r="AY201" s="1"/>
  <c r="BB201" s="1"/>
  <c r="BE201" s="1"/>
  <c r="BH201" s="1"/>
  <c r="BK201" s="1"/>
  <c r="BN201" s="1"/>
  <c r="AM285"/>
  <c r="AL184"/>
  <c r="AL234" s="1"/>
  <c r="AD194"/>
  <c r="AG194" s="1"/>
  <c r="AJ194" s="1"/>
  <c r="AM194" s="1"/>
  <c r="AP194" s="1"/>
  <c r="AS194" s="1"/>
  <c r="AV194" s="1"/>
  <c r="AY194" s="1"/>
  <c r="BB194" s="1"/>
  <c r="BE194" s="1"/>
  <c r="BH194" s="1"/>
  <c r="BK194" s="1"/>
  <c r="BN194" s="1"/>
  <c r="AD189"/>
  <c r="AG189" s="1"/>
  <c r="AJ189" s="1"/>
  <c r="AM189" s="1"/>
  <c r="AP189" s="1"/>
  <c r="AS189" s="1"/>
  <c r="AV189" s="1"/>
  <c r="AY189" s="1"/>
  <c r="BB189" s="1"/>
  <c r="BE189" s="1"/>
  <c r="BH189" s="1"/>
  <c r="BK189" s="1"/>
  <c r="BN189" s="1"/>
  <c r="AF203"/>
  <c r="AG203" s="1"/>
  <c r="AJ203" s="1"/>
  <c r="AM203" s="1"/>
  <c r="AP203" s="1"/>
  <c r="AS203" s="1"/>
  <c r="AV203" s="1"/>
  <c r="AY203" s="1"/>
  <c r="BB203" s="1"/>
  <c r="BE203" s="1"/>
  <c r="BH203" s="1"/>
  <c r="BK203" s="1"/>
  <c r="BN203" s="1"/>
  <c r="AC177"/>
  <c r="AC315" s="1"/>
  <c r="AD315" s="1"/>
  <c r="AG315" s="1"/>
  <c r="AC186"/>
  <c r="AD186" s="1"/>
  <c r="AG186" s="1"/>
  <c r="AJ186" s="1"/>
  <c r="AM186" s="1"/>
  <c r="AP186" s="1"/>
  <c r="AS186" s="1"/>
  <c r="AV186" s="1"/>
  <c r="AY186" s="1"/>
  <c r="BB186" s="1"/>
  <c r="BE186" s="1"/>
  <c r="BH186" s="1"/>
  <c r="BK186" s="1"/>
  <c r="BN186" s="1"/>
  <c r="AC182"/>
  <c r="AD182" s="1"/>
  <c r="AG182" s="1"/>
  <c r="AJ182" s="1"/>
  <c r="AM182" s="1"/>
  <c r="AP182" s="1"/>
  <c r="AS182" s="1"/>
  <c r="AV182" s="1"/>
  <c r="AY182" s="1"/>
  <c r="BB182" s="1"/>
  <c r="BE182" s="1"/>
  <c r="BH182" s="1"/>
  <c r="BK182" s="1"/>
  <c r="BN182" s="1"/>
  <c r="AA202"/>
  <c r="AD202" s="1"/>
  <c r="AG202" s="1"/>
  <c r="AJ202" s="1"/>
  <c r="AM202" s="1"/>
  <c r="AP202" s="1"/>
  <c r="AS202" s="1"/>
  <c r="AV202" s="1"/>
  <c r="AY202" s="1"/>
  <c r="BB202" s="1"/>
  <c r="BE202" s="1"/>
  <c r="BH202" s="1"/>
  <c r="BK202" s="1"/>
  <c r="BN202" s="1"/>
  <c r="AA267"/>
  <c r="AA273"/>
  <c r="AD273" s="1"/>
  <c r="AG273" s="1"/>
  <c r="AA183"/>
  <c r="AD183" s="1"/>
  <c r="AG183" s="1"/>
  <c r="AJ183" s="1"/>
  <c r="AA205"/>
  <c r="AD205" s="1"/>
  <c r="AG205" s="1"/>
  <c r="AJ205" s="1"/>
  <c r="AM205" s="1"/>
  <c r="AP205" s="1"/>
  <c r="AS205" s="1"/>
  <c r="AV205" s="1"/>
  <c r="AY205" s="1"/>
  <c r="BB205" s="1"/>
  <c r="BE205" s="1"/>
  <c r="BH205" s="1"/>
  <c r="BK205" s="1"/>
  <c r="BN205" s="1"/>
  <c r="AD206"/>
  <c r="AG206" s="1"/>
  <c r="AJ206" s="1"/>
  <c r="X185"/>
  <c r="X180"/>
  <c r="N151"/>
  <c r="N19"/>
  <c r="N101"/>
  <c r="N110"/>
  <c r="N86"/>
  <c r="N156"/>
  <c r="O100"/>
  <c r="R100" s="1"/>
  <c r="U100" s="1"/>
  <c r="X100" s="1"/>
  <c r="O102"/>
  <c r="R102" s="1"/>
  <c r="U102" s="1"/>
  <c r="X102" s="1"/>
  <c r="O112"/>
  <c r="R112" s="1"/>
  <c r="U112" s="1"/>
  <c r="X112" s="1"/>
  <c r="O130"/>
  <c r="R130" s="1"/>
  <c r="U130" s="1"/>
  <c r="X130" s="1"/>
  <c r="O131"/>
  <c r="R131" s="1"/>
  <c r="U131" s="1"/>
  <c r="X131" s="1"/>
  <c r="L138"/>
  <c r="O138" s="1"/>
  <c r="L139"/>
  <c r="L140"/>
  <c r="O140" s="1"/>
  <c r="R140" s="1"/>
  <c r="U140" s="1"/>
  <c r="X140" s="1"/>
  <c r="L141"/>
  <c r="O141" s="1"/>
  <c r="R141" s="1"/>
  <c r="U141" s="1"/>
  <c r="X141" s="1"/>
  <c r="L142"/>
  <c r="O142" s="1"/>
  <c r="R142" s="1"/>
  <c r="U142" s="1"/>
  <c r="X142" s="1"/>
  <c r="L143"/>
  <c r="L144"/>
  <c r="O144" s="1"/>
  <c r="R144" s="1"/>
  <c r="U144" s="1"/>
  <c r="X144" s="1"/>
  <c r="L145"/>
  <c r="O145" s="1"/>
  <c r="R145" s="1"/>
  <c r="U145" s="1"/>
  <c r="X145" s="1"/>
  <c r="L146"/>
  <c r="O146" s="1"/>
  <c r="R146" s="1"/>
  <c r="U146" s="1"/>
  <c r="X146" s="1"/>
  <c r="L147"/>
  <c r="O147" s="1"/>
  <c r="R147" s="1"/>
  <c r="U147" s="1"/>
  <c r="X147" s="1"/>
  <c r="L148"/>
  <c r="O148" s="1"/>
  <c r="R148" s="1"/>
  <c r="U148" s="1"/>
  <c r="X148" s="1"/>
  <c r="L149"/>
  <c r="L150"/>
  <c r="O150" s="1"/>
  <c r="R150" s="1"/>
  <c r="U150" s="1"/>
  <c r="X150" s="1"/>
  <c r="L151"/>
  <c r="L152"/>
  <c r="O152" s="1"/>
  <c r="R152" s="1"/>
  <c r="U152" s="1"/>
  <c r="X152" s="1"/>
  <c r="L153"/>
  <c r="O153" s="1"/>
  <c r="R153" s="1"/>
  <c r="U153" s="1"/>
  <c r="X153" s="1"/>
  <c r="L154"/>
  <c r="O154" s="1"/>
  <c r="R154" s="1"/>
  <c r="U154" s="1"/>
  <c r="X154" s="1"/>
  <c r="L155"/>
  <c r="O155" s="1"/>
  <c r="R155" s="1"/>
  <c r="U155" s="1"/>
  <c r="X155" s="1"/>
  <c r="L156"/>
  <c r="L157"/>
  <c r="O157" s="1"/>
  <c r="R157" s="1"/>
  <c r="U157" s="1"/>
  <c r="X157" s="1"/>
  <c r="L158"/>
  <c r="O158" s="1"/>
  <c r="R158" s="1"/>
  <c r="U158" s="1"/>
  <c r="X158" s="1"/>
  <c r="L159"/>
  <c r="O159" s="1"/>
  <c r="R159" s="1"/>
  <c r="U159" s="1"/>
  <c r="X159" s="1"/>
  <c r="L160"/>
  <c r="O160" s="1"/>
  <c r="R160" s="1"/>
  <c r="U160" s="1"/>
  <c r="L161"/>
  <c r="O161" s="1"/>
  <c r="R161" s="1"/>
  <c r="U161" s="1"/>
  <c r="X161" s="1"/>
  <c r="L162"/>
  <c r="O162" s="1"/>
  <c r="R162" s="1"/>
  <c r="U162" s="1"/>
  <c r="X162" s="1"/>
  <c r="L163"/>
  <c r="O163" s="1"/>
  <c r="R163" s="1"/>
  <c r="U163" s="1"/>
  <c r="X163" s="1"/>
  <c r="L164"/>
  <c r="O164" s="1"/>
  <c r="R164" s="1"/>
  <c r="U164" s="1"/>
  <c r="L165"/>
  <c r="O165" s="1"/>
  <c r="R165" s="1"/>
  <c r="U165" s="1"/>
  <c r="X165" s="1"/>
  <c r="L166"/>
  <c r="O166" s="1"/>
  <c r="R166" s="1"/>
  <c r="U166" s="1"/>
  <c r="X166" s="1"/>
  <c r="L167"/>
  <c r="O167" s="1"/>
  <c r="R167" s="1"/>
  <c r="U167" s="1"/>
  <c r="X167" s="1"/>
  <c r="L168"/>
  <c r="O168" s="1"/>
  <c r="R168" s="1"/>
  <c r="U168" s="1"/>
  <c r="X168" s="1"/>
  <c r="L169"/>
  <c r="O169" s="1"/>
  <c r="R169" s="1"/>
  <c r="U169" s="1"/>
  <c r="X169" s="1"/>
  <c r="L170"/>
  <c r="O170" s="1"/>
  <c r="R170" s="1"/>
  <c r="L171"/>
  <c r="O171" s="1"/>
  <c r="R171" s="1"/>
  <c r="U171" s="1"/>
  <c r="X171" s="1"/>
  <c r="L172"/>
  <c r="O172" s="1"/>
  <c r="R172" s="1"/>
  <c r="U172" s="1"/>
  <c r="X172" s="1"/>
  <c r="L173"/>
  <c r="O173" s="1"/>
  <c r="R173" s="1"/>
  <c r="U173" s="1"/>
  <c r="X173" s="1"/>
  <c r="L174"/>
  <c r="O174" s="1"/>
  <c r="R174" s="1"/>
  <c r="U174" s="1"/>
  <c r="X174" s="1"/>
  <c r="L37" i="32"/>
  <c r="O37" s="1"/>
  <c r="R37" s="1"/>
  <c r="O38"/>
  <c r="R38" s="1"/>
  <c r="U38" s="1"/>
  <c r="X38" s="1"/>
  <c r="O39"/>
  <c r="R39" s="1"/>
  <c r="U39" s="1"/>
  <c r="X39" s="1"/>
  <c r="O40"/>
  <c r="R40" s="1"/>
  <c r="L41"/>
  <c r="L42"/>
  <c r="L43"/>
  <c r="R43" s="1"/>
  <c r="U43" s="1"/>
  <c r="X43" s="1"/>
  <c r="L44"/>
  <c r="R44" s="1"/>
  <c r="U44" s="1"/>
  <c r="X44" s="1"/>
  <c r="L43" i="31"/>
  <c r="L44"/>
  <c r="L45"/>
  <c r="L46"/>
  <c r="O46" s="1"/>
  <c r="U46" s="1"/>
  <c r="X46" s="1"/>
  <c r="L47"/>
  <c r="O47" s="1"/>
  <c r="U47" s="1"/>
  <c r="X47" s="1"/>
  <c r="L67"/>
  <c r="O67" s="1"/>
  <c r="R67" s="1"/>
  <c r="U67" s="1"/>
  <c r="X67" s="1"/>
  <c r="I39"/>
  <c r="L39" s="1"/>
  <c r="O39" s="1"/>
  <c r="R39" s="1"/>
  <c r="U39" s="1"/>
  <c r="X39" s="1"/>
  <c r="B36" i="32"/>
  <c r="B37"/>
  <c r="B38"/>
  <c r="CC38" s="1"/>
  <c r="B39"/>
  <c r="B40"/>
  <c r="B41"/>
  <c r="B42"/>
  <c r="B43"/>
  <c r="B44"/>
  <c r="BQ202" i="30" l="1"/>
  <c r="BT202" s="1"/>
  <c r="BW202" s="1"/>
  <c r="BZ202" s="1"/>
  <c r="BQ178"/>
  <c r="BT178" s="1"/>
  <c r="BW178" s="1"/>
  <c r="BZ178" s="1"/>
  <c r="BQ186"/>
  <c r="BT186" s="1"/>
  <c r="BW186" s="1"/>
  <c r="BZ186" s="1"/>
  <c r="BQ194"/>
  <c r="BT194" s="1"/>
  <c r="BW194" s="1"/>
  <c r="BZ194" s="1"/>
  <c r="BQ205"/>
  <c r="BT205" s="1"/>
  <c r="BW205" s="1"/>
  <c r="BZ205" s="1"/>
  <c r="BQ182"/>
  <c r="BT182" s="1"/>
  <c r="BW182" s="1"/>
  <c r="BZ182" s="1"/>
  <c r="BQ189"/>
  <c r="BQ201"/>
  <c r="BT201" s="1"/>
  <c r="BW201" s="1"/>
  <c r="BZ201" s="1"/>
  <c r="BQ627"/>
  <c r="BT627" s="1"/>
  <c r="BW627" s="1"/>
  <c r="BZ627" s="1"/>
  <c r="BQ203"/>
  <c r="BT203" s="1"/>
  <c r="BW203" s="1"/>
  <c r="BZ203" s="1"/>
  <c r="AO190"/>
  <c r="AP190" s="1"/>
  <c r="AS190" s="1"/>
  <c r="AV190" s="1"/>
  <c r="AY190" s="1"/>
  <c r="BB190" s="1"/>
  <c r="BE190" s="1"/>
  <c r="BH190" s="1"/>
  <c r="BK190" s="1"/>
  <c r="BN190" s="1"/>
  <c r="AO285"/>
  <c r="AO360" s="1"/>
  <c r="AP360" s="1"/>
  <c r="AS360" s="1"/>
  <c r="AV360" s="1"/>
  <c r="AY360" s="1"/>
  <c r="AM184"/>
  <c r="AP184" s="1"/>
  <c r="AS184" s="1"/>
  <c r="AV184" s="1"/>
  <c r="AY184" s="1"/>
  <c r="BB184" s="1"/>
  <c r="BE184" s="1"/>
  <c r="BH184" s="1"/>
  <c r="BK184" s="1"/>
  <c r="BN184" s="1"/>
  <c r="AM183"/>
  <c r="AP183" s="1"/>
  <c r="AS183" s="1"/>
  <c r="AV183" s="1"/>
  <c r="AY183" s="1"/>
  <c r="BB183" s="1"/>
  <c r="BE183" s="1"/>
  <c r="BH183" s="1"/>
  <c r="BK183" s="1"/>
  <c r="BN183" s="1"/>
  <c r="AM206"/>
  <c r="AP206" s="1"/>
  <c r="AS206" s="1"/>
  <c r="AV206" s="1"/>
  <c r="AY206" s="1"/>
  <c r="BB206" s="1"/>
  <c r="BE206" s="1"/>
  <c r="BH206" s="1"/>
  <c r="BK206" s="1"/>
  <c r="BN206" s="1"/>
  <c r="AM234"/>
  <c r="AI315"/>
  <c r="AI372" s="1"/>
  <c r="AJ372" s="1"/>
  <c r="AM372" s="1"/>
  <c r="AP372" s="1"/>
  <c r="AS372" s="1"/>
  <c r="AV372" s="1"/>
  <c r="AI273"/>
  <c r="AI371" s="1"/>
  <c r="AJ371" s="1"/>
  <c r="AM371" s="1"/>
  <c r="AP371" s="1"/>
  <c r="AS371" s="1"/>
  <c r="AV371" s="1"/>
  <c r="AY371" s="1"/>
  <c r="BB371" s="1"/>
  <c r="AF282"/>
  <c r="AG282" s="1"/>
  <c r="AJ282" s="1"/>
  <c r="AM282" s="1"/>
  <c r="AP282" s="1"/>
  <c r="AS282" s="1"/>
  <c r="AD177"/>
  <c r="AG177" s="1"/>
  <c r="AJ177" s="1"/>
  <c r="AM177" s="1"/>
  <c r="AP177" s="1"/>
  <c r="AS177" s="1"/>
  <c r="AV177" s="1"/>
  <c r="AY177" s="1"/>
  <c r="BB177" s="1"/>
  <c r="BE177" s="1"/>
  <c r="BH177" s="1"/>
  <c r="BK177" s="1"/>
  <c r="BN177" s="1"/>
  <c r="AA38" i="32"/>
  <c r="AD38" s="1"/>
  <c r="AG38" s="1"/>
  <c r="AJ38" s="1"/>
  <c r="AM38" s="1"/>
  <c r="AP38" s="1"/>
  <c r="AS38" s="1"/>
  <c r="AV38" s="1"/>
  <c r="AY38" s="1"/>
  <c r="BB38" s="1"/>
  <c r="BE38" s="1"/>
  <c r="BH38" s="1"/>
  <c r="BK38" s="1"/>
  <c r="BN38" s="1"/>
  <c r="BQ38" s="1"/>
  <c r="BT38" s="1"/>
  <c r="BW38" s="1"/>
  <c r="BZ38" s="1"/>
  <c r="AA44"/>
  <c r="AD44" s="1"/>
  <c r="AG44" s="1"/>
  <c r="AJ44" s="1"/>
  <c r="AM44" s="1"/>
  <c r="AP44" s="1"/>
  <c r="AA43"/>
  <c r="AD43" s="1"/>
  <c r="AA39" i="31"/>
  <c r="AD39" s="1"/>
  <c r="AG39" s="1"/>
  <c r="AJ39" s="1"/>
  <c r="AM39" s="1"/>
  <c r="AP39" s="1"/>
  <c r="AS39" s="1"/>
  <c r="AV39" s="1"/>
  <c r="AY39" s="1"/>
  <c r="BB39" s="1"/>
  <c r="BE39" s="1"/>
  <c r="BH39" s="1"/>
  <c r="BK39" s="1"/>
  <c r="BN39" s="1"/>
  <c r="BQ39" s="1"/>
  <c r="BT39" s="1"/>
  <c r="BW39" s="1"/>
  <c r="BZ39" s="1"/>
  <c r="AA47"/>
  <c r="AD47" s="1"/>
  <c r="AG47" s="1"/>
  <c r="AJ47" s="1"/>
  <c r="AM47" s="1"/>
  <c r="AP47" s="1"/>
  <c r="AS47" s="1"/>
  <c r="AV47" s="1"/>
  <c r="AY47" s="1"/>
  <c r="BB47" s="1"/>
  <c r="BE47" s="1"/>
  <c r="BH47" s="1"/>
  <c r="BK47" s="1"/>
  <c r="BN47" s="1"/>
  <c r="AA67"/>
  <c r="AD67" s="1"/>
  <c r="AG67" s="1"/>
  <c r="AA46"/>
  <c r="AD46" s="1"/>
  <c r="AG46" s="1"/>
  <c r="AA161" i="30"/>
  <c r="AC161" s="1"/>
  <c r="AC301" s="1"/>
  <c r="AD301" s="1"/>
  <c r="AG301" s="1"/>
  <c r="AJ301" s="1"/>
  <c r="AM301" s="1"/>
  <c r="AP301" s="1"/>
  <c r="AS301" s="1"/>
  <c r="AV301" s="1"/>
  <c r="AY301" s="1"/>
  <c r="BB301" s="1"/>
  <c r="BE301" s="1"/>
  <c r="BH301" s="1"/>
  <c r="BK301" s="1"/>
  <c r="BN301" s="1"/>
  <c r="AA157"/>
  <c r="AA166"/>
  <c r="AC166" s="1"/>
  <c r="AC274" s="1"/>
  <c r="AA154"/>
  <c r="AD142"/>
  <c r="AG142" s="1"/>
  <c r="AJ142" s="1"/>
  <c r="AM142" s="1"/>
  <c r="AP142" s="1"/>
  <c r="AS142" s="1"/>
  <c r="AV142" s="1"/>
  <c r="AY142" s="1"/>
  <c r="BB142" s="1"/>
  <c r="BE142" s="1"/>
  <c r="BH142" s="1"/>
  <c r="BK142" s="1"/>
  <c r="BN142" s="1"/>
  <c r="AD167"/>
  <c r="AG167" s="1"/>
  <c r="AJ167" s="1"/>
  <c r="AM167" s="1"/>
  <c r="AP167" s="1"/>
  <c r="AS167" s="1"/>
  <c r="AV167" s="1"/>
  <c r="AY167" s="1"/>
  <c r="BB167" s="1"/>
  <c r="BE167" s="1"/>
  <c r="BH167" s="1"/>
  <c r="BK167" s="1"/>
  <c r="BN167" s="1"/>
  <c r="AD163"/>
  <c r="AG163" s="1"/>
  <c r="AJ163" s="1"/>
  <c r="AM163" s="1"/>
  <c r="AP163" s="1"/>
  <c r="AS163" s="1"/>
  <c r="AV163" s="1"/>
  <c r="AY163" s="1"/>
  <c r="BB163" s="1"/>
  <c r="BE163" s="1"/>
  <c r="BH163" s="1"/>
  <c r="BK163" s="1"/>
  <c r="BN163" s="1"/>
  <c r="AA173"/>
  <c r="AD173" s="1"/>
  <c r="AG173" s="1"/>
  <c r="AJ173" s="1"/>
  <c r="AM173" s="1"/>
  <c r="AP173" s="1"/>
  <c r="AS173" s="1"/>
  <c r="AV173" s="1"/>
  <c r="AY173" s="1"/>
  <c r="BB173" s="1"/>
  <c r="BE173" s="1"/>
  <c r="BH173" s="1"/>
  <c r="BK173" s="1"/>
  <c r="BN173" s="1"/>
  <c r="AA169"/>
  <c r="AD169" s="1"/>
  <c r="AA165"/>
  <c r="AA153"/>
  <c r="AD153" s="1"/>
  <c r="AG153" s="1"/>
  <c r="AJ153" s="1"/>
  <c r="AM153" s="1"/>
  <c r="AP153" s="1"/>
  <c r="AS153" s="1"/>
  <c r="AV153" s="1"/>
  <c r="AA145"/>
  <c r="AD145" s="1"/>
  <c r="AG145" s="1"/>
  <c r="AJ145" s="1"/>
  <c r="AM145" s="1"/>
  <c r="AP145" s="1"/>
  <c r="AS145" s="1"/>
  <c r="AV145" s="1"/>
  <c r="AY145" s="1"/>
  <c r="BB145" s="1"/>
  <c r="BE145" s="1"/>
  <c r="BH145" s="1"/>
  <c r="BK145" s="1"/>
  <c r="BN145" s="1"/>
  <c r="AA141"/>
  <c r="AD141" s="1"/>
  <c r="AG141" s="1"/>
  <c r="AJ141" s="1"/>
  <c r="AM141" s="1"/>
  <c r="AP141" s="1"/>
  <c r="AS141" s="1"/>
  <c r="AV141" s="1"/>
  <c r="AY141" s="1"/>
  <c r="BB141" s="1"/>
  <c r="BE141" s="1"/>
  <c r="BH141" s="1"/>
  <c r="BK141" s="1"/>
  <c r="BN141" s="1"/>
  <c r="AA131"/>
  <c r="AD131" s="1"/>
  <c r="AG131" s="1"/>
  <c r="AJ131" s="1"/>
  <c r="AM131" s="1"/>
  <c r="AP131" s="1"/>
  <c r="AS131" s="1"/>
  <c r="AV131" s="1"/>
  <c r="AY131" s="1"/>
  <c r="BB131" s="1"/>
  <c r="BE131" s="1"/>
  <c r="BH131" s="1"/>
  <c r="BK131" s="1"/>
  <c r="BN131" s="1"/>
  <c r="AA100"/>
  <c r="AD100" s="1"/>
  <c r="AG100" s="1"/>
  <c r="AJ100" s="1"/>
  <c r="AM100" s="1"/>
  <c r="AP100" s="1"/>
  <c r="AS100" s="1"/>
  <c r="AV100" s="1"/>
  <c r="AY100" s="1"/>
  <c r="BB100" s="1"/>
  <c r="BE100" s="1"/>
  <c r="BH100" s="1"/>
  <c r="BK100" s="1"/>
  <c r="BN100" s="1"/>
  <c r="AA180"/>
  <c r="AD180" s="1"/>
  <c r="AG180" s="1"/>
  <c r="AJ180" s="1"/>
  <c r="AM180" s="1"/>
  <c r="AP180" s="1"/>
  <c r="AS180" s="1"/>
  <c r="AV180" s="1"/>
  <c r="AY180" s="1"/>
  <c r="BB180" s="1"/>
  <c r="BE180" s="1"/>
  <c r="BH180" s="1"/>
  <c r="BK180" s="1"/>
  <c r="BN180" s="1"/>
  <c r="AA174"/>
  <c r="AD174" s="1"/>
  <c r="AG174" s="1"/>
  <c r="AJ174" s="1"/>
  <c r="AM174" s="1"/>
  <c r="AP174" s="1"/>
  <c r="AS174" s="1"/>
  <c r="AV174" s="1"/>
  <c r="AY174" s="1"/>
  <c r="BB174" s="1"/>
  <c r="BE174" s="1"/>
  <c r="BH174" s="1"/>
  <c r="BK174" s="1"/>
  <c r="BN174" s="1"/>
  <c r="AA158"/>
  <c r="AD158" s="1"/>
  <c r="AG158" s="1"/>
  <c r="AJ158" s="1"/>
  <c r="AM158" s="1"/>
  <c r="AP158" s="1"/>
  <c r="AS158" s="1"/>
  <c r="AV158" s="1"/>
  <c r="AY158" s="1"/>
  <c r="BB158" s="1"/>
  <c r="BE158" s="1"/>
  <c r="BH158" s="1"/>
  <c r="BK158" s="1"/>
  <c r="BN158" s="1"/>
  <c r="AA150"/>
  <c r="AD150" s="1"/>
  <c r="AG150" s="1"/>
  <c r="AJ150" s="1"/>
  <c r="AM150" s="1"/>
  <c r="AP150" s="1"/>
  <c r="AS150" s="1"/>
  <c r="AV150" s="1"/>
  <c r="AY150" s="1"/>
  <c r="BB150" s="1"/>
  <c r="BE150" s="1"/>
  <c r="BH150" s="1"/>
  <c r="BK150" s="1"/>
  <c r="BN150" s="1"/>
  <c r="AA146"/>
  <c r="AD146" s="1"/>
  <c r="AG146" s="1"/>
  <c r="AJ146" s="1"/>
  <c r="AM146" s="1"/>
  <c r="AP146" s="1"/>
  <c r="AS146" s="1"/>
  <c r="AV146" s="1"/>
  <c r="AY146" s="1"/>
  <c r="BB146" s="1"/>
  <c r="BE146" s="1"/>
  <c r="BH146" s="1"/>
  <c r="BK146" s="1"/>
  <c r="BN146" s="1"/>
  <c r="AA102"/>
  <c r="AD102" s="1"/>
  <c r="AG102" s="1"/>
  <c r="AJ102" s="1"/>
  <c r="AM102" s="1"/>
  <c r="AP102" s="1"/>
  <c r="AS102" s="1"/>
  <c r="AV102" s="1"/>
  <c r="AY102" s="1"/>
  <c r="BB102" s="1"/>
  <c r="BE102" s="1"/>
  <c r="BH102" s="1"/>
  <c r="BK102" s="1"/>
  <c r="BN102" s="1"/>
  <c r="AA171"/>
  <c r="AD171" s="1"/>
  <c r="AG171" s="1"/>
  <c r="AJ171" s="1"/>
  <c r="AM171" s="1"/>
  <c r="AP171" s="1"/>
  <c r="AS171" s="1"/>
  <c r="AV171" s="1"/>
  <c r="AY171" s="1"/>
  <c r="BB171" s="1"/>
  <c r="BE171" s="1"/>
  <c r="BH171" s="1"/>
  <c r="BK171" s="1"/>
  <c r="BN171" s="1"/>
  <c r="AA159"/>
  <c r="AD159" s="1"/>
  <c r="AG159" s="1"/>
  <c r="AA155"/>
  <c r="AD155" s="1"/>
  <c r="AG155" s="1"/>
  <c r="AJ155" s="1"/>
  <c r="AM155" s="1"/>
  <c r="AP155" s="1"/>
  <c r="AS155" s="1"/>
  <c r="AV155" s="1"/>
  <c r="AY155" s="1"/>
  <c r="BB155" s="1"/>
  <c r="AA147"/>
  <c r="AD147" s="1"/>
  <c r="AG147" s="1"/>
  <c r="AJ147" s="1"/>
  <c r="AA112"/>
  <c r="AD112" s="1"/>
  <c r="AG112" s="1"/>
  <c r="AJ112" s="1"/>
  <c r="AM112" s="1"/>
  <c r="AP112" s="1"/>
  <c r="AS112" s="1"/>
  <c r="AV112" s="1"/>
  <c r="AY112" s="1"/>
  <c r="BB112" s="1"/>
  <c r="BE112" s="1"/>
  <c r="BH112" s="1"/>
  <c r="BK112" s="1"/>
  <c r="BN112" s="1"/>
  <c r="AA172"/>
  <c r="AD172" s="1"/>
  <c r="AG172" s="1"/>
  <c r="AJ172" s="1"/>
  <c r="AA148"/>
  <c r="AD148" s="1"/>
  <c r="AA144"/>
  <c r="AD144" s="1"/>
  <c r="AG144" s="1"/>
  <c r="AJ144" s="1"/>
  <c r="AA140"/>
  <c r="AD140" s="1"/>
  <c r="AG140" s="1"/>
  <c r="AJ140" s="1"/>
  <c r="AM140" s="1"/>
  <c r="AP140" s="1"/>
  <c r="AS140" s="1"/>
  <c r="AV140" s="1"/>
  <c r="AY140" s="1"/>
  <c r="BB140" s="1"/>
  <c r="BE140" s="1"/>
  <c r="BH140" s="1"/>
  <c r="BK140" s="1"/>
  <c r="BN140" s="1"/>
  <c r="AA130"/>
  <c r="AD130" s="1"/>
  <c r="AG130" s="1"/>
  <c r="AJ130" s="1"/>
  <c r="AM130" s="1"/>
  <c r="AP130" s="1"/>
  <c r="AS130" s="1"/>
  <c r="AV130" s="1"/>
  <c r="AY130" s="1"/>
  <c r="BB130" s="1"/>
  <c r="BE130" s="1"/>
  <c r="BH130" s="1"/>
  <c r="BK130" s="1"/>
  <c r="BN130" s="1"/>
  <c r="AA185"/>
  <c r="AD185" s="1"/>
  <c r="AG185" s="1"/>
  <c r="AJ185" s="1"/>
  <c r="AM185" s="1"/>
  <c r="AP185" s="1"/>
  <c r="AS185" s="1"/>
  <c r="AV185" s="1"/>
  <c r="AY185" s="1"/>
  <c r="BB185" s="1"/>
  <c r="BE185" s="1"/>
  <c r="BH185" s="1"/>
  <c r="BK185" s="1"/>
  <c r="BN185" s="1"/>
  <c r="AD262"/>
  <c r="AG262" s="1"/>
  <c r="AJ262" s="1"/>
  <c r="AM262" s="1"/>
  <c r="AP262" s="1"/>
  <c r="AS262" s="1"/>
  <c r="AV262" s="1"/>
  <c r="AY262" s="1"/>
  <c r="BB262" s="1"/>
  <c r="BE262" s="1"/>
  <c r="BH262" s="1"/>
  <c r="BK262" s="1"/>
  <c r="BN262" s="1"/>
  <c r="Z162"/>
  <c r="AA162" s="1"/>
  <c r="Z168"/>
  <c r="Z176" s="1"/>
  <c r="Z152"/>
  <c r="Z39" i="32"/>
  <c r="AA39" s="1"/>
  <c r="AD39" s="1"/>
  <c r="AG39" s="1"/>
  <c r="AJ39" s="1"/>
  <c r="AM39" s="1"/>
  <c r="AP39" s="1"/>
  <c r="AS39" s="1"/>
  <c r="AV39" s="1"/>
  <c r="AY39" s="1"/>
  <c r="BB39" s="1"/>
  <c r="BE39" s="1"/>
  <c r="BH39" s="1"/>
  <c r="BK39" s="1"/>
  <c r="BN39" s="1"/>
  <c r="BQ39" s="1"/>
  <c r="BT39" s="1"/>
  <c r="BW39" s="1"/>
  <c r="BZ39" s="1"/>
  <c r="W160" i="30"/>
  <c r="X160" s="1"/>
  <c r="O151"/>
  <c r="R151" s="1"/>
  <c r="U151" s="1"/>
  <c r="X151" s="1"/>
  <c r="T40" i="32"/>
  <c r="U40" s="1"/>
  <c r="X40" s="1"/>
  <c r="T37"/>
  <c r="U37" s="1"/>
  <c r="X37" s="1"/>
  <c r="T170" i="30"/>
  <c r="U170" s="1"/>
  <c r="X170" s="1"/>
  <c r="O193"/>
  <c r="O156"/>
  <c r="BS189" l="1"/>
  <c r="BT189" s="1"/>
  <c r="BW189" s="1"/>
  <c r="BZ189" s="1"/>
  <c r="BQ185"/>
  <c r="BT185" s="1"/>
  <c r="BW185" s="1"/>
  <c r="BZ185" s="1"/>
  <c r="BQ146"/>
  <c r="BT146" s="1"/>
  <c r="BQ180"/>
  <c r="BT180" s="1"/>
  <c r="BW180" s="1"/>
  <c r="BZ180" s="1"/>
  <c r="BQ145"/>
  <c r="BT145" s="1"/>
  <c r="BW145" s="1"/>
  <c r="BZ145" s="1"/>
  <c r="BQ173"/>
  <c r="BT173" s="1"/>
  <c r="BW173" s="1"/>
  <c r="BZ173" s="1"/>
  <c r="BQ206"/>
  <c r="BT206" s="1"/>
  <c r="BW206" s="1"/>
  <c r="BZ206" s="1"/>
  <c r="BQ190"/>
  <c r="BT190" s="1"/>
  <c r="BW190" s="1"/>
  <c r="BZ190" s="1"/>
  <c r="BQ102"/>
  <c r="BT102" s="1"/>
  <c r="BW102" s="1"/>
  <c r="BZ102" s="1"/>
  <c r="BQ174"/>
  <c r="BT174" s="1"/>
  <c r="BW174" s="1"/>
  <c r="BZ174" s="1"/>
  <c r="BQ141"/>
  <c r="BT141" s="1"/>
  <c r="BW141" s="1"/>
  <c r="BZ141" s="1"/>
  <c r="BQ142"/>
  <c r="BT142" s="1"/>
  <c r="BW142" s="1"/>
  <c r="BZ142" s="1"/>
  <c r="BQ301"/>
  <c r="BT301" s="1"/>
  <c r="BW301" s="1"/>
  <c r="BZ301" s="1"/>
  <c r="BQ177"/>
  <c r="BT177" s="1"/>
  <c r="BW177" s="1"/>
  <c r="BZ177" s="1"/>
  <c r="BQ140"/>
  <c r="BT140" s="1"/>
  <c r="BW140" s="1"/>
  <c r="BZ140" s="1"/>
  <c r="BQ112"/>
  <c r="BT112" s="1"/>
  <c r="BW112" s="1"/>
  <c r="BZ112" s="1"/>
  <c r="BQ171"/>
  <c r="BT171" s="1"/>
  <c r="BW171" s="1"/>
  <c r="BZ171" s="1"/>
  <c r="BQ158"/>
  <c r="BT158" s="1"/>
  <c r="BW158" s="1"/>
  <c r="BZ158" s="1"/>
  <c r="BQ131"/>
  <c r="BT131" s="1"/>
  <c r="BW131" s="1"/>
  <c r="BZ131" s="1"/>
  <c r="BQ167"/>
  <c r="BT167" s="1"/>
  <c r="BW167" s="1"/>
  <c r="BZ167" s="1"/>
  <c r="BQ184"/>
  <c r="BT184" s="1"/>
  <c r="BW184" s="1"/>
  <c r="BZ184" s="1"/>
  <c r="BQ262"/>
  <c r="BT262" s="1"/>
  <c r="BW262" s="1"/>
  <c r="BZ262" s="1"/>
  <c r="BQ130"/>
  <c r="BT130" s="1"/>
  <c r="BW130" s="1"/>
  <c r="BZ130" s="1"/>
  <c r="BQ150"/>
  <c r="BQ100"/>
  <c r="BT100" s="1"/>
  <c r="BW100" s="1"/>
  <c r="BZ100" s="1"/>
  <c r="BQ163"/>
  <c r="BT163" s="1"/>
  <c r="BW163" s="1"/>
  <c r="BZ163" s="1"/>
  <c r="BQ183"/>
  <c r="BT183" s="1"/>
  <c r="BW183" s="1"/>
  <c r="BZ183" s="1"/>
  <c r="BP47" i="31"/>
  <c r="BQ47" s="1"/>
  <c r="BT47" s="1"/>
  <c r="BW47" s="1"/>
  <c r="BZ47" s="1"/>
  <c r="BD371" i="30"/>
  <c r="BD514" s="1"/>
  <c r="BE514" s="1"/>
  <c r="BH514" s="1"/>
  <c r="BD155"/>
  <c r="BD290" s="1"/>
  <c r="BA360"/>
  <c r="BA555" s="1"/>
  <c r="BB555" s="1"/>
  <c r="BE555" s="1"/>
  <c r="AX153"/>
  <c r="AY153" s="1"/>
  <c r="BB153" s="1"/>
  <c r="BE153" s="1"/>
  <c r="BH153" s="1"/>
  <c r="BK153" s="1"/>
  <c r="BN153" s="1"/>
  <c r="AX372"/>
  <c r="AY372" s="1"/>
  <c r="BB372" s="1"/>
  <c r="BE372" s="1"/>
  <c r="BH372" s="1"/>
  <c r="BK372" s="1"/>
  <c r="BN372" s="1"/>
  <c r="AU282"/>
  <c r="AR44" i="32"/>
  <c r="AS44" s="1"/>
  <c r="AV44" s="1"/>
  <c r="AY44" s="1"/>
  <c r="BB44" s="1"/>
  <c r="BE44" s="1"/>
  <c r="BH44" s="1"/>
  <c r="BK44" s="1"/>
  <c r="BN44" s="1"/>
  <c r="BQ44" s="1"/>
  <c r="BT44" s="1"/>
  <c r="BW44" s="1"/>
  <c r="BZ44" s="1"/>
  <c r="AP285" i="30"/>
  <c r="AS285" s="1"/>
  <c r="AV285" s="1"/>
  <c r="AY285" s="1"/>
  <c r="BB285" s="1"/>
  <c r="BE285" s="1"/>
  <c r="BH285" s="1"/>
  <c r="BK285" s="1"/>
  <c r="BN285" s="1"/>
  <c r="AM144"/>
  <c r="AP144" s="1"/>
  <c r="AS144" s="1"/>
  <c r="AV144" s="1"/>
  <c r="AY144" s="1"/>
  <c r="BB144" s="1"/>
  <c r="BE144" s="1"/>
  <c r="BH144" s="1"/>
  <c r="BK144" s="1"/>
  <c r="BN144" s="1"/>
  <c r="AM172"/>
  <c r="AM147"/>
  <c r="AP147" s="1"/>
  <c r="AS147" s="1"/>
  <c r="AV147" s="1"/>
  <c r="AY147" s="1"/>
  <c r="BB147" s="1"/>
  <c r="BE147" s="1"/>
  <c r="BH147" s="1"/>
  <c r="BK147" s="1"/>
  <c r="BN147" s="1"/>
  <c r="AJ315"/>
  <c r="AM315" s="1"/>
  <c r="AP315" s="1"/>
  <c r="AS315" s="1"/>
  <c r="AV315" s="1"/>
  <c r="AY315" s="1"/>
  <c r="BB315" s="1"/>
  <c r="BE315" s="1"/>
  <c r="BH315" s="1"/>
  <c r="BK315" s="1"/>
  <c r="BN315" s="1"/>
  <c r="AJ273"/>
  <c r="AM273" s="1"/>
  <c r="AP273" s="1"/>
  <c r="AS273" s="1"/>
  <c r="AV273" s="1"/>
  <c r="AY273" s="1"/>
  <c r="BB273" s="1"/>
  <c r="BE273" s="1"/>
  <c r="BH273" s="1"/>
  <c r="BK273" s="1"/>
  <c r="BN273" s="1"/>
  <c r="AI46" i="31"/>
  <c r="AJ46" s="1"/>
  <c r="AM46" s="1"/>
  <c r="AP46" s="1"/>
  <c r="AS46" s="1"/>
  <c r="AV46" s="1"/>
  <c r="AY46" s="1"/>
  <c r="BB46" s="1"/>
  <c r="BE46" s="1"/>
  <c r="BH46" s="1"/>
  <c r="BK46" s="1"/>
  <c r="BN46" s="1"/>
  <c r="BQ46" s="1"/>
  <c r="BT46" s="1"/>
  <c r="BW46" s="1"/>
  <c r="BZ46" s="1"/>
  <c r="AF148" i="30"/>
  <c r="AF169"/>
  <c r="AF276" s="1"/>
  <c r="AG276" s="1"/>
  <c r="AJ276" s="1"/>
  <c r="AM276" s="1"/>
  <c r="AP276" s="1"/>
  <c r="AS276" s="1"/>
  <c r="AV276" s="1"/>
  <c r="AY276" s="1"/>
  <c r="BB276" s="1"/>
  <c r="BE276" s="1"/>
  <c r="BH276" s="1"/>
  <c r="BK276" s="1"/>
  <c r="BN276" s="1"/>
  <c r="AC165"/>
  <c r="AC314" s="1"/>
  <c r="AD314" s="1"/>
  <c r="AG314" s="1"/>
  <c r="AJ314" s="1"/>
  <c r="AM314" s="1"/>
  <c r="AP314" s="1"/>
  <c r="AS314" s="1"/>
  <c r="AV314" s="1"/>
  <c r="AF43" i="32"/>
  <c r="AA40"/>
  <c r="AD40" s="1"/>
  <c r="AG40" s="1"/>
  <c r="AJ40" s="1"/>
  <c r="AM40" s="1"/>
  <c r="AP40" s="1"/>
  <c r="AS40" s="1"/>
  <c r="AV40" s="1"/>
  <c r="AY40" s="1"/>
  <c r="BB40" s="1"/>
  <c r="BE40" s="1"/>
  <c r="BH40" s="1"/>
  <c r="BK40" s="1"/>
  <c r="BN40" s="1"/>
  <c r="BQ40" s="1"/>
  <c r="BT40" s="1"/>
  <c r="BW40" s="1"/>
  <c r="BZ40" s="1"/>
  <c r="AA37"/>
  <c r="AD37" s="1"/>
  <c r="AG37" s="1"/>
  <c r="AJ37" s="1"/>
  <c r="AM37" s="1"/>
  <c r="AP37" s="1"/>
  <c r="AS37" s="1"/>
  <c r="AV37" s="1"/>
  <c r="AY37" s="1"/>
  <c r="BB37" s="1"/>
  <c r="BE37" s="1"/>
  <c r="BH37" s="1"/>
  <c r="BK37" s="1"/>
  <c r="BN37" s="1"/>
  <c r="BQ37" s="1"/>
  <c r="BT37" s="1"/>
  <c r="BW37" s="1"/>
  <c r="BZ37" s="1"/>
  <c r="AC157" i="30"/>
  <c r="AC291" s="1"/>
  <c r="AD291" s="1"/>
  <c r="AG291" s="1"/>
  <c r="AJ291" s="1"/>
  <c r="AM291" s="1"/>
  <c r="AP291" s="1"/>
  <c r="AS291" s="1"/>
  <c r="AV291" s="1"/>
  <c r="AY291" s="1"/>
  <c r="BB291" s="1"/>
  <c r="BE291" s="1"/>
  <c r="BH291" s="1"/>
  <c r="BK291" s="1"/>
  <c r="BN291" s="1"/>
  <c r="AA151"/>
  <c r="AD151" s="1"/>
  <c r="AG151" s="1"/>
  <c r="AJ151" s="1"/>
  <c r="AM151" s="1"/>
  <c r="AA170"/>
  <c r="AD170" s="1"/>
  <c r="AG170" s="1"/>
  <c r="AJ170" s="1"/>
  <c r="AM170" s="1"/>
  <c r="AP170" s="1"/>
  <c r="AS170" s="1"/>
  <c r="AV170" s="1"/>
  <c r="AY170" s="1"/>
  <c r="BB170" s="1"/>
  <c r="BE170" s="1"/>
  <c r="BH170" s="1"/>
  <c r="BK170" s="1"/>
  <c r="BN170" s="1"/>
  <c r="AA160"/>
  <c r="AD160" s="1"/>
  <c r="AG160" s="1"/>
  <c r="AJ160" s="1"/>
  <c r="AA168"/>
  <c r="AD168" s="1"/>
  <c r="AG168" s="1"/>
  <c r="AJ168" s="1"/>
  <c r="AM168" s="1"/>
  <c r="AP168" s="1"/>
  <c r="AS168" s="1"/>
  <c r="AV168" s="1"/>
  <c r="AY168" s="1"/>
  <c r="BB168" s="1"/>
  <c r="BE168" s="1"/>
  <c r="BH168" s="1"/>
  <c r="BK168" s="1"/>
  <c r="BN168" s="1"/>
  <c r="AA152"/>
  <c r="AD152" s="1"/>
  <c r="AG152" s="1"/>
  <c r="AJ152" s="1"/>
  <c r="AD162"/>
  <c r="AG162" s="1"/>
  <c r="AJ162" s="1"/>
  <c r="AM162" s="1"/>
  <c r="AP162" s="1"/>
  <c r="AS162" s="1"/>
  <c r="AV162" s="1"/>
  <c r="AY162" s="1"/>
  <c r="BB162" s="1"/>
  <c r="BE162" s="1"/>
  <c r="BH162" s="1"/>
  <c r="BK162" s="1"/>
  <c r="BN162" s="1"/>
  <c r="AD161"/>
  <c r="AG161" s="1"/>
  <c r="AJ161" s="1"/>
  <c r="AM161" s="1"/>
  <c r="AP161" s="1"/>
  <c r="AS161" s="1"/>
  <c r="AV161" s="1"/>
  <c r="AY161" s="1"/>
  <c r="BB161" s="1"/>
  <c r="BE161" s="1"/>
  <c r="BH161" s="1"/>
  <c r="BK161" s="1"/>
  <c r="BN161" s="1"/>
  <c r="AD166"/>
  <c r="AG166" s="1"/>
  <c r="AJ166" s="1"/>
  <c r="AD154"/>
  <c r="AG154" s="1"/>
  <c r="AJ154" s="1"/>
  <c r="AM154" s="1"/>
  <c r="AP154" s="1"/>
  <c r="AS154" s="1"/>
  <c r="AV154" s="1"/>
  <c r="AY154" s="1"/>
  <c r="BB154" s="1"/>
  <c r="BE154" s="1"/>
  <c r="BH154" s="1"/>
  <c r="BK154" s="1"/>
  <c r="BN154" s="1"/>
  <c r="Z41" i="32"/>
  <c r="O139" i="30"/>
  <c r="Q139" s="1"/>
  <c r="O175"/>
  <c r="R175" s="1"/>
  <c r="U175" s="1"/>
  <c r="X175" s="1"/>
  <c r="I208"/>
  <c r="L208" s="1"/>
  <c r="O208" s="1"/>
  <c r="R208" s="1"/>
  <c r="U208" s="1"/>
  <c r="X208" s="1"/>
  <c r="CD142"/>
  <c r="CD143"/>
  <c r="CD144"/>
  <c r="CD145"/>
  <c r="CD146"/>
  <c r="CD147"/>
  <c r="CD152"/>
  <c r="CD153"/>
  <c r="CD154"/>
  <c r="CD155"/>
  <c r="CD156"/>
  <c r="CD157"/>
  <c r="CD158"/>
  <c r="CD159"/>
  <c r="CD160"/>
  <c r="CD161"/>
  <c r="CD162"/>
  <c r="CD163"/>
  <c r="CD138"/>
  <c r="CD139"/>
  <c r="CD140"/>
  <c r="CD141"/>
  <c r="CD148"/>
  <c r="CD149"/>
  <c r="CD150"/>
  <c r="CD151"/>
  <c r="CD164"/>
  <c r="CD165"/>
  <c r="CD166"/>
  <c r="CD167"/>
  <c r="CD168"/>
  <c r="CD169"/>
  <c r="CD170"/>
  <c r="CD171"/>
  <c r="CD172"/>
  <c r="CD173"/>
  <c r="CD174"/>
  <c r="CD175"/>
  <c r="CD208"/>
  <c r="CD39" i="31"/>
  <c r="CD40"/>
  <c r="CD41"/>
  <c r="CD42"/>
  <c r="CD43"/>
  <c r="CD44"/>
  <c r="CD45"/>
  <c r="CD46"/>
  <c r="CD47"/>
  <c r="CD67"/>
  <c r="I37"/>
  <c r="L37" s="1"/>
  <c r="O37" s="1"/>
  <c r="R37" s="1"/>
  <c r="U37" s="1"/>
  <c r="X37" s="1"/>
  <c r="I34"/>
  <c r="L34" s="1"/>
  <c r="O34" s="1"/>
  <c r="R34" s="1"/>
  <c r="U34" s="1"/>
  <c r="X34" s="1"/>
  <c r="I9"/>
  <c r="L9" s="1"/>
  <c r="O9" s="1"/>
  <c r="R9" s="1"/>
  <c r="U9" s="1"/>
  <c r="X9" s="1"/>
  <c r="I36"/>
  <c r="I33"/>
  <c r="L33" s="1"/>
  <c r="O33" s="1"/>
  <c r="R33" s="1"/>
  <c r="U33" s="1"/>
  <c r="I29"/>
  <c r="L29" s="1"/>
  <c r="O29" s="1"/>
  <c r="R29" s="1"/>
  <c r="U29" s="1"/>
  <c r="I22"/>
  <c r="L22" s="1"/>
  <c r="O22" s="1"/>
  <c r="R22" s="1"/>
  <c r="U22" s="1"/>
  <c r="I35"/>
  <c r="L35" s="1"/>
  <c r="O35" s="1"/>
  <c r="R35" s="1"/>
  <c r="U35" s="1"/>
  <c r="I38"/>
  <c r="L38" s="1"/>
  <c r="O38" s="1"/>
  <c r="R38" s="1"/>
  <c r="U38" s="1"/>
  <c r="X38" s="1"/>
  <c r="CD35"/>
  <c r="CD36"/>
  <c r="CD37"/>
  <c r="CD38"/>
  <c r="BV146" i="30" l="1"/>
  <c r="BW146" s="1"/>
  <c r="BZ146" s="1"/>
  <c r="BS150"/>
  <c r="BT150" s="1"/>
  <c r="BW150" s="1"/>
  <c r="BZ150" s="1"/>
  <c r="BQ161"/>
  <c r="BT161" s="1"/>
  <c r="BW161" s="1"/>
  <c r="BZ161" s="1"/>
  <c r="BQ276"/>
  <c r="BT276" s="1"/>
  <c r="BW276" s="1"/>
  <c r="BZ276" s="1"/>
  <c r="BQ315"/>
  <c r="BT315" s="1"/>
  <c r="BW315" s="1"/>
  <c r="BZ315" s="1"/>
  <c r="BQ285"/>
  <c r="BT285" s="1"/>
  <c r="BW285" s="1"/>
  <c r="BZ285" s="1"/>
  <c r="BQ153"/>
  <c r="BT153" s="1"/>
  <c r="BW153" s="1"/>
  <c r="BZ153" s="1"/>
  <c r="BQ168"/>
  <c r="BT168" s="1"/>
  <c r="BW168" s="1"/>
  <c r="BZ168" s="1"/>
  <c r="BQ291"/>
  <c r="BT291" s="1"/>
  <c r="BW291" s="1"/>
  <c r="BZ291" s="1"/>
  <c r="BQ273"/>
  <c r="BT273" s="1"/>
  <c r="BW273" s="1"/>
  <c r="BZ273" s="1"/>
  <c r="BQ144"/>
  <c r="BT144" s="1"/>
  <c r="BW144" s="1"/>
  <c r="BZ144" s="1"/>
  <c r="BQ372"/>
  <c r="BT372" s="1"/>
  <c r="BW372" s="1"/>
  <c r="BZ372" s="1"/>
  <c r="BQ154"/>
  <c r="BT154" s="1"/>
  <c r="BQ162"/>
  <c r="BT162" s="1"/>
  <c r="BW162" s="1"/>
  <c r="BZ162" s="1"/>
  <c r="BQ170"/>
  <c r="BT170" s="1"/>
  <c r="BW170" s="1"/>
  <c r="BZ170" s="1"/>
  <c r="BQ147"/>
  <c r="BT147" s="1"/>
  <c r="BW147" s="1"/>
  <c r="BZ147" s="1"/>
  <c r="L36" i="31"/>
  <c r="BE290" i="30"/>
  <c r="BH290" s="1"/>
  <c r="BK290" s="1"/>
  <c r="BN290" s="1"/>
  <c r="BJ514"/>
  <c r="BK514" s="1"/>
  <c r="BN514" s="1"/>
  <c r="BE371"/>
  <c r="BH371" s="1"/>
  <c r="BK371" s="1"/>
  <c r="BN371" s="1"/>
  <c r="BH555"/>
  <c r="BK555" s="1"/>
  <c r="BN555" s="1"/>
  <c r="BE155"/>
  <c r="BH155" s="1"/>
  <c r="BK155" s="1"/>
  <c r="BN155" s="1"/>
  <c r="BB360"/>
  <c r="BE360" s="1"/>
  <c r="BH360" s="1"/>
  <c r="BK360" s="1"/>
  <c r="BN360" s="1"/>
  <c r="AV282"/>
  <c r="AY282" s="1"/>
  <c r="BB282" s="1"/>
  <c r="BE282" s="1"/>
  <c r="BH282" s="1"/>
  <c r="BK282" s="1"/>
  <c r="BN282" s="1"/>
  <c r="AX314"/>
  <c r="AX402" s="1"/>
  <c r="AY402" s="1"/>
  <c r="AX442"/>
  <c r="AY442" s="1"/>
  <c r="AU357"/>
  <c r="AV357" s="1"/>
  <c r="AF47" i="32"/>
  <c r="AG47" s="1"/>
  <c r="AJ47" s="1"/>
  <c r="AM47" s="1"/>
  <c r="AP47" s="1"/>
  <c r="AS47" s="1"/>
  <c r="AV47" s="1"/>
  <c r="AY47" s="1"/>
  <c r="BB47" s="1"/>
  <c r="BE47" s="1"/>
  <c r="BH47" s="1"/>
  <c r="BK47" s="1"/>
  <c r="BN47" s="1"/>
  <c r="BQ47" s="1"/>
  <c r="BT47" s="1"/>
  <c r="BW47" s="1"/>
  <c r="BZ47" s="1"/>
  <c r="AO172" i="30"/>
  <c r="AO278" s="1"/>
  <c r="AO151"/>
  <c r="AO188" s="1"/>
  <c r="AP188" s="1"/>
  <c r="AS188" s="1"/>
  <c r="AV188" s="1"/>
  <c r="AY188" s="1"/>
  <c r="BB188" s="1"/>
  <c r="AM152"/>
  <c r="AP152" s="1"/>
  <c r="AS152" s="1"/>
  <c r="AV152" s="1"/>
  <c r="AY152" s="1"/>
  <c r="BB152" s="1"/>
  <c r="BE152" s="1"/>
  <c r="BH152" s="1"/>
  <c r="BK152" s="1"/>
  <c r="BN152" s="1"/>
  <c r="AM160"/>
  <c r="AP160" s="1"/>
  <c r="AS160" s="1"/>
  <c r="AV160" s="1"/>
  <c r="AY160" s="1"/>
  <c r="BB160" s="1"/>
  <c r="BE160" s="1"/>
  <c r="BH160" s="1"/>
  <c r="BK160" s="1"/>
  <c r="BN160" s="1"/>
  <c r="AM166"/>
  <c r="AP166" s="1"/>
  <c r="AS166" s="1"/>
  <c r="AV166" s="1"/>
  <c r="AY166" s="1"/>
  <c r="BB166" s="1"/>
  <c r="BE166" s="1"/>
  <c r="BH166" s="1"/>
  <c r="BK166" s="1"/>
  <c r="BN166" s="1"/>
  <c r="AG43" i="32"/>
  <c r="AJ43" s="1"/>
  <c r="AM43" s="1"/>
  <c r="AP43" s="1"/>
  <c r="AS43" s="1"/>
  <c r="AV43" s="1"/>
  <c r="AY43" s="1"/>
  <c r="BB43" s="1"/>
  <c r="BE43" s="1"/>
  <c r="BH43" s="1"/>
  <c r="BK43" s="1"/>
  <c r="BN43" s="1"/>
  <c r="BQ43" s="1"/>
  <c r="BT43" s="1"/>
  <c r="BW43" s="1"/>
  <c r="BZ43" s="1"/>
  <c r="AF257" i="30"/>
  <c r="AG148"/>
  <c r="AJ148" s="1"/>
  <c r="AM148" s="1"/>
  <c r="AP148" s="1"/>
  <c r="AS148" s="1"/>
  <c r="AV148" s="1"/>
  <c r="AY148" s="1"/>
  <c r="BB148" s="1"/>
  <c r="BE148" s="1"/>
  <c r="BH148" s="1"/>
  <c r="BK148" s="1"/>
  <c r="BN148" s="1"/>
  <c r="AG169"/>
  <c r="AJ169" s="1"/>
  <c r="AM169" s="1"/>
  <c r="AP169" s="1"/>
  <c r="AS169" s="1"/>
  <c r="AV169" s="1"/>
  <c r="AY169" s="1"/>
  <c r="BB169" s="1"/>
  <c r="BE169" s="1"/>
  <c r="BH169" s="1"/>
  <c r="BK169" s="1"/>
  <c r="BN169" s="1"/>
  <c r="AD165"/>
  <c r="AG165" s="1"/>
  <c r="AJ165" s="1"/>
  <c r="AM165" s="1"/>
  <c r="AP165" s="1"/>
  <c r="AS165" s="1"/>
  <c r="AV165" s="1"/>
  <c r="AY165" s="1"/>
  <c r="BB165" s="1"/>
  <c r="BE165" s="1"/>
  <c r="AD157"/>
  <c r="AG157" s="1"/>
  <c r="AJ157" s="1"/>
  <c r="AM157" s="1"/>
  <c r="AP157" s="1"/>
  <c r="AS157" s="1"/>
  <c r="AV157" s="1"/>
  <c r="AY157" s="1"/>
  <c r="BB157" s="1"/>
  <c r="BE157" s="1"/>
  <c r="BH157" s="1"/>
  <c r="BK157" s="1"/>
  <c r="BN157" s="1"/>
  <c r="AA41" i="32"/>
  <c r="AD41" s="1"/>
  <c r="AG41" s="1"/>
  <c r="AJ41" s="1"/>
  <c r="AM41" s="1"/>
  <c r="AP41" s="1"/>
  <c r="AS41" s="1"/>
  <c r="AV41" s="1"/>
  <c r="AY41" s="1"/>
  <c r="BB41" s="1"/>
  <c r="BE41" s="1"/>
  <c r="BH41" s="1"/>
  <c r="BK41" s="1"/>
  <c r="BN41" s="1"/>
  <c r="BQ41" s="1"/>
  <c r="BT41" s="1"/>
  <c r="BW41" s="1"/>
  <c r="BZ41" s="1"/>
  <c r="AA9" i="31"/>
  <c r="AD9" s="1"/>
  <c r="AG9" s="1"/>
  <c r="AJ9" s="1"/>
  <c r="AM9" s="1"/>
  <c r="AP9" s="1"/>
  <c r="AS9" s="1"/>
  <c r="AV9" s="1"/>
  <c r="AY9" s="1"/>
  <c r="BB9" s="1"/>
  <c r="BE9" s="1"/>
  <c r="BH9" s="1"/>
  <c r="BK9" s="1"/>
  <c r="BN9" s="1"/>
  <c r="BQ9" s="1"/>
  <c r="BT9" s="1"/>
  <c r="BW9" s="1"/>
  <c r="BZ9" s="1"/>
  <c r="AA38"/>
  <c r="AD38" s="1"/>
  <c r="AG38" s="1"/>
  <c r="AJ38" s="1"/>
  <c r="AM38" s="1"/>
  <c r="AP38" s="1"/>
  <c r="AS38" s="1"/>
  <c r="AV38" s="1"/>
  <c r="AY38" s="1"/>
  <c r="BB38" s="1"/>
  <c r="BE38" s="1"/>
  <c r="BH38" s="1"/>
  <c r="BK38" s="1"/>
  <c r="BN38" s="1"/>
  <c r="BQ38" s="1"/>
  <c r="BT38" s="1"/>
  <c r="BW38" s="1"/>
  <c r="BZ38" s="1"/>
  <c r="AA37"/>
  <c r="AD37" s="1"/>
  <c r="AG37" s="1"/>
  <c r="AJ37" s="1"/>
  <c r="AM37" s="1"/>
  <c r="AP37" s="1"/>
  <c r="AS37" s="1"/>
  <c r="AV37" s="1"/>
  <c r="AY37" s="1"/>
  <c r="BB37" s="1"/>
  <c r="BE37" s="1"/>
  <c r="AD34"/>
  <c r="AG34" s="1"/>
  <c r="AJ34" s="1"/>
  <c r="AM34" s="1"/>
  <c r="AP34" s="1"/>
  <c r="AS34" s="1"/>
  <c r="AV34" s="1"/>
  <c r="AY34" s="1"/>
  <c r="BB34" s="1"/>
  <c r="BE34" s="1"/>
  <c r="BH34" s="1"/>
  <c r="BK34" s="1"/>
  <c r="BN34" s="1"/>
  <c r="BQ34" s="1"/>
  <c r="BT34" s="1"/>
  <c r="BW34" s="1"/>
  <c r="BZ34" s="1"/>
  <c r="AA208" i="30"/>
  <c r="AD208" s="1"/>
  <c r="AG208" s="1"/>
  <c r="AJ208" s="1"/>
  <c r="AA175"/>
  <c r="AD175" s="1"/>
  <c r="AG175" s="1"/>
  <c r="AJ175" s="1"/>
  <c r="AM175" s="1"/>
  <c r="AP175" s="1"/>
  <c r="AS175" s="1"/>
  <c r="AV175" s="1"/>
  <c r="AY175" s="1"/>
  <c r="BB175" s="1"/>
  <c r="BE175" s="1"/>
  <c r="BH175" s="1"/>
  <c r="BK175" s="1"/>
  <c r="BN175" s="1"/>
  <c r="W35" i="31"/>
  <c r="W22"/>
  <c r="X22" s="1"/>
  <c r="W29"/>
  <c r="X29" s="1"/>
  <c r="H103" i="30"/>
  <c r="BV154" l="1"/>
  <c r="BW154" s="1"/>
  <c r="BZ154" s="1"/>
  <c r="BQ166"/>
  <c r="BT166" s="1"/>
  <c r="BW166" s="1"/>
  <c r="BZ166" s="1"/>
  <c r="BQ555"/>
  <c r="BT555" s="1"/>
  <c r="BW555" s="1"/>
  <c r="BZ555" s="1"/>
  <c r="BQ155"/>
  <c r="BT155" s="1"/>
  <c r="BW155" s="1"/>
  <c r="BZ155" s="1"/>
  <c r="BQ290"/>
  <c r="BT290" s="1"/>
  <c r="BQ175"/>
  <c r="BT175" s="1"/>
  <c r="BW175" s="1"/>
  <c r="BZ175" s="1"/>
  <c r="BQ157"/>
  <c r="BT157" s="1"/>
  <c r="BW157" s="1"/>
  <c r="BZ157" s="1"/>
  <c r="BQ152"/>
  <c r="BT152" s="1"/>
  <c r="BW152" s="1"/>
  <c r="BZ152" s="1"/>
  <c r="BQ360"/>
  <c r="BT360" s="1"/>
  <c r="BW360" s="1"/>
  <c r="BZ360" s="1"/>
  <c r="BQ514"/>
  <c r="BT514" s="1"/>
  <c r="BW514" s="1"/>
  <c r="BZ514" s="1"/>
  <c r="BQ169"/>
  <c r="BT169" s="1"/>
  <c r="BW169" s="1"/>
  <c r="BZ169" s="1"/>
  <c r="BQ148"/>
  <c r="BT148" s="1"/>
  <c r="BW148" s="1"/>
  <c r="BZ148" s="1"/>
  <c r="BQ160"/>
  <c r="BT160" s="1"/>
  <c r="BW160" s="1"/>
  <c r="BZ160" s="1"/>
  <c r="BQ282"/>
  <c r="BT282" s="1"/>
  <c r="BW282" s="1"/>
  <c r="BZ282" s="1"/>
  <c r="BQ371"/>
  <c r="BT371" s="1"/>
  <c r="BW371" s="1"/>
  <c r="BZ371" s="1"/>
  <c r="AF184" i="32"/>
  <c r="AU876" i="30"/>
  <c r="W41" i="31"/>
  <c r="X41" s="1"/>
  <c r="Z41" s="1"/>
  <c r="O36"/>
  <c r="AP278" i="30"/>
  <c r="AS278" s="1"/>
  <c r="AV278" s="1"/>
  <c r="AY278" s="1"/>
  <c r="BB278" s="1"/>
  <c r="BE278" s="1"/>
  <c r="BH278" s="1"/>
  <c r="BK278" s="1"/>
  <c r="BN278" s="1"/>
  <c r="AG257"/>
  <c r="AJ257" s="1"/>
  <c r="AM257" s="1"/>
  <c r="AP257" s="1"/>
  <c r="AS257" s="1"/>
  <c r="AV257" s="1"/>
  <c r="AY257" s="1"/>
  <c r="BB257" s="1"/>
  <c r="BE257" s="1"/>
  <c r="BH257" s="1"/>
  <c r="BK257" s="1"/>
  <c r="BN257" s="1"/>
  <c r="BJ569"/>
  <c r="BG37" i="31"/>
  <c r="BH37" s="1"/>
  <c r="BK37" s="1"/>
  <c r="BN37" s="1"/>
  <c r="BQ37" s="1"/>
  <c r="BT37" s="1"/>
  <c r="BW37" s="1"/>
  <c r="BZ37" s="1"/>
  <c r="BH165" i="30"/>
  <c r="BK165" s="1"/>
  <c r="BN165" s="1"/>
  <c r="BD188"/>
  <c r="BE188" s="1"/>
  <c r="BH188" s="1"/>
  <c r="BK188" s="1"/>
  <c r="BN188" s="1"/>
  <c r="BA402"/>
  <c r="BA442"/>
  <c r="BB442" s="1"/>
  <c r="BE442" s="1"/>
  <c r="BH442" s="1"/>
  <c r="BK442" s="1"/>
  <c r="BN442" s="1"/>
  <c r="AY314"/>
  <c r="BB314" s="1"/>
  <c r="BE314" s="1"/>
  <c r="BH314" s="1"/>
  <c r="BK314" s="1"/>
  <c r="BN314" s="1"/>
  <c r="AX357"/>
  <c r="AX508" s="1"/>
  <c r="AY508" s="1"/>
  <c r="BB508" s="1"/>
  <c r="BE508" s="1"/>
  <c r="AP172"/>
  <c r="AS172" s="1"/>
  <c r="AV172" s="1"/>
  <c r="AY172" s="1"/>
  <c r="BB172" s="1"/>
  <c r="BE172" s="1"/>
  <c r="BH172" s="1"/>
  <c r="BK172" s="1"/>
  <c r="BN172" s="1"/>
  <c r="AP151"/>
  <c r="AS151" s="1"/>
  <c r="AV151" s="1"/>
  <c r="AY151" s="1"/>
  <c r="BB151" s="1"/>
  <c r="BE151" s="1"/>
  <c r="BH151" s="1"/>
  <c r="BK151" s="1"/>
  <c r="BN151" s="1"/>
  <c r="AM208"/>
  <c r="AO208" s="1"/>
  <c r="AA29" i="31"/>
  <c r="AD29" s="1"/>
  <c r="AG29" s="1"/>
  <c r="AJ29" s="1"/>
  <c r="AM29" s="1"/>
  <c r="AP29" s="1"/>
  <c r="AS29" s="1"/>
  <c r="AV29" s="1"/>
  <c r="AY29" s="1"/>
  <c r="BB29" s="1"/>
  <c r="BE29" s="1"/>
  <c r="BH29" s="1"/>
  <c r="BK29" s="1"/>
  <c r="BN29" s="1"/>
  <c r="BQ29" s="1"/>
  <c r="BT29" s="1"/>
  <c r="BW29" s="1"/>
  <c r="BZ29" s="1"/>
  <c r="AA22"/>
  <c r="AD22" s="1"/>
  <c r="AG22" s="1"/>
  <c r="AJ22" s="1"/>
  <c r="AM22" s="1"/>
  <c r="AP22" s="1"/>
  <c r="AS22" s="1"/>
  <c r="AV22" s="1"/>
  <c r="AY22" s="1"/>
  <c r="BB22" s="1"/>
  <c r="BE22" s="1"/>
  <c r="BH22" s="1"/>
  <c r="BK22" s="1"/>
  <c r="BN22" s="1"/>
  <c r="BQ22" s="1"/>
  <c r="BT22" s="1"/>
  <c r="BW22" s="1"/>
  <c r="BZ22" s="1"/>
  <c r="X35"/>
  <c r="B4" i="32"/>
  <c r="B5"/>
  <c r="B6"/>
  <c r="B7"/>
  <c r="B8"/>
  <c r="B9"/>
  <c r="B10"/>
  <c r="B11"/>
  <c r="B12"/>
  <c r="CC12" s="1"/>
  <c r="B13"/>
  <c r="B14"/>
  <c r="B15"/>
  <c r="B16"/>
  <c r="CC16" s="1"/>
  <c r="B17"/>
  <c r="B18"/>
  <c r="B19"/>
  <c r="B20"/>
  <c r="CC20" s="1"/>
  <c r="B21"/>
  <c r="B22"/>
  <c r="B23"/>
  <c r="B24"/>
  <c r="B25"/>
  <c r="CC25" s="1"/>
  <c r="B26"/>
  <c r="B27"/>
  <c r="B28"/>
  <c r="B29"/>
  <c r="B30"/>
  <c r="CC30" s="1"/>
  <c r="B31"/>
  <c r="B32"/>
  <c r="B33"/>
  <c r="B34"/>
  <c r="B35"/>
  <c r="CC35" s="1"/>
  <c r="B3"/>
  <c r="CD5" i="31"/>
  <c r="CD6"/>
  <c r="CD7"/>
  <c r="CD8"/>
  <c r="CD9"/>
  <c r="CD10"/>
  <c r="CD11"/>
  <c r="CD12"/>
  <c r="CD13"/>
  <c r="CD14"/>
  <c r="CD15"/>
  <c r="CD16"/>
  <c r="CD17"/>
  <c r="CD18"/>
  <c r="CD19"/>
  <c r="CD20"/>
  <c r="CD21"/>
  <c r="CD22"/>
  <c r="CD23"/>
  <c r="CD24"/>
  <c r="CD25"/>
  <c r="CD26"/>
  <c r="CD27"/>
  <c r="CD28"/>
  <c r="CD29"/>
  <c r="CD30"/>
  <c r="CD31"/>
  <c r="CD32"/>
  <c r="CD33"/>
  <c r="CD34"/>
  <c r="CD4"/>
  <c r="B3"/>
  <c r="CD3" s="1"/>
  <c r="BV290" i="30" l="1"/>
  <c r="BW290" s="1"/>
  <c r="BZ290" s="1"/>
  <c r="BQ188"/>
  <c r="BT188" s="1"/>
  <c r="BW188" s="1"/>
  <c r="BZ188" s="1"/>
  <c r="BQ314"/>
  <c r="BT314" s="1"/>
  <c r="BW314" s="1"/>
  <c r="BZ314" s="1"/>
  <c r="BQ165"/>
  <c r="BT165" s="1"/>
  <c r="BW165" s="1"/>
  <c r="BZ165" s="1"/>
  <c r="BQ278"/>
  <c r="BT278" s="1"/>
  <c r="BQ172"/>
  <c r="BT172" s="1"/>
  <c r="BW172" s="1"/>
  <c r="BZ172" s="1"/>
  <c r="BQ257"/>
  <c r="BQ151"/>
  <c r="BT151" s="1"/>
  <c r="BW151" s="1"/>
  <c r="BZ151" s="1"/>
  <c r="BQ442"/>
  <c r="BT442" s="1"/>
  <c r="BW442" s="1"/>
  <c r="BZ442" s="1"/>
  <c r="AA41" i="31"/>
  <c r="AD41" s="1"/>
  <c r="AG41" s="1"/>
  <c r="AJ41" s="1"/>
  <c r="AM41" s="1"/>
  <c r="AP41" s="1"/>
  <c r="AS41" s="1"/>
  <c r="AV41" s="1"/>
  <c r="AY41" s="1"/>
  <c r="BB41" s="1"/>
  <c r="BE41" s="1"/>
  <c r="BH41" s="1"/>
  <c r="BK41" s="1"/>
  <c r="BN41" s="1"/>
  <c r="BQ41" s="1"/>
  <c r="BT41" s="1"/>
  <c r="BW41" s="1"/>
  <c r="BZ41" s="1"/>
  <c r="R36"/>
  <c r="BK569" i="30"/>
  <c r="BN569" s="1"/>
  <c r="BJ876"/>
  <c r="BG65" i="31"/>
  <c r="BH508" i="30"/>
  <c r="BK508" s="1"/>
  <c r="BN508" s="1"/>
  <c r="BD561"/>
  <c r="BB402"/>
  <c r="BE402" s="1"/>
  <c r="AY357"/>
  <c r="BB357" s="1"/>
  <c r="BE357" s="1"/>
  <c r="BH357" s="1"/>
  <c r="BK357" s="1"/>
  <c r="BN357" s="1"/>
  <c r="AP208"/>
  <c r="AS208" s="1"/>
  <c r="AV208" s="1"/>
  <c r="AY208" s="1"/>
  <c r="BB208" s="1"/>
  <c r="BE208" s="1"/>
  <c r="BH208" s="1"/>
  <c r="BK208" s="1"/>
  <c r="BN208" s="1"/>
  <c r="AA35" i="31"/>
  <c r="AD35" s="1"/>
  <c r="AG35" s="1"/>
  <c r="AJ35" s="1"/>
  <c r="AM35" s="1"/>
  <c r="AP35" s="1"/>
  <c r="AS35" s="1"/>
  <c r="AV35" s="1"/>
  <c r="AY35" s="1"/>
  <c r="BB35" s="1"/>
  <c r="BE35" s="1"/>
  <c r="BH35" s="1"/>
  <c r="BK35" s="1"/>
  <c r="BN35" s="1"/>
  <c r="BQ35" s="1"/>
  <c r="BT35" s="1"/>
  <c r="BW35" s="1"/>
  <c r="BZ35" s="1"/>
  <c r="Z44"/>
  <c r="Z105" s="1"/>
  <c r="CD4" i="30"/>
  <c r="CD5"/>
  <c r="CD6"/>
  <c r="CD7"/>
  <c r="CD8"/>
  <c r="CD9"/>
  <c r="CD10"/>
  <c r="CD11"/>
  <c r="CD12"/>
  <c r="CD13"/>
  <c r="CD14"/>
  <c r="CD15"/>
  <c r="CD16"/>
  <c r="CD17"/>
  <c r="CD18"/>
  <c r="CD19"/>
  <c r="CD20"/>
  <c r="CD21"/>
  <c r="CD22"/>
  <c r="CD23"/>
  <c r="CD24"/>
  <c r="CD25"/>
  <c r="CD26"/>
  <c r="CD27"/>
  <c r="CD28"/>
  <c r="CD29"/>
  <c r="CD30"/>
  <c r="CD31"/>
  <c r="CD32"/>
  <c r="CD33"/>
  <c r="CD34"/>
  <c r="CD35"/>
  <c r="CD36"/>
  <c r="CD37"/>
  <c r="CD38"/>
  <c r="CD39"/>
  <c r="CD40"/>
  <c r="CD41"/>
  <c r="CD42"/>
  <c r="CD43"/>
  <c r="CD44"/>
  <c r="CD45"/>
  <c r="CD46"/>
  <c r="CD47"/>
  <c r="CD48"/>
  <c r="CD49"/>
  <c r="CD50"/>
  <c r="CD51"/>
  <c r="CD52"/>
  <c r="CD53"/>
  <c r="CD54"/>
  <c r="CD55"/>
  <c r="CD56"/>
  <c r="CD57"/>
  <c r="CD58"/>
  <c r="CD59"/>
  <c r="CD60"/>
  <c r="CD61"/>
  <c r="CD62"/>
  <c r="CD63"/>
  <c r="CD64"/>
  <c r="CD65"/>
  <c r="CD66"/>
  <c r="CD67"/>
  <c r="CD68"/>
  <c r="CD69"/>
  <c r="CD70"/>
  <c r="CD71"/>
  <c r="CD72"/>
  <c r="CD73"/>
  <c r="CD74"/>
  <c r="CD75"/>
  <c r="CD76"/>
  <c r="CD77"/>
  <c r="CD78"/>
  <c r="CD79"/>
  <c r="CD80"/>
  <c r="CD81"/>
  <c r="CD82"/>
  <c r="CD83"/>
  <c r="CD84"/>
  <c r="CD85"/>
  <c r="CD86"/>
  <c r="CD87"/>
  <c r="CD88"/>
  <c r="CD89"/>
  <c r="CD90"/>
  <c r="CD91"/>
  <c r="CD92"/>
  <c r="CD93"/>
  <c r="CD94"/>
  <c r="CD95"/>
  <c r="CD96"/>
  <c r="CD97"/>
  <c r="CD98"/>
  <c r="CD99"/>
  <c r="CD100"/>
  <c r="CD101"/>
  <c r="CD102"/>
  <c r="CD103"/>
  <c r="CD104"/>
  <c r="CD105"/>
  <c r="CD106"/>
  <c r="CD107"/>
  <c r="CD108"/>
  <c r="CD109"/>
  <c r="CD110"/>
  <c r="CD111"/>
  <c r="CD112"/>
  <c r="CD113"/>
  <c r="CD114"/>
  <c r="CD115"/>
  <c r="CD116"/>
  <c r="CD117"/>
  <c r="CD118"/>
  <c r="CD119"/>
  <c r="CD120"/>
  <c r="CD121"/>
  <c r="CD122"/>
  <c r="CD123"/>
  <c r="CD124"/>
  <c r="CD125"/>
  <c r="CD126"/>
  <c r="CD127"/>
  <c r="CD128"/>
  <c r="CD129"/>
  <c r="CD130"/>
  <c r="CD131"/>
  <c r="CD132"/>
  <c r="CD133"/>
  <c r="CD134"/>
  <c r="CD135"/>
  <c r="CD136"/>
  <c r="CD137"/>
  <c r="B3"/>
  <c r="CD3" s="1"/>
  <c r="I4" i="32"/>
  <c r="L4" s="1"/>
  <c r="O4" s="1"/>
  <c r="R4" s="1"/>
  <c r="U4" s="1"/>
  <c r="X4" s="1"/>
  <c r="I5"/>
  <c r="L5" s="1"/>
  <c r="O5" s="1"/>
  <c r="R5" s="1"/>
  <c r="U5" s="1"/>
  <c r="X5" s="1"/>
  <c r="I6"/>
  <c r="L6" s="1"/>
  <c r="O6" s="1"/>
  <c r="R6" s="1"/>
  <c r="U6" s="1"/>
  <c r="X6" s="1"/>
  <c r="I7"/>
  <c r="L7" s="1"/>
  <c r="O7" s="1"/>
  <c r="R7" s="1"/>
  <c r="U7" s="1"/>
  <c r="X7" s="1"/>
  <c r="I8"/>
  <c r="L8" s="1"/>
  <c r="O8" s="1"/>
  <c r="R8" s="1"/>
  <c r="U8" s="1"/>
  <c r="X8" s="1"/>
  <c r="I9"/>
  <c r="L9" s="1"/>
  <c r="O9" s="1"/>
  <c r="R9" s="1"/>
  <c r="U9" s="1"/>
  <c r="X9" s="1"/>
  <c r="I10"/>
  <c r="L10" s="1"/>
  <c r="O10" s="1"/>
  <c r="R10" s="1"/>
  <c r="U10" s="1"/>
  <c r="X10" s="1"/>
  <c r="I12"/>
  <c r="I16"/>
  <c r="L16" s="1"/>
  <c r="O16" s="1"/>
  <c r="R16" s="1"/>
  <c r="U16" s="1"/>
  <c r="X16" s="1"/>
  <c r="I20"/>
  <c r="L20" s="1"/>
  <c r="O20" s="1"/>
  <c r="R20" s="1"/>
  <c r="U20" s="1"/>
  <c r="X20" s="1"/>
  <c r="I21"/>
  <c r="I25"/>
  <c r="L25" s="1"/>
  <c r="O25" s="1"/>
  <c r="R25" s="1"/>
  <c r="U25" s="1"/>
  <c r="X25" s="1"/>
  <c r="I30"/>
  <c r="L30" s="1"/>
  <c r="O30" s="1"/>
  <c r="R30" s="1"/>
  <c r="U30" s="1"/>
  <c r="X30" s="1"/>
  <c r="I34"/>
  <c r="L34" s="1"/>
  <c r="O34" s="1"/>
  <c r="R34" s="1"/>
  <c r="I35"/>
  <c r="L35" s="1"/>
  <c r="O35" s="1"/>
  <c r="R35" s="1"/>
  <c r="U35" s="1"/>
  <c r="X35" s="1"/>
  <c r="I3"/>
  <c r="L3" s="1"/>
  <c r="O3" s="1"/>
  <c r="R3" s="1"/>
  <c r="U3" s="1"/>
  <c r="X3" s="1"/>
  <c r="H33"/>
  <c r="I33" s="1"/>
  <c r="L33" s="1"/>
  <c r="O33" s="1"/>
  <c r="R33" s="1"/>
  <c r="BV278" i="30" l="1"/>
  <c r="BW278" s="1"/>
  <c r="BZ278" s="1"/>
  <c r="BS257"/>
  <c r="BT257" s="1"/>
  <c r="BW257" s="1"/>
  <c r="BZ257" s="1"/>
  <c r="BQ357"/>
  <c r="BT357" s="1"/>
  <c r="BW357" s="1"/>
  <c r="BZ357" s="1"/>
  <c r="BQ208"/>
  <c r="BT208" s="1"/>
  <c r="BW208" s="1"/>
  <c r="BZ208" s="1"/>
  <c r="BQ508"/>
  <c r="BT508" s="1"/>
  <c r="BW508" s="1"/>
  <c r="BZ508" s="1"/>
  <c r="BQ569"/>
  <c r="BH65" i="31"/>
  <c r="BK65" s="1"/>
  <c r="BN65" s="1"/>
  <c r="BQ65" s="1"/>
  <c r="BT65" s="1"/>
  <c r="BW65" s="1"/>
  <c r="BZ65" s="1"/>
  <c r="BG105"/>
  <c r="U36"/>
  <c r="BE561" i="30"/>
  <c r="BH561" s="1"/>
  <c r="BK561" s="1"/>
  <c r="BN561" s="1"/>
  <c r="L12" i="32"/>
  <c r="BH402" i="30"/>
  <c r="BK402" s="1"/>
  <c r="BN402" s="1"/>
  <c r="AA30" i="32"/>
  <c r="AD30" s="1"/>
  <c r="AG30" s="1"/>
  <c r="AJ30" s="1"/>
  <c r="AM30" s="1"/>
  <c r="AP30" s="1"/>
  <c r="AS30" s="1"/>
  <c r="AV30" s="1"/>
  <c r="AY30" s="1"/>
  <c r="BB30" s="1"/>
  <c r="BE30" s="1"/>
  <c r="BH30" s="1"/>
  <c r="BK30" s="1"/>
  <c r="AA16"/>
  <c r="AD16" s="1"/>
  <c r="AG16" s="1"/>
  <c r="AJ16" s="1"/>
  <c r="AM16" s="1"/>
  <c r="AP16" s="1"/>
  <c r="AS16" s="1"/>
  <c r="AV16" s="1"/>
  <c r="AY16" s="1"/>
  <c r="BB16" s="1"/>
  <c r="BE16" s="1"/>
  <c r="BH16" s="1"/>
  <c r="BK16" s="1"/>
  <c r="AA4"/>
  <c r="AD4" s="1"/>
  <c r="AG4" s="1"/>
  <c r="AJ4" s="1"/>
  <c r="AM4" s="1"/>
  <c r="AP4" s="1"/>
  <c r="AS4" s="1"/>
  <c r="AV4" s="1"/>
  <c r="AY4" s="1"/>
  <c r="BB4" s="1"/>
  <c r="BE4" s="1"/>
  <c r="BH4" s="1"/>
  <c r="BK4" s="1"/>
  <c r="BN4" s="1"/>
  <c r="BQ4" s="1"/>
  <c r="BT4" s="1"/>
  <c r="BW4" s="1"/>
  <c r="BZ4" s="1"/>
  <c r="AA20"/>
  <c r="AD20" s="1"/>
  <c r="AG20" s="1"/>
  <c r="AJ20" s="1"/>
  <c r="AM20" s="1"/>
  <c r="AP20" s="1"/>
  <c r="AS20" s="1"/>
  <c r="AV20" s="1"/>
  <c r="AY20" s="1"/>
  <c r="BB20" s="1"/>
  <c r="BE20" s="1"/>
  <c r="BH20" s="1"/>
  <c r="BK20" s="1"/>
  <c r="AA35"/>
  <c r="AD35" s="1"/>
  <c r="AG35" s="1"/>
  <c r="AJ35" s="1"/>
  <c r="AM35" s="1"/>
  <c r="AP35" s="1"/>
  <c r="AS35" s="1"/>
  <c r="AV35" s="1"/>
  <c r="AY35" s="1"/>
  <c r="BB35" s="1"/>
  <c r="BE35" s="1"/>
  <c r="BH35" s="1"/>
  <c r="BK35" s="1"/>
  <c r="BN35" s="1"/>
  <c r="BQ35" s="1"/>
  <c r="BT35" s="1"/>
  <c r="BW35" s="1"/>
  <c r="BZ35" s="1"/>
  <c r="AA25"/>
  <c r="AD25" s="1"/>
  <c r="AG25" s="1"/>
  <c r="AJ25" s="1"/>
  <c r="AM25" s="1"/>
  <c r="AP25" s="1"/>
  <c r="AS25" s="1"/>
  <c r="AV25" s="1"/>
  <c r="AY25" s="1"/>
  <c r="BB25" s="1"/>
  <c r="BE25" s="1"/>
  <c r="BH25" s="1"/>
  <c r="BK25" s="1"/>
  <c r="AA7"/>
  <c r="AD7" s="1"/>
  <c r="AG7" s="1"/>
  <c r="AJ7" s="1"/>
  <c r="AM7" s="1"/>
  <c r="AP7" s="1"/>
  <c r="AS7" s="1"/>
  <c r="AV7" s="1"/>
  <c r="AY7" s="1"/>
  <c r="BB7" s="1"/>
  <c r="BE7" s="1"/>
  <c r="BH7" s="1"/>
  <c r="BK7" s="1"/>
  <c r="BN7" s="1"/>
  <c r="BQ7" s="1"/>
  <c r="BT7" s="1"/>
  <c r="BW7" s="1"/>
  <c r="BZ7" s="1"/>
  <c r="AA44" i="31"/>
  <c r="AD44" s="1"/>
  <c r="AG44" s="1"/>
  <c r="Z9" i="32"/>
  <c r="AA9" s="1"/>
  <c r="AD9" s="1"/>
  <c r="AG9" s="1"/>
  <c r="AJ9" s="1"/>
  <c r="AM9" s="1"/>
  <c r="AP9" s="1"/>
  <c r="AS9" s="1"/>
  <c r="AV9" s="1"/>
  <c r="AY9" s="1"/>
  <c r="BB9" s="1"/>
  <c r="BE9" s="1"/>
  <c r="BH9" s="1"/>
  <c r="BK9" s="1"/>
  <c r="BN9" s="1"/>
  <c r="BQ9" s="1"/>
  <c r="BT9" s="1"/>
  <c r="BW9" s="1"/>
  <c r="BZ9" s="1"/>
  <c r="Z5"/>
  <c r="Z6"/>
  <c r="AA6" s="1"/>
  <c r="AD6" s="1"/>
  <c r="AG6" s="1"/>
  <c r="AJ6" s="1"/>
  <c r="AM6" s="1"/>
  <c r="AP6" s="1"/>
  <c r="AS6" s="1"/>
  <c r="AV6" s="1"/>
  <c r="AY6" s="1"/>
  <c r="BB6" s="1"/>
  <c r="BE6" s="1"/>
  <c r="BH6" s="1"/>
  <c r="BK6" s="1"/>
  <c r="BN6" s="1"/>
  <c r="BQ6" s="1"/>
  <c r="BT6" s="1"/>
  <c r="BW6" s="1"/>
  <c r="BZ6" s="1"/>
  <c r="Z8"/>
  <c r="AA8" s="1"/>
  <c r="AD8" s="1"/>
  <c r="AG8" s="1"/>
  <c r="AJ8" s="1"/>
  <c r="AM8" s="1"/>
  <c r="AP8" s="1"/>
  <c r="AS8" s="1"/>
  <c r="AV8" s="1"/>
  <c r="AY8" s="1"/>
  <c r="BB8" s="1"/>
  <c r="BE8" s="1"/>
  <c r="BH8" s="1"/>
  <c r="BK8" s="1"/>
  <c r="BN8" s="1"/>
  <c r="BQ8" s="1"/>
  <c r="BT8" s="1"/>
  <c r="BW8" s="1"/>
  <c r="BZ8" s="1"/>
  <c r="AA3"/>
  <c r="AD3" s="1"/>
  <c r="AG3" s="1"/>
  <c r="T33"/>
  <c r="T34"/>
  <c r="U34" s="1"/>
  <c r="X34" s="1"/>
  <c r="H32"/>
  <c r="I32" s="1"/>
  <c r="L32" s="1"/>
  <c r="O32" s="1"/>
  <c r="R32" s="1"/>
  <c r="U32" s="1"/>
  <c r="X32" s="1"/>
  <c r="H29"/>
  <c r="I29" s="1"/>
  <c r="L29" s="1"/>
  <c r="O29" s="1"/>
  <c r="R29" s="1"/>
  <c r="U29" s="1"/>
  <c r="X29" s="1"/>
  <c r="H28"/>
  <c r="I28" s="1"/>
  <c r="L28" s="1"/>
  <c r="O28" s="1"/>
  <c r="R28" s="1"/>
  <c r="U28" s="1"/>
  <c r="X28" s="1"/>
  <c r="H27"/>
  <c r="I27" s="1"/>
  <c r="L27" s="1"/>
  <c r="O27" s="1"/>
  <c r="R27" s="1"/>
  <c r="U27" s="1"/>
  <c r="X27" s="1"/>
  <c r="H24"/>
  <c r="I24" s="1"/>
  <c r="L24" s="1"/>
  <c r="O24" s="1"/>
  <c r="R24" s="1"/>
  <c r="U24" s="1"/>
  <c r="X24" s="1"/>
  <c r="H23"/>
  <c r="I23" s="1"/>
  <c r="L23" s="1"/>
  <c r="O23" s="1"/>
  <c r="R23" s="1"/>
  <c r="U23" s="1"/>
  <c r="X23" s="1"/>
  <c r="H22"/>
  <c r="I22" s="1"/>
  <c r="L22" s="1"/>
  <c r="O22" s="1"/>
  <c r="R22" s="1"/>
  <c r="U22" s="1"/>
  <c r="X22" s="1"/>
  <c r="H19"/>
  <c r="I19" s="1"/>
  <c r="L19" s="1"/>
  <c r="O19" s="1"/>
  <c r="R19" s="1"/>
  <c r="U19" s="1"/>
  <c r="X19" s="1"/>
  <c r="H18"/>
  <c r="I18" s="1"/>
  <c r="L18" s="1"/>
  <c r="O18" s="1"/>
  <c r="R18" s="1"/>
  <c r="U18" s="1"/>
  <c r="X18" s="1"/>
  <c r="H17"/>
  <c r="I17" s="1"/>
  <c r="L17" s="1"/>
  <c r="O17" s="1"/>
  <c r="R17" s="1"/>
  <c r="U17" s="1"/>
  <c r="X17" s="1"/>
  <c r="H15"/>
  <c r="I15" s="1"/>
  <c r="L15" s="1"/>
  <c r="O15" s="1"/>
  <c r="R15" s="1"/>
  <c r="U15" s="1"/>
  <c r="X15" s="1"/>
  <c r="H14"/>
  <c r="I14" s="1"/>
  <c r="L14" s="1"/>
  <c r="O14" s="1"/>
  <c r="R14" s="1"/>
  <c r="U14" s="1"/>
  <c r="X14" s="1"/>
  <c r="H13"/>
  <c r="I13" s="1"/>
  <c r="L13" s="1"/>
  <c r="O13" s="1"/>
  <c r="R13" s="1"/>
  <c r="U13" s="1"/>
  <c r="X13" s="1"/>
  <c r="H11"/>
  <c r="H31"/>
  <c r="I31" s="1"/>
  <c r="L31" s="1"/>
  <c r="H112" i="30"/>
  <c r="H108"/>
  <c r="H53"/>
  <c r="BS569" l="1"/>
  <c r="BQ402"/>
  <c r="BT402" s="1"/>
  <c r="BW402" s="1"/>
  <c r="BZ402" s="1"/>
  <c r="BQ561"/>
  <c r="BT561" s="1"/>
  <c r="BW561" s="1"/>
  <c r="BZ561" s="1"/>
  <c r="BM20" i="32"/>
  <c r="BN20" s="1"/>
  <c r="BQ20" s="1"/>
  <c r="BT20" s="1"/>
  <c r="BW20" s="1"/>
  <c r="BZ20" s="1"/>
  <c r="BM25"/>
  <c r="BN25" s="1"/>
  <c r="BQ25" s="1"/>
  <c r="BT25" s="1"/>
  <c r="BW25" s="1"/>
  <c r="BZ25" s="1"/>
  <c r="BM16"/>
  <c r="BN16" s="1"/>
  <c r="BQ16" s="1"/>
  <c r="BT16" s="1"/>
  <c r="BW16" s="1"/>
  <c r="BZ16" s="1"/>
  <c r="U33"/>
  <c r="X33" s="1"/>
  <c r="AA33" s="1"/>
  <c r="AD33" s="1"/>
  <c r="AG33" s="1"/>
  <c r="AJ33" s="1"/>
  <c r="AM33" s="1"/>
  <c r="AP33" s="1"/>
  <c r="AS33" s="1"/>
  <c r="AV33" s="1"/>
  <c r="AY33" s="1"/>
  <c r="BB33" s="1"/>
  <c r="BE33" s="1"/>
  <c r="BH33" s="1"/>
  <c r="BK33" s="1"/>
  <c r="BN33" s="1"/>
  <c r="BQ33" s="1"/>
  <c r="BT33" s="1"/>
  <c r="BW33" s="1"/>
  <c r="BZ33" s="1"/>
  <c r="AA5"/>
  <c r="AD5" s="1"/>
  <c r="AG5" s="1"/>
  <c r="AJ5" s="1"/>
  <c r="AM5" s="1"/>
  <c r="AP5" s="1"/>
  <c r="AS5" s="1"/>
  <c r="AV5" s="1"/>
  <c r="AY5" s="1"/>
  <c r="BB5" s="1"/>
  <c r="BE5" s="1"/>
  <c r="BH5" s="1"/>
  <c r="BK5" s="1"/>
  <c r="BN5" s="1"/>
  <c r="BQ5" s="1"/>
  <c r="BT5" s="1"/>
  <c r="BW5" s="1"/>
  <c r="BZ5" s="1"/>
  <c r="H184"/>
  <c r="X36" i="31"/>
  <c r="O12" i="32"/>
  <c r="AJ3"/>
  <c r="AI44" i="31"/>
  <c r="AI50" s="1"/>
  <c r="AA18" i="32"/>
  <c r="AD18" s="1"/>
  <c r="AG18" s="1"/>
  <c r="AJ18" s="1"/>
  <c r="AM18" s="1"/>
  <c r="AP18" s="1"/>
  <c r="AS18" s="1"/>
  <c r="AV18" s="1"/>
  <c r="AY18" s="1"/>
  <c r="BB18" s="1"/>
  <c r="BE18" s="1"/>
  <c r="BH18" s="1"/>
  <c r="BK18" s="1"/>
  <c r="BN18" s="1"/>
  <c r="BQ18" s="1"/>
  <c r="BT18" s="1"/>
  <c r="BW18" s="1"/>
  <c r="BZ18" s="1"/>
  <c r="AA32"/>
  <c r="AD32" s="1"/>
  <c r="AG32" s="1"/>
  <c r="AJ32" s="1"/>
  <c r="AM32" s="1"/>
  <c r="AP32" s="1"/>
  <c r="AS32" s="1"/>
  <c r="AV32" s="1"/>
  <c r="AY32" s="1"/>
  <c r="BB32" s="1"/>
  <c r="BE32" s="1"/>
  <c r="BH32" s="1"/>
  <c r="BK32" s="1"/>
  <c r="BN32" s="1"/>
  <c r="BQ32" s="1"/>
  <c r="BT32" s="1"/>
  <c r="BW32" s="1"/>
  <c r="BZ32" s="1"/>
  <c r="AA23"/>
  <c r="AD23" s="1"/>
  <c r="AG23" s="1"/>
  <c r="AJ23" s="1"/>
  <c r="AM23" s="1"/>
  <c r="AP23" s="1"/>
  <c r="AS23" s="1"/>
  <c r="AV23" s="1"/>
  <c r="AY23" s="1"/>
  <c r="BB23" s="1"/>
  <c r="BE23" s="1"/>
  <c r="BH23" s="1"/>
  <c r="BK23" s="1"/>
  <c r="BN23" s="1"/>
  <c r="BQ23" s="1"/>
  <c r="BT23" s="1"/>
  <c r="BW23" s="1"/>
  <c r="BZ23" s="1"/>
  <c r="AA15"/>
  <c r="AD15" s="1"/>
  <c r="AG15" s="1"/>
  <c r="AJ15" s="1"/>
  <c r="AM15" s="1"/>
  <c r="AP15" s="1"/>
  <c r="AS15" s="1"/>
  <c r="AV15" s="1"/>
  <c r="AY15" s="1"/>
  <c r="BB15" s="1"/>
  <c r="BE15" s="1"/>
  <c r="BH15" s="1"/>
  <c r="BK15" s="1"/>
  <c r="BN15" s="1"/>
  <c r="BQ15" s="1"/>
  <c r="BT15" s="1"/>
  <c r="BW15" s="1"/>
  <c r="BZ15" s="1"/>
  <c r="AA22"/>
  <c r="AD22" s="1"/>
  <c r="AG22" s="1"/>
  <c r="AJ22" s="1"/>
  <c r="AM22" s="1"/>
  <c r="AP22" s="1"/>
  <c r="AS22" s="1"/>
  <c r="AV22" s="1"/>
  <c r="AY22" s="1"/>
  <c r="BB22" s="1"/>
  <c r="BE22" s="1"/>
  <c r="BH22" s="1"/>
  <c r="BK22" s="1"/>
  <c r="BN22" s="1"/>
  <c r="BQ22" s="1"/>
  <c r="BT22" s="1"/>
  <c r="BW22" s="1"/>
  <c r="BZ22" s="1"/>
  <c r="AA28"/>
  <c r="AD28" s="1"/>
  <c r="AG28" s="1"/>
  <c r="AJ28" s="1"/>
  <c r="AM28" s="1"/>
  <c r="AP28" s="1"/>
  <c r="AS28" s="1"/>
  <c r="AV28" s="1"/>
  <c r="AY28" s="1"/>
  <c r="BB28" s="1"/>
  <c r="BE28" s="1"/>
  <c r="BH28" s="1"/>
  <c r="BK28" s="1"/>
  <c r="BN28" s="1"/>
  <c r="BQ28" s="1"/>
  <c r="BT28" s="1"/>
  <c r="BW28" s="1"/>
  <c r="BZ28" s="1"/>
  <c r="AA13"/>
  <c r="AD13" s="1"/>
  <c r="AG13" s="1"/>
  <c r="AJ13" s="1"/>
  <c r="AM13" s="1"/>
  <c r="AP13" s="1"/>
  <c r="AS13" s="1"/>
  <c r="AV13" s="1"/>
  <c r="AY13" s="1"/>
  <c r="BB13" s="1"/>
  <c r="BE13" s="1"/>
  <c r="BH13" s="1"/>
  <c r="BK13" s="1"/>
  <c r="BN13" s="1"/>
  <c r="BQ13" s="1"/>
  <c r="BT13" s="1"/>
  <c r="BW13" s="1"/>
  <c r="BZ13" s="1"/>
  <c r="AA24"/>
  <c r="AD24" s="1"/>
  <c r="AG24" s="1"/>
  <c r="AJ24" s="1"/>
  <c r="AM24" s="1"/>
  <c r="AP24" s="1"/>
  <c r="AS24" s="1"/>
  <c r="AV24" s="1"/>
  <c r="AY24" s="1"/>
  <c r="BB24" s="1"/>
  <c r="BE24" s="1"/>
  <c r="BH24" s="1"/>
  <c r="BK24" s="1"/>
  <c r="BN24" s="1"/>
  <c r="BQ24" s="1"/>
  <c r="BT24" s="1"/>
  <c r="BW24" s="1"/>
  <c r="BZ24" s="1"/>
  <c r="AA17"/>
  <c r="AD17" s="1"/>
  <c r="AG17" s="1"/>
  <c r="AJ17" s="1"/>
  <c r="AM17" s="1"/>
  <c r="AP17" s="1"/>
  <c r="AS17" s="1"/>
  <c r="AV17" s="1"/>
  <c r="AY17" s="1"/>
  <c r="BB17" s="1"/>
  <c r="BE17" s="1"/>
  <c r="BH17" s="1"/>
  <c r="BK17" s="1"/>
  <c r="BN17" s="1"/>
  <c r="BQ17" s="1"/>
  <c r="BT17" s="1"/>
  <c r="BW17" s="1"/>
  <c r="BZ17" s="1"/>
  <c r="AA29"/>
  <c r="AD29" s="1"/>
  <c r="AG29" s="1"/>
  <c r="AJ29" s="1"/>
  <c r="AM29" s="1"/>
  <c r="AP29" s="1"/>
  <c r="AS29" s="1"/>
  <c r="AV29" s="1"/>
  <c r="AY29" s="1"/>
  <c r="BB29" s="1"/>
  <c r="BE29" s="1"/>
  <c r="BH29" s="1"/>
  <c r="BK29" s="1"/>
  <c r="BN29" s="1"/>
  <c r="BQ29" s="1"/>
  <c r="BT29" s="1"/>
  <c r="BW29" s="1"/>
  <c r="BZ29" s="1"/>
  <c r="AA14"/>
  <c r="AD14" s="1"/>
  <c r="AG14" s="1"/>
  <c r="AJ14" s="1"/>
  <c r="AM14" s="1"/>
  <c r="AP14" s="1"/>
  <c r="AS14" s="1"/>
  <c r="AV14" s="1"/>
  <c r="AY14" s="1"/>
  <c r="BB14" s="1"/>
  <c r="BE14" s="1"/>
  <c r="BH14" s="1"/>
  <c r="BK14" s="1"/>
  <c r="BN14" s="1"/>
  <c r="BQ14" s="1"/>
  <c r="BT14" s="1"/>
  <c r="BW14" s="1"/>
  <c r="BZ14" s="1"/>
  <c r="AA19"/>
  <c r="AD19" s="1"/>
  <c r="AG19" s="1"/>
  <c r="AJ19" s="1"/>
  <c r="AM19" s="1"/>
  <c r="AP19" s="1"/>
  <c r="AS19" s="1"/>
  <c r="AV19" s="1"/>
  <c r="AY19" s="1"/>
  <c r="BB19" s="1"/>
  <c r="BE19" s="1"/>
  <c r="BH19" s="1"/>
  <c r="BK19" s="1"/>
  <c r="BN19" s="1"/>
  <c r="BQ19" s="1"/>
  <c r="BT19" s="1"/>
  <c r="BW19" s="1"/>
  <c r="BZ19" s="1"/>
  <c r="AA27"/>
  <c r="AD27" s="1"/>
  <c r="AG27" s="1"/>
  <c r="AJ27" s="1"/>
  <c r="AM27" s="1"/>
  <c r="AP27" s="1"/>
  <c r="AS27" s="1"/>
  <c r="AV27" s="1"/>
  <c r="AY27" s="1"/>
  <c r="BB27" s="1"/>
  <c r="BE27" s="1"/>
  <c r="BH27" s="1"/>
  <c r="BK27" s="1"/>
  <c r="BN27" s="1"/>
  <c r="BQ27" s="1"/>
  <c r="BT27" s="1"/>
  <c r="BW27" s="1"/>
  <c r="BZ27" s="1"/>
  <c r="AA34"/>
  <c r="AD34" s="1"/>
  <c r="AG34" s="1"/>
  <c r="AJ34" s="1"/>
  <c r="AM34" s="1"/>
  <c r="AP34" s="1"/>
  <c r="AS34" s="1"/>
  <c r="AV34" s="1"/>
  <c r="AY34" s="1"/>
  <c r="BB34" s="1"/>
  <c r="BE34" s="1"/>
  <c r="BH34" s="1"/>
  <c r="BK34" s="1"/>
  <c r="BN34" s="1"/>
  <c r="BQ34" s="1"/>
  <c r="BT34" s="1"/>
  <c r="BW34" s="1"/>
  <c r="BZ34" s="1"/>
  <c r="Z10"/>
  <c r="Z184" s="1"/>
  <c r="T42"/>
  <c r="U42" s="1"/>
  <c r="X42" s="1"/>
  <c r="O31"/>
  <c r="R31" s="1"/>
  <c r="U31" s="1"/>
  <c r="I11"/>
  <c r="K94" i="30"/>
  <c r="H3" i="31"/>
  <c r="H105" s="1"/>
  <c r="H47" i="30"/>
  <c r="H46"/>
  <c r="H97"/>
  <c r="H100"/>
  <c r="H62"/>
  <c r="H26" i="32"/>
  <c r="L21"/>
  <c r="H50" i="30"/>
  <c r="BS739" l="1"/>
  <c r="BT739" s="1"/>
  <c r="BW739" s="1"/>
  <c r="BT569"/>
  <c r="BW569" s="1"/>
  <c r="BZ569" s="1"/>
  <c r="L11" i="32"/>
  <c r="T184"/>
  <c r="AA36" i="31"/>
  <c r="AJ50"/>
  <c r="AM50" s="1"/>
  <c r="AP50" s="1"/>
  <c r="AS50" s="1"/>
  <c r="AV50" s="1"/>
  <c r="AY50" s="1"/>
  <c r="BB50" s="1"/>
  <c r="BE50" s="1"/>
  <c r="AI105"/>
  <c r="R12" i="32"/>
  <c r="AM3"/>
  <c r="AM51" i="31"/>
  <c r="AP51" s="1"/>
  <c r="AS51" s="1"/>
  <c r="AV51" s="1"/>
  <c r="AY51" s="1"/>
  <c r="BB51" s="1"/>
  <c r="BE51" s="1"/>
  <c r="BH51" s="1"/>
  <c r="BK51" s="1"/>
  <c r="BN51" s="1"/>
  <c r="BQ51" s="1"/>
  <c r="BT51" s="1"/>
  <c r="BW51" s="1"/>
  <c r="BZ51" s="1"/>
  <c r="AJ44"/>
  <c r="AM44" s="1"/>
  <c r="AP44" s="1"/>
  <c r="AA42" i="32"/>
  <c r="AD42" s="1"/>
  <c r="AG42" s="1"/>
  <c r="AJ42" s="1"/>
  <c r="AM42" s="1"/>
  <c r="AP42" s="1"/>
  <c r="AA10"/>
  <c r="AD10" s="1"/>
  <c r="AG10" s="1"/>
  <c r="W31"/>
  <c r="X31" s="1"/>
  <c r="O21"/>
  <c r="R21" s="1"/>
  <c r="I26"/>
  <c r="L26" s="1"/>
  <c r="H102" i="30"/>
  <c r="H876" s="1"/>
  <c r="I4" i="31"/>
  <c r="L4" s="1"/>
  <c r="O4" s="1"/>
  <c r="R4" s="1"/>
  <c r="U4" s="1"/>
  <c r="I5"/>
  <c r="L5" s="1"/>
  <c r="O5" s="1"/>
  <c r="R5" s="1"/>
  <c r="U5" s="1"/>
  <c r="I6"/>
  <c r="L6" s="1"/>
  <c r="O6" s="1"/>
  <c r="R6" s="1"/>
  <c r="U6" s="1"/>
  <c r="I7"/>
  <c r="L7" s="1"/>
  <c r="I8"/>
  <c r="L8" s="1"/>
  <c r="O8" s="1"/>
  <c r="R8" s="1"/>
  <c r="U8" s="1"/>
  <c r="I10"/>
  <c r="L10" s="1"/>
  <c r="O10" s="1"/>
  <c r="R10" s="1"/>
  <c r="U10" s="1"/>
  <c r="I11"/>
  <c r="L11" s="1"/>
  <c r="O11" s="1"/>
  <c r="R11" s="1"/>
  <c r="U11" s="1"/>
  <c r="X11" s="1"/>
  <c r="I12"/>
  <c r="L12" s="1"/>
  <c r="O12" s="1"/>
  <c r="R12" s="1"/>
  <c r="U12" s="1"/>
  <c r="I13"/>
  <c r="L13" s="1"/>
  <c r="O13" s="1"/>
  <c r="I14"/>
  <c r="L14" s="1"/>
  <c r="O14" s="1"/>
  <c r="R14" s="1"/>
  <c r="U14" s="1"/>
  <c r="X14" s="1"/>
  <c r="I15"/>
  <c r="L15" s="1"/>
  <c r="O15" s="1"/>
  <c r="R15" s="1"/>
  <c r="U15" s="1"/>
  <c r="X15" s="1"/>
  <c r="I16"/>
  <c r="L16" s="1"/>
  <c r="O16" s="1"/>
  <c r="R16" s="1"/>
  <c r="U16" s="1"/>
  <c r="X16" s="1"/>
  <c r="I17"/>
  <c r="L17" s="1"/>
  <c r="O17" s="1"/>
  <c r="R17" s="1"/>
  <c r="U17" s="1"/>
  <c r="I18"/>
  <c r="L18" s="1"/>
  <c r="O18" s="1"/>
  <c r="R18" s="1"/>
  <c r="U18" s="1"/>
  <c r="X18" s="1"/>
  <c r="I19"/>
  <c r="L19" s="1"/>
  <c r="O19" s="1"/>
  <c r="R19" s="1"/>
  <c r="U19" s="1"/>
  <c r="I20"/>
  <c r="L20" s="1"/>
  <c r="O20" s="1"/>
  <c r="I21"/>
  <c r="L21" s="1"/>
  <c r="O21" s="1"/>
  <c r="R21" s="1"/>
  <c r="U21" s="1"/>
  <c r="X21" s="1"/>
  <c r="I23"/>
  <c r="L23" s="1"/>
  <c r="O23" s="1"/>
  <c r="R23" s="1"/>
  <c r="U23" s="1"/>
  <c r="I24"/>
  <c r="L24" s="1"/>
  <c r="O24" s="1"/>
  <c r="I25"/>
  <c r="L25" s="1"/>
  <c r="O25" s="1"/>
  <c r="R25" s="1"/>
  <c r="U25" s="1"/>
  <c r="I26"/>
  <c r="L26" s="1"/>
  <c r="O26" s="1"/>
  <c r="R26" s="1"/>
  <c r="U26" s="1"/>
  <c r="X26" s="1"/>
  <c r="I27"/>
  <c r="L27" s="1"/>
  <c r="O27" s="1"/>
  <c r="R27" s="1"/>
  <c r="U27" s="1"/>
  <c r="X27" s="1"/>
  <c r="I28"/>
  <c r="L28" s="1"/>
  <c r="O28" s="1"/>
  <c r="R28" s="1"/>
  <c r="U28" s="1"/>
  <c r="X28" s="1"/>
  <c r="I30"/>
  <c r="L30" s="1"/>
  <c r="O30" s="1"/>
  <c r="R30" s="1"/>
  <c r="U30" s="1"/>
  <c r="X30" s="1"/>
  <c r="I31"/>
  <c r="L31" s="1"/>
  <c r="O31" s="1"/>
  <c r="R31" s="1"/>
  <c r="U31" s="1"/>
  <c r="X31" s="1"/>
  <c r="I32"/>
  <c r="L32" s="1"/>
  <c r="O32" s="1"/>
  <c r="R32" s="1"/>
  <c r="U32" s="1"/>
  <c r="X32" s="1"/>
  <c r="I3"/>
  <c r="H60" i="30"/>
  <c r="I60" s="1"/>
  <c r="I4"/>
  <c r="L4" s="1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K25" s="1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4"/>
  <c r="I55"/>
  <c r="I56"/>
  <c r="I57"/>
  <c r="I58"/>
  <c r="I59"/>
  <c r="I61"/>
  <c r="I62"/>
  <c r="I63"/>
  <c r="I64"/>
  <c r="I65"/>
  <c r="I66"/>
  <c r="I67"/>
  <c r="I68"/>
  <c r="I69"/>
  <c r="I70"/>
  <c r="I71"/>
  <c r="I72"/>
  <c r="I73"/>
  <c r="I74"/>
  <c r="I75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1"/>
  <c r="I104"/>
  <c r="I105"/>
  <c r="I106"/>
  <c r="I107"/>
  <c r="I108"/>
  <c r="I109"/>
  <c r="I110"/>
  <c r="I113"/>
  <c r="I114"/>
  <c r="I115"/>
  <c r="I116"/>
  <c r="I118"/>
  <c r="I119"/>
  <c r="I120"/>
  <c r="I121"/>
  <c r="I122"/>
  <c r="I123"/>
  <c r="I124"/>
  <c r="I125"/>
  <c r="I126"/>
  <c r="I127"/>
  <c r="I128"/>
  <c r="I129"/>
  <c r="I132"/>
  <c r="I133"/>
  <c r="I134"/>
  <c r="I135"/>
  <c r="I136"/>
  <c r="I137"/>
  <c r="I3"/>
  <c r="G42" i="35"/>
  <c r="G117" i="30"/>
  <c r="I117" s="1"/>
  <c r="G111"/>
  <c r="I111" s="1"/>
  <c r="G21" i="35"/>
  <c r="G15"/>
  <c r="G55"/>
  <c r="G47"/>
  <c r="G8"/>
  <c r="G76" i="30"/>
  <c r="I76" s="1"/>
  <c r="K19" i="28"/>
  <c r="K30" s="1"/>
  <c r="G103" i="30"/>
  <c r="I103" s="1"/>
  <c r="N17" i="24"/>
  <c r="G53" i="30"/>
  <c r="AS43" i="18"/>
  <c r="AS42"/>
  <c r="I47" i="29"/>
  <c r="I43"/>
  <c r="I44"/>
  <c r="I45"/>
  <c r="I46"/>
  <c r="I42"/>
  <c r="J43" i="22"/>
  <c r="K43"/>
  <c r="L43"/>
  <c r="M43"/>
  <c r="N43"/>
  <c r="O43"/>
  <c r="P43"/>
  <c r="Q43"/>
  <c r="R43"/>
  <c r="S43"/>
  <c r="T43"/>
  <c r="U43"/>
  <c r="V43"/>
  <c r="W43"/>
  <c r="X43"/>
  <c r="Y43"/>
  <c r="Z43"/>
  <c r="AA43"/>
  <c r="AD36" i="21"/>
  <c r="AE36"/>
  <c r="AC36"/>
  <c r="AG45" i="20"/>
  <c r="AG38"/>
  <c r="AG39"/>
  <c r="AG40"/>
  <c r="AG41"/>
  <c r="AG42"/>
  <c r="AG43"/>
  <c r="AG44"/>
  <c r="K23" i="28"/>
  <c r="G39" i="29"/>
  <c r="H39"/>
  <c r="J39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11"/>
  <c r="L34" i="28"/>
  <c r="L35"/>
  <c r="L36"/>
  <c r="L37"/>
  <c r="L38"/>
  <c r="L33"/>
  <c r="O53" i="24"/>
  <c r="O54"/>
  <c r="O55"/>
  <c r="O56"/>
  <c r="O57"/>
  <c r="O52"/>
  <c r="Q23" i="26"/>
  <c r="V55" i="25"/>
  <c r="T55"/>
  <c r="W48" i="23"/>
  <c r="X3"/>
  <c r="X4"/>
  <c r="X5"/>
  <c r="X6"/>
  <c r="X7"/>
  <c r="X8"/>
  <c r="X2"/>
  <c r="AA4" i="22"/>
  <c r="AA5"/>
  <c r="AA6"/>
  <c r="AA7"/>
  <c r="AA8"/>
  <c r="AA9"/>
  <c r="AA3"/>
  <c r="AG4" i="20"/>
  <c r="AG5"/>
  <c r="AG6"/>
  <c r="AG7"/>
  <c r="AG8"/>
  <c r="AG3"/>
  <c r="AG44" i="19"/>
  <c r="AG41"/>
  <c r="AG42"/>
  <c r="AG43"/>
  <c r="AG40"/>
  <c r="AK37" i="16"/>
  <c r="AM32"/>
  <c r="AN32"/>
  <c r="Q31" i="26"/>
  <c r="N36" i="24"/>
  <c r="N33"/>
  <c r="H2" i="29"/>
  <c r="H7" s="1"/>
  <c r="V33" i="23"/>
  <c r="W33"/>
  <c r="AE34" i="20"/>
  <c r="AF34"/>
  <c r="I3" i="29"/>
  <c r="I4"/>
  <c r="I5"/>
  <c r="I6"/>
  <c r="G7"/>
  <c r="J7"/>
  <c r="I7" i="28"/>
  <c r="J7"/>
  <c r="K7"/>
  <c r="L7"/>
  <c r="K2"/>
  <c r="AD32" i="21"/>
  <c r="AD33"/>
  <c r="AD34"/>
  <c r="AD35"/>
  <c r="AA32"/>
  <c r="AA33"/>
  <c r="AA34"/>
  <c r="AA35"/>
  <c r="AD31"/>
  <c r="AD30"/>
  <c r="AA31"/>
  <c r="AA30"/>
  <c r="AG37" i="20"/>
  <c r="AD39"/>
  <c r="AD40"/>
  <c r="AD41"/>
  <c r="AD42"/>
  <c r="AD43"/>
  <c r="AD44"/>
  <c r="AD38"/>
  <c r="AD37"/>
  <c r="AJ7" i="18"/>
  <c r="AJ6"/>
  <c r="AJ5"/>
  <c r="AJ4"/>
  <c r="AJ3"/>
  <c r="AJ8"/>
  <c r="AI8"/>
  <c r="H21" i="28"/>
  <c r="H30" s="1"/>
  <c r="Z34" i="20"/>
  <c r="AC37" i="19"/>
  <c r="H2" i="28"/>
  <c r="H7"/>
  <c r="L3"/>
  <c r="L4"/>
  <c r="L5"/>
  <c r="L6"/>
  <c r="I3"/>
  <c r="I4"/>
  <c r="I5"/>
  <c r="I6"/>
  <c r="K2" i="24"/>
  <c r="K7" s="1"/>
  <c r="N7"/>
  <c r="AK32" i="16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Z38" i="22"/>
  <c r="AA38"/>
  <c r="AA37"/>
  <c r="AA39"/>
  <c r="AA40"/>
  <c r="AA41"/>
  <c r="AA42"/>
  <c r="AA36"/>
  <c r="X37"/>
  <c r="X38"/>
  <c r="X39"/>
  <c r="X40"/>
  <c r="X41"/>
  <c r="X42"/>
  <c r="X36"/>
  <c r="T33" i="25"/>
  <c r="Q33"/>
  <c r="Z26" i="22"/>
  <c r="AF37" i="19"/>
  <c r="AI36" i="18"/>
  <c r="Y33" i="22"/>
  <c r="AC27" i="21"/>
  <c r="AB27"/>
  <c r="Z27"/>
  <c r="I14" i="28"/>
  <c r="L14" s="1"/>
  <c r="I15"/>
  <c r="L15" s="1"/>
  <c r="I16"/>
  <c r="L16" s="1"/>
  <c r="I17"/>
  <c r="L17" s="1"/>
  <c r="I18"/>
  <c r="L18" s="1"/>
  <c r="I19"/>
  <c r="I20"/>
  <c r="L20" s="1"/>
  <c r="I22"/>
  <c r="L22" s="1"/>
  <c r="I23"/>
  <c r="L23" s="1"/>
  <c r="I24"/>
  <c r="L24" s="1"/>
  <c r="I25"/>
  <c r="L25" s="1"/>
  <c r="I26"/>
  <c r="L26" s="1"/>
  <c r="I27"/>
  <c r="L27" s="1"/>
  <c r="I28"/>
  <c r="L28" s="1"/>
  <c r="I29"/>
  <c r="L29" s="1"/>
  <c r="I11"/>
  <c r="L11" s="1"/>
  <c r="I12"/>
  <c r="L12" s="1"/>
  <c r="F47" i="29"/>
  <c r="F39"/>
  <c r="F7"/>
  <c r="K35" i="24"/>
  <c r="H13" i="28"/>
  <c r="K15" i="24"/>
  <c r="K49" s="1"/>
  <c r="AK30" i="16"/>
  <c r="I13" i="28"/>
  <c r="L13" s="1"/>
  <c r="I42"/>
  <c r="H42"/>
  <c r="H14"/>
  <c r="H26"/>
  <c r="BY739" i="30" l="1"/>
  <c r="I184" i="32"/>
  <c r="O11"/>
  <c r="L3" i="31"/>
  <c r="I105"/>
  <c r="AD36"/>
  <c r="U12" i="32"/>
  <c r="BH50" i="31"/>
  <c r="BK50" s="1"/>
  <c r="BN50" s="1"/>
  <c r="AS44"/>
  <c r="AV44" s="1"/>
  <c r="AY44" s="1"/>
  <c r="BB44" s="1"/>
  <c r="BE44" s="1"/>
  <c r="BH44" s="1"/>
  <c r="BK44" s="1"/>
  <c r="BN44" s="1"/>
  <c r="BQ44" s="1"/>
  <c r="BT44" s="1"/>
  <c r="BW44" s="1"/>
  <c r="BZ44" s="1"/>
  <c r="AR42" i="32"/>
  <c r="K57" i="30"/>
  <c r="L57" s="1"/>
  <c r="O57" s="1"/>
  <c r="R57" s="1"/>
  <c r="U57" s="1"/>
  <c r="X57" s="1"/>
  <c r="L3"/>
  <c r="AP3" i="32"/>
  <c r="AJ10"/>
  <c r="I53" i="30"/>
  <c r="L53" s="1"/>
  <c r="AA31" i="32"/>
  <c r="AD31" s="1"/>
  <c r="AG31" s="1"/>
  <c r="AJ31" s="1"/>
  <c r="AM31" s="1"/>
  <c r="AP31" s="1"/>
  <c r="AS31" s="1"/>
  <c r="AV31" s="1"/>
  <c r="AY31" s="1"/>
  <c r="BB31" s="1"/>
  <c r="BE31" s="1"/>
  <c r="BH31" s="1"/>
  <c r="BK31" s="1"/>
  <c r="BN31" s="1"/>
  <c r="BQ31" s="1"/>
  <c r="BT31" s="1"/>
  <c r="BW31" s="1"/>
  <c r="BZ31" s="1"/>
  <c r="AA28" i="31"/>
  <c r="AD28" s="1"/>
  <c r="AG28" s="1"/>
  <c r="AJ28" s="1"/>
  <c r="AM28" s="1"/>
  <c r="AP28" s="1"/>
  <c r="AS28" s="1"/>
  <c r="AV28" s="1"/>
  <c r="AY28" s="1"/>
  <c r="BB28" s="1"/>
  <c r="BE28" s="1"/>
  <c r="BH28" s="1"/>
  <c r="BK28" s="1"/>
  <c r="BN28" s="1"/>
  <c r="BQ28" s="1"/>
  <c r="BT28" s="1"/>
  <c r="BW28" s="1"/>
  <c r="BZ28" s="1"/>
  <c r="AA15"/>
  <c r="AD15" s="1"/>
  <c r="AG15" s="1"/>
  <c r="AJ15" s="1"/>
  <c r="AM15" s="1"/>
  <c r="AP15" s="1"/>
  <c r="AS15" s="1"/>
  <c r="AV15" s="1"/>
  <c r="AY15" s="1"/>
  <c r="BB15" s="1"/>
  <c r="BE15" s="1"/>
  <c r="BH15" s="1"/>
  <c r="BK15" s="1"/>
  <c r="BN15" s="1"/>
  <c r="BQ15" s="1"/>
  <c r="BT15" s="1"/>
  <c r="BW15" s="1"/>
  <c r="BZ15" s="1"/>
  <c r="AA30"/>
  <c r="AD30" s="1"/>
  <c r="AG30" s="1"/>
  <c r="AJ30" s="1"/>
  <c r="AM30" s="1"/>
  <c r="AP30" s="1"/>
  <c r="AS30" s="1"/>
  <c r="AV30" s="1"/>
  <c r="AY30" s="1"/>
  <c r="BB30" s="1"/>
  <c r="BE30" s="1"/>
  <c r="BH30" s="1"/>
  <c r="BK30" s="1"/>
  <c r="BN30" s="1"/>
  <c r="BQ30" s="1"/>
  <c r="BT30" s="1"/>
  <c r="BW30" s="1"/>
  <c r="BZ30" s="1"/>
  <c r="AA32"/>
  <c r="AD32" s="1"/>
  <c r="AG32" s="1"/>
  <c r="AJ32" s="1"/>
  <c r="AM32" s="1"/>
  <c r="AP32" s="1"/>
  <c r="AS32" s="1"/>
  <c r="AV32" s="1"/>
  <c r="AY32" s="1"/>
  <c r="BB32" s="1"/>
  <c r="BE32" s="1"/>
  <c r="BH32" s="1"/>
  <c r="BK32" s="1"/>
  <c r="BN32" s="1"/>
  <c r="BQ32" s="1"/>
  <c r="BT32" s="1"/>
  <c r="BW32" s="1"/>
  <c r="BZ32" s="1"/>
  <c r="AA27"/>
  <c r="AD27" s="1"/>
  <c r="AG27" s="1"/>
  <c r="AJ27" s="1"/>
  <c r="AM27" s="1"/>
  <c r="AP27" s="1"/>
  <c r="AS27" s="1"/>
  <c r="AV27" s="1"/>
  <c r="AY27" s="1"/>
  <c r="BB27" s="1"/>
  <c r="BE27" s="1"/>
  <c r="BH27" s="1"/>
  <c r="BK27" s="1"/>
  <c r="BN27" s="1"/>
  <c r="BQ27" s="1"/>
  <c r="BT27" s="1"/>
  <c r="BW27" s="1"/>
  <c r="BZ27" s="1"/>
  <c r="AA18"/>
  <c r="AD18" s="1"/>
  <c r="AG18" s="1"/>
  <c r="AJ18" s="1"/>
  <c r="AM18" s="1"/>
  <c r="AP18" s="1"/>
  <c r="AS18" s="1"/>
  <c r="AV18" s="1"/>
  <c r="AY18" s="1"/>
  <c r="BB18" s="1"/>
  <c r="BE18" s="1"/>
  <c r="BH18" s="1"/>
  <c r="BK18" s="1"/>
  <c r="BN18" s="1"/>
  <c r="BQ18" s="1"/>
  <c r="BT18" s="1"/>
  <c r="BW18" s="1"/>
  <c r="BZ18" s="1"/>
  <c r="AA14"/>
  <c r="AD14" s="1"/>
  <c r="AG14" s="1"/>
  <c r="AJ14" s="1"/>
  <c r="AM14" s="1"/>
  <c r="AP14" s="1"/>
  <c r="AS14" s="1"/>
  <c r="AV14" s="1"/>
  <c r="AY14" s="1"/>
  <c r="BB14" s="1"/>
  <c r="AA11"/>
  <c r="AD11" s="1"/>
  <c r="AG11" s="1"/>
  <c r="AJ11" s="1"/>
  <c r="AM11" s="1"/>
  <c r="AP11" s="1"/>
  <c r="AS11" s="1"/>
  <c r="AV11" s="1"/>
  <c r="AY11" s="1"/>
  <c r="BB11" s="1"/>
  <c r="BE11" s="1"/>
  <c r="BH11" s="1"/>
  <c r="BK11" s="1"/>
  <c r="BN11" s="1"/>
  <c r="BQ11" s="1"/>
  <c r="BT11" s="1"/>
  <c r="BW11" s="1"/>
  <c r="BZ11" s="1"/>
  <c r="AA16"/>
  <c r="AD16" s="1"/>
  <c r="AG16" s="1"/>
  <c r="AJ16" s="1"/>
  <c r="AM16" s="1"/>
  <c r="AP16" s="1"/>
  <c r="AS16" s="1"/>
  <c r="AV16" s="1"/>
  <c r="AY16" s="1"/>
  <c r="BB16" s="1"/>
  <c r="BE16" s="1"/>
  <c r="BH16" s="1"/>
  <c r="BK16" s="1"/>
  <c r="BN16" s="1"/>
  <c r="BQ16" s="1"/>
  <c r="BT16" s="1"/>
  <c r="BW16" s="1"/>
  <c r="BZ16" s="1"/>
  <c r="AA31"/>
  <c r="AD31" s="1"/>
  <c r="AG31" s="1"/>
  <c r="AJ31" s="1"/>
  <c r="AM31" s="1"/>
  <c r="AP31" s="1"/>
  <c r="AS31" s="1"/>
  <c r="AV31" s="1"/>
  <c r="AY31" s="1"/>
  <c r="BB31" s="1"/>
  <c r="BE31" s="1"/>
  <c r="BH31" s="1"/>
  <c r="BK31" s="1"/>
  <c r="BN31" s="1"/>
  <c r="BQ31" s="1"/>
  <c r="BT31" s="1"/>
  <c r="BW31" s="1"/>
  <c r="BZ31" s="1"/>
  <c r="AA26"/>
  <c r="AD26" s="1"/>
  <c r="AG26" s="1"/>
  <c r="AJ26" s="1"/>
  <c r="AM26" s="1"/>
  <c r="AP26" s="1"/>
  <c r="AS26" s="1"/>
  <c r="AV26" s="1"/>
  <c r="AY26" s="1"/>
  <c r="BB26" s="1"/>
  <c r="BE26" s="1"/>
  <c r="BH26" s="1"/>
  <c r="BK26" s="1"/>
  <c r="BN26" s="1"/>
  <c r="BQ26" s="1"/>
  <c r="BT26" s="1"/>
  <c r="BW26" s="1"/>
  <c r="BZ26" s="1"/>
  <c r="AA21"/>
  <c r="AD21" s="1"/>
  <c r="AG21" s="1"/>
  <c r="AJ21" s="1"/>
  <c r="AM21" s="1"/>
  <c r="AP21" s="1"/>
  <c r="AS21" s="1"/>
  <c r="AV21" s="1"/>
  <c r="AY21" s="1"/>
  <c r="BB21" s="1"/>
  <c r="BE21" s="1"/>
  <c r="BH21" s="1"/>
  <c r="BK21" s="1"/>
  <c r="BN21" s="1"/>
  <c r="BQ21" s="1"/>
  <c r="BT21" s="1"/>
  <c r="BW21" s="1"/>
  <c r="BZ21" s="1"/>
  <c r="U21" i="32"/>
  <c r="X21" s="1"/>
  <c r="W8" i="31"/>
  <c r="W17" s="1"/>
  <c r="X17" s="1"/>
  <c r="W4"/>
  <c r="W10"/>
  <c r="X10" s="1"/>
  <c r="W5"/>
  <c r="X5" s="1"/>
  <c r="W19"/>
  <c r="W33" s="1"/>
  <c r="X33" s="1"/>
  <c r="W6"/>
  <c r="X6" s="1"/>
  <c r="W12"/>
  <c r="X12" s="1"/>
  <c r="Q20"/>
  <c r="R20" s="1"/>
  <c r="U20" s="1"/>
  <c r="X20" s="1"/>
  <c r="Q13"/>
  <c r="L133" i="30"/>
  <c r="O133" s="1"/>
  <c r="R133" s="1"/>
  <c r="L123"/>
  <c r="L115"/>
  <c r="O115" s="1"/>
  <c r="R115" s="1"/>
  <c r="U115" s="1"/>
  <c r="X115" s="1"/>
  <c r="L106"/>
  <c r="O106" s="1"/>
  <c r="R106" s="1"/>
  <c r="L101"/>
  <c r="O101" s="1"/>
  <c r="R101" s="1"/>
  <c r="U101" s="1"/>
  <c r="X101" s="1"/>
  <c r="L92"/>
  <c r="O92" s="1"/>
  <c r="R92" s="1"/>
  <c r="U92" s="1"/>
  <c r="X92" s="1"/>
  <c r="L68"/>
  <c r="O68" s="1"/>
  <c r="R68" s="1"/>
  <c r="U68" s="1"/>
  <c r="X68" s="1"/>
  <c r="L135"/>
  <c r="L129"/>
  <c r="O129" s="1"/>
  <c r="R129" s="1"/>
  <c r="U129" s="1"/>
  <c r="X129" s="1"/>
  <c r="L125"/>
  <c r="O125" s="1"/>
  <c r="R125" s="1"/>
  <c r="U125" s="1"/>
  <c r="X125" s="1"/>
  <c r="L121"/>
  <c r="L117"/>
  <c r="O117" s="1"/>
  <c r="R117" s="1"/>
  <c r="U117" s="1"/>
  <c r="X117" s="1"/>
  <c r="L113"/>
  <c r="L108"/>
  <c r="O108" s="1"/>
  <c r="L104"/>
  <c r="L98"/>
  <c r="O98" s="1"/>
  <c r="R98" s="1"/>
  <c r="U98" s="1"/>
  <c r="X98" s="1"/>
  <c r="L94"/>
  <c r="L90"/>
  <c r="O90" s="1"/>
  <c r="R90" s="1"/>
  <c r="U90" s="1"/>
  <c r="X90" s="1"/>
  <c r="L86"/>
  <c r="O86" s="1"/>
  <c r="R86" s="1"/>
  <c r="U86" s="1"/>
  <c r="X86" s="1"/>
  <c r="L82"/>
  <c r="L78"/>
  <c r="O78" s="1"/>
  <c r="R78" s="1"/>
  <c r="U78" s="1"/>
  <c r="X78" s="1"/>
  <c r="L74"/>
  <c r="L70"/>
  <c r="O70" s="1"/>
  <c r="R70" s="1"/>
  <c r="L66"/>
  <c r="O66" s="1"/>
  <c r="R66" s="1"/>
  <c r="L62"/>
  <c r="O62" s="1"/>
  <c r="R62" s="1"/>
  <c r="U62" s="1"/>
  <c r="X62" s="1"/>
  <c r="L49"/>
  <c r="O49" s="1"/>
  <c r="R49" s="1"/>
  <c r="L45"/>
  <c r="O45" s="1"/>
  <c r="R45" s="1"/>
  <c r="U45" s="1"/>
  <c r="X45" s="1"/>
  <c r="L41"/>
  <c r="O41" s="1"/>
  <c r="R41" s="1"/>
  <c r="U41" s="1"/>
  <c r="X41" s="1"/>
  <c r="L37"/>
  <c r="L33"/>
  <c r="O33" s="1"/>
  <c r="R33" s="1"/>
  <c r="U33" s="1"/>
  <c r="X33" s="1"/>
  <c r="L29"/>
  <c r="L25"/>
  <c r="O25" s="1"/>
  <c r="R25" s="1"/>
  <c r="U25" s="1"/>
  <c r="X25" s="1"/>
  <c r="L21"/>
  <c r="L17"/>
  <c r="O17" s="1"/>
  <c r="R17" s="1"/>
  <c r="L13"/>
  <c r="L9"/>
  <c r="O9" s="1"/>
  <c r="R9" s="1"/>
  <c r="L5"/>
  <c r="O5" s="1"/>
  <c r="R5" s="1"/>
  <c r="U5" s="1"/>
  <c r="X5" s="1"/>
  <c r="L136"/>
  <c r="O136" s="1"/>
  <c r="R136" s="1"/>
  <c r="U136" s="1"/>
  <c r="X136" s="1"/>
  <c r="L132"/>
  <c r="O132" s="1"/>
  <c r="R132" s="1"/>
  <c r="U132" s="1"/>
  <c r="X132" s="1"/>
  <c r="L126"/>
  <c r="O126" s="1"/>
  <c r="R126" s="1"/>
  <c r="U126" s="1"/>
  <c r="X126" s="1"/>
  <c r="L122"/>
  <c r="L118"/>
  <c r="O118" s="1"/>
  <c r="R118" s="1"/>
  <c r="U118" s="1"/>
  <c r="X118" s="1"/>
  <c r="L114"/>
  <c r="L109"/>
  <c r="O109" s="1"/>
  <c r="R109" s="1"/>
  <c r="U109" s="1"/>
  <c r="X109" s="1"/>
  <c r="L105"/>
  <c r="L99"/>
  <c r="O99" s="1"/>
  <c r="R99" s="1"/>
  <c r="U99" s="1"/>
  <c r="L95"/>
  <c r="L91"/>
  <c r="L87"/>
  <c r="O87" s="1"/>
  <c r="R87" s="1"/>
  <c r="U87" s="1"/>
  <c r="X87" s="1"/>
  <c r="L83"/>
  <c r="O83" s="1"/>
  <c r="R83" s="1"/>
  <c r="L79"/>
  <c r="O79" s="1"/>
  <c r="R79" s="1"/>
  <c r="U79" s="1"/>
  <c r="X79" s="1"/>
  <c r="L75"/>
  <c r="O75" s="1"/>
  <c r="R75" s="1"/>
  <c r="U75" s="1"/>
  <c r="X75" s="1"/>
  <c r="L71"/>
  <c r="O71" s="1"/>
  <c r="R71" s="1"/>
  <c r="U71" s="1"/>
  <c r="X71" s="1"/>
  <c r="L67"/>
  <c r="O67" s="1"/>
  <c r="R67" s="1"/>
  <c r="L63"/>
  <c r="O63" s="1"/>
  <c r="R63" s="1"/>
  <c r="L58"/>
  <c r="L54"/>
  <c r="O54" s="1"/>
  <c r="R54" s="1"/>
  <c r="U54" s="1"/>
  <c r="X54" s="1"/>
  <c r="L50"/>
  <c r="O50" s="1"/>
  <c r="R50" s="1"/>
  <c r="U50" s="1"/>
  <c r="X50" s="1"/>
  <c r="L46"/>
  <c r="O46" s="1"/>
  <c r="R46" s="1"/>
  <c r="L42"/>
  <c r="L38"/>
  <c r="L34"/>
  <c r="L30"/>
  <c r="L26"/>
  <c r="L22"/>
  <c r="O22" s="1"/>
  <c r="R22" s="1"/>
  <c r="U22" s="1"/>
  <c r="X22" s="1"/>
  <c r="L18"/>
  <c r="O18" s="1"/>
  <c r="R18" s="1"/>
  <c r="L14"/>
  <c r="O14" s="1"/>
  <c r="R14" s="1"/>
  <c r="U14" s="1"/>
  <c r="X14" s="1"/>
  <c r="L10"/>
  <c r="O10" s="1"/>
  <c r="R10" s="1"/>
  <c r="L6"/>
  <c r="O6" s="1"/>
  <c r="R6" s="1"/>
  <c r="U6" s="1"/>
  <c r="X6" s="1"/>
  <c r="L137"/>
  <c r="O137" s="1"/>
  <c r="R137" s="1"/>
  <c r="L127"/>
  <c r="O127" s="1"/>
  <c r="R127" s="1"/>
  <c r="U127" s="1"/>
  <c r="X127" s="1"/>
  <c r="L119"/>
  <c r="O119" s="1"/>
  <c r="R119" s="1"/>
  <c r="U119" s="1"/>
  <c r="X119" s="1"/>
  <c r="L110"/>
  <c r="O110" s="1"/>
  <c r="R110" s="1"/>
  <c r="U110" s="1"/>
  <c r="X110" s="1"/>
  <c r="L96"/>
  <c r="L88"/>
  <c r="L84"/>
  <c r="O84" s="1"/>
  <c r="R84" s="1"/>
  <c r="U84" s="1"/>
  <c r="X84" s="1"/>
  <c r="L80"/>
  <c r="O80" s="1"/>
  <c r="R80" s="1"/>
  <c r="U80" s="1"/>
  <c r="X80" s="1"/>
  <c r="L76"/>
  <c r="O76" s="1"/>
  <c r="L72"/>
  <c r="O72" s="1"/>
  <c r="R72" s="1"/>
  <c r="U72" s="1"/>
  <c r="X72" s="1"/>
  <c r="L64"/>
  <c r="O64" s="1"/>
  <c r="R64" s="1"/>
  <c r="U64" s="1"/>
  <c r="X64" s="1"/>
  <c r="L59"/>
  <c r="O59" s="1"/>
  <c r="R59" s="1"/>
  <c r="U59" s="1"/>
  <c r="X59" s="1"/>
  <c r="L55"/>
  <c r="L51"/>
  <c r="O51" s="1"/>
  <c r="R51" s="1"/>
  <c r="U51" s="1"/>
  <c r="X51" s="1"/>
  <c r="L47"/>
  <c r="O47" s="1"/>
  <c r="R47" s="1"/>
  <c r="L43"/>
  <c r="L39"/>
  <c r="O39" s="1"/>
  <c r="R39" s="1"/>
  <c r="L35"/>
  <c r="L31"/>
  <c r="O31" s="1"/>
  <c r="R31" s="1"/>
  <c r="U31" s="1"/>
  <c r="X31" s="1"/>
  <c r="L27"/>
  <c r="L23"/>
  <c r="L19"/>
  <c r="O19" s="1"/>
  <c r="R19" s="1"/>
  <c r="U19" s="1"/>
  <c r="X19" s="1"/>
  <c r="L15"/>
  <c r="O15" s="1"/>
  <c r="R15" s="1"/>
  <c r="U15" s="1"/>
  <c r="X15" s="1"/>
  <c r="L11"/>
  <c r="O11" s="1"/>
  <c r="R11" s="1"/>
  <c r="U11" s="1"/>
  <c r="X11" s="1"/>
  <c r="L7"/>
  <c r="O7" s="1"/>
  <c r="R7" s="1"/>
  <c r="U7" s="1"/>
  <c r="X7" s="1"/>
  <c r="L60"/>
  <c r="O60" s="1"/>
  <c r="R60" s="1"/>
  <c r="U60" s="1"/>
  <c r="X60" s="1"/>
  <c r="L134"/>
  <c r="L128"/>
  <c r="O128" s="1"/>
  <c r="R128" s="1"/>
  <c r="U128" s="1"/>
  <c r="X128" s="1"/>
  <c r="L124"/>
  <c r="L120"/>
  <c r="O120" s="1"/>
  <c r="R120" s="1"/>
  <c r="U120" s="1"/>
  <c r="X120" s="1"/>
  <c r="L116"/>
  <c r="O116" s="1"/>
  <c r="R116" s="1"/>
  <c r="U116" s="1"/>
  <c r="X116" s="1"/>
  <c r="L111"/>
  <c r="O111" s="1"/>
  <c r="R111" s="1"/>
  <c r="U111" s="1"/>
  <c r="X111" s="1"/>
  <c r="L107"/>
  <c r="O107" s="1"/>
  <c r="R107" s="1"/>
  <c r="U107" s="1"/>
  <c r="X107" s="1"/>
  <c r="L103"/>
  <c r="O103" s="1"/>
  <c r="R103" s="1"/>
  <c r="L97"/>
  <c r="O97" s="1"/>
  <c r="R97" s="1"/>
  <c r="U97" s="1"/>
  <c r="L93"/>
  <c r="O93" s="1"/>
  <c r="R93" s="1"/>
  <c r="L89"/>
  <c r="L85"/>
  <c r="O85" s="1"/>
  <c r="R85" s="1"/>
  <c r="U85" s="1"/>
  <c r="X85" s="1"/>
  <c r="L81"/>
  <c r="O81" s="1"/>
  <c r="R81" s="1"/>
  <c r="U81" s="1"/>
  <c r="X81" s="1"/>
  <c r="L77"/>
  <c r="L73"/>
  <c r="L69"/>
  <c r="O69" s="1"/>
  <c r="R69" s="1"/>
  <c r="U69" s="1"/>
  <c r="X69" s="1"/>
  <c r="L65"/>
  <c r="O65" s="1"/>
  <c r="R65" s="1"/>
  <c r="U65" s="1"/>
  <c r="L61"/>
  <c r="L56"/>
  <c r="L52"/>
  <c r="O52" s="1"/>
  <c r="R52" s="1"/>
  <c r="L48"/>
  <c r="L44"/>
  <c r="L40"/>
  <c r="O40" s="1"/>
  <c r="R40" s="1"/>
  <c r="U40" s="1"/>
  <c r="X40" s="1"/>
  <c r="L36"/>
  <c r="O36" s="1"/>
  <c r="R36" s="1"/>
  <c r="L32"/>
  <c r="O32" s="1"/>
  <c r="R32" s="1"/>
  <c r="U32" s="1"/>
  <c r="X32" s="1"/>
  <c r="L28"/>
  <c r="O28" s="1"/>
  <c r="R28" s="1"/>
  <c r="U28" s="1"/>
  <c r="X28" s="1"/>
  <c r="L24"/>
  <c r="L20"/>
  <c r="L16"/>
  <c r="O16" s="1"/>
  <c r="R16" s="1"/>
  <c r="U16" s="1"/>
  <c r="X16" s="1"/>
  <c r="L12"/>
  <c r="L8"/>
  <c r="O8" s="1"/>
  <c r="R8" s="1"/>
  <c r="U8" s="1"/>
  <c r="X8" s="1"/>
  <c r="O26" i="32"/>
  <c r="R26" s="1"/>
  <c r="U26" s="1"/>
  <c r="O4" i="30"/>
  <c r="R4" s="1"/>
  <c r="U4" s="1"/>
  <c r="X4" s="1"/>
  <c r="I39" i="29"/>
  <c r="I2"/>
  <c r="I7" s="1"/>
  <c r="L19" i="28"/>
  <c r="I21"/>
  <c r="I2"/>
  <c r="L2" s="1"/>
  <c r="N49" i="24"/>
  <c r="Q35" i="26"/>
  <c r="Z33" i="22"/>
  <c r="F47" i="28"/>
  <c r="BY777" i="30" l="1"/>
  <c r="BZ777" s="1"/>
  <c r="BZ739"/>
  <c r="I876"/>
  <c r="K876"/>
  <c r="BP50" i="31"/>
  <c r="BP72" s="1"/>
  <c r="BQ72" s="1"/>
  <c r="BT72" s="1"/>
  <c r="BW72" s="1"/>
  <c r="BZ72" s="1"/>
  <c r="R11" i="32"/>
  <c r="O3" i="31"/>
  <c r="L105"/>
  <c r="AG36"/>
  <c r="L876" i="30"/>
  <c r="X12" i="32"/>
  <c r="BE14" i="31"/>
  <c r="BH14" s="1"/>
  <c r="BK14" s="1"/>
  <c r="BN14" s="1"/>
  <c r="BQ14" s="1"/>
  <c r="BT14" s="1"/>
  <c r="BW14" s="1"/>
  <c r="BZ14" s="1"/>
  <c r="O3" i="30"/>
  <c r="AS42" i="32"/>
  <c r="AV42" s="1"/>
  <c r="AY42" s="1"/>
  <c r="BB42" s="1"/>
  <c r="BE42" s="1"/>
  <c r="BH42" s="1"/>
  <c r="BK42" s="1"/>
  <c r="BN42" s="1"/>
  <c r="BQ42" s="1"/>
  <c r="BT42" s="1"/>
  <c r="BW42" s="1"/>
  <c r="BZ42" s="1"/>
  <c r="AR66"/>
  <c r="AS66" s="1"/>
  <c r="AV66" s="1"/>
  <c r="AY66" s="1"/>
  <c r="BB66" s="1"/>
  <c r="BE66" s="1"/>
  <c r="AS3"/>
  <c r="AM10"/>
  <c r="AA33" i="31"/>
  <c r="AD33" s="1"/>
  <c r="AG33" s="1"/>
  <c r="AJ33" s="1"/>
  <c r="AM33" s="1"/>
  <c r="AP33" s="1"/>
  <c r="AS33" s="1"/>
  <c r="AV33" s="1"/>
  <c r="AY33" s="1"/>
  <c r="BB33" s="1"/>
  <c r="BE33" s="1"/>
  <c r="BH33" s="1"/>
  <c r="BK33" s="1"/>
  <c r="BN33" s="1"/>
  <c r="BQ33" s="1"/>
  <c r="BT33" s="1"/>
  <c r="BW33" s="1"/>
  <c r="BZ33" s="1"/>
  <c r="AA17"/>
  <c r="AD17" s="1"/>
  <c r="AG17" s="1"/>
  <c r="AJ17" s="1"/>
  <c r="AM17" s="1"/>
  <c r="AP17" s="1"/>
  <c r="AS17" s="1"/>
  <c r="AV17" s="1"/>
  <c r="AY17" s="1"/>
  <c r="BB17" s="1"/>
  <c r="BE17" s="1"/>
  <c r="BH17" s="1"/>
  <c r="BK17" s="1"/>
  <c r="BN17" s="1"/>
  <c r="BQ17" s="1"/>
  <c r="BT17" s="1"/>
  <c r="BW17" s="1"/>
  <c r="BZ17" s="1"/>
  <c r="AA6"/>
  <c r="AD6" s="1"/>
  <c r="AG6" s="1"/>
  <c r="AJ6" s="1"/>
  <c r="AM6" s="1"/>
  <c r="AA12"/>
  <c r="AD12" s="1"/>
  <c r="AG12" s="1"/>
  <c r="AJ12" s="1"/>
  <c r="AM12" s="1"/>
  <c r="AP12" s="1"/>
  <c r="AS12" s="1"/>
  <c r="AV12" s="1"/>
  <c r="AY12" s="1"/>
  <c r="BB12" s="1"/>
  <c r="BE12" s="1"/>
  <c r="BH12" s="1"/>
  <c r="BK12" s="1"/>
  <c r="BN12" s="1"/>
  <c r="BQ12" s="1"/>
  <c r="BT12" s="1"/>
  <c r="BW12" s="1"/>
  <c r="BZ12" s="1"/>
  <c r="AA10"/>
  <c r="AD10" s="1"/>
  <c r="AG10" s="1"/>
  <c r="AJ10" s="1"/>
  <c r="AM10" s="1"/>
  <c r="AP10" s="1"/>
  <c r="AS10" s="1"/>
  <c r="AV10" s="1"/>
  <c r="AY10" s="1"/>
  <c r="BB10" s="1"/>
  <c r="BE10" s="1"/>
  <c r="BH10" s="1"/>
  <c r="BK10" s="1"/>
  <c r="BN10" s="1"/>
  <c r="BQ10" s="1"/>
  <c r="BT10" s="1"/>
  <c r="BW10" s="1"/>
  <c r="BZ10" s="1"/>
  <c r="AA20"/>
  <c r="AD20" s="1"/>
  <c r="AG20" s="1"/>
  <c r="AJ20" s="1"/>
  <c r="AM20" s="1"/>
  <c r="AP20" s="1"/>
  <c r="AS20" s="1"/>
  <c r="AV20" s="1"/>
  <c r="AY20" s="1"/>
  <c r="BB20" s="1"/>
  <c r="BE20" s="1"/>
  <c r="BH20" s="1"/>
  <c r="BK20" s="1"/>
  <c r="BN20" s="1"/>
  <c r="BQ20" s="1"/>
  <c r="BT20" s="1"/>
  <c r="BW20" s="1"/>
  <c r="BZ20" s="1"/>
  <c r="AA5"/>
  <c r="AD5" s="1"/>
  <c r="AG5" s="1"/>
  <c r="AJ5" s="1"/>
  <c r="AM5" s="1"/>
  <c r="AP5" s="1"/>
  <c r="AS5" s="1"/>
  <c r="AV5" s="1"/>
  <c r="AY5" s="1"/>
  <c r="BB5" s="1"/>
  <c r="BE5" s="1"/>
  <c r="BH5" s="1"/>
  <c r="BK5" s="1"/>
  <c r="BN5" s="1"/>
  <c r="BQ5" s="1"/>
  <c r="BT5" s="1"/>
  <c r="BW5" s="1"/>
  <c r="BZ5" s="1"/>
  <c r="AD19" i="30"/>
  <c r="AG19" s="1"/>
  <c r="AJ19" s="1"/>
  <c r="AM19" s="1"/>
  <c r="AP19" s="1"/>
  <c r="AS19" s="1"/>
  <c r="AV19" s="1"/>
  <c r="AY19" s="1"/>
  <c r="BB19" s="1"/>
  <c r="BE19" s="1"/>
  <c r="BH19" s="1"/>
  <c r="BK19" s="1"/>
  <c r="BN19" s="1"/>
  <c r="AD62"/>
  <c r="AG62" s="1"/>
  <c r="AJ62" s="1"/>
  <c r="AM62" s="1"/>
  <c r="AP62" s="1"/>
  <c r="AS62" s="1"/>
  <c r="AV62" s="1"/>
  <c r="AY62" s="1"/>
  <c r="BB62" s="1"/>
  <c r="BE62" s="1"/>
  <c r="BH62" s="1"/>
  <c r="BK62" s="1"/>
  <c r="BN62" s="1"/>
  <c r="AD101"/>
  <c r="AG101" s="1"/>
  <c r="AJ101" s="1"/>
  <c r="AM101" s="1"/>
  <c r="AP101" s="1"/>
  <c r="AS101" s="1"/>
  <c r="AV101" s="1"/>
  <c r="AY101" s="1"/>
  <c r="BB101" s="1"/>
  <c r="BE101" s="1"/>
  <c r="BH101" s="1"/>
  <c r="BK101" s="1"/>
  <c r="BN101" s="1"/>
  <c r="AD90"/>
  <c r="AG90" s="1"/>
  <c r="AJ90" s="1"/>
  <c r="AM90" s="1"/>
  <c r="AP90" s="1"/>
  <c r="AS90" s="1"/>
  <c r="AV90" s="1"/>
  <c r="AY90" s="1"/>
  <c r="BB90" s="1"/>
  <c r="BE90" s="1"/>
  <c r="BH90" s="1"/>
  <c r="BK90" s="1"/>
  <c r="BN90" s="1"/>
  <c r="AD14"/>
  <c r="AG14" s="1"/>
  <c r="AJ14" s="1"/>
  <c r="AM14" s="1"/>
  <c r="AP14" s="1"/>
  <c r="AS14" s="1"/>
  <c r="AV14" s="1"/>
  <c r="AY14" s="1"/>
  <c r="BB14" s="1"/>
  <c r="BE14" s="1"/>
  <c r="BH14" s="1"/>
  <c r="BK14" s="1"/>
  <c r="BN14" s="1"/>
  <c r="AD4"/>
  <c r="AG4" s="1"/>
  <c r="AJ4" s="1"/>
  <c r="AM4" s="1"/>
  <c r="AP4" s="1"/>
  <c r="AS4" s="1"/>
  <c r="AV4" s="1"/>
  <c r="AD28"/>
  <c r="AG28" s="1"/>
  <c r="AJ28" s="1"/>
  <c r="AM28" s="1"/>
  <c r="AP28" s="1"/>
  <c r="AS28" s="1"/>
  <c r="AV28" s="1"/>
  <c r="AY28" s="1"/>
  <c r="BB28" s="1"/>
  <c r="BE28" s="1"/>
  <c r="BH28" s="1"/>
  <c r="BK28" s="1"/>
  <c r="BN28" s="1"/>
  <c r="AA6"/>
  <c r="AA5"/>
  <c r="AC5" s="1"/>
  <c r="AA69"/>
  <c r="AD69" s="1"/>
  <c r="AG69" s="1"/>
  <c r="AJ69" s="1"/>
  <c r="AM69" s="1"/>
  <c r="AP69" s="1"/>
  <c r="AS69" s="1"/>
  <c r="AV69" s="1"/>
  <c r="AY69" s="1"/>
  <c r="BB69" s="1"/>
  <c r="BE69" s="1"/>
  <c r="BH69" s="1"/>
  <c r="BK69" s="1"/>
  <c r="BN69" s="1"/>
  <c r="AA45"/>
  <c r="AD45" s="1"/>
  <c r="AG45" s="1"/>
  <c r="AJ45" s="1"/>
  <c r="AM45" s="1"/>
  <c r="AP45" s="1"/>
  <c r="AS45" s="1"/>
  <c r="AV45" s="1"/>
  <c r="AY45" s="1"/>
  <c r="BB45" s="1"/>
  <c r="BE45" s="1"/>
  <c r="BH45" s="1"/>
  <c r="BK45" s="1"/>
  <c r="BN45" s="1"/>
  <c r="AA78"/>
  <c r="AD78" s="1"/>
  <c r="AG78" s="1"/>
  <c r="AJ78" s="1"/>
  <c r="AM78" s="1"/>
  <c r="AP78" s="1"/>
  <c r="AS78" s="1"/>
  <c r="AV78" s="1"/>
  <c r="AY78" s="1"/>
  <c r="BB78" s="1"/>
  <c r="BE78" s="1"/>
  <c r="BH78" s="1"/>
  <c r="BK78" s="1"/>
  <c r="BN78" s="1"/>
  <c r="AA16"/>
  <c r="AD16" s="1"/>
  <c r="AG16" s="1"/>
  <c r="AJ16" s="1"/>
  <c r="AA81"/>
  <c r="AD81" s="1"/>
  <c r="AG81" s="1"/>
  <c r="AJ81" s="1"/>
  <c r="AA84"/>
  <c r="AD84" s="1"/>
  <c r="AG84" s="1"/>
  <c r="AJ84" s="1"/>
  <c r="AM84" s="1"/>
  <c r="AP84" s="1"/>
  <c r="AS84" s="1"/>
  <c r="AV84" s="1"/>
  <c r="AY84" s="1"/>
  <c r="BB84" s="1"/>
  <c r="BE84" s="1"/>
  <c r="BH84" s="1"/>
  <c r="BK84" s="1"/>
  <c r="BN84" s="1"/>
  <c r="AA75"/>
  <c r="AD75" s="1"/>
  <c r="AG75" s="1"/>
  <c r="AJ75" s="1"/>
  <c r="AM75" s="1"/>
  <c r="AP75" s="1"/>
  <c r="AS75" s="1"/>
  <c r="AV75" s="1"/>
  <c r="AY75" s="1"/>
  <c r="BB75" s="1"/>
  <c r="BE75" s="1"/>
  <c r="BH75" s="1"/>
  <c r="BK75" s="1"/>
  <c r="BN75" s="1"/>
  <c r="AA25"/>
  <c r="AD25" s="1"/>
  <c r="AG25" s="1"/>
  <c r="AJ25" s="1"/>
  <c r="AM25" s="1"/>
  <c r="AP25" s="1"/>
  <c r="AS25" s="1"/>
  <c r="AV25" s="1"/>
  <c r="AY25" s="1"/>
  <c r="BB25" s="1"/>
  <c r="BE25" s="1"/>
  <c r="BH25" s="1"/>
  <c r="BK25" s="1"/>
  <c r="BN25" s="1"/>
  <c r="AA57"/>
  <c r="AD57" s="1"/>
  <c r="AG57" s="1"/>
  <c r="AJ57" s="1"/>
  <c r="AM57" s="1"/>
  <c r="AP57" s="1"/>
  <c r="AS57" s="1"/>
  <c r="AV57" s="1"/>
  <c r="AY57" s="1"/>
  <c r="BB57" s="1"/>
  <c r="BE57" s="1"/>
  <c r="BH57" s="1"/>
  <c r="BK57" s="1"/>
  <c r="BN57" s="1"/>
  <c r="AA92"/>
  <c r="AD92" s="1"/>
  <c r="AG92" s="1"/>
  <c r="AJ92" s="1"/>
  <c r="AM92" s="1"/>
  <c r="AP92" s="1"/>
  <c r="AS92" s="1"/>
  <c r="AV92" s="1"/>
  <c r="AY92" s="1"/>
  <c r="BB92" s="1"/>
  <c r="BE92" s="1"/>
  <c r="BH92" s="1"/>
  <c r="BK92" s="1"/>
  <c r="BN92" s="1"/>
  <c r="AA128"/>
  <c r="AD128" s="1"/>
  <c r="AG128" s="1"/>
  <c r="AJ128" s="1"/>
  <c r="AM128" s="1"/>
  <c r="AP128" s="1"/>
  <c r="AS128" s="1"/>
  <c r="AV128" s="1"/>
  <c r="AY128" s="1"/>
  <c r="BB128" s="1"/>
  <c r="BE128" s="1"/>
  <c r="BH128" s="1"/>
  <c r="BK128" s="1"/>
  <c r="BN128" s="1"/>
  <c r="AA11"/>
  <c r="AD11" s="1"/>
  <c r="AG11" s="1"/>
  <c r="AJ11" s="1"/>
  <c r="AA59"/>
  <c r="AD59" s="1"/>
  <c r="AG59" s="1"/>
  <c r="AJ59" s="1"/>
  <c r="AM59" s="1"/>
  <c r="AP59" s="1"/>
  <c r="AS59" s="1"/>
  <c r="AV59" s="1"/>
  <c r="AY59" s="1"/>
  <c r="BB59" s="1"/>
  <c r="BE59" s="1"/>
  <c r="BH59" s="1"/>
  <c r="BK59" s="1"/>
  <c r="BN59" s="1"/>
  <c r="AA80"/>
  <c r="AD80" s="1"/>
  <c r="AG80" s="1"/>
  <c r="AJ80" s="1"/>
  <c r="AM80" s="1"/>
  <c r="AP80" s="1"/>
  <c r="AS80" s="1"/>
  <c r="AV80" s="1"/>
  <c r="AY80" s="1"/>
  <c r="BB80" s="1"/>
  <c r="BE80" s="1"/>
  <c r="BH80" s="1"/>
  <c r="BK80" s="1"/>
  <c r="BN80" s="1"/>
  <c r="AA22"/>
  <c r="AD22" s="1"/>
  <c r="AG22" s="1"/>
  <c r="AJ22" s="1"/>
  <c r="AM22" s="1"/>
  <c r="AP22" s="1"/>
  <c r="AS22" s="1"/>
  <c r="AV22" s="1"/>
  <c r="AY22" s="1"/>
  <c r="BB22" s="1"/>
  <c r="BE22" s="1"/>
  <c r="BH22" s="1"/>
  <c r="BK22" s="1"/>
  <c r="BN22" s="1"/>
  <c r="AA54"/>
  <c r="AD54" s="1"/>
  <c r="AG54" s="1"/>
  <c r="AJ54" s="1"/>
  <c r="AM54" s="1"/>
  <c r="AP54" s="1"/>
  <c r="AS54" s="1"/>
  <c r="AV54" s="1"/>
  <c r="AY54" s="1"/>
  <c r="BB54" s="1"/>
  <c r="BE54" s="1"/>
  <c r="BH54" s="1"/>
  <c r="BK54" s="1"/>
  <c r="BN54" s="1"/>
  <c r="AA87"/>
  <c r="AD87" s="1"/>
  <c r="AG87" s="1"/>
  <c r="AJ87" s="1"/>
  <c r="AM87" s="1"/>
  <c r="AP87" s="1"/>
  <c r="AS87" s="1"/>
  <c r="AV87" s="1"/>
  <c r="AY87" s="1"/>
  <c r="BB87" s="1"/>
  <c r="BE87" s="1"/>
  <c r="BH87" s="1"/>
  <c r="BK87" s="1"/>
  <c r="BN87" s="1"/>
  <c r="AA68"/>
  <c r="AD68" s="1"/>
  <c r="AG68" s="1"/>
  <c r="AJ68" s="1"/>
  <c r="AM68" s="1"/>
  <c r="AP68" s="1"/>
  <c r="AS68" s="1"/>
  <c r="AV68" s="1"/>
  <c r="AY68" s="1"/>
  <c r="BB68" s="1"/>
  <c r="BE68" s="1"/>
  <c r="BH68" s="1"/>
  <c r="BK68" s="1"/>
  <c r="BN68" s="1"/>
  <c r="AA115"/>
  <c r="AD115" s="1"/>
  <c r="AG115" s="1"/>
  <c r="AJ115" s="1"/>
  <c r="AM115" s="1"/>
  <c r="AP115" s="1"/>
  <c r="AS115" s="1"/>
  <c r="AV115" s="1"/>
  <c r="AX115" s="1"/>
  <c r="AA120"/>
  <c r="AD120" s="1"/>
  <c r="AG120" s="1"/>
  <c r="AJ120" s="1"/>
  <c r="AM120" s="1"/>
  <c r="AP120" s="1"/>
  <c r="AS120" s="1"/>
  <c r="AV120" s="1"/>
  <c r="AA60"/>
  <c r="AD60" s="1"/>
  <c r="AG60" s="1"/>
  <c r="AJ60" s="1"/>
  <c r="AM60" s="1"/>
  <c r="AP60" s="1"/>
  <c r="AS60" s="1"/>
  <c r="AV60" s="1"/>
  <c r="AY60" s="1"/>
  <c r="BB60" s="1"/>
  <c r="BE60" s="1"/>
  <c r="BH60" s="1"/>
  <c r="BK60" s="1"/>
  <c r="BN60" s="1"/>
  <c r="AA79"/>
  <c r="AD79" s="1"/>
  <c r="AG79" s="1"/>
  <c r="AJ79" s="1"/>
  <c r="AA132"/>
  <c r="AD132" s="1"/>
  <c r="AG132" s="1"/>
  <c r="AJ132" s="1"/>
  <c r="AM132" s="1"/>
  <c r="AP132" s="1"/>
  <c r="AS132" s="1"/>
  <c r="AV132" s="1"/>
  <c r="AY132" s="1"/>
  <c r="BB132" s="1"/>
  <c r="BE132" s="1"/>
  <c r="BH132" s="1"/>
  <c r="BK132" s="1"/>
  <c r="BN132" s="1"/>
  <c r="AA129"/>
  <c r="AD129" s="1"/>
  <c r="AG129" s="1"/>
  <c r="AJ129" s="1"/>
  <c r="AM129" s="1"/>
  <c r="AP129" s="1"/>
  <c r="AS129" s="1"/>
  <c r="AV129" s="1"/>
  <c r="AY129" s="1"/>
  <c r="BB129" s="1"/>
  <c r="BE129" s="1"/>
  <c r="BH129" s="1"/>
  <c r="BK129" s="1"/>
  <c r="BN129" s="1"/>
  <c r="AA32"/>
  <c r="AD32" s="1"/>
  <c r="AG32" s="1"/>
  <c r="AJ32" s="1"/>
  <c r="AA116"/>
  <c r="AD116" s="1"/>
  <c r="AG116" s="1"/>
  <c r="AJ116" s="1"/>
  <c r="AM116" s="1"/>
  <c r="AP116" s="1"/>
  <c r="AS116" s="1"/>
  <c r="AV116" s="1"/>
  <c r="AA15"/>
  <c r="AD15" s="1"/>
  <c r="AG15" s="1"/>
  <c r="AJ15" s="1"/>
  <c r="AA119"/>
  <c r="AD119" s="1"/>
  <c r="AG119" s="1"/>
  <c r="AJ119" s="1"/>
  <c r="AM119" s="1"/>
  <c r="AP119" s="1"/>
  <c r="AS119" s="1"/>
  <c r="AV119" s="1"/>
  <c r="AY119" s="1"/>
  <c r="BB119" s="1"/>
  <c r="BE119" s="1"/>
  <c r="BH119" s="1"/>
  <c r="BK119" s="1"/>
  <c r="BN119" s="1"/>
  <c r="AA125"/>
  <c r="AD125" s="1"/>
  <c r="AG125" s="1"/>
  <c r="AJ125" s="1"/>
  <c r="AM125" s="1"/>
  <c r="AP125" s="1"/>
  <c r="AS125" s="1"/>
  <c r="AV125" s="1"/>
  <c r="AY125" s="1"/>
  <c r="BB125" s="1"/>
  <c r="BE125" s="1"/>
  <c r="BH125" s="1"/>
  <c r="BK125" s="1"/>
  <c r="BN125" s="1"/>
  <c r="AA8"/>
  <c r="AD8" s="1"/>
  <c r="AG8" s="1"/>
  <c r="AJ8" s="1"/>
  <c r="AM8" s="1"/>
  <c r="AP8" s="1"/>
  <c r="AS8" s="1"/>
  <c r="AV8" s="1"/>
  <c r="AY8" s="1"/>
  <c r="BB8" s="1"/>
  <c r="BE8" s="1"/>
  <c r="BH8" s="1"/>
  <c r="BK8" s="1"/>
  <c r="BN8" s="1"/>
  <c r="AA107"/>
  <c r="AD107" s="1"/>
  <c r="AG107" s="1"/>
  <c r="AJ107" s="1"/>
  <c r="AM107" s="1"/>
  <c r="AP107" s="1"/>
  <c r="AS107" s="1"/>
  <c r="AV107" s="1"/>
  <c r="AY107" s="1"/>
  <c r="BB107" s="1"/>
  <c r="BE107" s="1"/>
  <c r="BH107" s="1"/>
  <c r="BK107" s="1"/>
  <c r="BN107" s="1"/>
  <c r="AA7"/>
  <c r="AD7" s="1"/>
  <c r="AG7" s="1"/>
  <c r="AJ7" s="1"/>
  <c r="AM7" s="1"/>
  <c r="AP7" s="1"/>
  <c r="AS7" s="1"/>
  <c r="AV7" s="1"/>
  <c r="AY7" s="1"/>
  <c r="BB7" s="1"/>
  <c r="BE7" s="1"/>
  <c r="BH7" s="1"/>
  <c r="BK7" s="1"/>
  <c r="BN7" s="1"/>
  <c r="AA50"/>
  <c r="AD50" s="1"/>
  <c r="AG50" s="1"/>
  <c r="AJ50" s="1"/>
  <c r="AM50" s="1"/>
  <c r="AP50" s="1"/>
  <c r="AS50" s="1"/>
  <c r="AV50" s="1"/>
  <c r="AY50" s="1"/>
  <c r="BB50" s="1"/>
  <c r="BE50" s="1"/>
  <c r="BH50" s="1"/>
  <c r="BK50" s="1"/>
  <c r="BN50" s="1"/>
  <c r="AA118"/>
  <c r="AD118" s="1"/>
  <c r="AG118" s="1"/>
  <c r="AJ118" s="1"/>
  <c r="AM118" s="1"/>
  <c r="AP118" s="1"/>
  <c r="AS118" s="1"/>
  <c r="AV118" s="1"/>
  <c r="AA136"/>
  <c r="AD136" s="1"/>
  <c r="AG136" s="1"/>
  <c r="AJ136" s="1"/>
  <c r="AA33"/>
  <c r="AD33" s="1"/>
  <c r="AG33" s="1"/>
  <c r="AJ33" s="1"/>
  <c r="AM33" s="1"/>
  <c r="AP33" s="1"/>
  <c r="AS33" s="1"/>
  <c r="AV33" s="1"/>
  <c r="AY33" s="1"/>
  <c r="BB33" s="1"/>
  <c r="BE33" s="1"/>
  <c r="BH33" s="1"/>
  <c r="BK33" s="1"/>
  <c r="BN33" s="1"/>
  <c r="AA117"/>
  <c r="Z127"/>
  <c r="Z181" s="1"/>
  <c r="Z64"/>
  <c r="AA64" s="1"/>
  <c r="Z98"/>
  <c r="AA21" i="32"/>
  <c r="AD21" s="1"/>
  <c r="AG21" s="1"/>
  <c r="W26"/>
  <c r="W184" s="1"/>
  <c r="Z72" i="30"/>
  <c r="Z111" s="1"/>
  <c r="Z85"/>
  <c r="AA85" s="1"/>
  <c r="Z41"/>
  <c r="AA41" s="1"/>
  <c r="Z71"/>
  <c r="Z86"/>
  <c r="Z51"/>
  <c r="Z31"/>
  <c r="Z109"/>
  <c r="Z40"/>
  <c r="W97"/>
  <c r="X97" s="1"/>
  <c r="W65"/>
  <c r="W99"/>
  <c r="X99" s="1"/>
  <c r="X8" i="31"/>
  <c r="W23"/>
  <c r="X23" s="1"/>
  <c r="X4"/>
  <c r="X19"/>
  <c r="W25"/>
  <c r="X25" s="1"/>
  <c r="T70" i="30"/>
  <c r="U70" s="1"/>
  <c r="X70" s="1"/>
  <c r="T83"/>
  <c r="U83" s="1"/>
  <c r="X83" s="1"/>
  <c r="T49"/>
  <c r="U49" s="1"/>
  <c r="X49" s="1"/>
  <c r="T18"/>
  <c r="U18" s="1"/>
  <c r="X18" s="1"/>
  <c r="T10"/>
  <c r="T9"/>
  <c r="T63"/>
  <c r="T93" s="1"/>
  <c r="U93" s="1"/>
  <c r="X93" s="1"/>
  <c r="T106"/>
  <c r="T137" s="1"/>
  <c r="U137" s="1"/>
  <c r="T66"/>
  <c r="T39"/>
  <c r="U39" s="1"/>
  <c r="X39" s="1"/>
  <c r="T36"/>
  <c r="T46"/>
  <c r="U46" s="1"/>
  <c r="X46" s="1"/>
  <c r="T103"/>
  <c r="T207" s="1"/>
  <c r="Q24" i="31"/>
  <c r="R24" s="1"/>
  <c r="U24" s="1"/>
  <c r="X24" s="1"/>
  <c r="R13"/>
  <c r="U13" s="1"/>
  <c r="X13" s="1"/>
  <c r="Q76" i="30"/>
  <c r="N91"/>
  <c r="O91" s="1"/>
  <c r="R91" s="1"/>
  <c r="U91" s="1"/>
  <c r="X91" s="1"/>
  <c r="N123"/>
  <c r="O123" s="1"/>
  <c r="R123" s="1"/>
  <c r="U123" s="1"/>
  <c r="X123" s="1"/>
  <c r="N61"/>
  <c r="O61" s="1"/>
  <c r="R61" s="1"/>
  <c r="U61" s="1"/>
  <c r="X61" s="1"/>
  <c r="N77"/>
  <c r="O77" s="1"/>
  <c r="R77" s="1"/>
  <c r="U77" s="1"/>
  <c r="X77" s="1"/>
  <c r="N122"/>
  <c r="O122" s="1"/>
  <c r="R122" s="1"/>
  <c r="U122" s="1"/>
  <c r="X122" s="1"/>
  <c r="N121"/>
  <c r="O121" s="1"/>
  <c r="R121" s="1"/>
  <c r="U121" s="1"/>
  <c r="X121" s="1"/>
  <c r="Q108"/>
  <c r="N20"/>
  <c r="N35"/>
  <c r="O35" s="1"/>
  <c r="R35" s="1"/>
  <c r="U35" s="1"/>
  <c r="X35" s="1"/>
  <c r="N30"/>
  <c r="O30" s="1"/>
  <c r="R30" s="1"/>
  <c r="U30" s="1"/>
  <c r="X30" s="1"/>
  <c r="N29"/>
  <c r="O29" s="1"/>
  <c r="R29" s="1"/>
  <c r="U29" s="1"/>
  <c r="X29" s="1"/>
  <c r="N113"/>
  <c r="O113" s="1"/>
  <c r="R113" s="1"/>
  <c r="U113" s="1"/>
  <c r="X113" s="1"/>
  <c r="N42"/>
  <c r="O42" s="1"/>
  <c r="R42" s="1"/>
  <c r="U42" s="1"/>
  <c r="X42" s="1"/>
  <c r="N114"/>
  <c r="O114" s="1"/>
  <c r="R114" s="1"/>
  <c r="U114" s="1"/>
  <c r="X114" s="1"/>
  <c r="N43"/>
  <c r="O43" s="1"/>
  <c r="R43" s="1"/>
  <c r="U43" s="1"/>
  <c r="X43" s="1"/>
  <c r="N38"/>
  <c r="O38" s="1"/>
  <c r="R38" s="1"/>
  <c r="U38" s="1"/>
  <c r="X38" s="1"/>
  <c r="N105"/>
  <c r="O105" s="1"/>
  <c r="R105" s="1"/>
  <c r="U105" s="1"/>
  <c r="X105" s="1"/>
  <c r="N21"/>
  <c r="O21" s="1"/>
  <c r="R21" s="1"/>
  <c r="U21" s="1"/>
  <c r="X21" s="1"/>
  <c r="N37"/>
  <c r="O37" s="1"/>
  <c r="R37" s="1"/>
  <c r="U37" s="1"/>
  <c r="X37" s="1"/>
  <c r="N104"/>
  <c r="O104" s="1"/>
  <c r="R104" s="1"/>
  <c r="U104" s="1"/>
  <c r="X104" s="1"/>
  <c r="N24"/>
  <c r="O24" s="1"/>
  <c r="R24" s="1"/>
  <c r="U24" s="1"/>
  <c r="X24" s="1"/>
  <c r="N56"/>
  <c r="O56" s="1"/>
  <c r="R56" s="1"/>
  <c r="U56" s="1"/>
  <c r="X56" s="1"/>
  <c r="N73"/>
  <c r="O73" s="1"/>
  <c r="R73" s="1"/>
  <c r="U73" s="1"/>
  <c r="X73" s="1"/>
  <c r="N23"/>
  <c r="O23" s="1"/>
  <c r="R23" s="1"/>
  <c r="U23" s="1"/>
  <c r="X23" s="1"/>
  <c r="N55"/>
  <c r="O55" s="1"/>
  <c r="R55" s="1"/>
  <c r="U55" s="1"/>
  <c r="X55" s="1"/>
  <c r="N34"/>
  <c r="O34" s="1"/>
  <c r="R34" s="1"/>
  <c r="U34" s="1"/>
  <c r="X34" s="1"/>
  <c r="O96"/>
  <c r="O95"/>
  <c r="O94"/>
  <c r="O134"/>
  <c r="O82"/>
  <c r="O89"/>
  <c r="O58"/>
  <c r="O13"/>
  <c r="O26"/>
  <c r="O88"/>
  <c r="O27"/>
  <c r="O53"/>
  <c r="L36" i="32"/>
  <c r="L184" s="1"/>
  <c r="L21" i="28"/>
  <c r="L30" s="1"/>
  <c r="I30"/>
  <c r="H43" i="24"/>
  <c r="I43" s="1"/>
  <c r="F38" i="28"/>
  <c r="A37"/>
  <c r="A36"/>
  <c r="A35"/>
  <c r="A34"/>
  <c r="A33"/>
  <c r="A20"/>
  <c r="A19"/>
  <c r="A18"/>
  <c r="A17"/>
  <c r="A16"/>
  <c r="A15"/>
  <c r="A14"/>
  <c r="A13"/>
  <c r="A12"/>
  <c r="A11"/>
  <c r="F7"/>
  <c r="A6"/>
  <c r="A5"/>
  <c r="A4"/>
  <c r="A3"/>
  <c r="A2"/>
  <c r="AI27" i="16"/>
  <c r="AL27" s="1"/>
  <c r="AI28"/>
  <c r="AL28" s="1"/>
  <c r="AI29"/>
  <c r="AL29" s="1"/>
  <c r="AI31"/>
  <c r="AL31" s="1"/>
  <c r="I12" i="24"/>
  <c r="I13"/>
  <c r="I14"/>
  <c r="I15"/>
  <c r="I16"/>
  <c r="I17"/>
  <c r="I18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4"/>
  <c r="I45"/>
  <c r="I46"/>
  <c r="I47"/>
  <c r="I11"/>
  <c r="H20"/>
  <c r="I20" s="1"/>
  <c r="H21"/>
  <c r="I21" s="1"/>
  <c r="H22"/>
  <c r="I22" s="1"/>
  <c r="H23"/>
  <c r="I23" s="1"/>
  <c r="H24"/>
  <c r="I24" s="1"/>
  <c r="H19"/>
  <c r="I19" s="1"/>
  <c r="BY876" i="30" l="1"/>
  <c r="BQ50" i="31"/>
  <c r="BT50" s="1"/>
  <c r="BW50" s="1"/>
  <c r="BZ50" s="1"/>
  <c r="BQ80" i="30"/>
  <c r="BT80" s="1"/>
  <c r="BW80" s="1"/>
  <c r="BZ80" s="1"/>
  <c r="BQ45"/>
  <c r="BT45" s="1"/>
  <c r="BW45" s="1"/>
  <c r="BZ45" s="1"/>
  <c r="BQ28"/>
  <c r="BT28" s="1"/>
  <c r="BW28" s="1"/>
  <c r="BZ28" s="1"/>
  <c r="BQ101"/>
  <c r="BT101" s="1"/>
  <c r="BW101" s="1"/>
  <c r="BZ101" s="1"/>
  <c r="BQ8"/>
  <c r="BT8" s="1"/>
  <c r="BW8" s="1"/>
  <c r="BZ8" s="1"/>
  <c r="BQ92"/>
  <c r="BT92" s="1"/>
  <c r="BW92" s="1"/>
  <c r="BZ92" s="1"/>
  <c r="BQ107"/>
  <c r="BT107" s="1"/>
  <c r="BW107" s="1"/>
  <c r="BZ107" s="1"/>
  <c r="BQ132"/>
  <c r="BT132" s="1"/>
  <c r="BW132" s="1"/>
  <c r="BZ132" s="1"/>
  <c r="BQ22"/>
  <c r="BT22" s="1"/>
  <c r="BW22" s="1"/>
  <c r="BZ22" s="1"/>
  <c r="BQ128"/>
  <c r="BT128" s="1"/>
  <c r="BW128" s="1"/>
  <c r="BZ128" s="1"/>
  <c r="BQ75"/>
  <c r="BT75" s="1"/>
  <c r="BW75" s="1"/>
  <c r="BZ75" s="1"/>
  <c r="BQ78"/>
  <c r="BT78" s="1"/>
  <c r="BW78" s="1"/>
  <c r="BZ78" s="1"/>
  <c r="BQ90"/>
  <c r="BT90" s="1"/>
  <c r="BW90" s="1"/>
  <c r="BZ90" s="1"/>
  <c r="BQ50"/>
  <c r="BT50" s="1"/>
  <c r="BW50" s="1"/>
  <c r="BZ50" s="1"/>
  <c r="BQ68"/>
  <c r="BT68" s="1"/>
  <c r="BW68" s="1"/>
  <c r="BZ68" s="1"/>
  <c r="BQ84"/>
  <c r="BT84" s="1"/>
  <c r="BW84" s="1"/>
  <c r="BZ84" s="1"/>
  <c r="BQ33"/>
  <c r="BQ7"/>
  <c r="BT7" s="1"/>
  <c r="BW7" s="1"/>
  <c r="BZ7" s="1"/>
  <c r="BQ119"/>
  <c r="BT119" s="1"/>
  <c r="BW119" s="1"/>
  <c r="BZ119" s="1"/>
  <c r="BQ129"/>
  <c r="BT129" s="1"/>
  <c r="BW129" s="1"/>
  <c r="BZ129" s="1"/>
  <c r="BQ54"/>
  <c r="BT54" s="1"/>
  <c r="BW54" s="1"/>
  <c r="BZ54" s="1"/>
  <c r="BQ25"/>
  <c r="BT25" s="1"/>
  <c r="BW25" s="1"/>
  <c r="BZ25" s="1"/>
  <c r="BQ14"/>
  <c r="BT14" s="1"/>
  <c r="BW14" s="1"/>
  <c r="BZ14" s="1"/>
  <c r="BQ19"/>
  <c r="BT19" s="1"/>
  <c r="BW19" s="1"/>
  <c r="BZ19" s="1"/>
  <c r="BQ125"/>
  <c r="BT125" s="1"/>
  <c r="BW125" s="1"/>
  <c r="BZ125" s="1"/>
  <c r="BQ60"/>
  <c r="BT60" s="1"/>
  <c r="BW60" s="1"/>
  <c r="BZ60" s="1"/>
  <c r="BQ87"/>
  <c r="BT87" s="1"/>
  <c r="BW87" s="1"/>
  <c r="BZ87" s="1"/>
  <c r="BQ59"/>
  <c r="BT59" s="1"/>
  <c r="BW59" s="1"/>
  <c r="BZ59" s="1"/>
  <c r="BQ57"/>
  <c r="BT57" s="1"/>
  <c r="BW57" s="1"/>
  <c r="BZ57" s="1"/>
  <c r="BQ69"/>
  <c r="BT69" s="1"/>
  <c r="BW69" s="1"/>
  <c r="BZ69" s="1"/>
  <c r="BQ62"/>
  <c r="BT62" s="1"/>
  <c r="BW62" s="1"/>
  <c r="BZ62" s="1"/>
  <c r="Q105" i="31"/>
  <c r="U11" i="32"/>
  <c r="AR184"/>
  <c r="R3" i="31"/>
  <c r="O105"/>
  <c r="W105"/>
  <c r="AJ36"/>
  <c r="R3" i="30"/>
  <c r="U3" s="1"/>
  <c r="AA12" i="32"/>
  <c r="BH66"/>
  <c r="AX118" i="30"/>
  <c r="AY118" s="1"/>
  <c r="BB118" s="1"/>
  <c r="BE118" s="1"/>
  <c r="BH118" s="1"/>
  <c r="BK118" s="1"/>
  <c r="BN118" s="1"/>
  <c r="AY116"/>
  <c r="BB116" s="1"/>
  <c r="BE116" s="1"/>
  <c r="BH116" s="1"/>
  <c r="BK116" s="1"/>
  <c r="BN116" s="1"/>
  <c r="AY115"/>
  <c r="AX120"/>
  <c r="AY120" s="1"/>
  <c r="BB120" s="1"/>
  <c r="BE120" s="1"/>
  <c r="BH120" s="1"/>
  <c r="BK120" s="1"/>
  <c r="BN120" s="1"/>
  <c r="AY4"/>
  <c r="BB4" s="1"/>
  <c r="BE4" s="1"/>
  <c r="BH4" s="1"/>
  <c r="BK4" s="1"/>
  <c r="BN4" s="1"/>
  <c r="AV3" i="32"/>
  <c r="AP6" i="31"/>
  <c r="O20" i="30"/>
  <c r="R20" s="1"/>
  <c r="U20" s="1"/>
  <c r="X20" s="1"/>
  <c r="AA20" s="1"/>
  <c r="AD20" s="1"/>
  <c r="AG20" s="1"/>
  <c r="AJ20" s="1"/>
  <c r="AC6"/>
  <c r="AD6" s="1"/>
  <c r="AG6" s="1"/>
  <c r="AJ6" s="1"/>
  <c r="AA31"/>
  <c r="AD31" s="1"/>
  <c r="AG31" s="1"/>
  <c r="AJ31" s="1"/>
  <c r="AM31" s="1"/>
  <c r="AP31" s="1"/>
  <c r="AS31" s="1"/>
  <c r="AV31" s="1"/>
  <c r="AY31" s="1"/>
  <c r="BB31" s="1"/>
  <c r="BE31" s="1"/>
  <c r="BH31" s="1"/>
  <c r="BK31" s="1"/>
  <c r="BN31" s="1"/>
  <c r="AO10" i="32"/>
  <c r="AO184" s="1"/>
  <c r="AJ21"/>
  <c r="AM136" i="30"/>
  <c r="AP136" s="1"/>
  <c r="AS136" s="1"/>
  <c r="AV136" s="1"/>
  <c r="AY136" s="1"/>
  <c r="BB136" s="1"/>
  <c r="BE136" s="1"/>
  <c r="BH136" s="1"/>
  <c r="BK136" s="1"/>
  <c r="BN136" s="1"/>
  <c r="AM81"/>
  <c r="AP81" s="1"/>
  <c r="AS81" s="1"/>
  <c r="AV81" s="1"/>
  <c r="AY81" s="1"/>
  <c r="BB81" s="1"/>
  <c r="BE81" s="1"/>
  <c r="BH81" s="1"/>
  <c r="BK81" s="1"/>
  <c r="BN81" s="1"/>
  <c r="AM15"/>
  <c r="AP15" s="1"/>
  <c r="AS15" s="1"/>
  <c r="AV15" s="1"/>
  <c r="AM11"/>
  <c r="AP11" s="1"/>
  <c r="AS11" s="1"/>
  <c r="AV11" s="1"/>
  <c r="AY11" s="1"/>
  <c r="BB11" s="1"/>
  <c r="BE11" s="1"/>
  <c r="BH11" s="1"/>
  <c r="BK11" s="1"/>
  <c r="BN11" s="1"/>
  <c r="AM16"/>
  <c r="AP16" s="1"/>
  <c r="AS16" s="1"/>
  <c r="AV16" s="1"/>
  <c r="AM79"/>
  <c r="AP79" s="1"/>
  <c r="AS79" s="1"/>
  <c r="AV79" s="1"/>
  <c r="AY79" s="1"/>
  <c r="BB79" s="1"/>
  <c r="BE79" s="1"/>
  <c r="BH79" s="1"/>
  <c r="BK79" s="1"/>
  <c r="BN79" s="1"/>
  <c r="AL32"/>
  <c r="X65"/>
  <c r="AA65" s="1"/>
  <c r="AD65" s="1"/>
  <c r="AG65" s="1"/>
  <c r="AJ65" s="1"/>
  <c r="AM65" s="1"/>
  <c r="AP65" s="1"/>
  <c r="AS65" s="1"/>
  <c r="AV65" s="1"/>
  <c r="AY65" s="1"/>
  <c r="BB65" s="1"/>
  <c r="BE65" s="1"/>
  <c r="BH65" s="1"/>
  <c r="BK65" s="1"/>
  <c r="BN65" s="1"/>
  <c r="AA13" i="31"/>
  <c r="AD13" s="1"/>
  <c r="AG13" s="1"/>
  <c r="AJ13" s="1"/>
  <c r="AM13" s="1"/>
  <c r="AP13" s="1"/>
  <c r="AS13" s="1"/>
  <c r="AV13" s="1"/>
  <c r="AY13" s="1"/>
  <c r="BB13" s="1"/>
  <c r="BE13" s="1"/>
  <c r="BH13" s="1"/>
  <c r="BK13" s="1"/>
  <c r="BN13" s="1"/>
  <c r="BQ13" s="1"/>
  <c r="BT13" s="1"/>
  <c r="BW13" s="1"/>
  <c r="BZ13" s="1"/>
  <c r="AA19"/>
  <c r="AD19" s="1"/>
  <c r="AG19" s="1"/>
  <c r="AJ19" s="1"/>
  <c r="AM19" s="1"/>
  <c r="AP19" s="1"/>
  <c r="AS19" s="1"/>
  <c r="AV19" s="1"/>
  <c r="AY19" s="1"/>
  <c r="BB19" s="1"/>
  <c r="BE19" s="1"/>
  <c r="BH19" s="1"/>
  <c r="BK19" s="1"/>
  <c r="BN19" s="1"/>
  <c r="BQ19" s="1"/>
  <c r="BT19" s="1"/>
  <c r="BW19" s="1"/>
  <c r="BZ19" s="1"/>
  <c r="AA25"/>
  <c r="AD25" s="1"/>
  <c r="AG25" s="1"/>
  <c r="AJ25" s="1"/>
  <c r="AM25" s="1"/>
  <c r="AP25" s="1"/>
  <c r="AS25" s="1"/>
  <c r="AV25" s="1"/>
  <c r="AY25" s="1"/>
  <c r="BB25" s="1"/>
  <c r="BE25" s="1"/>
  <c r="BH25" s="1"/>
  <c r="BK25" s="1"/>
  <c r="BN25" s="1"/>
  <c r="BQ25" s="1"/>
  <c r="BT25" s="1"/>
  <c r="BW25" s="1"/>
  <c r="BZ25" s="1"/>
  <c r="AA8"/>
  <c r="AD8" s="1"/>
  <c r="AG8" s="1"/>
  <c r="AJ8" s="1"/>
  <c r="AM8" s="1"/>
  <c r="AP8" s="1"/>
  <c r="AS8" s="1"/>
  <c r="AV8" s="1"/>
  <c r="AY8" s="1"/>
  <c r="BB8" s="1"/>
  <c r="BE8" s="1"/>
  <c r="BH8" s="1"/>
  <c r="BK8" s="1"/>
  <c r="BN8" s="1"/>
  <c r="BQ8" s="1"/>
  <c r="BT8" s="1"/>
  <c r="BW8" s="1"/>
  <c r="BZ8" s="1"/>
  <c r="AA23"/>
  <c r="AD23" s="1"/>
  <c r="AG23" s="1"/>
  <c r="AJ23" s="1"/>
  <c r="AM23" s="1"/>
  <c r="AP23" s="1"/>
  <c r="AS23" s="1"/>
  <c r="AV23" s="1"/>
  <c r="AY23" s="1"/>
  <c r="BB23" s="1"/>
  <c r="BE23" s="1"/>
  <c r="BH23" s="1"/>
  <c r="BK23" s="1"/>
  <c r="BN23" s="1"/>
  <c r="BQ23" s="1"/>
  <c r="BT23" s="1"/>
  <c r="BW23" s="1"/>
  <c r="BZ23" s="1"/>
  <c r="AD24"/>
  <c r="AG24" s="1"/>
  <c r="AJ24" s="1"/>
  <c r="AM24" s="1"/>
  <c r="AP24" s="1"/>
  <c r="AS24" s="1"/>
  <c r="AV24" s="1"/>
  <c r="AY24" s="1"/>
  <c r="BB24" s="1"/>
  <c r="BE24" s="1"/>
  <c r="BH24" s="1"/>
  <c r="BK24" s="1"/>
  <c r="BN24" s="1"/>
  <c r="BQ24" s="1"/>
  <c r="BT24" s="1"/>
  <c r="BW24" s="1"/>
  <c r="BZ24" s="1"/>
  <c r="AA4"/>
  <c r="AD4" s="1"/>
  <c r="AG4" s="1"/>
  <c r="AA73" i="30"/>
  <c r="AA29"/>
  <c r="AD29" s="1"/>
  <c r="AG29" s="1"/>
  <c r="AJ29" s="1"/>
  <c r="AA93"/>
  <c r="AA23"/>
  <c r="AD23" s="1"/>
  <c r="AG23" s="1"/>
  <c r="AJ23" s="1"/>
  <c r="AA113"/>
  <c r="AD113" s="1"/>
  <c r="AG113" s="1"/>
  <c r="AJ113" s="1"/>
  <c r="AA77"/>
  <c r="AD77" s="1"/>
  <c r="AG77" s="1"/>
  <c r="AJ77" s="1"/>
  <c r="AM77" s="1"/>
  <c r="AP77" s="1"/>
  <c r="AS77" s="1"/>
  <c r="AV77" s="1"/>
  <c r="AY77" s="1"/>
  <c r="BB77" s="1"/>
  <c r="BE77" s="1"/>
  <c r="BH77" s="1"/>
  <c r="BK77" s="1"/>
  <c r="BN77" s="1"/>
  <c r="AA46"/>
  <c r="AD46" s="1"/>
  <c r="AG46" s="1"/>
  <c r="AJ46" s="1"/>
  <c r="AM46" s="1"/>
  <c r="AP46" s="1"/>
  <c r="AS46" s="1"/>
  <c r="AV46" s="1"/>
  <c r="AY46" s="1"/>
  <c r="BB46" s="1"/>
  <c r="BE46" s="1"/>
  <c r="BH46" s="1"/>
  <c r="BK46" s="1"/>
  <c r="BN46" s="1"/>
  <c r="AA18"/>
  <c r="AD18" s="1"/>
  <c r="AG18" s="1"/>
  <c r="AJ18" s="1"/>
  <c r="AM18" s="1"/>
  <c r="AP18" s="1"/>
  <c r="AS18" s="1"/>
  <c r="AV18" s="1"/>
  <c r="AY18" s="1"/>
  <c r="BB18" s="1"/>
  <c r="BE18" s="1"/>
  <c r="BH18" s="1"/>
  <c r="BK18" s="1"/>
  <c r="BN18" s="1"/>
  <c r="AA55"/>
  <c r="AD55" s="1"/>
  <c r="AG55" s="1"/>
  <c r="AJ55" s="1"/>
  <c r="AA24"/>
  <c r="AD24" s="1"/>
  <c r="AG24" s="1"/>
  <c r="AJ24" s="1"/>
  <c r="AA105"/>
  <c r="AD105" s="1"/>
  <c r="AG105" s="1"/>
  <c r="AJ105" s="1"/>
  <c r="AA42"/>
  <c r="AD42" s="1"/>
  <c r="AG42" s="1"/>
  <c r="AJ42" s="1"/>
  <c r="AA35"/>
  <c r="AD35" s="1"/>
  <c r="AG35" s="1"/>
  <c r="AJ35" s="1"/>
  <c r="AA122"/>
  <c r="AD122" s="1"/>
  <c r="AG122" s="1"/>
  <c r="AJ122" s="1"/>
  <c r="AM122" s="1"/>
  <c r="AP122" s="1"/>
  <c r="AS122" s="1"/>
  <c r="AV122" s="1"/>
  <c r="AY122" s="1"/>
  <c r="BB122" s="1"/>
  <c r="BE122" s="1"/>
  <c r="BH122" s="1"/>
  <c r="BK122" s="1"/>
  <c r="BN122" s="1"/>
  <c r="AA91"/>
  <c r="AD91" s="1"/>
  <c r="AG91" s="1"/>
  <c r="AJ91" s="1"/>
  <c r="AM91" s="1"/>
  <c r="AP91" s="1"/>
  <c r="AS91" s="1"/>
  <c r="AV91" s="1"/>
  <c r="AY91" s="1"/>
  <c r="BB91" s="1"/>
  <c r="BE91" s="1"/>
  <c r="BH91" s="1"/>
  <c r="BK91" s="1"/>
  <c r="BN91" s="1"/>
  <c r="AA70"/>
  <c r="AD70" s="1"/>
  <c r="AG70" s="1"/>
  <c r="AJ70" s="1"/>
  <c r="AM70" s="1"/>
  <c r="AP70" s="1"/>
  <c r="AS70" s="1"/>
  <c r="AV70" s="1"/>
  <c r="AY70" s="1"/>
  <c r="BB70" s="1"/>
  <c r="BE70" s="1"/>
  <c r="BH70" s="1"/>
  <c r="BK70" s="1"/>
  <c r="BN70" s="1"/>
  <c r="AA97"/>
  <c r="AD97" s="1"/>
  <c r="AG97" s="1"/>
  <c r="AJ97" s="1"/>
  <c r="AM97" s="1"/>
  <c r="AP97" s="1"/>
  <c r="AS97" s="1"/>
  <c r="AV97" s="1"/>
  <c r="AY97" s="1"/>
  <c r="BB97" s="1"/>
  <c r="BE97" s="1"/>
  <c r="BH97" s="1"/>
  <c r="BK97" s="1"/>
  <c r="BN97" s="1"/>
  <c r="AA71"/>
  <c r="AA72"/>
  <c r="AD72" s="1"/>
  <c r="AG72" s="1"/>
  <c r="AJ72" s="1"/>
  <c r="AD85"/>
  <c r="AG85" s="1"/>
  <c r="AJ85" s="1"/>
  <c r="AM85" s="1"/>
  <c r="AP85" s="1"/>
  <c r="AS85" s="1"/>
  <c r="AV85" s="1"/>
  <c r="AY85" s="1"/>
  <c r="BB85" s="1"/>
  <c r="BE85" s="1"/>
  <c r="BH85" s="1"/>
  <c r="BK85" s="1"/>
  <c r="BN85" s="1"/>
  <c r="AA98"/>
  <c r="AD98" s="1"/>
  <c r="AG98" s="1"/>
  <c r="AJ98" s="1"/>
  <c r="AM98" s="1"/>
  <c r="AP98" s="1"/>
  <c r="AS98" s="1"/>
  <c r="AV98" s="1"/>
  <c r="AY98" s="1"/>
  <c r="BB98" s="1"/>
  <c r="BE98" s="1"/>
  <c r="BH98" s="1"/>
  <c r="BK98" s="1"/>
  <c r="BN98" s="1"/>
  <c r="AA111"/>
  <c r="AD111" s="1"/>
  <c r="AG111" s="1"/>
  <c r="AJ111" s="1"/>
  <c r="AA51"/>
  <c r="AA37"/>
  <c r="AD37" s="1"/>
  <c r="AG37" s="1"/>
  <c r="AJ37" s="1"/>
  <c r="AA43"/>
  <c r="AD43" s="1"/>
  <c r="AG43" s="1"/>
  <c r="AJ43" s="1"/>
  <c r="AA61"/>
  <c r="AD61" s="1"/>
  <c r="AG61" s="1"/>
  <c r="AJ61" s="1"/>
  <c r="AM61" s="1"/>
  <c r="AP61" s="1"/>
  <c r="AS61" s="1"/>
  <c r="AV61" s="1"/>
  <c r="AY61" s="1"/>
  <c r="BB61" s="1"/>
  <c r="BE61" s="1"/>
  <c r="BH61" s="1"/>
  <c r="BK61" s="1"/>
  <c r="BN61" s="1"/>
  <c r="AA49"/>
  <c r="AD49" s="1"/>
  <c r="AG49" s="1"/>
  <c r="AJ49" s="1"/>
  <c r="AM49" s="1"/>
  <c r="AP49" s="1"/>
  <c r="AS49" s="1"/>
  <c r="AV49" s="1"/>
  <c r="AY49" s="1"/>
  <c r="BB49" s="1"/>
  <c r="BE49" s="1"/>
  <c r="BH49" s="1"/>
  <c r="BK49" s="1"/>
  <c r="BN49" s="1"/>
  <c r="AA99"/>
  <c r="AD99" s="1"/>
  <c r="AG99" s="1"/>
  <c r="AJ99" s="1"/>
  <c r="AM99" s="1"/>
  <c r="AP99" s="1"/>
  <c r="AS99" s="1"/>
  <c r="AV99" s="1"/>
  <c r="AY99" s="1"/>
  <c r="BB99" s="1"/>
  <c r="BE99" s="1"/>
  <c r="BH99" s="1"/>
  <c r="BK99" s="1"/>
  <c r="BN99" s="1"/>
  <c r="AA181"/>
  <c r="AA104"/>
  <c r="AD104" s="1"/>
  <c r="AG104" s="1"/>
  <c r="AJ104" s="1"/>
  <c r="AA38"/>
  <c r="AD38" s="1"/>
  <c r="AG38" s="1"/>
  <c r="AJ38" s="1"/>
  <c r="AA34"/>
  <c r="AD34" s="1"/>
  <c r="AG34" s="1"/>
  <c r="AJ34" s="1"/>
  <c r="AA56"/>
  <c r="AD56" s="1"/>
  <c r="AG56" s="1"/>
  <c r="AJ56" s="1"/>
  <c r="AA21"/>
  <c r="AD21" s="1"/>
  <c r="AG21" s="1"/>
  <c r="AJ21" s="1"/>
  <c r="AA114"/>
  <c r="AD114" s="1"/>
  <c r="AG114" s="1"/>
  <c r="AJ114" s="1"/>
  <c r="AA30"/>
  <c r="AD30" s="1"/>
  <c r="AG30" s="1"/>
  <c r="AJ30" s="1"/>
  <c r="AA121"/>
  <c r="AD121" s="1"/>
  <c r="AG121" s="1"/>
  <c r="AJ121" s="1"/>
  <c r="AM121" s="1"/>
  <c r="AP121" s="1"/>
  <c r="AS121" s="1"/>
  <c r="AV121" s="1"/>
  <c r="AY121" s="1"/>
  <c r="BB121" s="1"/>
  <c r="BE121" s="1"/>
  <c r="BH121" s="1"/>
  <c r="BK121" s="1"/>
  <c r="BN121" s="1"/>
  <c r="AA123"/>
  <c r="AD123" s="1"/>
  <c r="AG123" s="1"/>
  <c r="AJ123" s="1"/>
  <c r="AM123" s="1"/>
  <c r="AP123" s="1"/>
  <c r="AS123" s="1"/>
  <c r="AV123" s="1"/>
  <c r="AY123" s="1"/>
  <c r="BB123" s="1"/>
  <c r="BE123" s="1"/>
  <c r="BH123" s="1"/>
  <c r="BK123" s="1"/>
  <c r="BN123" s="1"/>
  <c r="AA39"/>
  <c r="AD39" s="1"/>
  <c r="AG39" s="1"/>
  <c r="AJ39" s="1"/>
  <c r="AM39" s="1"/>
  <c r="AP39" s="1"/>
  <c r="AS39" s="1"/>
  <c r="AV39" s="1"/>
  <c r="AY39" s="1"/>
  <c r="BB39" s="1"/>
  <c r="BE39" s="1"/>
  <c r="BH39" s="1"/>
  <c r="BK39" s="1"/>
  <c r="BN39" s="1"/>
  <c r="AA83"/>
  <c r="AD83" s="1"/>
  <c r="AG83" s="1"/>
  <c r="AJ83" s="1"/>
  <c r="AM83" s="1"/>
  <c r="AP83" s="1"/>
  <c r="AS83" s="1"/>
  <c r="AV83" s="1"/>
  <c r="AY83" s="1"/>
  <c r="BB83" s="1"/>
  <c r="BE83" s="1"/>
  <c r="BH83" s="1"/>
  <c r="BK83" s="1"/>
  <c r="BN83" s="1"/>
  <c r="AD64"/>
  <c r="AG64" s="1"/>
  <c r="AJ64" s="1"/>
  <c r="AM64" s="1"/>
  <c r="AP64" s="1"/>
  <c r="AS64" s="1"/>
  <c r="AV64" s="1"/>
  <c r="AY64" s="1"/>
  <c r="BB64" s="1"/>
  <c r="BE64" s="1"/>
  <c r="BH64" s="1"/>
  <c r="BK64" s="1"/>
  <c r="BN64" s="1"/>
  <c r="AA40"/>
  <c r="AD40" s="1"/>
  <c r="AG40" s="1"/>
  <c r="AJ40" s="1"/>
  <c r="AM40" s="1"/>
  <c r="AP40" s="1"/>
  <c r="AS40" s="1"/>
  <c r="AV40" s="1"/>
  <c r="AY40" s="1"/>
  <c r="BB40" s="1"/>
  <c r="BE40" s="1"/>
  <c r="BH40" s="1"/>
  <c r="BK40" s="1"/>
  <c r="BN40" s="1"/>
  <c r="AA86"/>
  <c r="AA109"/>
  <c r="AD109" s="1"/>
  <c r="AG109" s="1"/>
  <c r="AJ109" s="1"/>
  <c r="AM109" s="1"/>
  <c r="AP109" s="1"/>
  <c r="AS109" s="1"/>
  <c r="AV109" s="1"/>
  <c r="AY109" s="1"/>
  <c r="BB109" s="1"/>
  <c r="BE109" s="1"/>
  <c r="BH109" s="1"/>
  <c r="BK109" s="1"/>
  <c r="BN109" s="1"/>
  <c r="AD41"/>
  <c r="AG41" s="1"/>
  <c r="AJ41" s="1"/>
  <c r="AM41" s="1"/>
  <c r="AP41" s="1"/>
  <c r="AS41" s="1"/>
  <c r="AV41" s="1"/>
  <c r="AY41" s="1"/>
  <c r="BB41" s="1"/>
  <c r="BE41" s="1"/>
  <c r="BH41" s="1"/>
  <c r="BK41" s="1"/>
  <c r="BN41" s="1"/>
  <c r="AA127"/>
  <c r="AD127" s="1"/>
  <c r="AG127" s="1"/>
  <c r="AJ127" s="1"/>
  <c r="AM127" s="1"/>
  <c r="AP127" s="1"/>
  <c r="AS127" s="1"/>
  <c r="AV127" s="1"/>
  <c r="AY127" s="1"/>
  <c r="BB127" s="1"/>
  <c r="BE127" s="1"/>
  <c r="BH127" s="1"/>
  <c r="BK127" s="1"/>
  <c r="BN127" s="1"/>
  <c r="AD5"/>
  <c r="AG5" s="1"/>
  <c r="AJ5" s="1"/>
  <c r="X26" i="32"/>
  <c r="Z110" i="30"/>
  <c r="W164"/>
  <c r="X164" s="1"/>
  <c r="W137"/>
  <c r="W214" s="1"/>
  <c r="X214" s="1"/>
  <c r="T17"/>
  <c r="U17" s="1"/>
  <c r="X17" s="1"/>
  <c r="T138"/>
  <c r="U66"/>
  <c r="X66" s="1"/>
  <c r="T67"/>
  <c r="U67" s="1"/>
  <c r="X67" s="1"/>
  <c r="T52"/>
  <c r="U52" s="1"/>
  <c r="X52" s="1"/>
  <c r="U10"/>
  <c r="X10" s="1"/>
  <c r="U9"/>
  <c r="X9" s="1"/>
  <c r="U63"/>
  <c r="X63" s="1"/>
  <c r="U106"/>
  <c r="X106" s="1"/>
  <c r="T47"/>
  <c r="U47" s="1"/>
  <c r="X47" s="1"/>
  <c r="U36"/>
  <c r="X36" s="1"/>
  <c r="U103"/>
  <c r="X103" s="1"/>
  <c r="X207"/>
  <c r="Q156"/>
  <c r="R156" s="1"/>
  <c r="U156" s="1"/>
  <c r="X156" s="1"/>
  <c r="R76"/>
  <c r="U76" s="1"/>
  <c r="X76" s="1"/>
  <c r="R108"/>
  <c r="U108" s="1"/>
  <c r="X108" s="1"/>
  <c r="N124"/>
  <c r="O124" s="1"/>
  <c r="R124" s="1"/>
  <c r="U124" s="1"/>
  <c r="X124" s="1"/>
  <c r="N149"/>
  <c r="O149" s="1"/>
  <c r="R149" s="1"/>
  <c r="U149" s="1"/>
  <c r="X149" s="1"/>
  <c r="Q88"/>
  <c r="R88" s="1"/>
  <c r="U88" s="1"/>
  <c r="X88" s="1"/>
  <c r="Q53"/>
  <c r="R53" s="1"/>
  <c r="U53" s="1"/>
  <c r="X53" s="1"/>
  <c r="Q27"/>
  <c r="R27" s="1"/>
  <c r="U27" s="1"/>
  <c r="X27" s="1"/>
  <c r="Q26"/>
  <c r="Q94"/>
  <c r="R94" s="1"/>
  <c r="U94" s="1"/>
  <c r="X94" s="1"/>
  <c r="Q134"/>
  <c r="R134" s="1"/>
  <c r="U134" s="1"/>
  <c r="X134" s="1"/>
  <c r="Q96"/>
  <c r="R96" s="1"/>
  <c r="U96" s="1"/>
  <c r="X96" s="1"/>
  <c r="Q95"/>
  <c r="R95" s="1"/>
  <c r="U95" s="1"/>
  <c r="X95" s="1"/>
  <c r="O135"/>
  <c r="O48"/>
  <c r="O74"/>
  <c r="O44"/>
  <c r="O12"/>
  <c r="O143"/>
  <c r="O36" i="32"/>
  <c r="O184" s="1"/>
  <c r="O23" i="24"/>
  <c r="L23"/>
  <c r="O22"/>
  <c r="L22"/>
  <c r="L24"/>
  <c r="O24"/>
  <c r="L20"/>
  <c r="O20"/>
  <c r="O19"/>
  <c r="L19"/>
  <c r="L21"/>
  <c r="O21"/>
  <c r="L44"/>
  <c r="O44"/>
  <c r="L31"/>
  <c r="O31"/>
  <c r="O27"/>
  <c r="L27"/>
  <c r="L15"/>
  <c r="O15"/>
  <c r="O43"/>
  <c r="L43"/>
  <c r="L11"/>
  <c r="O11"/>
  <c r="L35"/>
  <c r="O35"/>
  <c r="L45"/>
  <c r="O45"/>
  <c r="L40"/>
  <c r="O40"/>
  <c r="L36"/>
  <c r="O36"/>
  <c r="L32"/>
  <c r="O32"/>
  <c r="L28"/>
  <c r="O28"/>
  <c r="L16"/>
  <c r="O16"/>
  <c r="L12"/>
  <c r="O12"/>
  <c r="O46"/>
  <c r="L46"/>
  <c r="L41"/>
  <c r="O41"/>
  <c r="L37"/>
  <c r="O37"/>
  <c r="L33"/>
  <c r="O33"/>
  <c r="L29"/>
  <c r="O29"/>
  <c r="L25"/>
  <c r="O25"/>
  <c r="L17"/>
  <c r="O17"/>
  <c r="L13"/>
  <c r="O13"/>
  <c r="H49"/>
  <c r="O39"/>
  <c r="L39"/>
  <c r="O47"/>
  <c r="L47"/>
  <c r="O42"/>
  <c r="L42"/>
  <c r="O38"/>
  <c r="L38"/>
  <c r="O34"/>
  <c r="L34"/>
  <c r="L30"/>
  <c r="O30"/>
  <c r="O26"/>
  <c r="L26"/>
  <c r="O18"/>
  <c r="L18"/>
  <c r="O14"/>
  <c r="L14"/>
  <c r="F30" i="28"/>
  <c r="H30" i="24"/>
  <c r="BS33" i="30" l="1"/>
  <c r="BT33" s="1"/>
  <c r="BW33" s="1"/>
  <c r="BZ33" s="1"/>
  <c r="BQ99"/>
  <c r="BT99" s="1"/>
  <c r="BW99" s="1"/>
  <c r="BZ99" s="1"/>
  <c r="BQ18"/>
  <c r="BT18" s="1"/>
  <c r="BW18" s="1"/>
  <c r="BZ18" s="1"/>
  <c r="BQ41"/>
  <c r="BT41" s="1"/>
  <c r="BW41" s="1"/>
  <c r="BZ41" s="1"/>
  <c r="BQ64"/>
  <c r="BT64" s="1"/>
  <c r="BW64" s="1"/>
  <c r="BZ64" s="1"/>
  <c r="BQ121"/>
  <c r="BT121" s="1"/>
  <c r="BW121" s="1"/>
  <c r="BZ121" s="1"/>
  <c r="BQ98"/>
  <c r="BT98" s="1"/>
  <c r="BW98" s="1"/>
  <c r="BZ98" s="1"/>
  <c r="BQ97"/>
  <c r="BT97" s="1"/>
  <c r="BW97" s="1"/>
  <c r="BZ97" s="1"/>
  <c r="BQ65"/>
  <c r="BT65" s="1"/>
  <c r="BW65" s="1"/>
  <c r="BZ65" s="1"/>
  <c r="BQ11"/>
  <c r="BT11" s="1"/>
  <c r="BW11" s="1"/>
  <c r="BZ11" s="1"/>
  <c r="BQ120"/>
  <c r="BT120" s="1"/>
  <c r="BW120" s="1"/>
  <c r="BZ120" s="1"/>
  <c r="BQ83"/>
  <c r="BT83" s="1"/>
  <c r="BW83" s="1"/>
  <c r="BZ83" s="1"/>
  <c r="BQ127"/>
  <c r="BT127" s="1"/>
  <c r="BW127" s="1"/>
  <c r="BZ127" s="1"/>
  <c r="BQ40"/>
  <c r="BT40" s="1"/>
  <c r="BW40" s="1"/>
  <c r="BZ40" s="1"/>
  <c r="BQ123"/>
  <c r="BT123" s="1"/>
  <c r="BW123" s="1"/>
  <c r="BZ123" s="1"/>
  <c r="BQ61"/>
  <c r="BT61" s="1"/>
  <c r="BW61" s="1"/>
  <c r="BZ61" s="1"/>
  <c r="BQ122"/>
  <c r="BT122" s="1"/>
  <c r="BW122" s="1"/>
  <c r="BZ122" s="1"/>
  <c r="BQ77"/>
  <c r="BT77" s="1"/>
  <c r="BW77" s="1"/>
  <c r="BZ77" s="1"/>
  <c r="BQ136"/>
  <c r="BT136" s="1"/>
  <c r="BW136" s="1"/>
  <c r="BZ136" s="1"/>
  <c r="BQ4"/>
  <c r="BT4" s="1"/>
  <c r="BW4" s="1"/>
  <c r="BZ4" s="1"/>
  <c r="BQ118"/>
  <c r="BT118" s="1"/>
  <c r="BW118" s="1"/>
  <c r="BZ118" s="1"/>
  <c r="BQ109"/>
  <c r="BT109" s="1"/>
  <c r="BW109" s="1"/>
  <c r="BZ109" s="1"/>
  <c r="BQ85"/>
  <c r="BT85" s="1"/>
  <c r="BW85" s="1"/>
  <c r="BZ85" s="1"/>
  <c r="BQ39"/>
  <c r="BT39" s="1"/>
  <c r="BW39" s="1"/>
  <c r="BZ39" s="1"/>
  <c r="BQ49"/>
  <c r="BT49" s="1"/>
  <c r="BW49" s="1"/>
  <c r="BZ49" s="1"/>
  <c r="BQ91"/>
  <c r="BT91" s="1"/>
  <c r="BW91" s="1"/>
  <c r="BZ91" s="1"/>
  <c r="BQ46"/>
  <c r="BT46" s="1"/>
  <c r="BW46" s="1"/>
  <c r="BZ46" s="1"/>
  <c r="BQ79"/>
  <c r="BT79" s="1"/>
  <c r="BW79" s="1"/>
  <c r="BZ79" s="1"/>
  <c r="BQ81"/>
  <c r="BT81" s="1"/>
  <c r="BW81" s="1"/>
  <c r="BZ81" s="1"/>
  <c r="BQ31"/>
  <c r="BT31" s="1"/>
  <c r="BW31" s="1"/>
  <c r="BZ31" s="1"/>
  <c r="BQ116"/>
  <c r="BT116" s="1"/>
  <c r="BW116" s="1"/>
  <c r="BZ116" s="1"/>
  <c r="BQ70"/>
  <c r="BT70" s="1"/>
  <c r="BW70" s="1"/>
  <c r="BZ70" s="1"/>
  <c r="O876"/>
  <c r="X11" i="32"/>
  <c r="N876" i="30"/>
  <c r="U3" i="31"/>
  <c r="R105"/>
  <c r="AM36"/>
  <c r="AD12" i="32"/>
  <c r="BJ66"/>
  <c r="BB115" i="30"/>
  <c r="BE115" s="1"/>
  <c r="BH115" s="1"/>
  <c r="BK115" s="1"/>
  <c r="BN115" s="1"/>
  <c r="AX16"/>
  <c r="AY16" s="1"/>
  <c r="BB16" s="1"/>
  <c r="BE16" s="1"/>
  <c r="BH16" s="1"/>
  <c r="BK16" s="1"/>
  <c r="BN16" s="1"/>
  <c r="AX15"/>
  <c r="AY15" s="1"/>
  <c r="BB15" s="1"/>
  <c r="BE15" s="1"/>
  <c r="BH15" s="1"/>
  <c r="BK15" s="1"/>
  <c r="BN15" s="1"/>
  <c r="AX337"/>
  <c r="AY337" s="1"/>
  <c r="BB337" s="1"/>
  <c r="BE337" s="1"/>
  <c r="BH337" s="1"/>
  <c r="BK337" s="1"/>
  <c r="BN337" s="1"/>
  <c r="AY3" i="32"/>
  <c r="BB3" s="1"/>
  <c r="AV478" i="30"/>
  <c r="AY478" s="1"/>
  <c r="BB478" s="1"/>
  <c r="BE478" s="1"/>
  <c r="BH478" s="1"/>
  <c r="BK478" s="1"/>
  <c r="BN478" s="1"/>
  <c r="AS6" i="31"/>
  <c r="AV6" s="1"/>
  <c r="AY6" s="1"/>
  <c r="BB6" s="1"/>
  <c r="BE6" s="1"/>
  <c r="BH6" s="1"/>
  <c r="BK6" s="1"/>
  <c r="BN6" s="1"/>
  <c r="BQ6" s="1"/>
  <c r="BT6" s="1"/>
  <c r="BW6" s="1"/>
  <c r="BZ6" s="1"/>
  <c r="X3" i="30"/>
  <c r="AM32"/>
  <c r="AP32" s="1"/>
  <c r="AS32" s="1"/>
  <c r="AV32" s="1"/>
  <c r="AY32" s="1"/>
  <c r="BB32" s="1"/>
  <c r="BE32" s="1"/>
  <c r="BH32" s="1"/>
  <c r="BK32" s="1"/>
  <c r="BN32" s="1"/>
  <c r="AP10" i="32"/>
  <c r="AM21"/>
  <c r="AL359" i="30"/>
  <c r="AM359" s="1"/>
  <c r="AP359" s="1"/>
  <c r="AS359" s="1"/>
  <c r="AV359" s="1"/>
  <c r="AY359" s="1"/>
  <c r="BB359" s="1"/>
  <c r="BE359" s="1"/>
  <c r="BH359" s="1"/>
  <c r="BK359" s="1"/>
  <c r="BN359" s="1"/>
  <c r="AM111"/>
  <c r="AP111" s="1"/>
  <c r="AS111" s="1"/>
  <c r="AV111" s="1"/>
  <c r="AY111" s="1"/>
  <c r="BB111" s="1"/>
  <c r="BE111" s="1"/>
  <c r="BH111" s="1"/>
  <c r="BK111" s="1"/>
  <c r="BN111" s="1"/>
  <c r="AM24"/>
  <c r="AP24" s="1"/>
  <c r="AS24" s="1"/>
  <c r="AV24" s="1"/>
  <c r="AY24" s="1"/>
  <c r="BB24" s="1"/>
  <c r="BE24" s="1"/>
  <c r="BH24" s="1"/>
  <c r="BK24" s="1"/>
  <c r="BN24" s="1"/>
  <c r="AM21"/>
  <c r="AP21" s="1"/>
  <c r="AS21" s="1"/>
  <c r="AV21" s="1"/>
  <c r="AY21" s="1"/>
  <c r="BB21" s="1"/>
  <c r="BE21" s="1"/>
  <c r="BH21" s="1"/>
  <c r="BK21" s="1"/>
  <c r="BN21" s="1"/>
  <c r="AM38"/>
  <c r="AP38" s="1"/>
  <c r="AS38" s="1"/>
  <c r="AV38" s="1"/>
  <c r="AY38" s="1"/>
  <c r="BB38" s="1"/>
  <c r="BE38" s="1"/>
  <c r="BH38" s="1"/>
  <c r="BK38" s="1"/>
  <c r="BN38" s="1"/>
  <c r="AM72"/>
  <c r="AP72" s="1"/>
  <c r="AS72" s="1"/>
  <c r="AV72" s="1"/>
  <c r="AY72" s="1"/>
  <c r="BB72" s="1"/>
  <c r="BE72" s="1"/>
  <c r="BH72" s="1"/>
  <c r="BK72" s="1"/>
  <c r="BN72" s="1"/>
  <c r="AM105"/>
  <c r="AP105" s="1"/>
  <c r="AS105" s="1"/>
  <c r="AV105" s="1"/>
  <c r="AY105" s="1"/>
  <c r="BB105" s="1"/>
  <c r="BE105" s="1"/>
  <c r="BH105" s="1"/>
  <c r="BK105" s="1"/>
  <c r="BN105" s="1"/>
  <c r="AM29"/>
  <c r="AP29" s="1"/>
  <c r="AS29" s="1"/>
  <c r="AV29" s="1"/>
  <c r="AY29" s="1"/>
  <c r="BB29" s="1"/>
  <c r="BE29" s="1"/>
  <c r="BH29" s="1"/>
  <c r="BK29" s="1"/>
  <c r="BN29" s="1"/>
  <c r="AM114"/>
  <c r="AP114" s="1"/>
  <c r="AS114" s="1"/>
  <c r="AV114" s="1"/>
  <c r="AY114" s="1"/>
  <c r="BB114" s="1"/>
  <c r="BE114" s="1"/>
  <c r="BH114" s="1"/>
  <c r="BK114" s="1"/>
  <c r="BN114" s="1"/>
  <c r="AM20"/>
  <c r="AP20" s="1"/>
  <c r="AS20" s="1"/>
  <c r="AV20" s="1"/>
  <c r="AY20" s="1"/>
  <c r="BB20" s="1"/>
  <c r="BE20" s="1"/>
  <c r="BH20" s="1"/>
  <c r="BK20" s="1"/>
  <c r="BN20" s="1"/>
  <c r="AM37"/>
  <c r="AP37" s="1"/>
  <c r="AS37" s="1"/>
  <c r="AV37" s="1"/>
  <c r="AY37" s="1"/>
  <c r="BB37" s="1"/>
  <c r="BE37" s="1"/>
  <c r="BH37" s="1"/>
  <c r="BK37" s="1"/>
  <c r="BN37" s="1"/>
  <c r="AM42"/>
  <c r="AP42" s="1"/>
  <c r="AS42" s="1"/>
  <c r="AV42" s="1"/>
  <c r="AY42" s="1"/>
  <c r="BB42" s="1"/>
  <c r="BE42" s="1"/>
  <c r="BH42" s="1"/>
  <c r="BK42" s="1"/>
  <c r="BN42" s="1"/>
  <c r="AM23"/>
  <c r="AP23" s="1"/>
  <c r="AS23" s="1"/>
  <c r="AV23" s="1"/>
  <c r="AY23" s="1"/>
  <c r="BB23" s="1"/>
  <c r="BE23" s="1"/>
  <c r="BH23" s="1"/>
  <c r="BK23" s="1"/>
  <c r="BN23" s="1"/>
  <c r="AM56"/>
  <c r="AP56" s="1"/>
  <c r="AS56" s="1"/>
  <c r="AV56" s="1"/>
  <c r="AY56" s="1"/>
  <c r="BB56" s="1"/>
  <c r="BE56" s="1"/>
  <c r="BH56" s="1"/>
  <c r="BK56" s="1"/>
  <c r="BN56" s="1"/>
  <c r="AM104"/>
  <c r="AP104" s="1"/>
  <c r="AS104" s="1"/>
  <c r="AV104" s="1"/>
  <c r="AY104" s="1"/>
  <c r="BB104" s="1"/>
  <c r="BE104" s="1"/>
  <c r="BH104" s="1"/>
  <c r="BK104" s="1"/>
  <c r="BN104" s="1"/>
  <c r="AM5"/>
  <c r="AP5" s="1"/>
  <c r="AS5" s="1"/>
  <c r="AV5" s="1"/>
  <c r="AY5" s="1"/>
  <c r="BB5" s="1"/>
  <c r="BE5" s="1"/>
  <c r="BH5" s="1"/>
  <c r="BK5" s="1"/>
  <c r="BN5" s="1"/>
  <c r="AM30"/>
  <c r="AP30" s="1"/>
  <c r="AS30" s="1"/>
  <c r="AV30" s="1"/>
  <c r="AY30" s="1"/>
  <c r="BB30" s="1"/>
  <c r="BE30" s="1"/>
  <c r="BH30" s="1"/>
  <c r="BK30" s="1"/>
  <c r="BN30" s="1"/>
  <c r="AM34"/>
  <c r="AP34" s="1"/>
  <c r="AS34" s="1"/>
  <c r="AV34" s="1"/>
  <c r="AY34" s="1"/>
  <c r="BB34" s="1"/>
  <c r="BE34" s="1"/>
  <c r="BH34" s="1"/>
  <c r="BK34" s="1"/>
  <c r="BN34" s="1"/>
  <c r="AM43"/>
  <c r="AP43" s="1"/>
  <c r="AS43" s="1"/>
  <c r="AV43" s="1"/>
  <c r="AY43" s="1"/>
  <c r="BB43" s="1"/>
  <c r="BE43" s="1"/>
  <c r="BH43" s="1"/>
  <c r="BK43" s="1"/>
  <c r="BN43" s="1"/>
  <c r="AM35"/>
  <c r="AP35" s="1"/>
  <c r="AS35" s="1"/>
  <c r="AV35" s="1"/>
  <c r="AY35" s="1"/>
  <c r="BB35" s="1"/>
  <c r="BE35" s="1"/>
  <c r="BH35" s="1"/>
  <c r="BK35" s="1"/>
  <c r="BN35" s="1"/>
  <c r="AM55"/>
  <c r="AP55" s="1"/>
  <c r="AS55" s="1"/>
  <c r="AV55" s="1"/>
  <c r="AY55" s="1"/>
  <c r="BB55" s="1"/>
  <c r="BE55" s="1"/>
  <c r="BH55" s="1"/>
  <c r="BK55" s="1"/>
  <c r="BN55" s="1"/>
  <c r="AM113"/>
  <c r="AP113" s="1"/>
  <c r="AS113" s="1"/>
  <c r="AV113" s="1"/>
  <c r="AY113" s="1"/>
  <c r="BB113" s="1"/>
  <c r="BE113" s="1"/>
  <c r="BH113" s="1"/>
  <c r="BK113" s="1"/>
  <c r="BN113" s="1"/>
  <c r="AM6"/>
  <c r="AP6" s="1"/>
  <c r="AS6" s="1"/>
  <c r="AV6" s="1"/>
  <c r="AJ4" i="31"/>
  <c r="AC93" i="30"/>
  <c r="AC267" s="1"/>
  <c r="AD267" s="1"/>
  <c r="AC181"/>
  <c r="AC216" s="1"/>
  <c r="AD216" s="1"/>
  <c r="AG216" s="1"/>
  <c r="AD124"/>
  <c r="AG124" s="1"/>
  <c r="AJ124" s="1"/>
  <c r="AM124" s="1"/>
  <c r="AP124" s="1"/>
  <c r="AS124" s="1"/>
  <c r="AV124" s="1"/>
  <c r="AY124" s="1"/>
  <c r="BB124" s="1"/>
  <c r="BE124" s="1"/>
  <c r="BH124" s="1"/>
  <c r="BK124" s="1"/>
  <c r="BN124" s="1"/>
  <c r="AD86"/>
  <c r="AG86" s="1"/>
  <c r="AJ86" s="1"/>
  <c r="AM86" s="1"/>
  <c r="AP86" s="1"/>
  <c r="AS86" s="1"/>
  <c r="AV86" s="1"/>
  <c r="AY86" s="1"/>
  <c r="BB86" s="1"/>
  <c r="BE86" s="1"/>
  <c r="BH86" s="1"/>
  <c r="BK86" s="1"/>
  <c r="BN86" s="1"/>
  <c r="AD67"/>
  <c r="AG67" s="1"/>
  <c r="AJ67" s="1"/>
  <c r="AM67" s="1"/>
  <c r="AP67" s="1"/>
  <c r="AS67" s="1"/>
  <c r="AV67" s="1"/>
  <c r="AY67" s="1"/>
  <c r="BB67" s="1"/>
  <c r="BE67" s="1"/>
  <c r="BH67" s="1"/>
  <c r="BK67" s="1"/>
  <c r="BN67" s="1"/>
  <c r="AD71"/>
  <c r="AG71" s="1"/>
  <c r="AJ71" s="1"/>
  <c r="AM71" s="1"/>
  <c r="AP71" s="1"/>
  <c r="AS71" s="1"/>
  <c r="AV71" s="1"/>
  <c r="AY71" s="1"/>
  <c r="BB71" s="1"/>
  <c r="BE71" s="1"/>
  <c r="BH71" s="1"/>
  <c r="BK71" s="1"/>
  <c r="BN71" s="1"/>
  <c r="AD51"/>
  <c r="AG51" s="1"/>
  <c r="AJ51" s="1"/>
  <c r="AM51" s="1"/>
  <c r="AP51" s="1"/>
  <c r="AS51" s="1"/>
  <c r="AV51" s="1"/>
  <c r="AY51" s="1"/>
  <c r="BB51" s="1"/>
  <c r="BE51" s="1"/>
  <c r="BH51" s="1"/>
  <c r="BK51" s="1"/>
  <c r="BN51" s="1"/>
  <c r="AD73"/>
  <c r="AG73" s="1"/>
  <c r="AJ73" s="1"/>
  <c r="AA53"/>
  <c r="AD53" s="1"/>
  <c r="AG53" s="1"/>
  <c r="AJ53" s="1"/>
  <c r="AM53" s="1"/>
  <c r="AP53" s="1"/>
  <c r="AS53" s="1"/>
  <c r="AV53" s="1"/>
  <c r="AY53" s="1"/>
  <c r="BB53" s="1"/>
  <c r="BE53" s="1"/>
  <c r="BH53" s="1"/>
  <c r="BK53" s="1"/>
  <c r="BN53" s="1"/>
  <c r="AA10"/>
  <c r="AD10" s="1"/>
  <c r="AG10" s="1"/>
  <c r="AJ10" s="1"/>
  <c r="AM10" s="1"/>
  <c r="AP10" s="1"/>
  <c r="AS10" s="1"/>
  <c r="AV10" s="1"/>
  <c r="AY10" s="1"/>
  <c r="BB10" s="1"/>
  <c r="BE10" s="1"/>
  <c r="BH10" s="1"/>
  <c r="BK10" s="1"/>
  <c r="BN10" s="1"/>
  <c r="AA36"/>
  <c r="AD36" s="1"/>
  <c r="AG36" s="1"/>
  <c r="AJ36" s="1"/>
  <c r="AM36" s="1"/>
  <c r="AP36" s="1"/>
  <c r="AS36" s="1"/>
  <c r="AV36" s="1"/>
  <c r="AY36" s="1"/>
  <c r="BB36" s="1"/>
  <c r="BE36" s="1"/>
  <c r="BH36" s="1"/>
  <c r="BK36" s="1"/>
  <c r="BN36" s="1"/>
  <c r="AA66"/>
  <c r="AD66" s="1"/>
  <c r="AG66" s="1"/>
  <c r="AJ66" s="1"/>
  <c r="AM66" s="1"/>
  <c r="AP66" s="1"/>
  <c r="AS66" s="1"/>
  <c r="AV66" s="1"/>
  <c r="AY66" s="1"/>
  <c r="BB66" s="1"/>
  <c r="BE66" s="1"/>
  <c r="BH66" s="1"/>
  <c r="BK66" s="1"/>
  <c r="BN66" s="1"/>
  <c r="AA95"/>
  <c r="AD95" s="1"/>
  <c r="AG95" s="1"/>
  <c r="AJ95" s="1"/>
  <c r="AA149"/>
  <c r="AD149" s="1"/>
  <c r="AG149" s="1"/>
  <c r="AJ149" s="1"/>
  <c r="AM149" s="1"/>
  <c r="AA103"/>
  <c r="AD103" s="1"/>
  <c r="AG103" s="1"/>
  <c r="AJ103" s="1"/>
  <c r="AM103" s="1"/>
  <c r="AP103" s="1"/>
  <c r="AS103" s="1"/>
  <c r="AV103" s="1"/>
  <c r="AY103" s="1"/>
  <c r="BB103" s="1"/>
  <c r="BE103" s="1"/>
  <c r="BH103" s="1"/>
  <c r="BK103" s="1"/>
  <c r="BN103" s="1"/>
  <c r="AA63"/>
  <c r="AD63" s="1"/>
  <c r="AG63" s="1"/>
  <c r="AJ63" s="1"/>
  <c r="AM63" s="1"/>
  <c r="AP63" s="1"/>
  <c r="AS63" s="1"/>
  <c r="AV63" s="1"/>
  <c r="AY63" s="1"/>
  <c r="BB63" s="1"/>
  <c r="BE63" s="1"/>
  <c r="BH63" s="1"/>
  <c r="BK63" s="1"/>
  <c r="BN63" s="1"/>
  <c r="AA164"/>
  <c r="AD164" s="1"/>
  <c r="AG164" s="1"/>
  <c r="AJ164" s="1"/>
  <c r="AM164" s="1"/>
  <c r="AP164" s="1"/>
  <c r="AS164" s="1"/>
  <c r="AV164" s="1"/>
  <c r="AY164" s="1"/>
  <c r="BB164" s="1"/>
  <c r="BE164" s="1"/>
  <c r="BH164" s="1"/>
  <c r="BK164" s="1"/>
  <c r="BN164" s="1"/>
  <c r="AA134"/>
  <c r="AD134" s="1"/>
  <c r="AG134" s="1"/>
  <c r="AJ134" s="1"/>
  <c r="AA108"/>
  <c r="AD108" s="1"/>
  <c r="AG108" s="1"/>
  <c r="AJ108" s="1"/>
  <c r="AM108" s="1"/>
  <c r="AA110"/>
  <c r="AD110" s="1"/>
  <c r="AG110" s="1"/>
  <c r="AJ110" s="1"/>
  <c r="AM110" s="1"/>
  <c r="AP110" s="1"/>
  <c r="AS110" s="1"/>
  <c r="AV110" s="1"/>
  <c r="AY110" s="1"/>
  <c r="BB110" s="1"/>
  <c r="BE110" s="1"/>
  <c r="BH110" s="1"/>
  <c r="BK110" s="1"/>
  <c r="BN110" s="1"/>
  <c r="AA96"/>
  <c r="AD96" s="1"/>
  <c r="AG96" s="1"/>
  <c r="AJ96" s="1"/>
  <c r="AA27"/>
  <c r="AD27" s="1"/>
  <c r="AG27" s="1"/>
  <c r="AJ27" s="1"/>
  <c r="AM27" s="1"/>
  <c r="AP27" s="1"/>
  <c r="AS27" s="1"/>
  <c r="AV27" s="1"/>
  <c r="AY27" s="1"/>
  <c r="BB27" s="1"/>
  <c r="BE27" s="1"/>
  <c r="BH27" s="1"/>
  <c r="BK27" s="1"/>
  <c r="BN27" s="1"/>
  <c r="AA76"/>
  <c r="AD76" s="1"/>
  <c r="AG76" s="1"/>
  <c r="AJ76" s="1"/>
  <c r="AA9"/>
  <c r="AD9" s="1"/>
  <c r="AG9" s="1"/>
  <c r="AJ9" s="1"/>
  <c r="AM9" s="1"/>
  <c r="AP9" s="1"/>
  <c r="AS9" s="1"/>
  <c r="AV9" s="1"/>
  <c r="AY9" s="1"/>
  <c r="BB9" s="1"/>
  <c r="BE9" s="1"/>
  <c r="BH9" s="1"/>
  <c r="BK9" s="1"/>
  <c r="BN9" s="1"/>
  <c r="AA94"/>
  <c r="AD94" s="1"/>
  <c r="AG94" s="1"/>
  <c r="AJ94" s="1"/>
  <c r="AA88"/>
  <c r="AD88" s="1"/>
  <c r="AG88" s="1"/>
  <c r="AJ88" s="1"/>
  <c r="AM88" s="1"/>
  <c r="AP88" s="1"/>
  <c r="AS88" s="1"/>
  <c r="AV88" s="1"/>
  <c r="AY88" s="1"/>
  <c r="BB88" s="1"/>
  <c r="BE88" s="1"/>
  <c r="BH88" s="1"/>
  <c r="BK88" s="1"/>
  <c r="BN88" s="1"/>
  <c r="AA207"/>
  <c r="AD207" s="1"/>
  <c r="AG207" s="1"/>
  <c r="AJ207" s="1"/>
  <c r="AM207" s="1"/>
  <c r="AP207" s="1"/>
  <c r="AS207" s="1"/>
  <c r="AV207" s="1"/>
  <c r="AY207" s="1"/>
  <c r="BB207" s="1"/>
  <c r="BE207" s="1"/>
  <c r="BH207" s="1"/>
  <c r="BK207" s="1"/>
  <c r="BN207" s="1"/>
  <c r="AA106"/>
  <c r="AD106" s="1"/>
  <c r="AG106" s="1"/>
  <c r="AJ106" s="1"/>
  <c r="AA52"/>
  <c r="AD52" s="1"/>
  <c r="AG52" s="1"/>
  <c r="AJ52" s="1"/>
  <c r="AM52" s="1"/>
  <c r="AP52" s="1"/>
  <c r="AS52" s="1"/>
  <c r="AV52" s="1"/>
  <c r="AY52" s="1"/>
  <c r="BB52" s="1"/>
  <c r="BE52" s="1"/>
  <c r="BH52" s="1"/>
  <c r="BK52" s="1"/>
  <c r="BN52" s="1"/>
  <c r="AA17"/>
  <c r="AD17" s="1"/>
  <c r="AG17" s="1"/>
  <c r="AJ17" s="1"/>
  <c r="AM17" s="1"/>
  <c r="AP17" s="1"/>
  <c r="AS17" s="1"/>
  <c r="AV17" s="1"/>
  <c r="AY17" s="1"/>
  <c r="BB17" s="1"/>
  <c r="BE17" s="1"/>
  <c r="BH17" s="1"/>
  <c r="BK17" s="1"/>
  <c r="BN17" s="1"/>
  <c r="AA214"/>
  <c r="AD214" s="1"/>
  <c r="AG214" s="1"/>
  <c r="AJ214" s="1"/>
  <c r="Z47"/>
  <c r="Z156"/>
  <c r="Z230" s="1"/>
  <c r="AA26" i="32"/>
  <c r="AD26" s="1"/>
  <c r="AG26" s="1"/>
  <c r="X137" i="30"/>
  <c r="Q143"/>
  <c r="R143" s="1"/>
  <c r="U143" s="1"/>
  <c r="R36" i="32"/>
  <c r="R184" s="1"/>
  <c r="Q48" i="30"/>
  <c r="R26"/>
  <c r="U26" s="1"/>
  <c r="X26" s="1"/>
  <c r="Q135"/>
  <c r="R135" s="1"/>
  <c r="U135" s="1"/>
  <c r="X135" s="1"/>
  <c r="Q74"/>
  <c r="Q89" s="1"/>
  <c r="R89" s="1"/>
  <c r="Q44"/>
  <c r="R44" s="1"/>
  <c r="U44" s="1"/>
  <c r="X44" s="1"/>
  <c r="Q12"/>
  <c r="R8" i="23"/>
  <c r="R3"/>
  <c r="R4"/>
  <c r="R5"/>
  <c r="R6"/>
  <c r="R7"/>
  <c r="R2"/>
  <c r="U9" i="22"/>
  <c r="U4"/>
  <c r="U5"/>
  <c r="U6"/>
  <c r="U7"/>
  <c r="U8"/>
  <c r="U3"/>
  <c r="AA8" i="20"/>
  <c r="AA4"/>
  <c r="AA5"/>
  <c r="AA6"/>
  <c r="AA7"/>
  <c r="AA3"/>
  <c r="I3" i="24"/>
  <c r="L3" s="1"/>
  <c r="O3" s="1"/>
  <c r="I4"/>
  <c r="L4" s="1"/>
  <c r="O4" s="1"/>
  <c r="I5"/>
  <c r="L5" s="1"/>
  <c r="O5" s="1"/>
  <c r="I6"/>
  <c r="L6" s="1"/>
  <c r="O6" s="1"/>
  <c r="L5" i="26"/>
  <c r="R5" s="1"/>
  <c r="L6"/>
  <c r="R6" s="1"/>
  <c r="H2" i="24"/>
  <c r="I57"/>
  <c r="I53"/>
  <c r="I54"/>
  <c r="I55"/>
  <c r="I56"/>
  <c r="I52"/>
  <c r="U37" i="22"/>
  <c r="U38"/>
  <c r="U39"/>
  <c r="U40"/>
  <c r="U41"/>
  <c r="U42"/>
  <c r="U36"/>
  <c r="X36" i="21"/>
  <c r="X31"/>
  <c r="X32"/>
  <c r="X33"/>
  <c r="X34"/>
  <c r="X35"/>
  <c r="X30"/>
  <c r="AA45" i="20"/>
  <c r="AA38"/>
  <c r="AA39"/>
  <c r="AA40"/>
  <c r="AA41"/>
  <c r="AA42"/>
  <c r="AA43"/>
  <c r="AA44"/>
  <c r="AG9" i="18"/>
  <c r="AG8"/>
  <c r="I39" i="26"/>
  <c r="L39" s="1"/>
  <c r="R39" s="1"/>
  <c r="I40"/>
  <c r="L40" s="1"/>
  <c r="R40" s="1"/>
  <c r="I41"/>
  <c r="L41" s="1"/>
  <c r="R41" s="1"/>
  <c r="I42"/>
  <c r="L42" s="1"/>
  <c r="R42" s="1"/>
  <c r="I43"/>
  <c r="L43" s="1"/>
  <c r="R43" s="1"/>
  <c r="I44"/>
  <c r="L44" s="1"/>
  <c r="R44" s="1"/>
  <c r="I45"/>
  <c r="L45" s="1"/>
  <c r="R45" s="1"/>
  <c r="I46"/>
  <c r="L46" s="1"/>
  <c r="R46" s="1"/>
  <c r="I47"/>
  <c r="L47" s="1"/>
  <c r="R47" s="1"/>
  <c r="I48"/>
  <c r="L48" s="1"/>
  <c r="R48" s="1"/>
  <c r="I49"/>
  <c r="L49" s="1"/>
  <c r="R49" s="1"/>
  <c r="I50"/>
  <c r="L50" s="1"/>
  <c r="R50" s="1"/>
  <c r="I51"/>
  <c r="L51" s="1"/>
  <c r="R51" s="1"/>
  <c r="I52"/>
  <c r="L52" s="1"/>
  <c r="R52" s="1"/>
  <c r="I53"/>
  <c r="L53" s="1"/>
  <c r="R53" s="1"/>
  <c r="I54"/>
  <c r="L54" s="1"/>
  <c r="R54" s="1"/>
  <c r="I55"/>
  <c r="L55" s="1"/>
  <c r="R55" s="1"/>
  <c r="I56"/>
  <c r="L56" s="1"/>
  <c r="R56" s="1"/>
  <c r="I57"/>
  <c r="L57" s="1"/>
  <c r="R57" s="1"/>
  <c r="I58"/>
  <c r="L58" s="1"/>
  <c r="R58" s="1"/>
  <c r="I59"/>
  <c r="L59" s="1"/>
  <c r="R59" s="1"/>
  <c r="I60"/>
  <c r="L60" s="1"/>
  <c r="R60" s="1"/>
  <c r="I61"/>
  <c r="L61" s="1"/>
  <c r="R61" s="1"/>
  <c r="I62"/>
  <c r="L62" s="1"/>
  <c r="R62" s="1"/>
  <c r="I63"/>
  <c r="L63" s="1"/>
  <c r="R63" s="1"/>
  <c r="I64"/>
  <c r="L64" s="1"/>
  <c r="R64" s="1"/>
  <c r="I65"/>
  <c r="L65" s="1"/>
  <c r="R65" s="1"/>
  <c r="I66"/>
  <c r="L66" s="1"/>
  <c r="R66" s="1"/>
  <c r="I67"/>
  <c r="L67" s="1"/>
  <c r="R67" s="1"/>
  <c r="I68"/>
  <c r="L68" s="1"/>
  <c r="R68" s="1"/>
  <c r="I69"/>
  <c r="L69" s="1"/>
  <c r="I38"/>
  <c r="L38" s="1"/>
  <c r="R38" s="1"/>
  <c r="R37" i="22"/>
  <c r="R38"/>
  <c r="R39"/>
  <c r="R40"/>
  <c r="R41"/>
  <c r="R42"/>
  <c r="R36"/>
  <c r="U36" i="21"/>
  <c r="U31"/>
  <c r="U32"/>
  <c r="U33"/>
  <c r="U34"/>
  <c r="U35"/>
  <c r="U30"/>
  <c r="AD44" i="19"/>
  <c r="AD42"/>
  <c r="AD43"/>
  <c r="I3" i="26"/>
  <c r="L3" s="1"/>
  <c r="R3" s="1"/>
  <c r="I4"/>
  <c r="L4" s="1"/>
  <c r="R4" s="1"/>
  <c r="I5"/>
  <c r="I6"/>
  <c r="I7"/>
  <c r="L7" s="1"/>
  <c r="R7" s="1"/>
  <c r="O8" i="23"/>
  <c r="O3"/>
  <c r="O4"/>
  <c r="O5"/>
  <c r="O6"/>
  <c r="O7"/>
  <c r="R9" i="22"/>
  <c r="R4"/>
  <c r="R5"/>
  <c r="R6"/>
  <c r="R7"/>
  <c r="R8"/>
  <c r="X8" i="20"/>
  <c r="X4"/>
  <c r="X5"/>
  <c r="X6"/>
  <c r="X7"/>
  <c r="X3"/>
  <c r="AD8" i="18"/>
  <c r="AD9" s="1"/>
  <c r="I48" i="24"/>
  <c r="BQ17" i="30" l="1"/>
  <c r="BT17" s="1"/>
  <c r="BW17" s="1"/>
  <c r="BZ17" s="1"/>
  <c r="BQ110"/>
  <c r="BT110" s="1"/>
  <c r="BW110" s="1"/>
  <c r="BZ110" s="1"/>
  <c r="BQ63"/>
  <c r="BT63" s="1"/>
  <c r="BW63" s="1"/>
  <c r="BZ63" s="1"/>
  <c r="BQ66"/>
  <c r="BT66" s="1"/>
  <c r="BW66" s="1"/>
  <c r="BZ66" s="1"/>
  <c r="BQ86"/>
  <c r="BT86" s="1"/>
  <c r="BW86" s="1"/>
  <c r="BZ86" s="1"/>
  <c r="BQ35"/>
  <c r="BT35" s="1"/>
  <c r="BW35" s="1"/>
  <c r="BZ35" s="1"/>
  <c r="BQ5"/>
  <c r="BT5" s="1"/>
  <c r="BW5" s="1"/>
  <c r="BZ5" s="1"/>
  <c r="BQ42"/>
  <c r="BT42" s="1"/>
  <c r="BW42" s="1"/>
  <c r="BZ42" s="1"/>
  <c r="BQ29"/>
  <c r="BT29" s="1"/>
  <c r="BW29" s="1"/>
  <c r="BZ29" s="1"/>
  <c r="BQ21"/>
  <c r="BT21" s="1"/>
  <c r="BW21" s="1"/>
  <c r="BZ21" s="1"/>
  <c r="BQ15"/>
  <c r="BT15" s="1"/>
  <c r="BW15" s="1"/>
  <c r="BZ15" s="1"/>
  <c r="BQ10"/>
  <c r="BT10" s="1"/>
  <c r="BW10" s="1"/>
  <c r="BZ10" s="1"/>
  <c r="BQ9"/>
  <c r="BT9" s="1"/>
  <c r="BW9" s="1"/>
  <c r="BZ9" s="1"/>
  <c r="BQ52"/>
  <c r="BT52" s="1"/>
  <c r="BW52" s="1"/>
  <c r="BZ52" s="1"/>
  <c r="BQ164"/>
  <c r="BT164" s="1"/>
  <c r="BW164" s="1"/>
  <c r="BZ164" s="1"/>
  <c r="BQ53"/>
  <c r="BT53" s="1"/>
  <c r="BW53" s="1"/>
  <c r="BZ53" s="1"/>
  <c r="BQ67"/>
  <c r="BT67" s="1"/>
  <c r="BW67" s="1"/>
  <c r="BZ67" s="1"/>
  <c r="BQ55"/>
  <c r="BT55" s="1"/>
  <c r="BW55" s="1"/>
  <c r="BZ55" s="1"/>
  <c r="BQ30"/>
  <c r="BT30" s="1"/>
  <c r="BW30" s="1"/>
  <c r="BZ30" s="1"/>
  <c r="BQ23"/>
  <c r="BT23" s="1"/>
  <c r="BW23" s="1"/>
  <c r="BZ23" s="1"/>
  <c r="BQ114"/>
  <c r="BT114" s="1"/>
  <c r="BW114" s="1"/>
  <c r="BZ114" s="1"/>
  <c r="BQ38"/>
  <c r="BT38" s="1"/>
  <c r="BW38" s="1"/>
  <c r="BZ38" s="1"/>
  <c r="BQ359"/>
  <c r="BT359" s="1"/>
  <c r="BW359" s="1"/>
  <c r="BZ359" s="1"/>
  <c r="BQ337"/>
  <c r="BT337" s="1"/>
  <c r="BW337" s="1"/>
  <c r="BZ337" s="1"/>
  <c r="BQ27"/>
  <c r="BT27" s="1"/>
  <c r="BW27" s="1"/>
  <c r="BZ27" s="1"/>
  <c r="BQ34"/>
  <c r="BT34" s="1"/>
  <c r="BW34" s="1"/>
  <c r="BZ34" s="1"/>
  <c r="BQ20"/>
  <c r="BT20" s="1"/>
  <c r="BW20" s="1"/>
  <c r="BZ20" s="1"/>
  <c r="BQ32"/>
  <c r="BT32" s="1"/>
  <c r="BW32" s="1"/>
  <c r="BZ32" s="1"/>
  <c r="BQ88"/>
  <c r="BT88" s="1"/>
  <c r="BW88" s="1"/>
  <c r="BZ88" s="1"/>
  <c r="BQ71"/>
  <c r="BT71" s="1"/>
  <c r="BW71" s="1"/>
  <c r="BZ71" s="1"/>
  <c r="BQ113"/>
  <c r="BT113" s="1"/>
  <c r="BW113" s="1"/>
  <c r="BZ113" s="1"/>
  <c r="BQ56"/>
  <c r="BT56" s="1"/>
  <c r="BW56" s="1"/>
  <c r="BZ56" s="1"/>
  <c r="BQ72"/>
  <c r="BT72" s="1"/>
  <c r="BW72" s="1"/>
  <c r="BZ72" s="1"/>
  <c r="BQ111"/>
  <c r="BT111" s="1"/>
  <c r="BW111" s="1"/>
  <c r="BZ111" s="1"/>
  <c r="BQ115"/>
  <c r="BT115" s="1"/>
  <c r="BW115" s="1"/>
  <c r="BZ115" s="1"/>
  <c r="BQ207"/>
  <c r="BT207" s="1"/>
  <c r="BW207" s="1"/>
  <c r="BZ207" s="1"/>
  <c r="BQ103"/>
  <c r="BT103" s="1"/>
  <c r="BW103" s="1"/>
  <c r="BZ103" s="1"/>
  <c r="BQ36"/>
  <c r="BT36" s="1"/>
  <c r="BW36" s="1"/>
  <c r="BZ36" s="1"/>
  <c r="BQ51"/>
  <c r="BT51" s="1"/>
  <c r="BW51" s="1"/>
  <c r="BZ51" s="1"/>
  <c r="BQ124"/>
  <c r="BT124" s="1"/>
  <c r="BW124" s="1"/>
  <c r="BZ124" s="1"/>
  <c r="BQ43"/>
  <c r="BT43" s="1"/>
  <c r="BW43" s="1"/>
  <c r="BZ43" s="1"/>
  <c r="BQ104"/>
  <c r="BT104" s="1"/>
  <c r="BW104" s="1"/>
  <c r="BZ104" s="1"/>
  <c r="BQ37"/>
  <c r="BT37" s="1"/>
  <c r="BW37" s="1"/>
  <c r="BZ37" s="1"/>
  <c r="BQ105"/>
  <c r="BT105" s="1"/>
  <c r="BW105" s="1"/>
  <c r="BZ105" s="1"/>
  <c r="BQ24"/>
  <c r="BT24" s="1"/>
  <c r="BW24" s="1"/>
  <c r="BZ24" s="1"/>
  <c r="BQ478"/>
  <c r="BT478" s="1"/>
  <c r="BW478" s="1"/>
  <c r="BZ478" s="1"/>
  <c r="BQ16"/>
  <c r="BT16" s="1"/>
  <c r="BW16" s="1"/>
  <c r="BZ16" s="1"/>
  <c r="AA11" i="32"/>
  <c r="AL876" i="30"/>
  <c r="X3" i="31"/>
  <c r="U105"/>
  <c r="AP36"/>
  <c r="AG12" i="32"/>
  <c r="BJ121"/>
  <c r="BK66"/>
  <c r="BN66" s="1"/>
  <c r="BQ66" s="1"/>
  <c r="BT66" s="1"/>
  <c r="BW66" s="1"/>
  <c r="BZ66" s="1"/>
  <c r="BE3"/>
  <c r="AX6" i="30"/>
  <c r="AP108"/>
  <c r="Q13"/>
  <c r="R13" s="1"/>
  <c r="U13" s="1"/>
  <c r="X13" s="1"/>
  <c r="AA47"/>
  <c r="AD47" s="1"/>
  <c r="AG47" s="1"/>
  <c r="AJ47" s="1"/>
  <c r="AM47" s="1"/>
  <c r="AP47" s="1"/>
  <c r="AS47" s="1"/>
  <c r="AV47" s="1"/>
  <c r="AY47" s="1"/>
  <c r="BB47" s="1"/>
  <c r="BE47" s="1"/>
  <c r="BH47" s="1"/>
  <c r="BK47" s="1"/>
  <c r="BN47" s="1"/>
  <c r="AA3"/>
  <c r="AJ26" i="32"/>
  <c r="AS10"/>
  <c r="AP21"/>
  <c r="AS21" s="1"/>
  <c r="AV21" s="1"/>
  <c r="AY21" s="1"/>
  <c r="BB21" s="1"/>
  <c r="BE21" s="1"/>
  <c r="BH21" s="1"/>
  <c r="BK21" s="1"/>
  <c r="BN21" s="1"/>
  <c r="BQ21" s="1"/>
  <c r="BT21" s="1"/>
  <c r="BW21" s="1"/>
  <c r="BZ21" s="1"/>
  <c r="AM214" i="30"/>
  <c r="AP214" s="1"/>
  <c r="AS214" s="1"/>
  <c r="AV214" s="1"/>
  <c r="AY214" s="1"/>
  <c r="BB214" s="1"/>
  <c r="BE214" s="1"/>
  <c r="BH214" s="1"/>
  <c r="BK214" s="1"/>
  <c r="BN214" s="1"/>
  <c r="AM76"/>
  <c r="AP76" s="1"/>
  <c r="AS76" s="1"/>
  <c r="AV76" s="1"/>
  <c r="AY76" s="1"/>
  <c r="BB76" s="1"/>
  <c r="BE76" s="1"/>
  <c r="BH76" s="1"/>
  <c r="BK76" s="1"/>
  <c r="BN76" s="1"/>
  <c r="AM106"/>
  <c r="AP106" s="1"/>
  <c r="AS106" s="1"/>
  <c r="AV106" s="1"/>
  <c r="AY106" s="1"/>
  <c r="BB106" s="1"/>
  <c r="BE106" s="1"/>
  <c r="BH106" s="1"/>
  <c r="BK106" s="1"/>
  <c r="BN106" s="1"/>
  <c r="AM73"/>
  <c r="AP73" s="1"/>
  <c r="AS73" s="1"/>
  <c r="AV73" s="1"/>
  <c r="AY73" s="1"/>
  <c r="BB73" s="1"/>
  <c r="BE73" s="1"/>
  <c r="BH73" s="1"/>
  <c r="BK73" s="1"/>
  <c r="BN73" s="1"/>
  <c r="AM94"/>
  <c r="AP94" s="1"/>
  <c r="AS94" s="1"/>
  <c r="AV94" s="1"/>
  <c r="AY94" s="1"/>
  <c r="BB94" s="1"/>
  <c r="BE94" s="1"/>
  <c r="BH94" s="1"/>
  <c r="BK94" s="1"/>
  <c r="BN94" s="1"/>
  <c r="AM96"/>
  <c r="AP96" s="1"/>
  <c r="AS96" s="1"/>
  <c r="AV96" s="1"/>
  <c r="AY96" s="1"/>
  <c r="BB96" s="1"/>
  <c r="BE96" s="1"/>
  <c r="BH96" s="1"/>
  <c r="BK96" s="1"/>
  <c r="BN96" s="1"/>
  <c r="AM95"/>
  <c r="AP95" s="1"/>
  <c r="AS95" s="1"/>
  <c r="AV95" s="1"/>
  <c r="AY95" s="1"/>
  <c r="BB95" s="1"/>
  <c r="BE95" s="1"/>
  <c r="BH95" s="1"/>
  <c r="BK95" s="1"/>
  <c r="BN95" s="1"/>
  <c r="AM134"/>
  <c r="AP134" s="1"/>
  <c r="AS134" s="1"/>
  <c r="AV134" s="1"/>
  <c r="AY134" s="1"/>
  <c r="BB134" s="1"/>
  <c r="BE134" s="1"/>
  <c r="BH134" s="1"/>
  <c r="BK134" s="1"/>
  <c r="BN134" s="1"/>
  <c r="AM4" i="31"/>
  <c r="AO149" i="30"/>
  <c r="AF267"/>
  <c r="AI216"/>
  <c r="AD93"/>
  <c r="AG93" s="1"/>
  <c r="AJ93" s="1"/>
  <c r="AM93" s="1"/>
  <c r="AP93" s="1"/>
  <c r="AS93" s="1"/>
  <c r="AV93" s="1"/>
  <c r="AY93" s="1"/>
  <c r="BB93" s="1"/>
  <c r="BE93" s="1"/>
  <c r="BH93" s="1"/>
  <c r="BK93" s="1"/>
  <c r="BN93" s="1"/>
  <c r="AD181"/>
  <c r="AG181" s="1"/>
  <c r="AJ181" s="1"/>
  <c r="AM181" s="1"/>
  <c r="AP181" s="1"/>
  <c r="AS181" s="1"/>
  <c r="AV181" s="1"/>
  <c r="AY181" s="1"/>
  <c r="BB181" s="1"/>
  <c r="BE181" s="1"/>
  <c r="BH181" s="1"/>
  <c r="BK181" s="1"/>
  <c r="BN181" s="1"/>
  <c r="AD13"/>
  <c r="AG13" s="1"/>
  <c r="AJ13" s="1"/>
  <c r="AM13" s="1"/>
  <c r="AP13" s="1"/>
  <c r="AS13" s="1"/>
  <c r="AV13" s="1"/>
  <c r="AY13" s="1"/>
  <c r="BB13" s="1"/>
  <c r="BE13" s="1"/>
  <c r="BH13" s="1"/>
  <c r="BK13" s="1"/>
  <c r="BN13" s="1"/>
  <c r="AA230"/>
  <c r="AD230" s="1"/>
  <c r="AG230" s="1"/>
  <c r="AA135"/>
  <c r="AD135" s="1"/>
  <c r="AG135" s="1"/>
  <c r="AA26"/>
  <c r="AD26" s="1"/>
  <c r="AG26" s="1"/>
  <c r="AJ26" s="1"/>
  <c r="AM26" s="1"/>
  <c r="AP26" s="1"/>
  <c r="AS26" s="1"/>
  <c r="AV26" s="1"/>
  <c r="AY26" s="1"/>
  <c r="BB26" s="1"/>
  <c r="BE26" s="1"/>
  <c r="BH26" s="1"/>
  <c r="BK26" s="1"/>
  <c r="BN26" s="1"/>
  <c r="AA44"/>
  <c r="AD44" s="1"/>
  <c r="AG44" s="1"/>
  <c r="AJ44" s="1"/>
  <c r="AA137"/>
  <c r="AD137" s="1"/>
  <c r="AG137" s="1"/>
  <c r="AJ137" s="1"/>
  <c r="AA156"/>
  <c r="AD156" s="1"/>
  <c r="AG156" s="1"/>
  <c r="AJ156" s="1"/>
  <c r="Z126"/>
  <c r="W143"/>
  <c r="T89"/>
  <c r="U36" i="32"/>
  <c r="U184" s="1"/>
  <c r="Q82" i="30"/>
  <c r="R82" s="1"/>
  <c r="U82" s="1"/>
  <c r="X82" s="1"/>
  <c r="R48"/>
  <c r="U48" s="1"/>
  <c r="X48" s="1"/>
  <c r="R74"/>
  <c r="U74" s="1"/>
  <c r="X74" s="1"/>
  <c r="R12"/>
  <c r="Q58"/>
  <c r="R58" s="1"/>
  <c r="U58" s="1"/>
  <c r="X58" s="1"/>
  <c r="L70" i="26"/>
  <c r="R70" s="1"/>
  <c r="R69"/>
  <c r="I70"/>
  <c r="O48" i="24"/>
  <c r="O49" s="1"/>
  <c r="AS41" i="18" s="1"/>
  <c r="L48" i="24"/>
  <c r="L49" s="1"/>
  <c r="I49"/>
  <c r="N28" i="25"/>
  <c r="BQ93" i="30" l="1"/>
  <c r="BT93" s="1"/>
  <c r="BW93" s="1"/>
  <c r="BZ93" s="1"/>
  <c r="BQ26"/>
  <c r="BT26" s="1"/>
  <c r="BW26" s="1"/>
  <c r="BZ26" s="1"/>
  <c r="BQ181"/>
  <c r="BT181" s="1"/>
  <c r="BW181" s="1"/>
  <c r="BZ181" s="1"/>
  <c r="BQ96"/>
  <c r="BT96" s="1"/>
  <c r="BW96" s="1"/>
  <c r="BZ96" s="1"/>
  <c r="BQ76"/>
  <c r="BT76" s="1"/>
  <c r="BW76" s="1"/>
  <c r="BZ76" s="1"/>
  <c r="BQ214"/>
  <c r="BT214" s="1"/>
  <c r="BW214" s="1"/>
  <c r="BZ214" s="1"/>
  <c r="BQ13"/>
  <c r="BT13" s="1"/>
  <c r="BW13" s="1"/>
  <c r="BZ13" s="1"/>
  <c r="BQ95"/>
  <c r="BT95" s="1"/>
  <c r="BW95" s="1"/>
  <c r="BZ95" s="1"/>
  <c r="BQ106"/>
  <c r="BT106" s="1"/>
  <c r="BW106" s="1"/>
  <c r="BZ106" s="1"/>
  <c r="BQ94"/>
  <c r="BT94" s="1"/>
  <c r="BW94" s="1"/>
  <c r="BZ94" s="1"/>
  <c r="BQ134"/>
  <c r="BT134" s="1"/>
  <c r="BW134" s="1"/>
  <c r="BZ134" s="1"/>
  <c r="BQ73"/>
  <c r="BT73" s="1"/>
  <c r="BW73" s="1"/>
  <c r="BZ73" s="1"/>
  <c r="BQ47"/>
  <c r="BT47" s="1"/>
  <c r="BW47" s="1"/>
  <c r="BZ47" s="1"/>
  <c r="AD11" i="32"/>
  <c r="X105" i="31"/>
  <c r="AA3"/>
  <c r="AS36"/>
  <c r="AJ12" i="32"/>
  <c r="BK121"/>
  <c r="BN121" s="1"/>
  <c r="BQ121" s="1"/>
  <c r="BT121" s="1"/>
  <c r="BW121" s="1"/>
  <c r="BZ121" s="1"/>
  <c r="BJ184"/>
  <c r="BH3"/>
  <c r="BK3" s="1"/>
  <c r="BN3" s="1"/>
  <c r="BQ3" s="1"/>
  <c r="BT3" s="1"/>
  <c r="BW3" s="1"/>
  <c r="BZ3" s="1"/>
  <c r="AX389" i="30"/>
  <c r="AY6"/>
  <c r="BB6" s="1"/>
  <c r="BE6" s="1"/>
  <c r="BH6" s="1"/>
  <c r="BK6" s="1"/>
  <c r="BN6" s="1"/>
  <c r="AS108"/>
  <c r="AV10" i="32"/>
  <c r="AP4" i="31"/>
  <c r="AG267" i="30"/>
  <c r="AJ267" s="1"/>
  <c r="AM267" s="1"/>
  <c r="AP267" s="1"/>
  <c r="AS267" s="1"/>
  <c r="AV267" s="1"/>
  <c r="AY267" s="1"/>
  <c r="BB267" s="1"/>
  <c r="BE267" s="1"/>
  <c r="BH267" s="1"/>
  <c r="BK267" s="1"/>
  <c r="BN267" s="1"/>
  <c r="AD3"/>
  <c r="U89"/>
  <c r="X89" s="1"/>
  <c r="AA89" s="1"/>
  <c r="AD89" s="1"/>
  <c r="AG89" s="1"/>
  <c r="AJ89" s="1"/>
  <c r="U12"/>
  <c r="AM26" i="32"/>
  <c r="AP149" i="30"/>
  <c r="AS149" s="1"/>
  <c r="AV149" s="1"/>
  <c r="AY149" s="1"/>
  <c r="BB149" s="1"/>
  <c r="BE149" s="1"/>
  <c r="BH149" s="1"/>
  <c r="BK149" s="1"/>
  <c r="BN149" s="1"/>
  <c r="AO228"/>
  <c r="AP228" s="1"/>
  <c r="AS228" s="1"/>
  <c r="AV228" s="1"/>
  <c r="AY228" s="1"/>
  <c r="BB228" s="1"/>
  <c r="BE228" s="1"/>
  <c r="BH228" s="1"/>
  <c r="BK228" s="1"/>
  <c r="BN228" s="1"/>
  <c r="AM156"/>
  <c r="AP156" s="1"/>
  <c r="AS156" s="1"/>
  <c r="AV156" s="1"/>
  <c r="AY156" s="1"/>
  <c r="BB156" s="1"/>
  <c r="BE156" s="1"/>
  <c r="BH156" s="1"/>
  <c r="BK156" s="1"/>
  <c r="BN156" s="1"/>
  <c r="AM44"/>
  <c r="AP44" s="1"/>
  <c r="AS44" s="1"/>
  <c r="AV44" s="1"/>
  <c r="AY44" s="1"/>
  <c r="BB44" s="1"/>
  <c r="BE44" s="1"/>
  <c r="BH44" s="1"/>
  <c r="BK44" s="1"/>
  <c r="BN44" s="1"/>
  <c r="AM137"/>
  <c r="AP137" s="1"/>
  <c r="AS137" s="1"/>
  <c r="AV137" s="1"/>
  <c r="AY137" s="1"/>
  <c r="BB137" s="1"/>
  <c r="BE137" s="1"/>
  <c r="BH137" s="1"/>
  <c r="BK137" s="1"/>
  <c r="BN137" s="1"/>
  <c r="AJ216"/>
  <c r="AM216" s="1"/>
  <c r="AP216" s="1"/>
  <c r="AS216" s="1"/>
  <c r="AV216" s="1"/>
  <c r="AY216" s="1"/>
  <c r="BB216" s="1"/>
  <c r="BE216" s="1"/>
  <c r="BH216" s="1"/>
  <c r="BK216" s="1"/>
  <c r="BN216" s="1"/>
  <c r="AI312"/>
  <c r="AJ312" s="1"/>
  <c r="AM312" s="1"/>
  <c r="AP312" s="1"/>
  <c r="AS312" s="1"/>
  <c r="AV312" s="1"/>
  <c r="AY312" s="1"/>
  <c r="BB312" s="1"/>
  <c r="BE312" s="1"/>
  <c r="BH312" s="1"/>
  <c r="BK312" s="1"/>
  <c r="BN312" s="1"/>
  <c r="AI135"/>
  <c r="AJ230"/>
  <c r="AM230" s="1"/>
  <c r="AP230" s="1"/>
  <c r="AS230" s="1"/>
  <c r="AV230" s="1"/>
  <c r="AY230" s="1"/>
  <c r="BB230" s="1"/>
  <c r="BE230" s="1"/>
  <c r="BH230" s="1"/>
  <c r="BK230" s="1"/>
  <c r="BN230" s="1"/>
  <c r="AF342"/>
  <c r="X143"/>
  <c r="AA143" s="1"/>
  <c r="AD143" s="1"/>
  <c r="AG143" s="1"/>
  <c r="AJ143" s="1"/>
  <c r="AM143" s="1"/>
  <c r="AP143" s="1"/>
  <c r="AS143" s="1"/>
  <c r="AV143" s="1"/>
  <c r="AY143" s="1"/>
  <c r="BB143" s="1"/>
  <c r="BE143" s="1"/>
  <c r="BH143" s="1"/>
  <c r="BK143" s="1"/>
  <c r="BN143" s="1"/>
  <c r="AA74"/>
  <c r="AD74" s="1"/>
  <c r="AG74" s="1"/>
  <c r="AJ74" s="1"/>
  <c r="AA126"/>
  <c r="AD126" s="1"/>
  <c r="AG126" s="1"/>
  <c r="AJ126" s="1"/>
  <c r="AM126" s="1"/>
  <c r="AA58"/>
  <c r="AD58" s="1"/>
  <c r="AG58" s="1"/>
  <c r="AJ58" s="1"/>
  <c r="AA48"/>
  <c r="AD48" s="1"/>
  <c r="AG48" s="1"/>
  <c r="AJ48" s="1"/>
  <c r="AC82"/>
  <c r="X36" i="32"/>
  <c r="X184" s="1"/>
  <c r="W227" i="30"/>
  <c r="X227" s="1"/>
  <c r="T133"/>
  <c r="U133" s="1"/>
  <c r="X133" s="1"/>
  <c r="AC19" i="19"/>
  <c r="AD7" i="18"/>
  <c r="AG7" s="1"/>
  <c r="AF7"/>
  <c r="AA37" i="20"/>
  <c r="X45"/>
  <c r="W45"/>
  <c r="X38"/>
  <c r="X39"/>
  <c r="X40"/>
  <c r="X41"/>
  <c r="X42"/>
  <c r="X43"/>
  <c r="X44"/>
  <c r="X37"/>
  <c r="AD41" i="19"/>
  <c r="AD40"/>
  <c r="AA44"/>
  <c r="Z44"/>
  <c r="AA41"/>
  <c r="AA42"/>
  <c r="AA43"/>
  <c r="AA40"/>
  <c r="K29" i="26"/>
  <c r="BQ230" i="30" l="1"/>
  <c r="BT230" s="1"/>
  <c r="BW230" s="1"/>
  <c r="BZ230" s="1"/>
  <c r="BQ137"/>
  <c r="BT137" s="1"/>
  <c r="BW137" s="1"/>
  <c r="BZ137" s="1"/>
  <c r="BQ149"/>
  <c r="BT149" s="1"/>
  <c r="BW149" s="1"/>
  <c r="BZ149" s="1"/>
  <c r="BQ216"/>
  <c r="BT216" s="1"/>
  <c r="BW216" s="1"/>
  <c r="BZ216" s="1"/>
  <c r="BQ228"/>
  <c r="BT228" s="1"/>
  <c r="BW228" s="1"/>
  <c r="BZ228" s="1"/>
  <c r="BQ143"/>
  <c r="BT143" s="1"/>
  <c r="BW143" s="1"/>
  <c r="BZ143" s="1"/>
  <c r="BQ312"/>
  <c r="BT312" s="1"/>
  <c r="BW312" s="1"/>
  <c r="BZ312" s="1"/>
  <c r="BQ156"/>
  <c r="BT156" s="1"/>
  <c r="BW156" s="1"/>
  <c r="BZ156" s="1"/>
  <c r="BQ44"/>
  <c r="BT44" s="1"/>
  <c r="BW44" s="1"/>
  <c r="BZ44" s="1"/>
  <c r="BQ267"/>
  <c r="BT267" s="1"/>
  <c r="BW267" s="1"/>
  <c r="BZ267" s="1"/>
  <c r="BQ6"/>
  <c r="BT6" s="1"/>
  <c r="BW6" s="1"/>
  <c r="BZ6" s="1"/>
  <c r="AG11" i="32"/>
  <c r="W876" i="30"/>
  <c r="AD3" i="31"/>
  <c r="AA105"/>
  <c r="AV36"/>
  <c r="AY389" i="30"/>
  <c r="BB389" s="1"/>
  <c r="BE389" s="1"/>
  <c r="BH389" s="1"/>
  <c r="BK389" s="1"/>
  <c r="AG342"/>
  <c r="AJ342" s="1"/>
  <c r="AM342" s="1"/>
  <c r="AP342" s="1"/>
  <c r="AS342" s="1"/>
  <c r="AV342" s="1"/>
  <c r="AY342" s="1"/>
  <c r="BB342" s="1"/>
  <c r="BE342" s="1"/>
  <c r="BH342" s="1"/>
  <c r="BK342" s="1"/>
  <c r="BN342" s="1"/>
  <c r="AF876"/>
  <c r="AM12" i="32"/>
  <c r="AY10"/>
  <c r="AP126" i="30"/>
  <c r="AV108"/>
  <c r="AS4" i="31"/>
  <c r="AC246" i="30"/>
  <c r="AD246" s="1"/>
  <c r="AG246" s="1"/>
  <c r="AJ246" s="1"/>
  <c r="AM246" s="1"/>
  <c r="AP246" s="1"/>
  <c r="AS246" s="1"/>
  <c r="AV246" s="1"/>
  <c r="X12"/>
  <c r="AG3"/>
  <c r="AP26" i="32"/>
  <c r="AM58" i="30"/>
  <c r="AP58" s="1"/>
  <c r="AS58" s="1"/>
  <c r="AV58" s="1"/>
  <c r="AY58" s="1"/>
  <c r="BB58" s="1"/>
  <c r="BE58" s="1"/>
  <c r="BH58" s="1"/>
  <c r="BK58" s="1"/>
  <c r="BN58" s="1"/>
  <c r="AM48"/>
  <c r="AP48" s="1"/>
  <c r="AS48" s="1"/>
  <c r="AV48" s="1"/>
  <c r="AY48" s="1"/>
  <c r="BB48" s="1"/>
  <c r="BE48" s="1"/>
  <c r="BH48" s="1"/>
  <c r="BK48" s="1"/>
  <c r="BN48" s="1"/>
  <c r="AM74"/>
  <c r="AP74" s="1"/>
  <c r="AS74" s="1"/>
  <c r="AV74" s="1"/>
  <c r="AY74" s="1"/>
  <c r="BB74" s="1"/>
  <c r="BE74" s="1"/>
  <c r="BH74" s="1"/>
  <c r="BK74" s="1"/>
  <c r="BN74" s="1"/>
  <c r="AM89"/>
  <c r="AP89" s="1"/>
  <c r="AS89" s="1"/>
  <c r="AV89" s="1"/>
  <c r="AY89" s="1"/>
  <c r="BB89" s="1"/>
  <c r="BE89" s="1"/>
  <c r="BH89" s="1"/>
  <c r="BK89" s="1"/>
  <c r="BN89" s="1"/>
  <c r="AI159"/>
  <c r="AJ159" s="1"/>
  <c r="AM159" s="1"/>
  <c r="AJ135"/>
  <c r="AA227"/>
  <c r="AD227" s="1"/>
  <c r="AG227" s="1"/>
  <c r="AJ227" s="1"/>
  <c r="AM227" s="1"/>
  <c r="AP227" s="1"/>
  <c r="AS227" s="1"/>
  <c r="AV227" s="1"/>
  <c r="AY227" s="1"/>
  <c r="BB227" s="1"/>
  <c r="BE227" s="1"/>
  <c r="BH227" s="1"/>
  <c r="BK227" s="1"/>
  <c r="BN227" s="1"/>
  <c r="AD82"/>
  <c r="AG82" s="1"/>
  <c r="AJ82" s="1"/>
  <c r="Z133"/>
  <c r="AA36" i="32"/>
  <c r="AA184" s="1"/>
  <c r="I2" i="24"/>
  <c r="BQ48" i="30" l="1"/>
  <c r="BT48" s="1"/>
  <c r="BW48" s="1"/>
  <c r="BZ48" s="1"/>
  <c r="BQ58"/>
  <c r="BT58" s="1"/>
  <c r="BW58" s="1"/>
  <c r="BZ58" s="1"/>
  <c r="BQ227"/>
  <c r="BT227" s="1"/>
  <c r="BW227" s="1"/>
  <c r="BZ227" s="1"/>
  <c r="BQ74"/>
  <c r="BT74" s="1"/>
  <c r="BW74" s="1"/>
  <c r="BZ74" s="1"/>
  <c r="BQ89"/>
  <c r="BT89" s="1"/>
  <c r="BW89" s="1"/>
  <c r="BZ89" s="1"/>
  <c r="BP342"/>
  <c r="BQ342" s="1"/>
  <c r="BT342" s="1"/>
  <c r="BW342" s="1"/>
  <c r="BZ342" s="1"/>
  <c r="BM389"/>
  <c r="BN389" s="1"/>
  <c r="AJ11" i="32"/>
  <c r="AI876" i="30"/>
  <c r="AG3" i="31"/>
  <c r="AD105"/>
  <c r="AY36"/>
  <c r="AP12" i="32"/>
  <c r="BB10"/>
  <c r="AX246" i="30"/>
  <c r="AX321" s="1"/>
  <c r="AY321" s="1"/>
  <c r="BB321" s="1"/>
  <c r="AS126"/>
  <c r="AY108"/>
  <c r="BB108" s="1"/>
  <c r="BE108" s="1"/>
  <c r="BH108" s="1"/>
  <c r="BK108" s="1"/>
  <c r="BN108" s="1"/>
  <c r="AV4" i="31"/>
  <c r="AJ3" i="30"/>
  <c r="AA12"/>
  <c r="AA133"/>
  <c r="AD133" s="1"/>
  <c r="AG133" s="1"/>
  <c r="AJ133" s="1"/>
  <c r="AS26" i="32"/>
  <c r="AO159" i="30"/>
  <c r="AM82"/>
  <c r="AP82" s="1"/>
  <c r="AS82" s="1"/>
  <c r="AV82" s="1"/>
  <c r="AY82" s="1"/>
  <c r="BB82" s="1"/>
  <c r="BE82" s="1"/>
  <c r="BH82" s="1"/>
  <c r="BK82" s="1"/>
  <c r="BN82" s="1"/>
  <c r="AM135"/>
  <c r="AP135" s="1"/>
  <c r="AS135" s="1"/>
  <c r="AV135" s="1"/>
  <c r="AY135" s="1"/>
  <c r="BB135" s="1"/>
  <c r="BE135" s="1"/>
  <c r="BH135" s="1"/>
  <c r="BK135" s="1"/>
  <c r="BN135" s="1"/>
  <c r="AD36" i="32"/>
  <c r="Z187" i="30"/>
  <c r="Z876" s="1"/>
  <c r="L2" i="24"/>
  <c r="I7"/>
  <c r="F34"/>
  <c r="F49" s="1"/>
  <c r="F7"/>
  <c r="F57"/>
  <c r="A56"/>
  <c r="A55"/>
  <c r="A54"/>
  <c r="A53"/>
  <c r="A52"/>
  <c r="A48"/>
  <c r="A47"/>
  <c r="A46"/>
  <c r="A45"/>
  <c r="A44"/>
  <c r="A20"/>
  <c r="A19"/>
  <c r="A18"/>
  <c r="A17"/>
  <c r="A16"/>
  <c r="A15"/>
  <c r="A14"/>
  <c r="A13"/>
  <c r="A12"/>
  <c r="A11"/>
  <c r="A6"/>
  <c r="A5"/>
  <c r="A4"/>
  <c r="A3"/>
  <c r="A2"/>
  <c r="H35" i="26"/>
  <c r="I13"/>
  <c r="L13" s="1"/>
  <c r="O13" s="1"/>
  <c r="R13" s="1"/>
  <c r="I14"/>
  <c r="L14" s="1"/>
  <c r="O14" s="1"/>
  <c r="R14" s="1"/>
  <c r="I15"/>
  <c r="L15" s="1"/>
  <c r="O15" s="1"/>
  <c r="R15" s="1"/>
  <c r="I16"/>
  <c r="L16" s="1"/>
  <c r="O16" s="1"/>
  <c r="R16" s="1"/>
  <c r="I17"/>
  <c r="L17" s="1"/>
  <c r="O17" s="1"/>
  <c r="R17" s="1"/>
  <c r="I18"/>
  <c r="L18" s="1"/>
  <c r="O18" s="1"/>
  <c r="R18" s="1"/>
  <c r="I19"/>
  <c r="L19" s="1"/>
  <c r="O19" s="1"/>
  <c r="R19" s="1"/>
  <c r="I20"/>
  <c r="L20" s="1"/>
  <c r="O20" s="1"/>
  <c r="R20" s="1"/>
  <c r="I21"/>
  <c r="L21" s="1"/>
  <c r="O21" s="1"/>
  <c r="R21" s="1"/>
  <c r="I22"/>
  <c r="L22" s="1"/>
  <c r="O22" s="1"/>
  <c r="R22" s="1"/>
  <c r="I23"/>
  <c r="L23" s="1"/>
  <c r="O23" s="1"/>
  <c r="R23" s="1"/>
  <c r="I24"/>
  <c r="L24" s="1"/>
  <c r="O24" s="1"/>
  <c r="R24" s="1"/>
  <c r="I25"/>
  <c r="L25" s="1"/>
  <c r="O25" s="1"/>
  <c r="R25" s="1"/>
  <c r="I26"/>
  <c r="L26" s="1"/>
  <c r="O26" s="1"/>
  <c r="R26" s="1"/>
  <c r="I27"/>
  <c r="L27" s="1"/>
  <c r="O27" s="1"/>
  <c r="R27" s="1"/>
  <c r="I28"/>
  <c r="L28" s="1"/>
  <c r="O28" s="1"/>
  <c r="R28" s="1"/>
  <c r="I29"/>
  <c r="L29" s="1"/>
  <c r="O29" s="1"/>
  <c r="R29" s="1"/>
  <c r="I30"/>
  <c r="L30" s="1"/>
  <c r="O30" s="1"/>
  <c r="R30" s="1"/>
  <c r="I31"/>
  <c r="L31" s="1"/>
  <c r="O31" s="1"/>
  <c r="R31" s="1"/>
  <c r="I32"/>
  <c r="L32" s="1"/>
  <c r="O32" s="1"/>
  <c r="R32" s="1"/>
  <c r="I33"/>
  <c r="L33" s="1"/>
  <c r="O33" s="1"/>
  <c r="R33" s="1"/>
  <c r="I34"/>
  <c r="L34" s="1"/>
  <c r="O34" s="1"/>
  <c r="R34" s="1"/>
  <c r="I12"/>
  <c r="L12" s="1"/>
  <c r="M33" i="23"/>
  <c r="N33"/>
  <c r="P33" i="22"/>
  <c r="Q33"/>
  <c r="S27" i="21"/>
  <c r="U21"/>
  <c r="X21" s="1"/>
  <c r="AA21" s="1"/>
  <c r="AD21" s="1"/>
  <c r="V34" i="20"/>
  <c r="Y37" i="19"/>
  <c r="K33" i="25"/>
  <c r="K28"/>
  <c r="AB36" i="18"/>
  <c r="N47" i="23"/>
  <c r="H2" i="26"/>
  <c r="I2"/>
  <c r="K2" i="25"/>
  <c r="K47"/>
  <c r="H58"/>
  <c r="A68" i="26"/>
  <c r="A53"/>
  <c r="A54"/>
  <c r="A55"/>
  <c r="A56"/>
  <c r="A57"/>
  <c r="A58"/>
  <c r="A59"/>
  <c r="A60"/>
  <c r="A50"/>
  <c r="A51"/>
  <c r="A52"/>
  <c r="A61"/>
  <c r="H45" i="25"/>
  <c r="I45" s="1"/>
  <c r="L45" s="1"/>
  <c r="O45" s="1"/>
  <c r="R45" s="1"/>
  <c r="U45" s="1"/>
  <c r="H44"/>
  <c r="I44" s="1"/>
  <c r="L44" s="1"/>
  <c r="O44" s="1"/>
  <c r="R44" s="1"/>
  <c r="U44" s="1"/>
  <c r="H43"/>
  <c r="H41"/>
  <c r="H39"/>
  <c r="I39" s="1"/>
  <c r="L39" s="1"/>
  <c r="O39" s="1"/>
  <c r="R39" s="1"/>
  <c r="U39" s="1"/>
  <c r="A25" i="26"/>
  <c r="A24"/>
  <c r="A14"/>
  <c r="F74"/>
  <c r="A73"/>
  <c r="F70"/>
  <c r="A69"/>
  <c r="A67"/>
  <c r="A66"/>
  <c r="A65"/>
  <c r="A64"/>
  <c r="A63"/>
  <c r="A62"/>
  <c r="A49"/>
  <c r="A48"/>
  <c r="A47"/>
  <c r="A46"/>
  <c r="A45"/>
  <c r="A44"/>
  <c r="A43"/>
  <c r="A42"/>
  <c r="A41"/>
  <c r="A40"/>
  <c r="A39"/>
  <c r="A38"/>
  <c r="F35"/>
  <c r="A34"/>
  <c r="A33"/>
  <c r="A32"/>
  <c r="A31"/>
  <c r="A30"/>
  <c r="A29"/>
  <c r="A28"/>
  <c r="A27"/>
  <c r="A26"/>
  <c r="A23"/>
  <c r="A22"/>
  <c r="A21"/>
  <c r="A20"/>
  <c r="A19"/>
  <c r="A18"/>
  <c r="A17"/>
  <c r="A16"/>
  <c r="A15"/>
  <c r="A13"/>
  <c r="A12"/>
  <c r="F8"/>
  <c r="A7"/>
  <c r="A6"/>
  <c r="A5"/>
  <c r="A4"/>
  <c r="A3"/>
  <c r="A2"/>
  <c r="T27" i="20"/>
  <c r="Z30" i="18"/>
  <c r="Z36" s="1"/>
  <c r="H28" i="25"/>
  <c r="N33" i="22"/>
  <c r="H59" i="25"/>
  <c r="I59"/>
  <c r="I58"/>
  <c r="I37"/>
  <c r="L37" s="1"/>
  <c r="O37" s="1"/>
  <c r="R37" s="1"/>
  <c r="U37" s="1"/>
  <c r="I38"/>
  <c r="L38" s="1"/>
  <c r="O38" s="1"/>
  <c r="R38" s="1"/>
  <c r="U38" s="1"/>
  <c r="I40"/>
  <c r="L40" s="1"/>
  <c r="O40" s="1"/>
  <c r="R40" s="1"/>
  <c r="U40" s="1"/>
  <c r="I41"/>
  <c r="L41" s="1"/>
  <c r="O41" s="1"/>
  <c r="R41" s="1"/>
  <c r="U41" s="1"/>
  <c r="I42"/>
  <c r="L42" s="1"/>
  <c r="O42" s="1"/>
  <c r="R42" s="1"/>
  <c r="U42" s="1"/>
  <c r="I43"/>
  <c r="L43" s="1"/>
  <c r="O43" s="1"/>
  <c r="R43" s="1"/>
  <c r="U43" s="1"/>
  <c r="I46"/>
  <c r="L46" s="1"/>
  <c r="O46" s="1"/>
  <c r="R46" s="1"/>
  <c r="U46" s="1"/>
  <c r="I47"/>
  <c r="L47" s="1"/>
  <c r="O47" s="1"/>
  <c r="R47" s="1"/>
  <c r="U47" s="1"/>
  <c r="I48"/>
  <c r="L48" s="1"/>
  <c r="O48" s="1"/>
  <c r="R48" s="1"/>
  <c r="U48" s="1"/>
  <c r="I49"/>
  <c r="L49" s="1"/>
  <c r="O49" s="1"/>
  <c r="R49" s="1"/>
  <c r="U49" s="1"/>
  <c r="I50"/>
  <c r="L50" s="1"/>
  <c r="O50" s="1"/>
  <c r="R50" s="1"/>
  <c r="U50" s="1"/>
  <c r="I51"/>
  <c r="L51" s="1"/>
  <c r="O51" s="1"/>
  <c r="R51" s="1"/>
  <c r="U51" s="1"/>
  <c r="I52"/>
  <c r="L52" s="1"/>
  <c r="O52" s="1"/>
  <c r="R52" s="1"/>
  <c r="U52" s="1"/>
  <c r="I53"/>
  <c r="L53" s="1"/>
  <c r="O53" s="1"/>
  <c r="R53" s="1"/>
  <c r="U53" s="1"/>
  <c r="I54"/>
  <c r="L54" s="1"/>
  <c r="O54" s="1"/>
  <c r="R54" s="1"/>
  <c r="U54" s="1"/>
  <c r="I36"/>
  <c r="H33"/>
  <c r="I32"/>
  <c r="L32" s="1"/>
  <c r="O32" s="1"/>
  <c r="R32" s="1"/>
  <c r="U32" s="1"/>
  <c r="I31"/>
  <c r="L31" s="1"/>
  <c r="O31" s="1"/>
  <c r="R31" s="1"/>
  <c r="U31" s="1"/>
  <c r="I30"/>
  <c r="L30" s="1"/>
  <c r="O30" s="1"/>
  <c r="R30" s="1"/>
  <c r="U30" s="1"/>
  <c r="I29"/>
  <c r="L29" s="1"/>
  <c r="O29" s="1"/>
  <c r="R29" s="1"/>
  <c r="U29" s="1"/>
  <c r="I28"/>
  <c r="L28" s="1"/>
  <c r="O28" s="1"/>
  <c r="R28" s="1"/>
  <c r="U28" s="1"/>
  <c r="I27"/>
  <c r="L27" s="1"/>
  <c r="O27" s="1"/>
  <c r="R27" s="1"/>
  <c r="U27" s="1"/>
  <c r="I26"/>
  <c r="L26" s="1"/>
  <c r="O26" s="1"/>
  <c r="R26" s="1"/>
  <c r="U26" s="1"/>
  <c r="I25"/>
  <c r="L25" s="1"/>
  <c r="O25" s="1"/>
  <c r="R25" s="1"/>
  <c r="U25" s="1"/>
  <c r="I24"/>
  <c r="L24" s="1"/>
  <c r="O24" s="1"/>
  <c r="R24" s="1"/>
  <c r="U24" s="1"/>
  <c r="I22"/>
  <c r="L22" s="1"/>
  <c r="O22" s="1"/>
  <c r="R22" s="1"/>
  <c r="U22" s="1"/>
  <c r="I21"/>
  <c r="L21" s="1"/>
  <c r="O21" s="1"/>
  <c r="R21" s="1"/>
  <c r="U21" s="1"/>
  <c r="I20"/>
  <c r="L20" s="1"/>
  <c r="O20" s="1"/>
  <c r="R20" s="1"/>
  <c r="U20" s="1"/>
  <c r="I19"/>
  <c r="L19" s="1"/>
  <c r="O19" s="1"/>
  <c r="R19" s="1"/>
  <c r="U19" s="1"/>
  <c r="I18"/>
  <c r="L18" s="1"/>
  <c r="O18" s="1"/>
  <c r="R18" s="1"/>
  <c r="U18" s="1"/>
  <c r="I17"/>
  <c r="L17" s="1"/>
  <c r="O17" s="1"/>
  <c r="R17" s="1"/>
  <c r="U17" s="1"/>
  <c r="I16"/>
  <c r="L16" s="1"/>
  <c r="O16" s="1"/>
  <c r="R16" s="1"/>
  <c r="U16" s="1"/>
  <c r="I15"/>
  <c r="L15" s="1"/>
  <c r="O15" s="1"/>
  <c r="R15" s="1"/>
  <c r="U15" s="1"/>
  <c r="I14"/>
  <c r="L14" s="1"/>
  <c r="O14" s="1"/>
  <c r="R14" s="1"/>
  <c r="U14" s="1"/>
  <c r="I13"/>
  <c r="L13" s="1"/>
  <c r="O13" s="1"/>
  <c r="R13" s="1"/>
  <c r="U13" s="1"/>
  <c r="I12"/>
  <c r="L12" s="1"/>
  <c r="O12" s="1"/>
  <c r="H8"/>
  <c r="I3"/>
  <c r="I4"/>
  <c r="L4" s="1"/>
  <c r="O4" s="1"/>
  <c r="U4" s="1"/>
  <c r="I5"/>
  <c r="L5" s="1"/>
  <c r="O5" s="1"/>
  <c r="U5" s="1"/>
  <c r="I6"/>
  <c r="L6" s="1"/>
  <c r="O6" s="1"/>
  <c r="U6" s="1"/>
  <c r="I7"/>
  <c r="L7" s="1"/>
  <c r="O7" s="1"/>
  <c r="U7" s="1"/>
  <c r="K33" i="23"/>
  <c r="L3"/>
  <c r="L4"/>
  <c r="O5" i="22"/>
  <c r="Q36" i="21"/>
  <c r="Q27"/>
  <c r="T45" i="20"/>
  <c r="T34"/>
  <c r="T8"/>
  <c r="W44" i="19"/>
  <c r="W37"/>
  <c r="W8"/>
  <c r="X41" i="18"/>
  <c r="W41"/>
  <c r="Z41"/>
  <c r="AA41"/>
  <c r="Z9"/>
  <c r="I2" i="25"/>
  <c r="L2" s="1"/>
  <c r="N2" i="23"/>
  <c r="N42"/>
  <c r="T22" i="21"/>
  <c r="T27" s="1"/>
  <c r="Q3" i="22"/>
  <c r="O2" i="23"/>
  <c r="L2"/>
  <c r="AC25" i="18"/>
  <c r="I23" i="25"/>
  <c r="L23" s="1"/>
  <c r="O23" s="1"/>
  <c r="R23" s="1"/>
  <c r="U23" s="1"/>
  <c r="W36" i="19"/>
  <c r="N3" i="22"/>
  <c r="N9" s="1"/>
  <c r="K4" i="23"/>
  <c r="K8" s="1"/>
  <c r="F33" i="25"/>
  <c r="A43"/>
  <c r="A40"/>
  <c r="A41"/>
  <c r="A42"/>
  <c r="A44"/>
  <c r="A45"/>
  <c r="A49"/>
  <c r="A47"/>
  <c r="A46"/>
  <c r="F59"/>
  <c r="A58"/>
  <c r="F55"/>
  <c r="A54"/>
  <c r="A53"/>
  <c r="A52"/>
  <c r="A51"/>
  <c r="A50"/>
  <c r="A48"/>
  <c r="A39"/>
  <c r="A38"/>
  <c r="A37"/>
  <c r="A36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F8"/>
  <c r="A7"/>
  <c r="A6"/>
  <c r="A5"/>
  <c r="A4"/>
  <c r="A3"/>
  <c r="A2"/>
  <c r="H48" i="23"/>
  <c r="H44"/>
  <c r="H46" i="22"/>
  <c r="K27"/>
  <c r="H52" i="23"/>
  <c r="I51"/>
  <c r="I52" s="1"/>
  <c r="I37"/>
  <c r="L37" s="1"/>
  <c r="O37" s="1"/>
  <c r="R37" s="1"/>
  <c r="U37" s="1"/>
  <c r="X37" s="1"/>
  <c r="I38"/>
  <c r="L38" s="1"/>
  <c r="O38" s="1"/>
  <c r="R38" s="1"/>
  <c r="U38" s="1"/>
  <c r="X38" s="1"/>
  <c r="I39"/>
  <c r="L39" s="1"/>
  <c r="O39" s="1"/>
  <c r="R39" s="1"/>
  <c r="U39" s="1"/>
  <c r="X39" s="1"/>
  <c r="I40"/>
  <c r="L40" s="1"/>
  <c r="O40" s="1"/>
  <c r="R40" s="1"/>
  <c r="U40" s="1"/>
  <c r="X40" s="1"/>
  <c r="I41"/>
  <c r="L41" s="1"/>
  <c r="O41" s="1"/>
  <c r="R41" s="1"/>
  <c r="U41" s="1"/>
  <c r="X41" s="1"/>
  <c r="I42"/>
  <c r="L42" s="1"/>
  <c r="O42" s="1"/>
  <c r="R42" s="1"/>
  <c r="U42" s="1"/>
  <c r="X42" s="1"/>
  <c r="I43"/>
  <c r="L43" s="1"/>
  <c r="O43" s="1"/>
  <c r="R43" s="1"/>
  <c r="U43" s="1"/>
  <c r="X43" s="1"/>
  <c r="I45"/>
  <c r="L45" s="1"/>
  <c r="O45" s="1"/>
  <c r="R45" s="1"/>
  <c r="U45" s="1"/>
  <c r="X45" s="1"/>
  <c r="I46"/>
  <c r="L46" s="1"/>
  <c r="O46" s="1"/>
  <c r="R46" s="1"/>
  <c r="U46" s="1"/>
  <c r="X46" s="1"/>
  <c r="I47"/>
  <c r="L47" s="1"/>
  <c r="O47" s="1"/>
  <c r="R47" s="1"/>
  <c r="I36"/>
  <c r="I13"/>
  <c r="L13" s="1"/>
  <c r="O13" s="1"/>
  <c r="R13" s="1"/>
  <c r="U13" s="1"/>
  <c r="X13" s="1"/>
  <c r="I14"/>
  <c r="L14" s="1"/>
  <c r="O14" s="1"/>
  <c r="R14" s="1"/>
  <c r="U14" s="1"/>
  <c r="X14" s="1"/>
  <c r="I15"/>
  <c r="L15" s="1"/>
  <c r="O15" s="1"/>
  <c r="R15" s="1"/>
  <c r="I17"/>
  <c r="L17" s="1"/>
  <c r="O17" s="1"/>
  <c r="R17" s="1"/>
  <c r="I18"/>
  <c r="L18" s="1"/>
  <c r="O18" s="1"/>
  <c r="R18" s="1"/>
  <c r="U18" s="1"/>
  <c r="X18" s="1"/>
  <c r="I19"/>
  <c r="L19" s="1"/>
  <c r="O19" s="1"/>
  <c r="R19" s="1"/>
  <c r="U19" s="1"/>
  <c r="X19" s="1"/>
  <c r="I20"/>
  <c r="L20" s="1"/>
  <c r="O20" s="1"/>
  <c r="R20" s="1"/>
  <c r="U20" s="1"/>
  <c r="X20" s="1"/>
  <c r="I21"/>
  <c r="L21" s="1"/>
  <c r="O21" s="1"/>
  <c r="R21" s="1"/>
  <c r="U21" s="1"/>
  <c r="X21" s="1"/>
  <c r="I22"/>
  <c r="L22" s="1"/>
  <c r="O22" s="1"/>
  <c r="R22" s="1"/>
  <c r="U22" s="1"/>
  <c r="X22" s="1"/>
  <c r="I23"/>
  <c r="L23" s="1"/>
  <c r="O23" s="1"/>
  <c r="R23" s="1"/>
  <c r="U23" s="1"/>
  <c r="X23" s="1"/>
  <c r="I24"/>
  <c r="L24" s="1"/>
  <c r="O24" s="1"/>
  <c r="R24" s="1"/>
  <c r="U24" s="1"/>
  <c r="X24" s="1"/>
  <c r="I25"/>
  <c r="L25" s="1"/>
  <c r="O25" s="1"/>
  <c r="R25" s="1"/>
  <c r="U25" s="1"/>
  <c r="X25" s="1"/>
  <c r="I26"/>
  <c r="L26" s="1"/>
  <c r="O26" s="1"/>
  <c r="R26" s="1"/>
  <c r="U26" s="1"/>
  <c r="X26" s="1"/>
  <c r="I27"/>
  <c r="L27" s="1"/>
  <c r="O27" s="1"/>
  <c r="R27" s="1"/>
  <c r="U27" s="1"/>
  <c r="X27" s="1"/>
  <c r="I28"/>
  <c r="L28" s="1"/>
  <c r="O28" s="1"/>
  <c r="R28" s="1"/>
  <c r="U28" s="1"/>
  <c r="X28" s="1"/>
  <c r="I29"/>
  <c r="L29" s="1"/>
  <c r="O29" s="1"/>
  <c r="R29" s="1"/>
  <c r="U29" s="1"/>
  <c r="X29" s="1"/>
  <c r="I30"/>
  <c r="L30" s="1"/>
  <c r="O30" s="1"/>
  <c r="R30" s="1"/>
  <c r="U30" s="1"/>
  <c r="X30" s="1"/>
  <c r="I31"/>
  <c r="L31" s="1"/>
  <c r="O31" s="1"/>
  <c r="R31" s="1"/>
  <c r="U31" s="1"/>
  <c r="X31" s="1"/>
  <c r="I32"/>
  <c r="L32" s="1"/>
  <c r="O32" s="1"/>
  <c r="R32" s="1"/>
  <c r="U32" s="1"/>
  <c r="X32" s="1"/>
  <c r="I12"/>
  <c r="H8"/>
  <c r="I6"/>
  <c r="L6" s="1"/>
  <c r="I7"/>
  <c r="L7" s="1"/>
  <c r="I2"/>
  <c r="L39" i="22"/>
  <c r="O39" s="1"/>
  <c r="L36"/>
  <c r="O36" s="1"/>
  <c r="K9"/>
  <c r="N36" i="21"/>
  <c r="N9"/>
  <c r="R39" i="20"/>
  <c r="U39" s="1"/>
  <c r="Q34"/>
  <c r="Q8"/>
  <c r="T44" i="19"/>
  <c r="T8"/>
  <c r="W36" i="18"/>
  <c r="I4" i="23"/>
  <c r="I5"/>
  <c r="L5" s="1"/>
  <c r="I3"/>
  <c r="L5" i="22"/>
  <c r="K42" i="23"/>
  <c r="K48" s="1"/>
  <c r="L3" i="22"/>
  <c r="O3" s="1"/>
  <c r="Q3" i="21"/>
  <c r="Q9" s="1"/>
  <c r="T19" i="19"/>
  <c r="T12"/>
  <c r="T37" s="1"/>
  <c r="K16" i="22"/>
  <c r="K33" s="1"/>
  <c r="H17" i="23"/>
  <c r="H16"/>
  <c r="I16"/>
  <c r="L16" s="1"/>
  <c r="O16" s="1"/>
  <c r="R16" s="1"/>
  <c r="T36" i="19"/>
  <c r="N3" i="21"/>
  <c r="A14" i="23"/>
  <c r="A3"/>
  <c r="A4"/>
  <c r="A5"/>
  <c r="A6"/>
  <c r="A7"/>
  <c r="A2"/>
  <c r="F8"/>
  <c r="F33"/>
  <c r="F52"/>
  <c r="F48"/>
  <c r="A41"/>
  <c r="A42"/>
  <c r="A43"/>
  <c r="A44"/>
  <c r="A45"/>
  <c r="A40"/>
  <c r="A38"/>
  <c r="A37"/>
  <c r="A51"/>
  <c r="A39"/>
  <c r="A46"/>
  <c r="A47"/>
  <c r="A36"/>
  <c r="A13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12"/>
  <c r="H37" i="22"/>
  <c r="N23" i="21"/>
  <c r="N27" s="1"/>
  <c r="Q42" i="20"/>
  <c r="Q45" s="1"/>
  <c r="O34" i="21"/>
  <c r="R34" s="1"/>
  <c r="H27" i="22"/>
  <c r="I27" s="1"/>
  <c r="L27" s="1"/>
  <c r="O27" s="1"/>
  <c r="R27" s="1"/>
  <c r="U27" s="1"/>
  <c r="X27" s="1"/>
  <c r="AA27" s="1"/>
  <c r="N3" i="20"/>
  <c r="H16" i="22"/>
  <c r="I16"/>
  <c r="L16" s="1"/>
  <c r="O16" s="1"/>
  <c r="R16" s="1"/>
  <c r="U16" s="1"/>
  <c r="X16" s="1"/>
  <c r="AA16" s="1"/>
  <c r="H15"/>
  <c r="H14"/>
  <c r="K25" i="21"/>
  <c r="K24"/>
  <c r="K27" s="1"/>
  <c r="N29" i="20"/>
  <c r="N28"/>
  <c r="N34" s="1"/>
  <c r="Q32" i="19"/>
  <c r="Q31"/>
  <c r="T29" i="18"/>
  <c r="T28"/>
  <c r="T21"/>
  <c r="T36" s="1"/>
  <c r="H20" i="22"/>
  <c r="N18" i="20"/>
  <c r="Q18" i="19"/>
  <c r="T16" i="18"/>
  <c r="I46" i="22"/>
  <c r="I47" s="1"/>
  <c r="H47"/>
  <c r="H9"/>
  <c r="K36" i="21"/>
  <c r="L30"/>
  <c r="O30" s="1"/>
  <c r="K9"/>
  <c r="T41" i="18"/>
  <c r="U40"/>
  <c r="N42" i="20"/>
  <c r="N45"/>
  <c r="I4" i="22"/>
  <c r="L4" s="1"/>
  <c r="O4" s="1"/>
  <c r="I5"/>
  <c r="I6"/>
  <c r="L6" s="1"/>
  <c r="O6" s="1"/>
  <c r="I7"/>
  <c r="L7" s="1"/>
  <c r="O7" s="1"/>
  <c r="I8"/>
  <c r="L8" s="1"/>
  <c r="O8" s="1"/>
  <c r="I3"/>
  <c r="I31"/>
  <c r="L31" s="1"/>
  <c r="O31" s="1"/>
  <c r="R31" s="1"/>
  <c r="U31" s="1"/>
  <c r="X31" s="1"/>
  <c r="AA31" s="1"/>
  <c r="I32"/>
  <c r="L32" s="1"/>
  <c r="O32" s="1"/>
  <c r="R32" s="1"/>
  <c r="U32" s="1"/>
  <c r="X32" s="1"/>
  <c r="AA32" s="1"/>
  <c r="I38"/>
  <c r="L38" s="1"/>
  <c r="O38" s="1"/>
  <c r="I39"/>
  <c r="I41"/>
  <c r="L41" s="1"/>
  <c r="O41" s="1"/>
  <c r="I42"/>
  <c r="L42" s="1"/>
  <c r="O42" s="1"/>
  <c r="I36"/>
  <c r="H41"/>
  <c r="H40"/>
  <c r="I40" s="1"/>
  <c r="L40" s="1"/>
  <c r="O40" s="1"/>
  <c r="F43"/>
  <c r="F9"/>
  <c r="Q40" i="19"/>
  <c r="Q44" s="1"/>
  <c r="H17" i="22"/>
  <c r="I17"/>
  <c r="L17" s="1"/>
  <c r="O17" s="1"/>
  <c r="R17" s="1"/>
  <c r="U17" s="1"/>
  <c r="X17" s="1"/>
  <c r="AA17" s="1"/>
  <c r="I18"/>
  <c r="L18" s="1"/>
  <c r="O18" s="1"/>
  <c r="R18" s="1"/>
  <c r="U18" s="1"/>
  <c r="X18" s="1"/>
  <c r="AA18" s="1"/>
  <c r="I19"/>
  <c r="L19" s="1"/>
  <c r="O19" s="1"/>
  <c r="R19" s="1"/>
  <c r="U19" s="1"/>
  <c r="X19" s="1"/>
  <c r="AA19" s="1"/>
  <c r="I21"/>
  <c r="L21" s="1"/>
  <c r="O21" s="1"/>
  <c r="R21" s="1"/>
  <c r="U21" s="1"/>
  <c r="X21" s="1"/>
  <c r="AA21" s="1"/>
  <c r="I22"/>
  <c r="L22" s="1"/>
  <c r="O22" s="1"/>
  <c r="R22" s="1"/>
  <c r="U22" s="1"/>
  <c r="X22" s="1"/>
  <c r="AA22" s="1"/>
  <c r="I23"/>
  <c r="L23" s="1"/>
  <c r="O23" s="1"/>
  <c r="R23" s="1"/>
  <c r="U23" s="1"/>
  <c r="X23" s="1"/>
  <c r="AA23" s="1"/>
  <c r="I24"/>
  <c r="L24" s="1"/>
  <c r="O24" s="1"/>
  <c r="R24" s="1"/>
  <c r="U24" s="1"/>
  <c r="X24" s="1"/>
  <c r="AA24" s="1"/>
  <c r="I25"/>
  <c r="L25" s="1"/>
  <c r="O25" s="1"/>
  <c r="R25" s="1"/>
  <c r="U25" s="1"/>
  <c r="X25" s="1"/>
  <c r="AA25" s="1"/>
  <c r="I26"/>
  <c r="L26" s="1"/>
  <c r="O26" s="1"/>
  <c r="R26" s="1"/>
  <c r="U26" s="1"/>
  <c r="X26" s="1"/>
  <c r="AA26" s="1"/>
  <c r="I28"/>
  <c r="L28" s="1"/>
  <c r="O28" s="1"/>
  <c r="R28" s="1"/>
  <c r="U28" s="1"/>
  <c r="X28" s="1"/>
  <c r="AA28" s="1"/>
  <c r="I29"/>
  <c r="L29" s="1"/>
  <c r="O29" s="1"/>
  <c r="R29" s="1"/>
  <c r="U29" s="1"/>
  <c r="X29" s="1"/>
  <c r="AA29" s="1"/>
  <c r="I30"/>
  <c r="L30" s="1"/>
  <c r="O30" s="1"/>
  <c r="R30" s="1"/>
  <c r="U30" s="1"/>
  <c r="X30" s="1"/>
  <c r="AA30" s="1"/>
  <c r="I13"/>
  <c r="L13" s="1"/>
  <c r="F13"/>
  <c r="F33" s="1"/>
  <c r="F47"/>
  <c r="K3" i="20"/>
  <c r="Q17" i="18"/>
  <c r="K16" i="20"/>
  <c r="K12"/>
  <c r="N16" i="19"/>
  <c r="N13"/>
  <c r="Q15" i="18"/>
  <c r="Q46"/>
  <c r="Q13"/>
  <c r="H27" i="21"/>
  <c r="H36"/>
  <c r="I35"/>
  <c r="L35" s="1"/>
  <c r="O35" s="1"/>
  <c r="R35" s="1"/>
  <c r="I34"/>
  <c r="L34" s="1"/>
  <c r="I33"/>
  <c r="L33" s="1"/>
  <c r="O33" s="1"/>
  <c r="R33" s="1"/>
  <c r="I32"/>
  <c r="L32" s="1"/>
  <c r="O32" s="1"/>
  <c r="R32" s="1"/>
  <c r="I31"/>
  <c r="L31" s="1"/>
  <c r="O31" s="1"/>
  <c r="R31" s="1"/>
  <c r="I30"/>
  <c r="I14"/>
  <c r="L14" s="1"/>
  <c r="O14" s="1"/>
  <c r="R14" s="1"/>
  <c r="U14" s="1"/>
  <c r="X14" s="1"/>
  <c r="AA14" s="1"/>
  <c r="AD14" s="1"/>
  <c r="I15"/>
  <c r="L15" s="1"/>
  <c r="O15" s="1"/>
  <c r="R15" s="1"/>
  <c r="U15" s="1"/>
  <c r="X15" s="1"/>
  <c r="AA15" s="1"/>
  <c r="AD15" s="1"/>
  <c r="I16"/>
  <c r="L16" s="1"/>
  <c r="O16" s="1"/>
  <c r="R16" s="1"/>
  <c r="U16" s="1"/>
  <c r="X16" s="1"/>
  <c r="AA16" s="1"/>
  <c r="AD16" s="1"/>
  <c r="I17"/>
  <c r="L17" s="1"/>
  <c r="O17" s="1"/>
  <c r="R17" s="1"/>
  <c r="U17" s="1"/>
  <c r="X17" s="1"/>
  <c r="AA17" s="1"/>
  <c r="AD17" s="1"/>
  <c r="I18"/>
  <c r="L18" s="1"/>
  <c r="O18" s="1"/>
  <c r="R18" s="1"/>
  <c r="U18" s="1"/>
  <c r="X18" s="1"/>
  <c r="AA18" s="1"/>
  <c r="AD18" s="1"/>
  <c r="I19"/>
  <c r="L19" s="1"/>
  <c r="O19" s="1"/>
  <c r="R19" s="1"/>
  <c r="U19" s="1"/>
  <c r="X19" s="1"/>
  <c r="AA19" s="1"/>
  <c r="AD19" s="1"/>
  <c r="I20"/>
  <c r="L20" s="1"/>
  <c r="O20" s="1"/>
  <c r="R20" s="1"/>
  <c r="U20" s="1"/>
  <c r="X20" s="1"/>
  <c r="AA20" s="1"/>
  <c r="AD20" s="1"/>
  <c r="I21"/>
  <c r="L21" s="1"/>
  <c r="O21" s="1"/>
  <c r="I22"/>
  <c r="L22" s="1"/>
  <c r="O22" s="1"/>
  <c r="R22" s="1"/>
  <c r="U22" s="1"/>
  <c r="X22" s="1"/>
  <c r="AA22" s="1"/>
  <c r="AD22" s="1"/>
  <c r="I23"/>
  <c r="L23" s="1"/>
  <c r="O23" s="1"/>
  <c r="R23" s="1"/>
  <c r="U23" s="1"/>
  <c r="X23" s="1"/>
  <c r="AA23" s="1"/>
  <c r="AD23" s="1"/>
  <c r="I24"/>
  <c r="I25"/>
  <c r="L25" s="1"/>
  <c r="O25" s="1"/>
  <c r="R25" s="1"/>
  <c r="U25" s="1"/>
  <c r="X25" s="1"/>
  <c r="AA25" s="1"/>
  <c r="AD25" s="1"/>
  <c r="I26"/>
  <c r="L26" s="1"/>
  <c r="O26" s="1"/>
  <c r="R26" s="1"/>
  <c r="U26" s="1"/>
  <c r="X26" s="1"/>
  <c r="AA26" s="1"/>
  <c r="AD26" s="1"/>
  <c r="I13"/>
  <c r="H9"/>
  <c r="I8"/>
  <c r="L8" s="1"/>
  <c r="O8" s="1"/>
  <c r="R8" s="1"/>
  <c r="U8" s="1"/>
  <c r="X8" s="1"/>
  <c r="AD8" s="1"/>
  <c r="I4"/>
  <c r="L4" s="1"/>
  <c r="O4" s="1"/>
  <c r="R4" s="1"/>
  <c r="U4" s="1"/>
  <c r="X4" s="1"/>
  <c r="AD4" s="1"/>
  <c r="I5"/>
  <c r="L5" s="1"/>
  <c r="O5" s="1"/>
  <c r="R5" s="1"/>
  <c r="U5" s="1"/>
  <c r="X5" s="1"/>
  <c r="AD5" s="1"/>
  <c r="I6"/>
  <c r="L6" s="1"/>
  <c r="O6" s="1"/>
  <c r="R6" s="1"/>
  <c r="U6" s="1"/>
  <c r="X6" s="1"/>
  <c r="AD6" s="1"/>
  <c r="I7"/>
  <c r="L7" s="1"/>
  <c r="O7" s="1"/>
  <c r="R7" s="1"/>
  <c r="U7" s="1"/>
  <c r="X7" s="1"/>
  <c r="AD7" s="1"/>
  <c r="I3"/>
  <c r="L3" s="1"/>
  <c r="R40" i="18"/>
  <c r="R39"/>
  <c r="Q3"/>
  <c r="Q9"/>
  <c r="F9" i="21"/>
  <c r="F36"/>
  <c r="F27"/>
  <c r="H41" i="20"/>
  <c r="I41"/>
  <c r="L41" s="1"/>
  <c r="O41" s="1"/>
  <c r="R41" s="1"/>
  <c r="U41" s="1"/>
  <c r="I44"/>
  <c r="L44" s="1"/>
  <c r="O44"/>
  <c r="R44" s="1"/>
  <c r="U44" s="1"/>
  <c r="I38"/>
  <c r="I39"/>
  <c r="L39"/>
  <c r="O39" s="1"/>
  <c r="I40"/>
  <c r="L40" s="1"/>
  <c r="O40"/>
  <c r="R40" s="1"/>
  <c r="U40" s="1"/>
  <c r="I42"/>
  <c r="L42" s="1"/>
  <c r="O42" s="1"/>
  <c r="R42" s="1"/>
  <c r="U42" s="1"/>
  <c r="I43"/>
  <c r="L43"/>
  <c r="O43" s="1"/>
  <c r="R43" s="1"/>
  <c r="U43" s="1"/>
  <c r="I37"/>
  <c r="L37"/>
  <c r="I4"/>
  <c r="L4" s="1"/>
  <c r="O4" s="1"/>
  <c r="R4" s="1"/>
  <c r="U4" s="1"/>
  <c r="I5"/>
  <c r="L5"/>
  <c r="O5"/>
  <c r="R5" s="1"/>
  <c r="U5" s="1"/>
  <c r="I6"/>
  <c r="L6" s="1"/>
  <c r="O6" s="1"/>
  <c r="R6" s="1"/>
  <c r="U6" s="1"/>
  <c r="I7"/>
  <c r="L7"/>
  <c r="O7" s="1"/>
  <c r="R7" s="1"/>
  <c r="U7" s="1"/>
  <c r="I3"/>
  <c r="I14"/>
  <c r="L14" s="1"/>
  <c r="O14" s="1"/>
  <c r="R14" s="1"/>
  <c r="U14" s="1"/>
  <c r="X14" s="1"/>
  <c r="AA14" s="1"/>
  <c r="AD14" s="1"/>
  <c r="AG14" s="1"/>
  <c r="I15"/>
  <c r="L15" s="1"/>
  <c r="O15" s="1"/>
  <c r="R15" s="1"/>
  <c r="U15" s="1"/>
  <c r="X15" s="1"/>
  <c r="AA15" s="1"/>
  <c r="AD15" s="1"/>
  <c r="AG15" s="1"/>
  <c r="I16"/>
  <c r="I17"/>
  <c r="L17" s="1"/>
  <c r="O17" s="1"/>
  <c r="R17" s="1"/>
  <c r="U17" s="1"/>
  <c r="X17" s="1"/>
  <c r="AA17" s="1"/>
  <c r="AD17" s="1"/>
  <c r="AG17" s="1"/>
  <c r="I18"/>
  <c r="L18" s="1"/>
  <c r="O18" s="1"/>
  <c r="R18" s="1"/>
  <c r="U18" s="1"/>
  <c r="X18" s="1"/>
  <c r="AA18" s="1"/>
  <c r="AD18" s="1"/>
  <c r="AG18" s="1"/>
  <c r="I19"/>
  <c r="L19" s="1"/>
  <c r="O19"/>
  <c r="R19" s="1"/>
  <c r="U19" s="1"/>
  <c r="I20"/>
  <c r="L20" s="1"/>
  <c r="O20" s="1"/>
  <c r="R20" s="1"/>
  <c r="U20" s="1"/>
  <c r="X20" s="1"/>
  <c r="AA20" s="1"/>
  <c r="AD20" s="1"/>
  <c r="AG20" s="1"/>
  <c r="I21"/>
  <c r="L21" s="1"/>
  <c r="O21" s="1"/>
  <c r="R21" s="1"/>
  <c r="U21" s="1"/>
  <c r="I22"/>
  <c r="L22" s="1"/>
  <c r="O22" s="1"/>
  <c r="R22" s="1"/>
  <c r="U22" s="1"/>
  <c r="X22" s="1"/>
  <c r="AA22" s="1"/>
  <c r="AD22" s="1"/>
  <c r="AG22" s="1"/>
  <c r="I23"/>
  <c r="L23" s="1"/>
  <c r="O23" s="1"/>
  <c r="R23" s="1"/>
  <c r="U23" s="1"/>
  <c r="X23" s="1"/>
  <c r="AA23" s="1"/>
  <c r="AD23" s="1"/>
  <c r="AG23" s="1"/>
  <c r="I24"/>
  <c r="L24" s="1"/>
  <c r="O24" s="1"/>
  <c r="R24" s="1"/>
  <c r="U24" s="1"/>
  <c r="X24" s="1"/>
  <c r="AA24" s="1"/>
  <c r="AD24" s="1"/>
  <c r="AG24" s="1"/>
  <c r="I25"/>
  <c r="L25" s="1"/>
  <c r="O25" s="1"/>
  <c r="R25" s="1"/>
  <c r="U25" s="1"/>
  <c r="X25" s="1"/>
  <c r="AA25" s="1"/>
  <c r="AD25" s="1"/>
  <c r="AG25" s="1"/>
  <c r="I26"/>
  <c r="L26"/>
  <c r="O26" s="1"/>
  <c r="R26" s="1"/>
  <c r="U26" s="1"/>
  <c r="X26" s="1"/>
  <c r="AA26" s="1"/>
  <c r="AD26" s="1"/>
  <c r="AG26" s="1"/>
  <c r="I27"/>
  <c r="L27" s="1"/>
  <c r="O27" s="1"/>
  <c r="R27" s="1"/>
  <c r="U27" s="1"/>
  <c r="X27" s="1"/>
  <c r="AA27" s="1"/>
  <c r="AD27" s="1"/>
  <c r="AG27" s="1"/>
  <c r="I28"/>
  <c r="L28" s="1"/>
  <c r="O28" s="1"/>
  <c r="R28" s="1"/>
  <c r="U28" s="1"/>
  <c r="X28" s="1"/>
  <c r="AA28" s="1"/>
  <c r="AD28" s="1"/>
  <c r="AG28" s="1"/>
  <c r="I29"/>
  <c r="L29" s="1"/>
  <c r="O29" s="1"/>
  <c r="R29" s="1"/>
  <c r="U29" s="1"/>
  <c r="X29" s="1"/>
  <c r="AA29" s="1"/>
  <c r="AD29" s="1"/>
  <c r="AG29" s="1"/>
  <c r="I30"/>
  <c r="L30"/>
  <c r="O30" s="1"/>
  <c r="R30" s="1"/>
  <c r="U30" s="1"/>
  <c r="X30" s="1"/>
  <c r="AA30" s="1"/>
  <c r="AD30" s="1"/>
  <c r="AG30" s="1"/>
  <c r="I31"/>
  <c r="L31" s="1"/>
  <c r="O31" s="1"/>
  <c r="R31" s="1"/>
  <c r="U31" s="1"/>
  <c r="X31" s="1"/>
  <c r="AA31" s="1"/>
  <c r="AD31" s="1"/>
  <c r="AG31" s="1"/>
  <c r="I32"/>
  <c r="L32"/>
  <c r="O32" s="1"/>
  <c r="R32" s="1"/>
  <c r="U32" s="1"/>
  <c r="X32" s="1"/>
  <c r="AA32" s="1"/>
  <c r="AD32" s="1"/>
  <c r="AG32" s="1"/>
  <c r="I33"/>
  <c r="L33" s="1"/>
  <c r="O33" s="1"/>
  <c r="R33" s="1"/>
  <c r="U33" s="1"/>
  <c r="X33" s="1"/>
  <c r="AA33" s="1"/>
  <c r="AD33" s="1"/>
  <c r="AG33" s="1"/>
  <c r="M37" i="19"/>
  <c r="H30"/>
  <c r="I12" i="20"/>
  <c r="H13"/>
  <c r="H34" s="1"/>
  <c r="N14" i="18"/>
  <c r="N27"/>
  <c r="N36" s="1"/>
  <c r="O32" i="16"/>
  <c r="P23"/>
  <c r="P32" s="1"/>
  <c r="P14"/>
  <c r="P26"/>
  <c r="P3"/>
  <c r="P6" s="1"/>
  <c r="F34" i="20"/>
  <c r="F45"/>
  <c r="F8"/>
  <c r="I35" i="16"/>
  <c r="K35"/>
  <c r="N35" s="1"/>
  <c r="Q35" s="1"/>
  <c r="T35" s="1"/>
  <c r="W35" s="1"/>
  <c r="Z35" s="1"/>
  <c r="AC35" s="1"/>
  <c r="AF35" s="1"/>
  <c r="AI35" s="1"/>
  <c r="AL35" s="1"/>
  <c r="AO35" s="1"/>
  <c r="I36"/>
  <c r="K36"/>
  <c r="N36" s="1"/>
  <c r="Q36" s="1"/>
  <c r="T36" s="1"/>
  <c r="W36" s="1"/>
  <c r="Z36" s="1"/>
  <c r="AC36" s="1"/>
  <c r="AF36" s="1"/>
  <c r="AI36" s="1"/>
  <c r="AL36" s="1"/>
  <c r="AO36" s="1"/>
  <c r="I34"/>
  <c r="K34" s="1"/>
  <c r="N34" s="1"/>
  <c r="Q34" s="1"/>
  <c r="H12" i="19"/>
  <c r="I12"/>
  <c r="M18" i="16"/>
  <c r="M32" s="1"/>
  <c r="M3"/>
  <c r="M6"/>
  <c r="I41" i="19"/>
  <c r="I42"/>
  <c r="L42"/>
  <c r="O42" s="1"/>
  <c r="R42" s="1"/>
  <c r="U42" s="1"/>
  <c r="X42" s="1"/>
  <c r="I43"/>
  <c r="L43" s="1"/>
  <c r="O43" s="1"/>
  <c r="R43" s="1"/>
  <c r="U43" s="1"/>
  <c r="X43" s="1"/>
  <c r="I40"/>
  <c r="L40"/>
  <c r="O40" s="1"/>
  <c r="H44"/>
  <c r="G37"/>
  <c r="I13"/>
  <c r="L13" s="1"/>
  <c r="O13" s="1"/>
  <c r="R13" s="1"/>
  <c r="U13" s="1"/>
  <c r="X13" s="1"/>
  <c r="AA13" s="1"/>
  <c r="AD13" s="1"/>
  <c r="AG13" s="1"/>
  <c r="I14"/>
  <c r="L14" s="1"/>
  <c r="O14" s="1"/>
  <c r="R14" s="1"/>
  <c r="U14" s="1"/>
  <c r="X14" s="1"/>
  <c r="AA14" s="1"/>
  <c r="AD14" s="1"/>
  <c r="AG14" s="1"/>
  <c r="I15"/>
  <c r="L15" s="1"/>
  <c r="O15" s="1"/>
  <c r="R15" s="1"/>
  <c r="U15" s="1"/>
  <c r="X15" s="1"/>
  <c r="AA15" s="1"/>
  <c r="AD15" s="1"/>
  <c r="AG15" s="1"/>
  <c r="I16"/>
  <c r="L16" s="1"/>
  <c r="I17"/>
  <c r="L17"/>
  <c r="O17" s="1"/>
  <c r="R17" s="1"/>
  <c r="U17" s="1"/>
  <c r="X17" s="1"/>
  <c r="AA17" s="1"/>
  <c r="AD17" s="1"/>
  <c r="AG17" s="1"/>
  <c r="I18"/>
  <c r="L18" s="1"/>
  <c r="O18" s="1"/>
  <c r="R18" s="1"/>
  <c r="U18" s="1"/>
  <c r="X18" s="1"/>
  <c r="AA18" s="1"/>
  <c r="AD18" s="1"/>
  <c r="AG18" s="1"/>
  <c r="I19"/>
  <c r="L19" s="1"/>
  <c r="O19" s="1"/>
  <c r="R19" s="1"/>
  <c r="U19" s="1"/>
  <c r="X19" s="1"/>
  <c r="AA19" s="1"/>
  <c r="AD19" s="1"/>
  <c r="AG19" s="1"/>
  <c r="I20"/>
  <c r="L20" s="1"/>
  <c r="O20" s="1"/>
  <c r="R20" s="1"/>
  <c r="U20" s="1"/>
  <c r="X20" s="1"/>
  <c r="AA20" s="1"/>
  <c r="AD20" s="1"/>
  <c r="AG20" s="1"/>
  <c r="I21"/>
  <c r="L21" s="1"/>
  <c r="O21" s="1"/>
  <c r="R21" s="1"/>
  <c r="U21" s="1"/>
  <c r="X21" s="1"/>
  <c r="AA21" s="1"/>
  <c r="AD21" s="1"/>
  <c r="AG21" s="1"/>
  <c r="I22"/>
  <c r="L22" s="1"/>
  <c r="O22" s="1"/>
  <c r="R22" s="1"/>
  <c r="U22" s="1"/>
  <c r="X22" s="1"/>
  <c r="I23"/>
  <c r="L23" s="1"/>
  <c r="O23" s="1"/>
  <c r="R23" s="1"/>
  <c r="U23" s="1"/>
  <c r="X23" s="1"/>
  <c r="AA23" s="1"/>
  <c r="AD23" s="1"/>
  <c r="AG23" s="1"/>
  <c r="I24"/>
  <c r="L24" s="1"/>
  <c r="O24" s="1"/>
  <c r="R24" s="1"/>
  <c r="U24" s="1"/>
  <c r="X24" s="1"/>
  <c r="I25"/>
  <c r="L25"/>
  <c r="O25" s="1"/>
  <c r="R25" s="1"/>
  <c r="U25" s="1"/>
  <c r="X25" s="1"/>
  <c r="AA25" s="1"/>
  <c r="AD25" s="1"/>
  <c r="AG25" s="1"/>
  <c r="I26"/>
  <c r="L26" s="1"/>
  <c r="O26" s="1"/>
  <c r="R26" s="1"/>
  <c r="U26" s="1"/>
  <c r="X26" s="1"/>
  <c r="AA26" s="1"/>
  <c r="AD26" s="1"/>
  <c r="AG26" s="1"/>
  <c r="I27"/>
  <c r="L27" s="1"/>
  <c r="O27" s="1"/>
  <c r="R27" s="1"/>
  <c r="U27" s="1"/>
  <c r="X27" s="1"/>
  <c r="AA27" s="1"/>
  <c r="AD27" s="1"/>
  <c r="AG27" s="1"/>
  <c r="I28"/>
  <c r="L28" s="1"/>
  <c r="O28" s="1"/>
  <c r="R28" s="1"/>
  <c r="U28" s="1"/>
  <c r="X28" s="1"/>
  <c r="AA28" s="1"/>
  <c r="AD28" s="1"/>
  <c r="AG28" s="1"/>
  <c r="I29"/>
  <c r="L29" s="1"/>
  <c r="O29" s="1"/>
  <c r="R29" s="1"/>
  <c r="U29" s="1"/>
  <c r="X29" s="1"/>
  <c r="AA29" s="1"/>
  <c r="AD29" s="1"/>
  <c r="AG29" s="1"/>
  <c r="I31"/>
  <c r="L31" s="1"/>
  <c r="O31" s="1"/>
  <c r="I32"/>
  <c r="L32" s="1"/>
  <c r="O32" s="1"/>
  <c r="R32" s="1"/>
  <c r="U32" s="1"/>
  <c r="X32" s="1"/>
  <c r="AA32" s="1"/>
  <c r="AD32" s="1"/>
  <c r="AG32" s="1"/>
  <c r="I33"/>
  <c r="L33" s="1"/>
  <c r="O33" s="1"/>
  <c r="R33" s="1"/>
  <c r="U33" s="1"/>
  <c r="X33" s="1"/>
  <c r="AA33" s="1"/>
  <c r="AD33" s="1"/>
  <c r="AG33" s="1"/>
  <c r="I34"/>
  <c r="L34" s="1"/>
  <c r="O34" s="1"/>
  <c r="R34" s="1"/>
  <c r="U34" s="1"/>
  <c r="X34" s="1"/>
  <c r="AA34" s="1"/>
  <c r="AD34" s="1"/>
  <c r="AG34" s="1"/>
  <c r="I35"/>
  <c r="L35" s="1"/>
  <c r="O35" s="1"/>
  <c r="R35" s="1"/>
  <c r="U35" s="1"/>
  <c r="X35" s="1"/>
  <c r="AA35" s="1"/>
  <c r="AD35" s="1"/>
  <c r="AG35" s="1"/>
  <c r="I36"/>
  <c r="L36" s="1"/>
  <c r="O36" s="1"/>
  <c r="R36" s="1"/>
  <c r="U36" s="1"/>
  <c r="X36" s="1"/>
  <c r="AA36" s="1"/>
  <c r="AD36" s="1"/>
  <c r="AG36" s="1"/>
  <c r="H8"/>
  <c r="I4"/>
  <c r="L4" s="1"/>
  <c r="O4" s="1"/>
  <c r="R4" s="1"/>
  <c r="U4" s="1"/>
  <c r="X4" s="1"/>
  <c r="AA4" s="1"/>
  <c r="AD4" s="1"/>
  <c r="AG4" s="1"/>
  <c r="I5"/>
  <c r="L5" s="1"/>
  <c r="I6"/>
  <c r="L6" s="1"/>
  <c r="O6" s="1"/>
  <c r="R6" s="1"/>
  <c r="U6" s="1"/>
  <c r="X6" s="1"/>
  <c r="AA6" s="1"/>
  <c r="AD6" s="1"/>
  <c r="AG6" s="1"/>
  <c r="I7"/>
  <c r="L7" s="1"/>
  <c r="O7" s="1"/>
  <c r="R7" s="1"/>
  <c r="U7" s="1"/>
  <c r="X7" s="1"/>
  <c r="AA7" s="1"/>
  <c r="AD7" s="1"/>
  <c r="AG7" s="1"/>
  <c r="I3"/>
  <c r="L3" s="1"/>
  <c r="O3" s="1"/>
  <c r="R3" s="1"/>
  <c r="J36" i="18"/>
  <c r="J9"/>
  <c r="K9"/>
  <c r="K35"/>
  <c r="K36" s="1"/>
  <c r="K3"/>
  <c r="J6" i="16"/>
  <c r="F6"/>
  <c r="F44" i="19"/>
  <c r="F37"/>
  <c r="F8"/>
  <c r="O7" i="18"/>
  <c r="R7" s="1"/>
  <c r="U7" s="1"/>
  <c r="X7" s="1"/>
  <c r="AA7" s="1"/>
  <c r="I6"/>
  <c r="L6"/>
  <c r="O6" s="1"/>
  <c r="R6" s="1"/>
  <c r="U6" s="1"/>
  <c r="X6" s="1"/>
  <c r="AA6" s="1"/>
  <c r="I4"/>
  <c r="L4" s="1"/>
  <c r="O4"/>
  <c r="R4" s="1"/>
  <c r="U4" s="1"/>
  <c r="X4" s="1"/>
  <c r="AA4" s="1"/>
  <c r="I3"/>
  <c r="L3" s="1"/>
  <c r="O3" s="1"/>
  <c r="R3" s="1"/>
  <c r="I39"/>
  <c r="I14"/>
  <c r="L14" s="1"/>
  <c r="O14" s="1"/>
  <c r="R14" s="1"/>
  <c r="U14" s="1"/>
  <c r="X14" s="1"/>
  <c r="AA14" s="1"/>
  <c r="AD14" s="1"/>
  <c r="AG14" s="1"/>
  <c r="AJ14" s="1"/>
  <c r="I15"/>
  <c r="I16"/>
  <c r="L16" s="1"/>
  <c r="O16" s="1"/>
  <c r="R16" s="1"/>
  <c r="U16" s="1"/>
  <c r="X16" s="1"/>
  <c r="AA16" s="1"/>
  <c r="AD16" s="1"/>
  <c r="AG16" s="1"/>
  <c r="AJ16" s="1"/>
  <c r="I17"/>
  <c r="L17"/>
  <c r="O17" s="1"/>
  <c r="R17" s="1"/>
  <c r="U17" s="1"/>
  <c r="X17" s="1"/>
  <c r="AA17" s="1"/>
  <c r="I18"/>
  <c r="L18" s="1"/>
  <c r="O18" s="1"/>
  <c r="R18" s="1"/>
  <c r="U18" s="1"/>
  <c r="X18" s="1"/>
  <c r="AA18" s="1"/>
  <c r="AD18" s="1"/>
  <c r="AG18" s="1"/>
  <c r="AJ18" s="1"/>
  <c r="I19"/>
  <c r="L19" s="1"/>
  <c r="O19" s="1"/>
  <c r="R19" s="1"/>
  <c r="U19" s="1"/>
  <c r="X19" s="1"/>
  <c r="AA19" s="1"/>
  <c r="I20"/>
  <c r="L20" s="1"/>
  <c r="O20" s="1"/>
  <c r="R20" s="1"/>
  <c r="U20" s="1"/>
  <c r="X20" s="1"/>
  <c r="AA20" s="1"/>
  <c r="AD20" s="1"/>
  <c r="AG20" s="1"/>
  <c r="AJ20" s="1"/>
  <c r="I21"/>
  <c r="L21" s="1"/>
  <c r="O21" s="1"/>
  <c r="R21" s="1"/>
  <c r="I22"/>
  <c r="L22" s="1"/>
  <c r="O22" s="1"/>
  <c r="R22" s="1"/>
  <c r="U22" s="1"/>
  <c r="X22" s="1"/>
  <c r="AA22" s="1"/>
  <c r="AD22" s="1"/>
  <c r="AG22" s="1"/>
  <c r="AJ22" s="1"/>
  <c r="I23"/>
  <c r="L23" s="1"/>
  <c r="O23" s="1"/>
  <c r="R23" s="1"/>
  <c r="U23" s="1"/>
  <c r="X23" s="1"/>
  <c r="AA23" s="1"/>
  <c r="AD23" s="1"/>
  <c r="AG23" s="1"/>
  <c r="AJ23" s="1"/>
  <c r="I24"/>
  <c r="L24" s="1"/>
  <c r="O24" s="1"/>
  <c r="R24" s="1"/>
  <c r="U24" s="1"/>
  <c r="X24" s="1"/>
  <c r="AA24" s="1"/>
  <c r="AD24" s="1"/>
  <c r="AG24" s="1"/>
  <c r="AJ24" s="1"/>
  <c r="I25"/>
  <c r="L25" s="1"/>
  <c r="O25"/>
  <c r="R25" s="1"/>
  <c r="U25" s="1"/>
  <c r="X25" s="1"/>
  <c r="AA25" s="1"/>
  <c r="AD25" s="1"/>
  <c r="AG25" s="1"/>
  <c r="AJ25" s="1"/>
  <c r="I26"/>
  <c r="L26" s="1"/>
  <c r="O26" s="1"/>
  <c r="R26" s="1"/>
  <c r="U26" s="1"/>
  <c r="X26" s="1"/>
  <c r="AA26" s="1"/>
  <c r="AD26" s="1"/>
  <c r="AG26" s="1"/>
  <c r="AJ26" s="1"/>
  <c r="I27"/>
  <c r="L27" s="1"/>
  <c r="I28"/>
  <c r="L28" s="1"/>
  <c r="O28" s="1"/>
  <c r="R28" s="1"/>
  <c r="U28" s="1"/>
  <c r="X28" s="1"/>
  <c r="AA28" s="1"/>
  <c r="AD28" s="1"/>
  <c r="AG28" s="1"/>
  <c r="AJ28" s="1"/>
  <c r="I29"/>
  <c r="L29" s="1"/>
  <c r="O29" s="1"/>
  <c r="R29" s="1"/>
  <c r="U29" s="1"/>
  <c r="X29" s="1"/>
  <c r="AA29" s="1"/>
  <c r="AD29" s="1"/>
  <c r="AG29" s="1"/>
  <c r="AJ29" s="1"/>
  <c r="I30"/>
  <c r="L30" s="1"/>
  <c r="O30" s="1"/>
  <c r="R30" s="1"/>
  <c r="U30" s="1"/>
  <c r="X30" s="1"/>
  <c r="AA30" s="1"/>
  <c r="AD30" s="1"/>
  <c r="AG30" s="1"/>
  <c r="AJ30" s="1"/>
  <c r="I31"/>
  <c r="L31" s="1"/>
  <c r="O31" s="1"/>
  <c r="R31" s="1"/>
  <c r="U31" s="1"/>
  <c r="X31" s="1"/>
  <c r="AA31" s="1"/>
  <c r="AD31" s="1"/>
  <c r="AG31" s="1"/>
  <c r="AJ31" s="1"/>
  <c r="I32"/>
  <c r="L32" s="1"/>
  <c r="O32"/>
  <c r="R32" s="1"/>
  <c r="U32" s="1"/>
  <c r="X32" s="1"/>
  <c r="AA32" s="1"/>
  <c r="AD32" s="1"/>
  <c r="AG32" s="1"/>
  <c r="AJ32" s="1"/>
  <c r="I34"/>
  <c r="L34" s="1"/>
  <c r="O34"/>
  <c r="R34" s="1"/>
  <c r="U34" s="1"/>
  <c r="X34" s="1"/>
  <c r="AA34" s="1"/>
  <c r="AD34" s="1"/>
  <c r="AG34" s="1"/>
  <c r="AJ34" s="1"/>
  <c r="I13"/>
  <c r="L13" s="1"/>
  <c r="H12" i="16"/>
  <c r="H14"/>
  <c r="I14" s="1"/>
  <c r="J11"/>
  <c r="J3"/>
  <c r="J24"/>
  <c r="J14"/>
  <c r="H40" i="18"/>
  <c r="F40"/>
  <c r="I40" s="1"/>
  <c r="F35"/>
  <c r="I35" s="1"/>
  <c r="L35"/>
  <c r="O35" s="1"/>
  <c r="R35" s="1"/>
  <c r="U35" s="1"/>
  <c r="X35" s="1"/>
  <c r="AA35" s="1"/>
  <c r="AD35" s="1"/>
  <c r="AG35" s="1"/>
  <c r="AJ35" s="1"/>
  <c r="H33"/>
  <c r="H36"/>
  <c r="F33"/>
  <c r="F8"/>
  <c r="I8" s="1"/>
  <c r="L8"/>
  <c r="O8"/>
  <c r="R8" s="1"/>
  <c r="U8" s="1"/>
  <c r="X8" s="1"/>
  <c r="AA8" s="1"/>
  <c r="F7"/>
  <c r="I7" s="1"/>
  <c r="L7" s="1"/>
  <c r="F5"/>
  <c r="I5"/>
  <c r="L5"/>
  <c r="O5" s="1"/>
  <c r="R5" s="1"/>
  <c r="U5" s="1"/>
  <c r="X5" s="1"/>
  <c r="AA5" s="1"/>
  <c r="J15" i="16"/>
  <c r="K12"/>
  <c r="N12" s="1"/>
  <c r="Q12" s="1"/>
  <c r="T12" s="1"/>
  <c r="W12" s="1"/>
  <c r="N13"/>
  <c r="Q13" s="1"/>
  <c r="T13" s="1"/>
  <c r="W13" s="1"/>
  <c r="K16"/>
  <c r="N16" s="1"/>
  <c r="Q16"/>
  <c r="T16" s="1"/>
  <c r="W16" s="1"/>
  <c r="K17"/>
  <c r="N17" s="1"/>
  <c r="Q17" s="1"/>
  <c r="T17" s="1"/>
  <c r="W17" s="1"/>
  <c r="K23"/>
  <c r="N23" s="1"/>
  <c r="Q23" s="1"/>
  <c r="T23" s="1"/>
  <c r="W23" s="1"/>
  <c r="J10"/>
  <c r="J9"/>
  <c r="H17"/>
  <c r="H16"/>
  <c r="H25"/>
  <c r="I4"/>
  <c r="K4" s="1"/>
  <c r="N4" s="1"/>
  <c r="Q4" s="1"/>
  <c r="T4" s="1"/>
  <c r="I5"/>
  <c r="K5" s="1"/>
  <c r="N5" s="1"/>
  <c r="Q5" s="1"/>
  <c r="T5" s="1"/>
  <c r="I7"/>
  <c r="I9"/>
  <c r="K9"/>
  <c r="I10"/>
  <c r="K10" s="1"/>
  <c r="N10" s="1"/>
  <c r="Q10" s="1"/>
  <c r="T10" s="1"/>
  <c r="W10" s="1"/>
  <c r="I11"/>
  <c r="K11" s="1"/>
  <c r="N11" s="1"/>
  <c r="Q11" s="1"/>
  <c r="T11" s="1"/>
  <c r="W11" s="1"/>
  <c r="I13"/>
  <c r="K13" s="1"/>
  <c r="K14"/>
  <c r="N14" s="1"/>
  <c r="Q14" s="1"/>
  <c r="T14" s="1"/>
  <c r="W14" s="1"/>
  <c r="I15"/>
  <c r="K15"/>
  <c r="N15" s="1"/>
  <c r="Q15" s="1"/>
  <c r="T15" s="1"/>
  <c r="W15" s="1"/>
  <c r="I18"/>
  <c r="K18" s="1"/>
  <c r="N18" s="1"/>
  <c r="Q18" s="1"/>
  <c r="T18" s="1"/>
  <c r="W18" s="1"/>
  <c r="I19"/>
  <c r="K19"/>
  <c r="N19" s="1"/>
  <c r="Q19" s="1"/>
  <c r="T19" s="1"/>
  <c r="W19" s="1"/>
  <c r="I20"/>
  <c r="K20"/>
  <c r="N20" s="1"/>
  <c r="Q20" s="1"/>
  <c r="T20" s="1"/>
  <c r="W20" s="1"/>
  <c r="I21"/>
  <c r="K21"/>
  <c r="N21" s="1"/>
  <c r="Q21" s="1"/>
  <c r="T21" s="1"/>
  <c r="W21" s="1"/>
  <c r="I22"/>
  <c r="K22" s="1"/>
  <c r="N22" s="1"/>
  <c r="Q22" s="1"/>
  <c r="T22" s="1"/>
  <c r="W22" s="1"/>
  <c r="I23"/>
  <c r="I24"/>
  <c r="K24" s="1"/>
  <c r="N24" s="1"/>
  <c r="Q24" s="1"/>
  <c r="T24" s="1"/>
  <c r="W24" s="1"/>
  <c r="I25"/>
  <c r="K25"/>
  <c r="N25" s="1"/>
  <c r="Q25" s="1"/>
  <c r="T25" s="1"/>
  <c r="W25" s="1"/>
  <c r="I26"/>
  <c r="K26" s="1"/>
  <c r="N26" s="1"/>
  <c r="Q26" s="1"/>
  <c r="T26" s="1"/>
  <c r="W26" s="1"/>
  <c r="Z26" s="1"/>
  <c r="I27"/>
  <c r="K27" s="1"/>
  <c r="N27" s="1"/>
  <c r="Q27" s="1"/>
  <c r="T27" s="1"/>
  <c r="W27" s="1"/>
  <c r="I28"/>
  <c r="K28" s="1"/>
  <c r="N28" s="1"/>
  <c r="Q28" s="1"/>
  <c r="T28" s="1"/>
  <c r="W28" s="1"/>
  <c r="I29"/>
  <c r="K29"/>
  <c r="N29" s="1"/>
  <c r="Q29" s="1"/>
  <c r="T29" s="1"/>
  <c r="W29" s="1"/>
  <c r="I30"/>
  <c r="K30" s="1"/>
  <c r="N30" s="1"/>
  <c r="Q30" s="1"/>
  <c r="T30" s="1"/>
  <c r="W30" s="1"/>
  <c r="Z30" s="1"/>
  <c r="AC30" s="1"/>
  <c r="AF30" s="1"/>
  <c r="AI30" s="1"/>
  <c r="AL30" s="1"/>
  <c r="AO30" s="1"/>
  <c r="I31"/>
  <c r="K31" s="1"/>
  <c r="N31" s="1"/>
  <c r="Q31" s="1"/>
  <c r="T31" s="1"/>
  <c r="W31" s="1"/>
  <c r="H3"/>
  <c r="I3"/>
  <c r="K3"/>
  <c r="N3" s="1"/>
  <c r="Q3" s="1"/>
  <c r="F32"/>
  <c r="R116" i="15"/>
  <c r="T115"/>
  <c r="L115"/>
  <c r="T114"/>
  <c r="L114"/>
  <c r="T113"/>
  <c r="L113"/>
  <c r="T112"/>
  <c r="L112"/>
  <c r="L111"/>
  <c r="S111"/>
  <c r="T111"/>
  <c r="T110"/>
  <c r="L110"/>
  <c r="T109"/>
  <c r="L109"/>
  <c r="T108"/>
  <c r="L108"/>
  <c r="T107"/>
  <c r="L107"/>
  <c r="T106"/>
  <c r="L106"/>
  <c r="T105"/>
  <c r="L105"/>
  <c r="T104"/>
  <c r="L104"/>
  <c r="T103"/>
  <c r="L103"/>
  <c r="L102"/>
  <c r="T101"/>
  <c r="L101"/>
  <c r="T100"/>
  <c r="L100"/>
  <c r="T99"/>
  <c r="L99"/>
  <c r="T98"/>
  <c r="L98"/>
  <c r="T97"/>
  <c r="L97"/>
  <c r="T96"/>
  <c r="L96"/>
  <c r="T95"/>
  <c r="L95"/>
  <c r="T94"/>
  <c r="L94"/>
  <c r="T93"/>
  <c r="L93"/>
  <c r="L92"/>
  <c r="T92" s="1"/>
  <c r="T91"/>
  <c r="L91"/>
  <c r="L90"/>
  <c r="T90" s="1"/>
  <c r="S89"/>
  <c r="L89"/>
  <c r="T89" s="1"/>
  <c r="T88"/>
  <c r="L88"/>
  <c r="T87"/>
  <c r="L87"/>
  <c r="T86"/>
  <c r="L86"/>
  <c r="T85"/>
  <c r="L85"/>
  <c r="T84"/>
  <c r="L84"/>
  <c r="T83"/>
  <c r="L83"/>
  <c r="T82"/>
  <c r="L82"/>
  <c r="T81"/>
  <c r="L81"/>
  <c r="T80"/>
  <c r="L80"/>
  <c r="T79"/>
  <c r="L79"/>
  <c r="T78"/>
  <c r="L78"/>
  <c r="T77"/>
  <c r="L77"/>
  <c r="T76"/>
  <c r="L76"/>
  <c r="T75"/>
  <c r="L75"/>
  <c r="L74"/>
  <c r="T73"/>
  <c r="L73"/>
  <c r="T72"/>
  <c r="L72"/>
  <c r="T71"/>
  <c r="L71"/>
  <c r="L70"/>
  <c r="T70" s="1"/>
  <c r="T69"/>
  <c r="L69"/>
  <c r="T68"/>
  <c r="L68"/>
  <c r="T67"/>
  <c r="L67"/>
  <c r="S66"/>
  <c r="L66"/>
  <c r="T65"/>
  <c r="L65"/>
  <c r="T64"/>
  <c r="L64"/>
  <c r="T63"/>
  <c r="L63"/>
  <c r="T62"/>
  <c r="L62"/>
  <c r="T61"/>
  <c r="L61"/>
  <c r="T60"/>
  <c r="L60"/>
  <c r="T59"/>
  <c r="L59"/>
  <c r="T58"/>
  <c r="L58"/>
  <c r="T57"/>
  <c r="L57"/>
  <c r="T56"/>
  <c r="L56"/>
  <c r="T55"/>
  <c r="L55"/>
  <c r="T54"/>
  <c r="L54"/>
  <c r="L53"/>
  <c r="T53"/>
  <c r="T52"/>
  <c r="L52"/>
  <c r="T51"/>
  <c r="L51"/>
  <c r="T50"/>
  <c r="L50"/>
  <c r="T49"/>
  <c r="L49"/>
  <c r="T48"/>
  <c r="S48"/>
  <c r="L48"/>
  <c r="T47"/>
  <c r="L47"/>
  <c r="L46"/>
  <c r="S46" s="1"/>
  <c r="T46"/>
  <c r="T45"/>
  <c r="L45"/>
  <c r="T44"/>
  <c r="L44"/>
  <c r="T43"/>
  <c r="L43"/>
  <c r="T42"/>
  <c r="L42"/>
  <c r="T41"/>
  <c r="L41"/>
  <c r="T40"/>
  <c r="L40"/>
  <c r="T39"/>
  <c r="L39"/>
  <c r="L38"/>
  <c r="T38"/>
  <c r="T37"/>
  <c r="L37"/>
  <c r="T36"/>
  <c r="L36"/>
  <c r="T35"/>
  <c r="L35"/>
  <c r="T34"/>
  <c r="L34"/>
  <c r="T33"/>
  <c r="L33"/>
  <c r="L32"/>
  <c r="S32"/>
  <c r="T32" s="1"/>
  <c r="T31"/>
  <c r="L31"/>
  <c r="L30"/>
  <c r="T30"/>
  <c r="T29"/>
  <c r="L29"/>
  <c r="R27"/>
  <c r="T27" s="1"/>
  <c r="L27"/>
  <c r="R26"/>
  <c r="T26" s="1"/>
  <c r="L26"/>
  <c r="R25"/>
  <c r="T25" s="1"/>
  <c r="L25"/>
  <c r="R24"/>
  <c r="T24" s="1"/>
  <c r="L24"/>
  <c r="T23"/>
  <c r="L23"/>
  <c r="R22"/>
  <c r="T22" s="1"/>
  <c r="L22"/>
  <c r="R21"/>
  <c r="T21" s="1"/>
  <c r="L21"/>
  <c r="T20"/>
  <c r="L20"/>
  <c r="T19"/>
  <c r="L19"/>
  <c r="T18"/>
  <c r="L18"/>
  <c r="T17"/>
  <c r="L17"/>
  <c r="T16"/>
  <c r="L16"/>
  <c r="T15"/>
  <c r="L15"/>
  <c r="T14"/>
  <c r="L14"/>
  <c r="T13"/>
  <c r="L13"/>
  <c r="T12"/>
  <c r="L12"/>
  <c r="R11"/>
  <c r="T11" s="1"/>
  <c r="F30" i="13"/>
  <c r="O61" i="5"/>
  <c r="F24" i="13"/>
  <c r="J22" i="9"/>
  <c r="K2"/>
  <c r="Q18" i="10"/>
  <c r="Q19"/>
  <c r="Q20"/>
  <c r="Q21"/>
  <c r="Q22"/>
  <c r="Q23"/>
  <c r="Q24"/>
  <c r="Q25"/>
  <c r="Q26"/>
  <c r="Q27"/>
  <c r="Q28"/>
  <c r="Q17"/>
  <c r="D63" i="12"/>
  <c r="F22" i="9"/>
  <c r="K29" i="10"/>
  <c r="G27"/>
  <c r="I3" i="9"/>
  <c r="K3"/>
  <c r="I4"/>
  <c r="K4" s="1"/>
  <c r="I5"/>
  <c r="K5"/>
  <c r="I6"/>
  <c r="K6" s="1"/>
  <c r="I7"/>
  <c r="K7" s="1"/>
  <c r="I8"/>
  <c r="K8" s="1"/>
  <c r="I9"/>
  <c r="K9" s="1"/>
  <c r="I10"/>
  <c r="K10" s="1"/>
  <c r="I11"/>
  <c r="K11"/>
  <c r="I12"/>
  <c r="K12" s="1"/>
  <c r="I13"/>
  <c r="K13"/>
  <c r="I14"/>
  <c r="K14" s="1"/>
  <c r="I15"/>
  <c r="K15" s="1"/>
  <c r="I2"/>
  <c r="I18"/>
  <c r="K18" s="1"/>
  <c r="I19"/>
  <c r="K19"/>
  <c r="I20"/>
  <c r="K20" s="1"/>
  <c r="I21"/>
  <c r="K21"/>
  <c r="I17"/>
  <c r="D32" i="12"/>
  <c r="D30"/>
  <c r="K15" i="10"/>
  <c r="Q15"/>
  <c r="G15"/>
  <c r="N65" i="12"/>
  <c r="L65"/>
  <c r="J65"/>
  <c r="D64"/>
  <c r="C64"/>
  <c r="E64"/>
  <c r="F64"/>
  <c r="C63"/>
  <c r="E63" s="1"/>
  <c r="F63" s="1"/>
  <c r="D62"/>
  <c r="C62"/>
  <c r="E62" s="1"/>
  <c r="F62" s="1"/>
  <c r="D61"/>
  <c r="C61"/>
  <c r="E61" s="1"/>
  <c r="F61" s="1"/>
  <c r="D60"/>
  <c r="C60"/>
  <c r="E60" s="1"/>
  <c r="F60" s="1"/>
  <c r="D59"/>
  <c r="C59"/>
  <c r="E59"/>
  <c r="F59" s="1"/>
  <c r="D58"/>
  <c r="C58"/>
  <c r="D57"/>
  <c r="C57"/>
  <c r="E57" s="1"/>
  <c r="F57" s="1"/>
  <c r="D56"/>
  <c r="C56"/>
  <c r="E56" s="1"/>
  <c r="F56"/>
  <c r="H55"/>
  <c r="D55"/>
  <c r="D54"/>
  <c r="C54"/>
  <c r="D53"/>
  <c r="C53"/>
  <c r="E53" s="1"/>
  <c r="F53" s="1"/>
  <c r="D52"/>
  <c r="C52"/>
  <c r="D51"/>
  <c r="C51"/>
  <c r="E51" s="1"/>
  <c r="F51" s="1"/>
  <c r="D50"/>
  <c r="C50"/>
  <c r="E50"/>
  <c r="F50"/>
  <c r="D49"/>
  <c r="C49"/>
  <c r="E49"/>
  <c r="F49"/>
  <c r="D48"/>
  <c r="C48"/>
  <c r="E48"/>
  <c r="F48"/>
  <c r="D47"/>
  <c r="E47" s="1"/>
  <c r="F47" s="1"/>
  <c r="C47"/>
  <c r="D46"/>
  <c r="C46"/>
  <c r="E46" s="1"/>
  <c r="F46" s="1"/>
  <c r="D45"/>
  <c r="C45"/>
  <c r="D44"/>
  <c r="C44"/>
  <c r="E44" s="1"/>
  <c r="F44" s="1"/>
  <c r="D43"/>
  <c r="C43"/>
  <c r="D42"/>
  <c r="C42"/>
  <c r="E42"/>
  <c r="F42" s="1"/>
  <c r="D41"/>
  <c r="C41"/>
  <c r="E41"/>
  <c r="F41" s="1"/>
  <c r="D40"/>
  <c r="C40"/>
  <c r="E40"/>
  <c r="F40" s="1"/>
  <c r="D39"/>
  <c r="E39" s="1"/>
  <c r="C39"/>
  <c r="D38"/>
  <c r="C38"/>
  <c r="D37"/>
  <c r="C37"/>
  <c r="E37" s="1"/>
  <c r="F37" s="1"/>
  <c r="D36"/>
  <c r="C36"/>
  <c r="D35"/>
  <c r="C35"/>
  <c r="E35" s="1"/>
  <c r="F35" s="1"/>
  <c r="D34"/>
  <c r="C34"/>
  <c r="E34"/>
  <c r="F34"/>
  <c r="D33"/>
  <c r="C33"/>
  <c r="E33"/>
  <c r="F33"/>
  <c r="C32"/>
  <c r="D31"/>
  <c r="E31"/>
  <c r="F31"/>
  <c r="C31"/>
  <c r="C30"/>
  <c r="E30"/>
  <c r="F30"/>
  <c r="D29"/>
  <c r="C29"/>
  <c r="E29"/>
  <c r="F29"/>
  <c r="D28"/>
  <c r="C28"/>
  <c r="D27"/>
  <c r="C27"/>
  <c r="E27" s="1"/>
  <c r="F27" s="1"/>
  <c r="D26"/>
  <c r="C26"/>
  <c r="D25"/>
  <c r="C25"/>
  <c r="E25" s="1"/>
  <c r="F25" s="1"/>
  <c r="D24"/>
  <c r="C24"/>
  <c r="D23"/>
  <c r="C23"/>
  <c r="E23"/>
  <c r="F23" s="1"/>
  <c r="D22"/>
  <c r="C22"/>
  <c r="E22"/>
  <c r="F22" s="1"/>
  <c r="D21"/>
  <c r="C21"/>
  <c r="E21"/>
  <c r="F21" s="1"/>
  <c r="D20"/>
  <c r="C20"/>
  <c r="D19"/>
  <c r="C19"/>
  <c r="D18"/>
  <c r="C18"/>
  <c r="E18" s="1"/>
  <c r="F18" s="1"/>
  <c r="D17"/>
  <c r="C17"/>
  <c r="D16"/>
  <c r="C16"/>
  <c r="E16" s="1"/>
  <c r="F16" s="1"/>
  <c r="D15"/>
  <c r="C15"/>
  <c r="E15"/>
  <c r="F15"/>
  <c r="D14"/>
  <c r="C14"/>
  <c r="E14"/>
  <c r="F14"/>
  <c r="D13"/>
  <c r="C13"/>
  <c r="E13"/>
  <c r="F13"/>
  <c r="D12"/>
  <c r="C12"/>
  <c r="D11"/>
  <c r="C11"/>
  <c r="E11" s="1"/>
  <c r="F11" s="1"/>
  <c r="D10"/>
  <c r="C10"/>
  <c r="D9"/>
  <c r="C9"/>
  <c r="E9" s="1"/>
  <c r="F9" s="1"/>
  <c r="D8"/>
  <c r="C8"/>
  <c r="D7"/>
  <c r="C7"/>
  <c r="E7"/>
  <c r="F7" s="1"/>
  <c r="E12"/>
  <c r="F12"/>
  <c r="E20"/>
  <c r="F20" s="1"/>
  <c r="E28"/>
  <c r="F28"/>
  <c r="E32"/>
  <c r="F32" s="1"/>
  <c r="D65"/>
  <c r="F39"/>
  <c r="E43"/>
  <c r="F43" s="1"/>
  <c r="E58"/>
  <c r="F58" s="1"/>
  <c r="G3" i="10"/>
  <c r="K3" s="1"/>
  <c r="Q3" s="1"/>
  <c r="G10"/>
  <c r="K10" s="1"/>
  <c r="Q10" s="1"/>
  <c r="G4"/>
  <c r="K4"/>
  <c r="Q4" s="1"/>
  <c r="G5"/>
  <c r="K5"/>
  <c r="Q5"/>
  <c r="G7"/>
  <c r="K7" s="1"/>
  <c r="Q7" s="1"/>
  <c r="G9"/>
  <c r="K9" s="1"/>
  <c r="Q9" s="1"/>
  <c r="G14"/>
  <c r="K14"/>
  <c r="Q14" s="1"/>
  <c r="G13"/>
  <c r="K13" s="1"/>
  <c r="Q13" s="1"/>
  <c r="G12"/>
  <c r="K12" s="1"/>
  <c r="Q12" s="1"/>
  <c r="G11"/>
  <c r="K11" s="1"/>
  <c r="Q11" s="1"/>
  <c r="G6"/>
  <c r="K6"/>
  <c r="Q6"/>
  <c r="G8"/>
  <c r="K8" s="1"/>
  <c r="Q8" s="1"/>
  <c r="E16" i="11"/>
  <c r="G16" s="1"/>
  <c r="E15"/>
  <c r="G15" s="1"/>
  <c r="L15" s="1"/>
  <c r="G14"/>
  <c r="E14"/>
  <c r="E13"/>
  <c r="G13"/>
  <c r="G12"/>
  <c r="E12"/>
  <c r="E11"/>
  <c r="G11"/>
  <c r="G10"/>
  <c r="E10"/>
  <c r="E9"/>
  <c r="G9"/>
  <c r="G8"/>
  <c r="E8"/>
  <c r="E7"/>
  <c r="G7"/>
  <c r="G6"/>
  <c r="E6"/>
  <c r="E5"/>
  <c r="G5"/>
  <c r="G4"/>
  <c r="E4"/>
  <c r="E3"/>
  <c r="G3"/>
  <c r="G2"/>
  <c r="E2"/>
  <c r="L84" i="5"/>
  <c r="L41"/>
  <c r="J95" i="8"/>
  <c r="I95"/>
  <c r="F16" i="9"/>
  <c r="L20" i="8"/>
  <c r="N20" s="1"/>
  <c r="L5"/>
  <c r="L22"/>
  <c r="N22" s="1"/>
  <c r="L12"/>
  <c r="N12" s="1"/>
  <c r="N55"/>
  <c r="L27"/>
  <c r="N27" s="1"/>
  <c r="L15"/>
  <c r="N15"/>
  <c r="N44"/>
  <c r="N94"/>
  <c r="N9"/>
  <c r="N13"/>
  <c r="N28"/>
  <c r="N29"/>
  <c r="N30"/>
  <c r="N32"/>
  <c r="N33"/>
  <c r="N36"/>
  <c r="N37"/>
  <c r="N38"/>
  <c r="N40"/>
  <c r="K41"/>
  <c r="N42"/>
  <c r="K45"/>
  <c r="K46"/>
  <c r="N48"/>
  <c r="N49"/>
  <c r="N50"/>
  <c r="N4"/>
  <c r="N5"/>
  <c r="N6"/>
  <c r="N10"/>
  <c r="L17"/>
  <c r="N17" s="1"/>
  <c r="L18"/>
  <c r="N18" s="1"/>
  <c r="L21"/>
  <c r="N21" s="1"/>
  <c r="L25"/>
  <c r="L26"/>
  <c r="N26" s="1"/>
  <c r="N46"/>
  <c r="L19"/>
  <c r="N19"/>
  <c r="L23"/>
  <c r="N23" s="1"/>
  <c r="L24"/>
  <c r="N24" s="1"/>
  <c r="N31"/>
  <c r="N35"/>
  <c r="N39"/>
  <c r="N43"/>
  <c r="N47"/>
  <c r="I70" i="6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3"/>
  <c r="N51" i="8"/>
  <c r="K42"/>
  <c r="K39"/>
  <c r="L16"/>
  <c r="N16" s="1"/>
  <c r="N14"/>
  <c r="N11"/>
  <c r="L8"/>
  <c r="N8" s="1"/>
  <c r="L7"/>
  <c r="N7"/>
  <c r="I4" i="7"/>
  <c r="J4" s="1"/>
  <c r="I5"/>
  <c r="J5" s="1"/>
  <c r="I6"/>
  <c r="J6" s="1"/>
  <c r="I7"/>
  <c r="J7" s="1"/>
  <c r="I8"/>
  <c r="J8" s="1"/>
  <c r="I9"/>
  <c r="J9" s="1"/>
  <c r="I10"/>
  <c r="J10" s="1"/>
  <c r="I11"/>
  <c r="J11" s="1"/>
  <c r="I12"/>
  <c r="J12" s="1"/>
  <c r="I13"/>
  <c r="J13" s="1"/>
  <c r="I14"/>
  <c r="J14" s="1"/>
  <c r="I15"/>
  <c r="J15" s="1"/>
  <c r="I16"/>
  <c r="J16" s="1"/>
  <c r="I17"/>
  <c r="J17" s="1"/>
  <c r="I18"/>
  <c r="J18" s="1"/>
  <c r="I19"/>
  <c r="J19" s="1"/>
  <c r="I20"/>
  <c r="J20" s="1"/>
  <c r="I21"/>
  <c r="J21" s="1"/>
  <c r="I22"/>
  <c r="J22" s="1"/>
  <c r="I23"/>
  <c r="J23" s="1"/>
  <c r="I24"/>
  <c r="J24" s="1"/>
  <c r="I25"/>
  <c r="J25" s="1"/>
  <c r="I26"/>
  <c r="J26" s="1"/>
  <c r="I27"/>
  <c r="J27" s="1"/>
  <c r="I28"/>
  <c r="J28" s="1"/>
  <c r="I29"/>
  <c r="J29" s="1"/>
  <c r="I30"/>
  <c r="J30" s="1"/>
  <c r="I31"/>
  <c r="J31" s="1"/>
  <c r="I32"/>
  <c r="J32" s="1"/>
  <c r="I33"/>
  <c r="J33" s="1"/>
  <c r="I34"/>
  <c r="J34" s="1"/>
  <c r="I35"/>
  <c r="J35" s="1"/>
  <c r="I36"/>
  <c r="J36" s="1"/>
  <c r="I37"/>
  <c r="J37" s="1"/>
  <c r="I38"/>
  <c r="J38" s="1"/>
  <c r="I39"/>
  <c r="J39" s="1"/>
  <c r="I40"/>
  <c r="J40" s="1"/>
  <c r="I41"/>
  <c r="J41" s="1"/>
  <c r="I42"/>
  <c r="J42" s="1"/>
  <c r="I43"/>
  <c r="J43" s="1"/>
  <c r="I44"/>
  <c r="J44" s="1"/>
  <c r="I45"/>
  <c r="J45" s="1"/>
  <c r="I46"/>
  <c r="J46" s="1"/>
  <c r="I47"/>
  <c r="J47" s="1"/>
  <c r="I48"/>
  <c r="J48" s="1"/>
  <c r="I49"/>
  <c r="J49" s="1"/>
  <c r="I50"/>
  <c r="J50" s="1"/>
  <c r="I51"/>
  <c r="J51" s="1"/>
  <c r="I52"/>
  <c r="J52" s="1"/>
  <c r="I53"/>
  <c r="J53" s="1"/>
  <c r="I54"/>
  <c r="J54" s="1"/>
  <c r="I55"/>
  <c r="J55" s="1"/>
  <c r="I56"/>
  <c r="J56" s="1"/>
  <c r="I57"/>
  <c r="J57" s="1"/>
  <c r="I58"/>
  <c r="J58" s="1"/>
  <c r="I59"/>
  <c r="J59" s="1"/>
  <c r="I60"/>
  <c r="J60" s="1"/>
  <c r="I61"/>
  <c r="J61" s="1"/>
  <c r="I62"/>
  <c r="J62" s="1"/>
  <c r="I63"/>
  <c r="J63" s="1"/>
  <c r="I64"/>
  <c r="J64" s="1"/>
  <c r="I65"/>
  <c r="J65" s="1"/>
  <c r="I66"/>
  <c r="J66" s="1"/>
  <c r="I67"/>
  <c r="J67" s="1"/>
  <c r="I68"/>
  <c r="J68" s="1"/>
  <c r="I69"/>
  <c r="J69" s="1"/>
  <c r="I70"/>
  <c r="J70" s="1"/>
  <c r="I71"/>
  <c r="J71" s="1"/>
  <c r="I72"/>
  <c r="J72" s="1"/>
  <c r="I73"/>
  <c r="J73" s="1"/>
  <c r="I74"/>
  <c r="J74" s="1"/>
  <c r="I75"/>
  <c r="J75" s="1"/>
  <c r="I76"/>
  <c r="J76" s="1"/>
  <c r="I77"/>
  <c r="J77" s="1"/>
  <c r="I78"/>
  <c r="J78" s="1"/>
  <c r="I79"/>
  <c r="J79" s="1"/>
  <c r="I80"/>
  <c r="J80" s="1"/>
  <c r="I81"/>
  <c r="J81" s="1"/>
  <c r="I82"/>
  <c r="J82" s="1"/>
  <c r="I83"/>
  <c r="J83" s="1"/>
  <c r="I84"/>
  <c r="J84" s="1"/>
  <c r="I85"/>
  <c r="J85" s="1"/>
  <c r="I86"/>
  <c r="J86" s="1"/>
  <c r="I87"/>
  <c r="J87" s="1"/>
  <c r="I88"/>
  <c r="J88" s="1"/>
  <c r="I89"/>
  <c r="J89" s="1"/>
  <c r="I90"/>
  <c r="J90" s="1"/>
  <c r="I91"/>
  <c r="J91" s="1"/>
  <c r="I92"/>
  <c r="J92" s="1"/>
  <c r="I93"/>
  <c r="J93" s="1"/>
  <c r="I94"/>
  <c r="J94" s="1"/>
  <c r="I95"/>
  <c r="J95" s="1"/>
  <c r="I96"/>
  <c r="J96" s="1"/>
  <c r="I97"/>
  <c r="J97" s="1"/>
  <c r="I98"/>
  <c r="J98" s="1"/>
  <c r="I99"/>
  <c r="J99" s="1"/>
  <c r="I100"/>
  <c r="J100" s="1"/>
  <c r="I101"/>
  <c r="J101" s="1"/>
  <c r="I102"/>
  <c r="I3"/>
  <c r="J3" s="1"/>
  <c r="K44" i="3"/>
  <c r="K46"/>
  <c r="K41"/>
  <c r="K33"/>
  <c r="K42"/>
  <c r="K40"/>
  <c r="K32"/>
  <c r="K45"/>
  <c r="K39"/>
  <c r="J88" i="5"/>
  <c r="K88" s="1"/>
  <c r="M88" s="1"/>
  <c r="F86"/>
  <c r="G86"/>
  <c r="E86"/>
  <c r="E98" s="1"/>
  <c r="K63"/>
  <c r="M63"/>
  <c r="Q63" s="1"/>
  <c r="K64"/>
  <c r="M64" s="1"/>
  <c r="Q64" s="1"/>
  <c r="K65"/>
  <c r="M65" s="1"/>
  <c r="Q65" s="1"/>
  <c r="K66"/>
  <c r="M66" s="1"/>
  <c r="Q66" s="1"/>
  <c r="K67"/>
  <c r="M67"/>
  <c r="Q67" s="1"/>
  <c r="K68"/>
  <c r="M68" s="1"/>
  <c r="Q68" s="1"/>
  <c r="K69"/>
  <c r="M69" s="1"/>
  <c r="Q69" s="1"/>
  <c r="K70"/>
  <c r="M70" s="1"/>
  <c r="Q70" s="1"/>
  <c r="K71"/>
  <c r="M71"/>
  <c r="Q71" s="1"/>
  <c r="K73"/>
  <c r="M73" s="1"/>
  <c r="Q73" s="1"/>
  <c r="K74"/>
  <c r="M74" s="1"/>
  <c r="Q74" s="1"/>
  <c r="K75"/>
  <c r="M75" s="1"/>
  <c r="Q75" s="1"/>
  <c r="K76"/>
  <c r="M76"/>
  <c r="Q76" s="1"/>
  <c r="K77"/>
  <c r="M77" s="1"/>
  <c r="Q77" s="1"/>
  <c r="K78"/>
  <c r="M78" s="1"/>
  <c r="Q78" s="1"/>
  <c r="K83"/>
  <c r="M83" s="1"/>
  <c r="Q83" s="1"/>
  <c r="K84"/>
  <c r="M84"/>
  <c r="Q84" s="1"/>
  <c r="K89"/>
  <c r="M89" s="1"/>
  <c r="Q89" s="1"/>
  <c r="K90"/>
  <c r="M90" s="1"/>
  <c r="Q90" s="1"/>
  <c r="K92"/>
  <c r="M92" s="1"/>
  <c r="Q92" s="1"/>
  <c r="K91"/>
  <c r="M91"/>
  <c r="Q91" s="1"/>
  <c r="K93"/>
  <c r="M93" s="1"/>
  <c r="Q93" s="1"/>
  <c r="K94"/>
  <c r="M94" s="1"/>
  <c r="Q94" s="1"/>
  <c r="K95"/>
  <c r="M95" s="1"/>
  <c r="Q95" s="1"/>
  <c r="K96"/>
  <c r="M96"/>
  <c r="Q96" s="1"/>
  <c r="K2"/>
  <c r="M2" s="1"/>
  <c r="Q2" s="1"/>
  <c r="K3"/>
  <c r="K4"/>
  <c r="M4"/>
  <c r="Q4" s="1"/>
  <c r="K5"/>
  <c r="M5" s="1"/>
  <c r="Q5" s="1"/>
  <c r="K6"/>
  <c r="M6" s="1"/>
  <c r="Q6" s="1"/>
  <c r="K7"/>
  <c r="M7"/>
  <c r="Q7" s="1"/>
  <c r="K8"/>
  <c r="M8"/>
  <c r="Q8" s="1"/>
  <c r="K9"/>
  <c r="M9" s="1"/>
  <c r="Q9" s="1"/>
  <c r="K10"/>
  <c r="M10" s="1"/>
  <c r="Q10" s="1"/>
  <c r="K11"/>
  <c r="M11"/>
  <c r="Q11" s="1"/>
  <c r="K12"/>
  <c r="M12"/>
  <c r="Q12" s="1"/>
  <c r="K13"/>
  <c r="M13" s="1"/>
  <c r="Q13" s="1"/>
  <c r="K14"/>
  <c r="M14" s="1"/>
  <c r="Q14" s="1"/>
  <c r="K15"/>
  <c r="M15"/>
  <c r="Q15" s="1"/>
  <c r="K16"/>
  <c r="M16"/>
  <c r="Q16" s="1"/>
  <c r="K17"/>
  <c r="M17" s="1"/>
  <c r="Q17" s="1"/>
  <c r="K18"/>
  <c r="L18" s="1"/>
  <c r="K19"/>
  <c r="M19"/>
  <c r="Q19" s="1"/>
  <c r="K20"/>
  <c r="M20" s="1"/>
  <c r="Q20" s="1"/>
  <c r="K21"/>
  <c r="K22"/>
  <c r="M22" s="1"/>
  <c r="Q22" s="1"/>
  <c r="K23"/>
  <c r="K24"/>
  <c r="M24" s="1"/>
  <c r="Q24" s="1"/>
  <c r="K25"/>
  <c r="M25" s="1"/>
  <c r="Q25" s="1"/>
  <c r="K26"/>
  <c r="M26"/>
  <c r="Q26" s="1"/>
  <c r="K27"/>
  <c r="M27" s="1"/>
  <c r="Q27" s="1"/>
  <c r="K28"/>
  <c r="M28" s="1"/>
  <c r="Q28" s="1"/>
  <c r="K29"/>
  <c r="M29" s="1"/>
  <c r="Q29" s="1"/>
  <c r="K31"/>
  <c r="M31"/>
  <c r="Q31" s="1"/>
  <c r="K32"/>
  <c r="M32" s="1"/>
  <c r="Q32" s="1"/>
  <c r="K33"/>
  <c r="M33" s="1"/>
  <c r="Q33" s="1"/>
  <c r="K34"/>
  <c r="M34" s="1"/>
  <c r="Q34" s="1"/>
  <c r="K35"/>
  <c r="M35"/>
  <c r="Q35" s="1"/>
  <c r="K36"/>
  <c r="M36" s="1"/>
  <c r="Q36" s="1"/>
  <c r="K37"/>
  <c r="M37" s="1"/>
  <c r="Q37" s="1"/>
  <c r="K38"/>
  <c r="M38" s="1"/>
  <c r="Q38" s="1"/>
  <c r="K39"/>
  <c r="M39"/>
  <c r="Q39" s="1"/>
  <c r="K40"/>
  <c r="M40" s="1"/>
  <c r="Q40" s="1"/>
  <c r="K41"/>
  <c r="M41" s="1"/>
  <c r="Q41" s="1"/>
  <c r="K42"/>
  <c r="M42" s="1"/>
  <c r="Q42" s="1"/>
  <c r="K43"/>
  <c r="M43"/>
  <c r="Q43" s="1"/>
  <c r="K44"/>
  <c r="M44" s="1"/>
  <c r="Q44" s="1"/>
  <c r="K45"/>
  <c r="M45" s="1"/>
  <c r="Q45" s="1"/>
  <c r="K46"/>
  <c r="M46" s="1"/>
  <c r="Q46" s="1"/>
  <c r="K47"/>
  <c r="M47"/>
  <c r="Q47" s="1"/>
  <c r="K48"/>
  <c r="M48" s="1"/>
  <c r="Q48" s="1"/>
  <c r="K49"/>
  <c r="M49" s="1"/>
  <c r="Q49" s="1"/>
  <c r="K50"/>
  <c r="M50" s="1"/>
  <c r="Q50" s="1"/>
  <c r="K51"/>
  <c r="M51"/>
  <c r="Q51" s="1"/>
  <c r="K52"/>
  <c r="M52" s="1"/>
  <c r="Q52" s="1"/>
  <c r="K53"/>
  <c r="M53" s="1"/>
  <c r="Q53" s="1"/>
  <c r="K54"/>
  <c r="M54" s="1"/>
  <c r="Q54" s="1"/>
  <c r="K55"/>
  <c r="M55"/>
  <c r="Q55" s="1"/>
  <c r="K56"/>
  <c r="M56" s="1"/>
  <c r="Q56" s="1"/>
  <c r="K57"/>
  <c r="M57" s="1"/>
  <c r="Q57" s="1"/>
  <c r="K58"/>
  <c r="M58" s="1"/>
  <c r="Q58" s="1"/>
  <c r="K59"/>
  <c r="M59"/>
  <c r="Q59" s="1"/>
  <c r="K60"/>
  <c r="M60" s="1"/>
  <c r="Q60" s="1"/>
  <c r="J82"/>
  <c r="K82" s="1"/>
  <c r="M82" s="1"/>
  <c r="Q82" s="1"/>
  <c r="J81"/>
  <c r="K81" s="1"/>
  <c r="M81" s="1"/>
  <c r="Q81" s="1"/>
  <c r="J80"/>
  <c r="K80" s="1"/>
  <c r="M80" s="1"/>
  <c r="Q80" s="1"/>
  <c r="J79"/>
  <c r="K79" s="1"/>
  <c r="M79" s="1"/>
  <c r="Q79" s="1"/>
  <c r="N46" i="3"/>
  <c r="L20"/>
  <c r="L34" s="1"/>
  <c r="N34" s="1"/>
  <c r="L12"/>
  <c r="N12" s="1"/>
  <c r="L27"/>
  <c r="N27"/>
  <c r="L23"/>
  <c r="N23" s="1"/>
  <c r="L21"/>
  <c r="N21"/>
  <c r="L19"/>
  <c r="N19" s="1"/>
  <c r="L18"/>
  <c r="N18"/>
  <c r="L17"/>
  <c r="N17" s="1"/>
  <c r="L15"/>
  <c r="N15"/>
  <c r="L16"/>
  <c r="N16" s="1"/>
  <c r="L25"/>
  <c r="N25"/>
  <c r="L22"/>
  <c r="N22" s="1"/>
  <c r="L14"/>
  <c r="N14"/>
  <c r="L26"/>
  <c r="N26" s="1"/>
  <c r="L24"/>
  <c r="N24"/>
  <c r="L7"/>
  <c r="N7" s="1"/>
  <c r="L5"/>
  <c r="N5"/>
  <c r="L8"/>
  <c r="N8" s="1"/>
  <c r="N4"/>
  <c r="N6"/>
  <c r="N9"/>
  <c r="N11"/>
  <c r="N13"/>
  <c r="N28"/>
  <c r="N29"/>
  <c r="N30"/>
  <c r="N31"/>
  <c r="N32"/>
  <c r="N33"/>
  <c r="N35"/>
  <c r="N36"/>
  <c r="N37"/>
  <c r="N38"/>
  <c r="N39"/>
  <c r="N40"/>
  <c r="N41"/>
  <c r="N42"/>
  <c r="N43"/>
  <c r="N44"/>
  <c r="N45"/>
  <c r="N47"/>
  <c r="N48"/>
  <c r="N49"/>
  <c r="N50"/>
  <c r="N51"/>
  <c r="N3"/>
  <c r="I62" i="5"/>
  <c r="J62"/>
  <c r="K62" s="1"/>
  <c r="M62" s="1"/>
  <c r="Q62" s="1"/>
  <c r="H62"/>
  <c r="H102" i="1"/>
  <c r="H61" i="5"/>
  <c r="J61"/>
  <c r="K61"/>
  <c r="M61"/>
  <c r="Q61" s="1"/>
  <c r="I85"/>
  <c r="H85"/>
  <c r="J72"/>
  <c r="K72" s="1"/>
  <c r="M72" s="1"/>
  <c r="Q72"/>
  <c r="K87"/>
  <c r="M87" s="1"/>
  <c r="Q87" s="1"/>
  <c r="I30"/>
  <c r="I82"/>
  <c r="I79"/>
  <c r="I81"/>
  <c r="H80"/>
  <c r="I80" s="1"/>
  <c r="E97"/>
  <c r="N10" i="3"/>
  <c r="J85" i="5"/>
  <c r="K85" s="1"/>
  <c r="M85" s="1"/>
  <c r="Q85" s="1"/>
  <c r="I95" i="3"/>
  <c r="I4" i="1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3"/>
  <c r="H95" i="2"/>
  <c r="N20" i="3"/>
  <c r="N45" i="8"/>
  <c r="K32"/>
  <c r="K44"/>
  <c r="K40"/>
  <c r="K33"/>
  <c r="N41"/>
  <c r="N25"/>
  <c r="N3"/>
  <c r="H86" i="5"/>
  <c r="K17" i="9"/>
  <c r="K22" s="1"/>
  <c r="Q88" i="5"/>
  <c r="M18"/>
  <c r="Q18" s="1"/>
  <c r="N9" i="16"/>
  <c r="F9" i="18"/>
  <c r="I9"/>
  <c r="H41"/>
  <c r="L16" i="20"/>
  <c r="O16" s="1"/>
  <c r="R16" s="1"/>
  <c r="U16" s="1"/>
  <c r="X16" s="1"/>
  <c r="AA16" s="1"/>
  <c r="O16" i="19"/>
  <c r="R16" s="1"/>
  <c r="U16" s="1"/>
  <c r="X16" s="1"/>
  <c r="AA16" s="1"/>
  <c r="AD16" s="1"/>
  <c r="AG16" s="1"/>
  <c r="L24" i="21"/>
  <c r="O24" s="1"/>
  <c r="R24" s="1"/>
  <c r="U24" s="1"/>
  <c r="X24" s="1"/>
  <c r="AA24" s="1"/>
  <c r="AD24" s="1"/>
  <c r="I20" i="22"/>
  <c r="L20" s="1"/>
  <c r="O20" s="1"/>
  <c r="R20" s="1"/>
  <c r="U20" s="1"/>
  <c r="X20" s="1"/>
  <c r="AA20" s="1"/>
  <c r="I14"/>
  <c r="L14" s="1"/>
  <c r="O14" s="1"/>
  <c r="R14" s="1"/>
  <c r="U14" s="1"/>
  <c r="X14" s="1"/>
  <c r="AA14" s="1"/>
  <c r="N8" i="20"/>
  <c r="I13"/>
  <c r="L13" s="1"/>
  <c r="O13" s="1"/>
  <c r="R13" s="1"/>
  <c r="U13" s="1"/>
  <c r="X13" s="1"/>
  <c r="AA13" s="1"/>
  <c r="AD13" s="1"/>
  <c r="AG13" s="1"/>
  <c r="I8"/>
  <c r="I37" i="22"/>
  <c r="L37" s="1"/>
  <c r="O37" s="1"/>
  <c r="H33" i="23"/>
  <c r="I44"/>
  <c r="L44" s="1"/>
  <c r="O44" s="1"/>
  <c r="R44" s="1"/>
  <c r="U44" s="1"/>
  <c r="X44" s="1"/>
  <c r="BQ389" i="30" l="1"/>
  <c r="BT389" s="1"/>
  <c r="BW389" s="1"/>
  <c r="BZ389" s="1"/>
  <c r="BQ82"/>
  <c r="BT82" s="1"/>
  <c r="BW82" s="1"/>
  <c r="BZ82" s="1"/>
  <c r="BQ135"/>
  <c r="BT135" s="1"/>
  <c r="BW135" s="1"/>
  <c r="BZ135" s="1"/>
  <c r="BQ108"/>
  <c r="BT108" s="1"/>
  <c r="BW108" s="1"/>
  <c r="BZ108" s="1"/>
  <c r="BP513"/>
  <c r="BM426"/>
  <c r="BN426" s="1"/>
  <c r="AG36" i="32"/>
  <c r="AG184" s="1"/>
  <c r="AD184"/>
  <c r="AM11"/>
  <c r="AJ3" i="31"/>
  <c r="AG105"/>
  <c r="BB36"/>
  <c r="AS12" i="32"/>
  <c r="BE10"/>
  <c r="BD321" i="30"/>
  <c r="AY246"/>
  <c r="BB246" s="1"/>
  <c r="BE246" s="1"/>
  <c r="BH246" s="1"/>
  <c r="BK246" s="1"/>
  <c r="BN246" s="1"/>
  <c r="AY4" i="31"/>
  <c r="AV126" i="30"/>
  <c r="AV26" i="32"/>
  <c r="AD12" i="30"/>
  <c r="AM3"/>
  <c r="AP159"/>
  <c r="AS159" s="1"/>
  <c r="AV159" s="1"/>
  <c r="AY159" s="1"/>
  <c r="BB159" s="1"/>
  <c r="BE159" s="1"/>
  <c r="BH159" s="1"/>
  <c r="BK159" s="1"/>
  <c r="BN159" s="1"/>
  <c r="AO234"/>
  <c r="AP234" s="1"/>
  <c r="AS234" s="1"/>
  <c r="AV234" s="1"/>
  <c r="AM133"/>
  <c r="AA187"/>
  <c r="AC187" s="1"/>
  <c r="L7" i="24"/>
  <c r="O2"/>
  <c r="O7" s="1"/>
  <c r="I8" i="26"/>
  <c r="L2"/>
  <c r="I8" i="25"/>
  <c r="L3"/>
  <c r="O3" s="1"/>
  <c r="U3" s="1"/>
  <c r="O2"/>
  <c r="O5" i="19"/>
  <c r="R5" s="1"/>
  <c r="U5" s="1"/>
  <c r="X5" s="1"/>
  <c r="AA5" s="1"/>
  <c r="AD5" s="1"/>
  <c r="AG5" s="1"/>
  <c r="L8"/>
  <c r="I55" i="25"/>
  <c r="L36"/>
  <c r="U47" i="23"/>
  <c r="X47" s="1"/>
  <c r="O12" i="26"/>
  <c r="L35"/>
  <c r="R12" i="25"/>
  <c r="O33"/>
  <c r="T17" i="23"/>
  <c r="U17"/>
  <c r="X17" s="1"/>
  <c r="U16"/>
  <c r="X16" s="1"/>
  <c r="T16"/>
  <c r="T15"/>
  <c r="AD16" i="20"/>
  <c r="AG16" s="1"/>
  <c r="AC16"/>
  <c r="AC34" s="1"/>
  <c r="K32" i="16"/>
  <c r="T34"/>
  <c r="W34" s="1"/>
  <c r="Q37"/>
  <c r="AC19" i="18"/>
  <c r="AD19"/>
  <c r="AG19" s="1"/>
  <c r="AJ19" s="1"/>
  <c r="W21" i="20"/>
  <c r="X21" s="1"/>
  <c r="AA21" s="1"/>
  <c r="AD21" s="1"/>
  <c r="AG21" s="1"/>
  <c r="Q16" i="10"/>
  <c r="AA9" i="18"/>
  <c r="Z32" i="16"/>
  <c r="AC26"/>
  <c r="Z24" i="19"/>
  <c r="AA24" s="1"/>
  <c r="AD24" s="1"/>
  <c r="AG24" s="1"/>
  <c r="U3"/>
  <c r="L9" i="21"/>
  <c r="O3"/>
  <c r="L21" i="5"/>
  <c r="M21" s="1"/>
  <c r="Q21" s="1"/>
  <c r="M3"/>
  <c r="L3"/>
  <c r="Q6" i="16"/>
  <c r="S3"/>
  <c r="S6" s="1"/>
  <c r="O13" i="18"/>
  <c r="C55" i="12"/>
  <c r="E55" s="1"/>
  <c r="F55" s="1"/>
  <c r="H65"/>
  <c r="C65" s="1"/>
  <c r="E65" s="1"/>
  <c r="F65" s="1"/>
  <c r="I44" i="19"/>
  <c r="L41"/>
  <c r="I30"/>
  <c r="L30" s="1"/>
  <c r="O30" s="1"/>
  <c r="R30" s="1"/>
  <c r="U30" s="1"/>
  <c r="X30" s="1"/>
  <c r="AA30" s="1"/>
  <c r="AD30" s="1"/>
  <c r="AG30" s="1"/>
  <c r="H37"/>
  <c r="L38" i="20"/>
  <c r="O38" s="1"/>
  <c r="R38" s="1"/>
  <c r="U38" s="1"/>
  <c r="I45"/>
  <c r="R3" i="22"/>
  <c r="O9"/>
  <c r="R40" i="19"/>
  <c r="U40" s="1"/>
  <c r="X40" s="1"/>
  <c r="I15" i="22"/>
  <c r="L15" s="1"/>
  <c r="O15" s="1"/>
  <c r="R15" s="1"/>
  <c r="U15" s="1"/>
  <c r="X15" s="1"/>
  <c r="AA15" s="1"/>
  <c r="H33"/>
  <c r="N32" i="16"/>
  <c r="N6"/>
  <c r="I34" i="20"/>
  <c r="I8" i="19"/>
  <c r="Q97" i="5"/>
  <c r="F41" i="18"/>
  <c r="L15"/>
  <c r="O15" s="1"/>
  <c r="R15" s="1"/>
  <c r="U15" s="1"/>
  <c r="X15" s="1"/>
  <c r="AA15" s="1"/>
  <c r="AD15" s="1"/>
  <c r="AG15" s="1"/>
  <c r="AJ15" s="1"/>
  <c r="R9"/>
  <c r="I9" i="21"/>
  <c r="I36"/>
  <c r="O36"/>
  <c r="R30"/>
  <c r="R36" s="1"/>
  <c r="O9" i="18"/>
  <c r="I86" i="5"/>
  <c r="L34" i="8"/>
  <c r="N34" s="1"/>
  <c r="E8" i="12"/>
  <c r="F8" s="1"/>
  <c r="E10"/>
  <c r="F10" s="1"/>
  <c r="E17"/>
  <c r="F17" s="1"/>
  <c r="E19"/>
  <c r="F19" s="1"/>
  <c r="E24"/>
  <c r="F24" s="1"/>
  <c r="E26"/>
  <c r="F26" s="1"/>
  <c r="E36"/>
  <c r="F36" s="1"/>
  <c r="E38"/>
  <c r="F38" s="1"/>
  <c r="E45"/>
  <c r="F45" s="1"/>
  <c r="E52"/>
  <c r="F52" s="1"/>
  <c r="E54"/>
  <c r="F54" s="1"/>
  <c r="Q29" i="10"/>
  <c r="F31" i="13" s="1"/>
  <c r="T66" i="15"/>
  <c r="S74"/>
  <c r="T74" s="1"/>
  <c r="O27" i="18"/>
  <c r="R27" s="1"/>
  <c r="U27" s="1"/>
  <c r="X27" s="1"/>
  <c r="AA27" s="1"/>
  <c r="AD27" s="1"/>
  <c r="AG27" s="1"/>
  <c r="AJ27" s="1"/>
  <c r="K6" i="16"/>
  <c r="U3" i="18"/>
  <c r="L36" i="21"/>
  <c r="S102" i="15"/>
  <c r="T102" s="1"/>
  <c r="I27" i="21"/>
  <c r="L13"/>
  <c r="O13" i="22"/>
  <c r="AC17" i="18"/>
  <c r="AC36" s="1"/>
  <c r="F36"/>
  <c r="I33"/>
  <c r="L33" s="1"/>
  <c r="O33" s="1"/>
  <c r="R33" s="1"/>
  <c r="U33" s="1"/>
  <c r="X33" s="1"/>
  <c r="AA33" s="1"/>
  <c r="AD33" s="1"/>
  <c r="AG33" s="1"/>
  <c r="AJ33" s="1"/>
  <c r="Z22" i="19"/>
  <c r="Z37" s="1"/>
  <c r="L12"/>
  <c r="L45" i="20"/>
  <c r="O37"/>
  <c r="U39" i="18"/>
  <c r="U41" s="1"/>
  <c r="R41"/>
  <c r="I33" i="23"/>
  <c r="L12"/>
  <c r="I48"/>
  <c r="L36"/>
  <c r="K16" i="10"/>
  <c r="K30" s="1"/>
  <c r="O8" i="19"/>
  <c r="H43" i="22"/>
  <c r="I43" s="1"/>
  <c r="L9" i="18"/>
  <c r="Q9" i="16"/>
  <c r="M97" i="5"/>
  <c r="J30"/>
  <c r="I22" i="9"/>
  <c r="I16"/>
  <c r="I6" i="16"/>
  <c r="I32"/>
  <c r="U21" i="18"/>
  <c r="X21" s="1"/>
  <c r="AA21" s="1"/>
  <c r="AD21" s="1"/>
  <c r="AG21" s="1"/>
  <c r="AJ21" s="1"/>
  <c r="R31" i="19"/>
  <c r="U31" s="1"/>
  <c r="X31" s="1"/>
  <c r="AA31" s="1"/>
  <c r="AD31" s="1"/>
  <c r="AG31" s="1"/>
  <c r="L12" i="20"/>
  <c r="I9" i="22"/>
  <c r="Q37" i="19"/>
  <c r="L9" i="22"/>
  <c r="W19" i="20"/>
  <c r="L3"/>
  <c r="L8" i="23"/>
  <c r="I8"/>
  <c r="I35" i="26"/>
  <c r="I33" i="25"/>
  <c r="L33"/>
  <c r="BQ246" i="30" l="1"/>
  <c r="BT246" s="1"/>
  <c r="BW246" s="1"/>
  <c r="BZ246" s="1"/>
  <c r="BQ513"/>
  <c r="BT513" s="1"/>
  <c r="BQ159"/>
  <c r="BT159" s="1"/>
  <c r="BW159" s="1"/>
  <c r="BZ159" s="1"/>
  <c r="BQ426"/>
  <c r="BT426" s="1"/>
  <c r="BP876"/>
  <c r="BM876"/>
  <c r="AJ36" i="32"/>
  <c r="AJ184" s="1"/>
  <c r="AP11"/>
  <c r="AO876" i="30"/>
  <c r="BD456"/>
  <c r="BE456" s="1"/>
  <c r="BH456" s="1"/>
  <c r="BK456" s="1"/>
  <c r="BN456" s="1"/>
  <c r="AM3" i="31"/>
  <c r="AJ105"/>
  <c r="BE36"/>
  <c r="AV12" i="32"/>
  <c r="BH10"/>
  <c r="BK10" s="1"/>
  <c r="BN10" s="1"/>
  <c r="BQ10" s="1"/>
  <c r="BT10" s="1"/>
  <c r="BW10" s="1"/>
  <c r="BZ10" s="1"/>
  <c r="BE321" i="30"/>
  <c r="BH321" s="1"/>
  <c r="BK321" s="1"/>
  <c r="BN321" s="1"/>
  <c r="BB4" i="31"/>
  <c r="AY26" i="32"/>
  <c r="AX234" i="30"/>
  <c r="AY126"/>
  <c r="BB126" s="1"/>
  <c r="BE126" s="1"/>
  <c r="BH126" s="1"/>
  <c r="BK126" s="1"/>
  <c r="BN126" s="1"/>
  <c r="AP133"/>
  <c r="AG12"/>
  <c r="AP3"/>
  <c r="AD187"/>
  <c r="AG187" s="1"/>
  <c r="AJ187" s="1"/>
  <c r="AM187" s="1"/>
  <c r="AP187" s="1"/>
  <c r="AS187" s="1"/>
  <c r="AV187" s="1"/>
  <c r="AY187" s="1"/>
  <c r="BB187" s="1"/>
  <c r="BE187" s="1"/>
  <c r="BH187" s="1"/>
  <c r="BK187" s="1"/>
  <c r="BN187" s="1"/>
  <c r="AC288"/>
  <c r="AC876" s="1"/>
  <c r="R2" i="26"/>
  <c r="L8"/>
  <c r="R8" s="1"/>
  <c r="U2" i="25"/>
  <c r="O8"/>
  <c r="U8" s="1"/>
  <c r="L8"/>
  <c r="R8" i="19"/>
  <c r="O36" i="25"/>
  <c r="L55"/>
  <c r="L48" i="23"/>
  <c r="O36"/>
  <c r="T33"/>
  <c r="R12" i="26"/>
  <c r="R35" s="1"/>
  <c r="O35"/>
  <c r="R33" i="25"/>
  <c r="U12"/>
  <c r="U33" s="1"/>
  <c r="U15" i="23"/>
  <c r="X15" s="1"/>
  <c r="AC32" i="16"/>
  <c r="AF26"/>
  <c r="I23" i="9"/>
  <c r="K16"/>
  <c r="K23" s="1"/>
  <c r="R37" i="20"/>
  <c r="O45"/>
  <c r="Q3" i="5"/>
  <c r="W37" i="16"/>
  <c r="Z34"/>
  <c r="O12" i="20"/>
  <c r="L34"/>
  <c r="L37" i="19"/>
  <c r="O12"/>
  <c r="O33" i="22"/>
  <c r="R13"/>
  <c r="J86" i="5"/>
  <c r="K30"/>
  <c r="U8" i="19"/>
  <c r="X3"/>
  <c r="T3" i="16"/>
  <c r="W34" i="20"/>
  <c r="I33" i="22"/>
  <c r="X19" i="20"/>
  <c r="AA19" s="1"/>
  <c r="AD19" s="1"/>
  <c r="AG19" s="1"/>
  <c r="I37" i="19"/>
  <c r="L33" i="22"/>
  <c r="L36" i="18"/>
  <c r="L23" i="5"/>
  <c r="M23" s="1"/>
  <c r="Q23" s="1"/>
  <c r="T9" i="16"/>
  <c r="Q32"/>
  <c r="O12" i="23"/>
  <c r="L33"/>
  <c r="O13" i="21"/>
  <c r="L27"/>
  <c r="R3"/>
  <c r="O9"/>
  <c r="O3" i="20"/>
  <c r="L8"/>
  <c r="X3" i="18"/>
  <c r="X9" s="1"/>
  <c r="U9"/>
  <c r="O41" i="19"/>
  <c r="L44"/>
  <c r="R13" i="18"/>
  <c r="O36"/>
  <c r="AA22" i="19"/>
  <c r="AD22" s="1"/>
  <c r="AG22" s="1"/>
  <c r="AD17" i="18"/>
  <c r="AG17" s="1"/>
  <c r="AJ17" s="1"/>
  <c r="T6" i="16"/>
  <c r="I36" i="18"/>
  <c r="BW513" i="30" l="1"/>
  <c r="BZ513" s="1"/>
  <c r="BV426"/>
  <c r="BQ456"/>
  <c r="BT456" s="1"/>
  <c r="BW456" s="1"/>
  <c r="BZ456" s="1"/>
  <c r="BQ187"/>
  <c r="BT187" s="1"/>
  <c r="BW187" s="1"/>
  <c r="BZ187" s="1"/>
  <c r="BQ126"/>
  <c r="BT126" s="1"/>
  <c r="BW126" s="1"/>
  <c r="BZ126" s="1"/>
  <c r="BQ321"/>
  <c r="BT321" s="1"/>
  <c r="BW321" s="1"/>
  <c r="BZ321" s="1"/>
  <c r="BD876"/>
  <c r="AM36" i="32"/>
  <c r="AM184" s="1"/>
  <c r="AS11"/>
  <c r="AP3" i="31"/>
  <c r="AM105"/>
  <c r="BH36"/>
  <c r="AY12" i="32"/>
  <c r="BE4" i="31"/>
  <c r="BB26" i="32"/>
  <c r="AD288" i="30"/>
  <c r="AG288" s="1"/>
  <c r="AJ288" s="1"/>
  <c r="AM288" s="1"/>
  <c r="AP288" s="1"/>
  <c r="AS288" s="1"/>
  <c r="AV288" s="1"/>
  <c r="AY288" s="1"/>
  <c r="BB288" s="1"/>
  <c r="BE288" s="1"/>
  <c r="BH288" s="1"/>
  <c r="BK288" s="1"/>
  <c r="BN288" s="1"/>
  <c r="AY234"/>
  <c r="BB234" s="1"/>
  <c r="BE234" s="1"/>
  <c r="BH234" s="1"/>
  <c r="BK234" s="1"/>
  <c r="BN234" s="1"/>
  <c r="AX292"/>
  <c r="AY292" s="1"/>
  <c r="AS133"/>
  <c r="AS3"/>
  <c r="AJ12"/>
  <c r="R9" i="21"/>
  <c r="U3"/>
  <c r="X8" i="19"/>
  <c r="AA3"/>
  <c r="R36" i="25"/>
  <c r="U36" s="1"/>
  <c r="U55" s="1"/>
  <c r="O55"/>
  <c r="O48" i="23"/>
  <c r="R36"/>
  <c r="O33"/>
  <c r="R12"/>
  <c r="R33" i="22"/>
  <c r="U13"/>
  <c r="AI26" i="16"/>
  <c r="AF32"/>
  <c r="U13" i="18"/>
  <c r="R36"/>
  <c r="R41" i="19"/>
  <c r="U41" s="1"/>
  <c r="X41" s="1"/>
  <c r="O44"/>
  <c r="R44" s="1"/>
  <c r="U44" s="1"/>
  <c r="X44" s="1"/>
  <c r="R3" i="20"/>
  <c r="O8"/>
  <c r="R13" i="21"/>
  <c r="O27"/>
  <c r="W9" i="16"/>
  <c r="W32" s="1"/>
  <c r="T32"/>
  <c r="U37" i="20"/>
  <c r="U45" s="1"/>
  <c r="R45"/>
  <c r="R12"/>
  <c r="O34"/>
  <c r="M30" i="5"/>
  <c r="K86"/>
  <c r="O37" i="19"/>
  <c r="R12"/>
  <c r="AC34" i="16"/>
  <c r="Z37"/>
  <c r="BV494" i="30" l="1"/>
  <c r="BW494" s="1"/>
  <c r="BZ494" s="1"/>
  <c r="BW426"/>
  <c r="BZ426" s="1"/>
  <c r="BQ288"/>
  <c r="BT288" s="1"/>
  <c r="BW288" s="1"/>
  <c r="BZ288" s="1"/>
  <c r="BQ234"/>
  <c r="BT234" s="1"/>
  <c r="BW234" s="1"/>
  <c r="BZ234" s="1"/>
  <c r="AP36" i="32"/>
  <c r="AP184" s="1"/>
  <c r="AV11"/>
  <c r="AX876" i="30"/>
  <c r="AS3" i="31"/>
  <c r="AP105"/>
  <c r="BK36"/>
  <c r="BB12" i="32"/>
  <c r="BH4" i="31"/>
  <c r="BE26" i="32"/>
  <c r="BA292" i="30"/>
  <c r="AV133"/>
  <c r="AV3"/>
  <c r="AM12"/>
  <c r="X3" i="21"/>
  <c r="U9"/>
  <c r="AD3" i="19"/>
  <c r="AA8"/>
  <c r="U36" i="23"/>
  <c r="X36" s="1"/>
  <c r="X48" s="1"/>
  <c r="R48"/>
  <c r="R33"/>
  <c r="U12"/>
  <c r="X13" i="22"/>
  <c r="W13"/>
  <c r="W33" s="1"/>
  <c r="U33"/>
  <c r="AC37" i="16"/>
  <c r="AF34"/>
  <c r="AL26"/>
  <c r="AI32"/>
  <c r="U12" i="20"/>
  <c r="R34"/>
  <c r="U12" i="19"/>
  <c r="R37"/>
  <c r="R27" i="21"/>
  <c r="U13"/>
  <c r="U3" i="20"/>
  <c r="U8" s="1"/>
  <c r="R8"/>
  <c r="X13" i="18"/>
  <c r="U36"/>
  <c r="Q30" i="5"/>
  <c r="Q86" s="1"/>
  <c r="Q98" s="1"/>
  <c r="M86"/>
  <c r="M98" s="1"/>
  <c r="BV876" i="30" l="1"/>
  <c r="AS36" i="32"/>
  <c r="AS184" s="1"/>
  <c r="AY11"/>
  <c r="AV3" i="31"/>
  <c r="AS105"/>
  <c r="BN36"/>
  <c r="BE12" i="32"/>
  <c r="BK4" i="31"/>
  <c r="BH26" i="32"/>
  <c r="BK26" s="1"/>
  <c r="BN26" s="1"/>
  <c r="BQ26" s="1"/>
  <c r="BT26" s="1"/>
  <c r="BW26" s="1"/>
  <c r="BZ26" s="1"/>
  <c r="BA343" i="30"/>
  <c r="BB292"/>
  <c r="BE292" s="1"/>
  <c r="BH292" s="1"/>
  <c r="BK292" s="1"/>
  <c r="BN292" s="1"/>
  <c r="AY133"/>
  <c r="BB133" s="1"/>
  <c r="BE133" s="1"/>
  <c r="BH133" s="1"/>
  <c r="BK133" s="1"/>
  <c r="BN133" s="1"/>
  <c r="AY3"/>
  <c r="AP12"/>
  <c r="AD3" i="21"/>
  <c r="X9"/>
  <c r="AD9" s="1"/>
  <c r="AG3" i="19"/>
  <c r="AG8" s="1"/>
  <c r="AD8"/>
  <c r="U33" i="23"/>
  <c r="X12"/>
  <c r="X33" s="1"/>
  <c r="AA13" i="22"/>
  <c r="AA33" s="1"/>
  <c r="X33"/>
  <c r="U27" i="21"/>
  <c r="X13"/>
  <c r="AI34" i="16"/>
  <c r="AF37"/>
  <c r="AO26"/>
  <c r="AO32" s="1"/>
  <c r="AL32"/>
  <c r="X12" i="19"/>
  <c r="U37"/>
  <c r="AA13" i="18"/>
  <c r="X36"/>
  <c r="X12" i="20"/>
  <c r="U34"/>
  <c r="BQ292" i="30" l="1"/>
  <c r="BT292" s="1"/>
  <c r="BW292" s="1"/>
  <c r="BZ292" s="1"/>
  <c r="BQ133"/>
  <c r="BT133" s="1"/>
  <c r="BW133" s="1"/>
  <c r="BZ133" s="1"/>
  <c r="BP36" i="31"/>
  <c r="BP78" s="1"/>
  <c r="BQ78" s="1"/>
  <c r="BT78" s="1"/>
  <c r="BW78" s="1"/>
  <c r="BZ78" s="1"/>
  <c r="AV36" i="32"/>
  <c r="BB11"/>
  <c r="AY3" i="31"/>
  <c r="AV105"/>
  <c r="BB343" i="30"/>
  <c r="BE343" s="1"/>
  <c r="BH343" s="1"/>
  <c r="BK343" s="1"/>
  <c r="BN343" s="1"/>
  <c r="BA876"/>
  <c r="BH12" i="32"/>
  <c r="BN4" i="31"/>
  <c r="BQ4" s="1"/>
  <c r="BT4" s="1"/>
  <c r="BW4" s="1"/>
  <c r="BZ4" s="1"/>
  <c r="BB3" i="30"/>
  <c r="AS12"/>
  <c r="AA13" i="21"/>
  <c r="X27"/>
  <c r="X34" i="20"/>
  <c r="AA12"/>
  <c r="AL34" i="16"/>
  <c r="AI37"/>
  <c r="AA12" i="19"/>
  <c r="X37"/>
  <c r="AD13" i="18"/>
  <c r="AA36"/>
  <c r="BQ36" i="31" l="1"/>
  <c r="BT36" s="1"/>
  <c r="BW36" s="1"/>
  <c r="BZ36" s="1"/>
  <c r="BQ343" i="30"/>
  <c r="BT343" s="1"/>
  <c r="BP105" i="31"/>
  <c r="AY36" i="32"/>
  <c r="AY184" s="1"/>
  <c r="AV184"/>
  <c r="BE11"/>
  <c r="BB3" i="31"/>
  <c r="AY105"/>
  <c r="BK12" i="32"/>
  <c r="BM12" s="1"/>
  <c r="BE3" i="30"/>
  <c r="AV12"/>
  <c r="AA27" i="21"/>
  <c r="AD13"/>
  <c r="AD27" s="1"/>
  <c r="AD12" i="20"/>
  <c r="AA34"/>
  <c r="AA37" i="19"/>
  <c r="AD12"/>
  <c r="AD36" i="18"/>
  <c r="AG13"/>
  <c r="AO34" i="16"/>
  <c r="AO37" s="1"/>
  <c r="AL37"/>
  <c r="BW343" i="30" l="1"/>
  <c r="BZ343" s="1"/>
  <c r="BB36" i="32"/>
  <c r="BM30"/>
  <c r="BN30" s="1"/>
  <c r="BQ30" s="1"/>
  <c r="BT30" s="1"/>
  <c r="BW30" s="1"/>
  <c r="BZ30" s="1"/>
  <c r="BH11"/>
  <c r="BE3" i="31"/>
  <c r="BB105"/>
  <c r="BN12" i="32"/>
  <c r="BQ12" s="1"/>
  <c r="BT12" s="1"/>
  <c r="BW12" s="1"/>
  <c r="BZ12" s="1"/>
  <c r="BH3" i="30"/>
  <c r="AY12"/>
  <c r="AG12" i="20"/>
  <c r="AG34" s="1"/>
  <c r="AD34"/>
  <c r="AG12" i="19"/>
  <c r="AG37" s="1"/>
  <c r="AD37"/>
  <c r="AJ13" i="18"/>
  <c r="AJ36" s="1"/>
  <c r="AG36"/>
  <c r="R139" i="30"/>
  <c r="U139" s="1"/>
  <c r="X139" s="1"/>
  <c r="Q193"/>
  <c r="Q876" s="1"/>
  <c r="R138"/>
  <c r="BE36" i="32" l="1"/>
  <c r="BE184" s="1"/>
  <c r="BB184"/>
  <c r="BM184"/>
  <c r="BK11"/>
  <c r="BH3" i="31"/>
  <c r="BE105"/>
  <c r="BK3" i="30"/>
  <c r="BB12"/>
  <c r="R193"/>
  <c r="T193" s="1"/>
  <c r="U193" s="1"/>
  <c r="X193" s="1"/>
  <c r="U138"/>
  <c r="AD138"/>
  <c r="AA139"/>
  <c r="R876" l="1"/>
  <c r="BH36" i="32"/>
  <c r="BH184" s="1"/>
  <c r="BN11"/>
  <c r="BQ11" s="1"/>
  <c r="BT11" s="1"/>
  <c r="BW11" s="1"/>
  <c r="BZ11" s="1"/>
  <c r="BK3" i="31"/>
  <c r="BH105"/>
  <c r="BN3" i="30"/>
  <c r="BE12"/>
  <c r="AG138"/>
  <c r="AD139"/>
  <c r="AG139" s="1"/>
  <c r="AJ139" s="1"/>
  <c r="AM139" s="1"/>
  <c r="AP139" s="1"/>
  <c r="AS139" s="1"/>
  <c r="AV139" s="1"/>
  <c r="AY139" s="1"/>
  <c r="BB139" s="1"/>
  <c r="BE139" s="1"/>
  <c r="BH139" s="1"/>
  <c r="BK139" s="1"/>
  <c r="BN139" s="1"/>
  <c r="X138"/>
  <c r="AA193"/>
  <c r="AD193" s="1"/>
  <c r="AG193" s="1"/>
  <c r="AJ193" s="1"/>
  <c r="AM193" s="1"/>
  <c r="AP193" s="1"/>
  <c r="AS193" s="1"/>
  <c r="AV193" s="1"/>
  <c r="AY193" s="1"/>
  <c r="BB193" s="1"/>
  <c r="BE193" s="1"/>
  <c r="BH193" s="1"/>
  <c r="BK193" s="1"/>
  <c r="BN193" s="1"/>
  <c r="T224"/>
  <c r="T876" s="1"/>
  <c r="BQ139" l="1"/>
  <c r="BT139" s="1"/>
  <c r="BW139" s="1"/>
  <c r="BZ139" s="1"/>
  <c r="BQ193"/>
  <c r="BT193" s="1"/>
  <c r="BW193" s="1"/>
  <c r="BZ193" s="1"/>
  <c r="BQ3"/>
  <c r="BK36" i="32"/>
  <c r="BK184" s="1"/>
  <c r="BN3" i="31"/>
  <c r="BQ3" s="1"/>
  <c r="BT3" s="1"/>
  <c r="BW3" s="1"/>
  <c r="BZ3" s="1"/>
  <c r="BZ105" s="1"/>
  <c r="BK105"/>
  <c r="BH12" i="30"/>
  <c r="U224"/>
  <c r="U876" s="1"/>
  <c r="AJ138"/>
  <c r="BT105" i="31" l="1"/>
  <c r="BW105"/>
  <c r="BS3" i="30"/>
  <c r="BN105" i="31"/>
  <c r="BQ105"/>
  <c r="BN36" i="32"/>
  <c r="BQ36" s="1"/>
  <c r="BT36" s="1"/>
  <c r="BK12" i="30"/>
  <c r="X224"/>
  <c r="X876" s="1"/>
  <c r="AM138"/>
  <c r="BT184" i="32" l="1"/>
  <c r="BW36"/>
  <c r="BZ36" s="1"/>
  <c r="BS425" i="30"/>
  <c r="BT425" s="1"/>
  <c r="BW425" s="1"/>
  <c r="BZ425" s="1"/>
  <c r="BT3"/>
  <c r="BN184" i="32"/>
  <c r="BQ184"/>
  <c r="BN12" i="30"/>
  <c r="AA224"/>
  <c r="AA876" s="1"/>
  <c r="AP138"/>
  <c r="BW184" i="32" l="1"/>
  <c r="BZ184"/>
  <c r="BW3" i="30"/>
  <c r="BZ3" s="1"/>
  <c r="BS876"/>
  <c r="BQ12"/>
  <c r="BT12" s="1"/>
  <c r="BW12" s="1"/>
  <c r="BZ12" s="1"/>
  <c r="AS138"/>
  <c r="AD224"/>
  <c r="AD876" s="1"/>
  <c r="AV138" l="1"/>
  <c r="AG224"/>
  <c r="AG876" s="1"/>
  <c r="AY138" l="1"/>
  <c r="AJ224"/>
  <c r="AJ876" s="1"/>
  <c r="BB138" l="1"/>
  <c r="AM224"/>
  <c r="AM876" s="1"/>
  <c r="BE138" l="1"/>
  <c r="AP224"/>
  <c r="AP876" s="1"/>
  <c r="BH138" l="1"/>
  <c r="AS224"/>
  <c r="AS876" s="1"/>
  <c r="BK138" l="1"/>
  <c r="AV224"/>
  <c r="AV876" s="1"/>
  <c r="BN138" l="1"/>
  <c r="AY224"/>
  <c r="AY876" s="1"/>
  <c r="BQ138" l="1"/>
  <c r="BT138" s="1"/>
  <c r="BB224"/>
  <c r="BB876" s="1"/>
  <c r="BW138" l="1"/>
  <c r="BZ138" s="1"/>
  <c r="BE224"/>
  <c r="BE876" s="1"/>
  <c r="BH224" l="1"/>
  <c r="BH876" s="1"/>
  <c r="BK224" l="1"/>
  <c r="BK876" s="1"/>
  <c r="BN224" l="1"/>
  <c r="BQ224" l="1"/>
  <c r="BT224" s="1"/>
  <c r="BN876"/>
  <c r="BW224" l="1"/>
  <c r="BT876"/>
  <c r="BQ876"/>
  <c r="BW876" l="1"/>
  <c r="BZ224"/>
  <c r="BZ876" s="1"/>
</calcChain>
</file>

<file path=xl/comments1.xml><?xml version="1.0" encoding="utf-8"?>
<comments xmlns="http://schemas.openxmlformats.org/spreadsheetml/2006/main">
  <authors>
    <author>Saint'dell</author>
  </authors>
  <commentList>
    <comment ref="H2" authorId="0">
      <text>
        <r>
          <rPr>
            <b/>
            <sz val="9"/>
            <color indexed="81"/>
            <rFont val="宋体"/>
            <family val="3"/>
            <charset val="134"/>
          </rPr>
          <t>Saint'dell:</t>
        </r>
        <r>
          <rPr>
            <sz val="9"/>
            <color indexed="81"/>
            <rFont val="宋体"/>
            <family val="3"/>
            <charset val="134"/>
          </rPr>
          <t xml:space="preserve">
这笔已经在11月初支出了</t>
        </r>
      </text>
    </comment>
  </commentList>
</comments>
</file>

<file path=xl/comments2.xml><?xml version="1.0" encoding="utf-8"?>
<comments xmlns="http://schemas.openxmlformats.org/spreadsheetml/2006/main">
  <authors>
    <author>fifi.zeng</author>
  </authors>
  <commentList>
    <comment ref="K30" authorId="0">
      <text>
        <r>
          <rPr>
            <b/>
            <sz val="9"/>
            <color indexed="81"/>
            <rFont val="Tahoma"/>
            <family val="2"/>
          </rPr>
          <t>fifi.zeng: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20</t>
        </r>
        <r>
          <rPr>
            <sz val="9"/>
            <color indexed="81"/>
            <rFont val="宋体"/>
            <family val="3"/>
            <charset val="134"/>
          </rPr>
          <t>万不够扣，差额放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万</t>
        </r>
      </text>
    </comment>
  </commentList>
</comments>
</file>

<file path=xl/comments3.xml><?xml version="1.0" encoding="utf-8"?>
<comments xmlns="http://schemas.openxmlformats.org/spreadsheetml/2006/main">
  <authors>
    <author>fifi.zeng</author>
  </authors>
  <commentList>
    <comment ref="K23" authorId="0">
      <text>
        <r>
          <rPr>
            <b/>
            <sz val="9"/>
            <color indexed="81"/>
            <rFont val="Tahoma"/>
            <family val="2"/>
          </rPr>
          <t>fifi.zeng: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供应商赢营家退款</t>
        </r>
      </text>
    </comment>
  </commentList>
</comments>
</file>

<file path=xl/comments4.xml><?xml version="1.0" encoding="utf-8"?>
<comments xmlns="http://schemas.openxmlformats.org/spreadsheetml/2006/main">
  <authors>
    <author>weixin.mao</author>
  </authors>
  <commentList>
    <comment ref="I130" authorId="0">
      <text>
        <r>
          <rPr>
            <b/>
            <sz val="9"/>
            <color indexed="81"/>
            <rFont val="Tahoma"/>
            <family val="2"/>
          </rPr>
          <t>weixin.mao:</t>
        </r>
        <r>
          <rPr>
            <sz val="9"/>
            <color indexed="81"/>
            <rFont val="Tahoma"/>
            <family val="2"/>
          </rPr>
          <t xml:space="preserve">
117152.54</t>
        </r>
      </text>
    </comment>
    <comment ref="BJ199" authorId="0">
      <text>
        <r>
          <rPr>
            <b/>
            <sz val="9"/>
            <color indexed="81"/>
            <rFont val="Tahoma"/>
            <family val="2"/>
          </rPr>
          <t>weixin.mao:</t>
        </r>
        <r>
          <rPr>
            <sz val="9"/>
            <color indexed="81"/>
            <rFont val="Tahoma"/>
            <family val="2"/>
          </rPr>
          <t xml:space="preserve">
2019</t>
        </r>
        <r>
          <rPr>
            <sz val="9"/>
            <color indexed="81"/>
            <rFont val="宋体"/>
            <family val="3"/>
            <charset val="134"/>
          </rPr>
          <t>年多开票退回</t>
        </r>
      </text>
    </comment>
    <comment ref="T221" authorId="0">
      <text>
        <r>
          <rPr>
            <b/>
            <sz val="9"/>
            <color indexed="81"/>
            <rFont val="Tahoma"/>
            <family val="2"/>
          </rPr>
          <t>weixin.mao: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支付</t>
        </r>
        <r>
          <rPr>
            <sz val="9"/>
            <color indexed="81"/>
            <rFont val="Tahoma"/>
            <family val="2"/>
          </rPr>
          <t>322800/1.06</t>
        </r>
        <r>
          <rPr>
            <sz val="9"/>
            <color indexed="81"/>
            <rFont val="宋体"/>
            <family val="3"/>
            <charset val="134"/>
          </rPr>
          <t>，暂估抵扣完后，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月开票</t>
        </r>
        <r>
          <rPr>
            <sz val="9"/>
            <color indexed="81"/>
            <rFont val="Tahoma"/>
            <family val="2"/>
          </rPr>
          <t>4/29</t>
        </r>
        <r>
          <rPr>
            <sz val="9"/>
            <color indexed="81"/>
            <rFont val="宋体"/>
            <family val="3"/>
            <charset val="134"/>
          </rPr>
          <t>到款</t>
        </r>
        <r>
          <rPr>
            <sz val="9"/>
            <color indexed="81"/>
            <rFont val="Tahoma"/>
            <family val="2"/>
          </rPr>
          <t>231357.02</t>
        </r>
      </text>
    </comment>
    <comment ref="BA276" authorId="0">
      <text>
        <r>
          <rPr>
            <b/>
            <sz val="9"/>
            <color indexed="81"/>
            <rFont val="Tahoma"/>
            <family val="2"/>
          </rPr>
          <t>weixin.mao: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清零</t>
        </r>
        <r>
          <rPr>
            <sz val="9"/>
            <color indexed="81"/>
            <rFont val="Tahoma"/>
            <family val="2"/>
          </rPr>
          <t xml:space="preserve">18.86
</t>
        </r>
      </text>
    </comment>
    <comment ref="AU397" authorId="0">
      <text>
        <r>
          <rPr>
            <b/>
            <sz val="9"/>
            <color indexed="81"/>
            <rFont val="Tahoma"/>
            <family val="2"/>
          </rPr>
          <t>weixin.mao: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舒尔调账</t>
        </r>
        <r>
          <rPr>
            <sz val="9"/>
            <color indexed="81"/>
            <rFont val="Tahoma"/>
            <family val="2"/>
          </rPr>
          <t>21207</t>
        </r>
      </text>
    </comment>
    <comment ref="AL405" authorId="0">
      <text>
        <r>
          <rPr>
            <b/>
            <sz val="9"/>
            <color indexed="81"/>
            <rFont val="Tahoma"/>
            <family val="2"/>
          </rPr>
          <t>weixin.mao: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退票作废</t>
        </r>
      </text>
    </comment>
    <comment ref="AO414" authorId="0">
      <text>
        <r>
          <rPr>
            <b/>
            <sz val="9"/>
            <color indexed="81"/>
            <rFont val="Tahoma"/>
            <family val="2"/>
          </rPr>
          <t>weixin.mao:</t>
        </r>
        <r>
          <rPr>
            <sz val="9"/>
            <color indexed="81"/>
            <rFont val="Tahoma"/>
            <family val="2"/>
          </rPr>
          <t xml:space="preserve">
272.73,11</t>
        </r>
        <r>
          <rPr>
            <sz val="9"/>
            <color indexed="81"/>
            <rFont val="宋体"/>
            <family val="3"/>
            <charset val="134"/>
          </rPr>
          <t>月出</t>
        </r>
      </text>
    </comment>
  </commentList>
</comments>
</file>

<file path=xl/comments5.xml><?xml version="1.0" encoding="utf-8"?>
<comments xmlns="http://schemas.openxmlformats.org/spreadsheetml/2006/main">
  <authors>
    <author>weixin.mao</author>
  </authors>
  <commentList>
    <comment ref="F79" authorId="0">
      <text>
        <r>
          <rPr>
            <b/>
            <sz val="9"/>
            <color indexed="81"/>
            <rFont val="Tahoma"/>
            <family val="2"/>
          </rPr>
          <t>weixin.mao: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补暂估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宋体"/>
            <family val="3"/>
            <charset val="134"/>
          </rPr>
          <t>开票</t>
        </r>
      </text>
    </comment>
  </commentList>
</comments>
</file>

<file path=xl/sharedStrings.xml><?xml version="1.0" encoding="utf-8"?>
<sst xmlns="http://schemas.openxmlformats.org/spreadsheetml/2006/main" count="21420" uniqueCount="2425">
  <si>
    <t>摘要</t>
  </si>
  <si>
    <t>科目编码</t>
  </si>
  <si>
    <t>科目名称</t>
  </si>
  <si>
    <t>福利业务项目辅助核算编码</t>
  </si>
  <si>
    <t>福利业务项目辅助核算名称</t>
  </si>
  <si>
    <t>客商辅助核算编码</t>
  </si>
  <si>
    <t>客商辅助核算名称</t>
  </si>
  <si>
    <t>原币</t>
  </si>
  <si>
    <t>6401\主营业务成本</t>
  </si>
  <si>
    <t>弹性福利产品</t>
  </si>
  <si>
    <t>CU0207000</t>
  </si>
  <si>
    <t>达信 Marsh</t>
  </si>
  <si>
    <t>CU0207001</t>
  </si>
  <si>
    <t>达信（中国）保险经纪有限公司</t>
  </si>
  <si>
    <t>CU0207002</t>
  </si>
  <si>
    <t>达信（中国）保险经纪有限公司上海分公司</t>
  </si>
  <si>
    <t>CU0285004</t>
  </si>
  <si>
    <t>文思海辉技术有限公司</t>
  </si>
  <si>
    <t>CU0289001</t>
  </si>
  <si>
    <t>拉格代尔商业（上海）有限公司</t>
  </si>
  <si>
    <t>CU0401004</t>
  </si>
  <si>
    <t>美集物流运输（中国）有限公司</t>
  </si>
  <si>
    <t>CU0636001</t>
  </si>
  <si>
    <t>巴丽（上海）商业有限公司</t>
  </si>
  <si>
    <t>CU0669000</t>
  </si>
  <si>
    <t>博禹</t>
  </si>
  <si>
    <t>CU0669002</t>
  </si>
  <si>
    <t>上海博禹人力资源管理有限公司</t>
  </si>
  <si>
    <t>主体帐簿累计</t>
  </si>
  <si>
    <t>CU0029001</t>
  </si>
  <si>
    <t>首诺高功能薄膜（苏州）有限公司</t>
  </si>
  <si>
    <t>CU0093014</t>
  </si>
  <si>
    <t>日立保险代理（中国）有限公司</t>
  </si>
  <si>
    <t>CU0109001</t>
  </si>
  <si>
    <t>普拉达时装商业（上海）有限公司</t>
  </si>
  <si>
    <t>CU0138000</t>
  </si>
  <si>
    <t>英维康</t>
  </si>
  <si>
    <t>CU0138002</t>
  </si>
  <si>
    <t>英维康康复器械（苏州）有限公司</t>
  </si>
  <si>
    <t>CU0152000</t>
  </si>
  <si>
    <t>安援救援</t>
  </si>
  <si>
    <t>CU0152001</t>
  </si>
  <si>
    <t>安世联合商务服务（北京）有限公司</t>
  </si>
  <si>
    <t>CU0160004</t>
  </si>
  <si>
    <t>百世物流科技（杭州）有限公司</t>
  </si>
  <si>
    <t>CU0160006</t>
  </si>
  <si>
    <t>杭州百世网络技术有限公司</t>
  </si>
  <si>
    <t>CU0169002</t>
  </si>
  <si>
    <t>海门泰森禽业发展有限公司</t>
  </si>
  <si>
    <t>CU0182002</t>
  </si>
  <si>
    <t>上海阿姆斯壮建筑制品有限公司</t>
  </si>
  <si>
    <t>CU0182004</t>
  </si>
  <si>
    <t>阿姆斯壮建筑制品（苏州）有限公司</t>
  </si>
  <si>
    <t>CU0238001</t>
  </si>
  <si>
    <t>丘奇鞋业（上海）有限公司</t>
  </si>
  <si>
    <t>CU0264001</t>
  </si>
  <si>
    <t>斗山（北京）系统集成有限公司</t>
  </si>
  <si>
    <t>CU0285008</t>
  </si>
  <si>
    <t>北京文思海辉金信软件有限公司</t>
  </si>
  <si>
    <t>CU0285016</t>
  </si>
  <si>
    <t>无锡文思海辉信息技术有限公司</t>
  </si>
  <si>
    <t>CU0285018</t>
  </si>
  <si>
    <t>深圳文思海辉系统有限公司</t>
  </si>
  <si>
    <t>CU0285020</t>
  </si>
  <si>
    <t>活树信息科技(东莞)有限公司</t>
  </si>
  <si>
    <t>CU0285026</t>
  </si>
  <si>
    <t>南京文思海辉信息技术有限公司</t>
  </si>
  <si>
    <t>CU0285034</t>
  </si>
  <si>
    <t>大连文思海辉信息技术有限公司工会委员会</t>
  </si>
  <si>
    <t>CU0285035</t>
  </si>
  <si>
    <t>文思海辉技术有限公司杭州分公司工会委员会</t>
  </si>
  <si>
    <t>CU0296001</t>
  </si>
  <si>
    <t>德莎国际货运代理（上海）有限公司</t>
  </si>
  <si>
    <t>CU0340000</t>
  </si>
  <si>
    <t>盖璞集团</t>
  </si>
  <si>
    <t>CU0340002</t>
  </si>
  <si>
    <t>盖璞（上海）商业有限公司</t>
  </si>
  <si>
    <t>CU0340003</t>
  </si>
  <si>
    <t>盖璞（北京）商业有限公司</t>
  </si>
  <si>
    <t>CU0351000</t>
  </si>
  <si>
    <t>克鲁勃</t>
  </si>
  <si>
    <t>CU0351001</t>
  </si>
  <si>
    <t>克鲁勃润滑产品（上海）有限公司</t>
  </si>
  <si>
    <t>CU0351002</t>
  </si>
  <si>
    <t>克鲁勃润滑剂（上海）有限公司</t>
  </si>
  <si>
    <t>CU0373001</t>
  </si>
  <si>
    <t>苏州麦迪斯顿医疗科技股份有限公司</t>
  </si>
  <si>
    <t>CU0373002</t>
  </si>
  <si>
    <t>苏州麦迪斯顿医疗科技股份有限公司工会委员会</t>
  </si>
  <si>
    <t>CU0406000</t>
  </si>
  <si>
    <t>游娱网络</t>
  </si>
  <si>
    <t>CU0406001</t>
  </si>
  <si>
    <t>上海游娱信息技术有限公司</t>
  </si>
  <si>
    <t>CU0406003</t>
  </si>
  <si>
    <t>上海驰游信息技术有限公司</t>
  </si>
  <si>
    <t>CU0406004</t>
  </si>
  <si>
    <t>游族网络股份有限公司上海分公司</t>
  </si>
  <si>
    <t>CU0406005</t>
  </si>
  <si>
    <t>上海游族信息技术有限公司</t>
  </si>
  <si>
    <t>CU0406006</t>
  </si>
  <si>
    <t>上海游创投资管理有限公司</t>
  </si>
  <si>
    <t>CU0406007</t>
  </si>
  <si>
    <t>上海游数信息技术有限公司</t>
  </si>
  <si>
    <t>CU0406008</t>
  </si>
  <si>
    <t>上海游昆信息技术有限公司</t>
  </si>
  <si>
    <t>CU0406009</t>
  </si>
  <si>
    <t>上海游家信息技术有限公司</t>
  </si>
  <si>
    <t>CU0406010</t>
  </si>
  <si>
    <t>上海游族体育文化传播有限公司</t>
  </si>
  <si>
    <t>CU0406012</t>
  </si>
  <si>
    <t>广州掌淘网络科技有限公司</t>
  </si>
  <si>
    <t>CU0406013</t>
  </si>
  <si>
    <t>上海游族互娱网络科技有限公司</t>
  </si>
  <si>
    <t>CU0406014</t>
  </si>
  <si>
    <t>上海游族文化传媒有限公司</t>
  </si>
  <si>
    <t>CU0411000</t>
  </si>
  <si>
    <t>上海德达集团</t>
  </si>
  <si>
    <t>CU0411001</t>
  </si>
  <si>
    <t>上海德达医院有限公司</t>
  </si>
  <si>
    <t>CU0411002</t>
  </si>
  <si>
    <t>上海利夫兰企业管理咨询有限公司</t>
  </si>
  <si>
    <t>CU0411003</t>
  </si>
  <si>
    <t>上海德达德西门诊部有限公司</t>
  </si>
  <si>
    <t>CU0428001</t>
  </si>
  <si>
    <t>IDC咨询（北京）有限公司</t>
  </si>
  <si>
    <t>CU0442001</t>
  </si>
  <si>
    <t>世纪禾光科技发展（北京）有限公司</t>
  </si>
  <si>
    <t>CU0468001</t>
  </si>
  <si>
    <t>包商银行股份有限公司</t>
  </si>
  <si>
    <t>CU0490001</t>
  </si>
  <si>
    <t>信龙（北京）网络科技有限公司</t>
  </si>
  <si>
    <t>CU0493001</t>
  </si>
  <si>
    <t>成都夏尔天逸科技有限公司</t>
  </si>
  <si>
    <t>CU0531001</t>
  </si>
  <si>
    <t>恩思恩时尚（中国）商贸有限公司</t>
  </si>
  <si>
    <t>CU0531002</t>
  </si>
  <si>
    <t>恩思恩（北京）商贸有限公司</t>
  </si>
  <si>
    <t>CU0531003</t>
  </si>
  <si>
    <t>恩思恩时尚（中国）商贸有限公司北京分公司</t>
  </si>
  <si>
    <t>CU0541001</t>
  </si>
  <si>
    <t>上海依图网络科技有限公司</t>
  </si>
  <si>
    <t>CU0587001</t>
  </si>
  <si>
    <t>上海国环融资租赁有限公司</t>
  </si>
  <si>
    <t>CU0591001</t>
  </si>
  <si>
    <t>上海睿亚训软件技术服务有限公司</t>
  </si>
  <si>
    <t>CU0619001</t>
  </si>
  <si>
    <t>南通酷氪网络科技有限公司</t>
  </si>
  <si>
    <t>CU0624001</t>
  </si>
  <si>
    <t>北京云睦网络科技有限公司</t>
  </si>
  <si>
    <t>CU0626001</t>
  </si>
  <si>
    <t>南通共利网络科技有限公司</t>
  </si>
  <si>
    <t>CU0632001</t>
  </si>
  <si>
    <t>上海中科新生命生物科技有限公司</t>
  </si>
  <si>
    <t>CU0633011</t>
  </si>
  <si>
    <t>深圳市联想科技园有限公司</t>
  </si>
  <si>
    <t>CU0635001</t>
  </si>
  <si>
    <t>成都卓唯企业管理咨询有限公司</t>
  </si>
  <si>
    <t>CU0643000</t>
  </si>
  <si>
    <t>绿谷</t>
  </si>
  <si>
    <t>CU0643002</t>
  </si>
  <si>
    <t>上海绿谷制药有限公司</t>
  </si>
  <si>
    <t>CU0643003</t>
  </si>
  <si>
    <t>上海绿谷生命园医药有限公司</t>
  </si>
  <si>
    <t>CU0657001</t>
  </si>
  <si>
    <t>上海赛图计算机科技有限公司</t>
  </si>
  <si>
    <t>CU0665001</t>
  </si>
  <si>
    <t>广州宝供投资有限公司</t>
  </si>
  <si>
    <t>CU0667001</t>
  </si>
  <si>
    <t>北京杰迪安尔科技有限公司</t>
  </si>
  <si>
    <t>CU0690001</t>
  </si>
  <si>
    <t>沃越品牌管理（上海）有限公司</t>
  </si>
  <si>
    <t>CU0692001</t>
  </si>
  <si>
    <t>欧尚（中国）投资有限公司</t>
  </si>
  <si>
    <t>CU0701001</t>
  </si>
  <si>
    <t>拾梦文化发展（上海）有限公司</t>
  </si>
  <si>
    <t>CU0708001</t>
  </si>
  <si>
    <t>智七网络科技（上海）有限公司</t>
  </si>
  <si>
    <t>CU0709001</t>
  </si>
  <si>
    <t>上海易贸供应链管理有限公司</t>
  </si>
  <si>
    <t>CU0714001</t>
  </si>
  <si>
    <t>北京首创热力股份有限公司</t>
  </si>
  <si>
    <t>CU0727001</t>
  </si>
  <si>
    <t>悦昂实业（上海）有限公司</t>
  </si>
  <si>
    <t>CU0735001</t>
  </si>
  <si>
    <t>上海华点云生物科技有限公司</t>
  </si>
  <si>
    <t>CU0763002</t>
  </si>
  <si>
    <t>北京环球艺动影业有限公司</t>
  </si>
  <si>
    <t>CU0769001</t>
  </si>
  <si>
    <t>思童嘉商贸（上海）有限公司</t>
  </si>
  <si>
    <t>CU0771001</t>
  </si>
  <si>
    <t>上海大因多媒体技术有限公司</t>
  </si>
  <si>
    <t>CU0772001</t>
  </si>
  <si>
    <t>上海歌行电子科技有限公司</t>
  </si>
  <si>
    <t>CU0782000</t>
  </si>
  <si>
    <t>天职集团</t>
  </si>
  <si>
    <t>CU0782001</t>
  </si>
  <si>
    <t>天职工程咨询股份有限公司</t>
  </si>
  <si>
    <t>CU0782002</t>
  </si>
  <si>
    <t>天职（北京）国际工程项目管理有限公司</t>
  </si>
  <si>
    <t>CU0813001</t>
  </si>
  <si>
    <t>北京陌陌信息技术有限公司</t>
  </si>
  <si>
    <t>CU9999999</t>
  </si>
  <si>
    <t>其他培训客户</t>
  </si>
  <si>
    <t>总计</t>
  </si>
  <si>
    <t>核算单位：</t>
  </si>
  <si>
    <t>宁波才烁人力资源服务有限公司</t>
  </si>
  <si>
    <t>制表人：</t>
  </si>
  <si>
    <t>Fin Fifi Zeng</t>
  </si>
  <si>
    <t>上海才烁</t>
    <phoneticPr fontId="4" type="noConversion"/>
  </si>
  <si>
    <t>昆山才烁</t>
    <phoneticPr fontId="4" type="noConversion"/>
  </si>
  <si>
    <t>产品线项目辅助核算编码</t>
  </si>
  <si>
    <t>产品线项目辅助核算名称</t>
  </si>
  <si>
    <t>6001\主营业务收入</t>
  </si>
  <si>
    <t>Flexible Benefit- Platform</t>
  </si>
  <si>
    <t>CU0207004</t>
  </si>
  <si>
    <t>达信（中国）保险经纪有限公司广东省分公司</t>
  </si>
  <si>
    <t>CU0207005</t>
  </si>
  <si>
    <t>达信（中国）保险经纪有限公司辽宁省分公司</t>
  </si>
  <si>
    <t>CU0207006</t>
  </si>
  <si>
    <t>达信（中国）保险经纪有限公司天津分公司</t>
  </si>
  <si>
    <t>CU0207007</t>
  </si>
  <si>
    <t>达信（中国）保险经纪有限公司山东分公司</t>
  </si>
  <si>
    <t>CU0207008</t>
  </si>
  <si>
    <t>达信（中国）保险经纪有限公司江苏分公司</t>
  </si>
  <si>
    <t>CU0207009</t>
  </si>
  <si>
    <t>达信（中国）保险经纪有限公司成都分公司</t>
  </si>
  <si>
    <t>CU0207010</t>
  </si>
  <si>
    <t>达信（中国）保险经纪有限公司河北分公司</t>
  </si>
  <si>
    <t>CU0669001</t>
  </si>
  <si>
    <t>北京博禹国际顾问有限公司</t>
  </si>
  <si>
    <t>CU0669003</t>
  </si>
  <si>
    <t>广州博禹人力资源服务有限公司</t>
  </si>
  <si>
    <t>CU0221001</t>
  </si>
  <si>
    <t>艾绰（北京）商贸有限公司</t>
  </si>
  <si>
    <t>CU0285017</t>
  </si>
  <si>
    <t>深圳文思海辉信息技术有限公司</t>
  </si>
  <si>
    <t>CU0411004</t>
  </si>
  <si>
    <t>阿克索（上海）企业管理有限公司</t>
  </si>
  <si>
    <t>CU0822001</t>
  </si>
  <si>
    <t>美克国际家居用品股份有限公司</t>
  </si>
  <si>
    <t>成本</t>
    <phoneticPr fontId="4" type="noConversion"/>
  </si>
  <si>
    <t>收入</t>
    <phoneticPr fontId="4" type="noConversion"/>
  </si>
  <si>
    <t>CU0727001</t>
    <phoneticPr fontId="4" type="noConversion"/>
  </si>
  <si>
    <t>调整以前月份税金未抵扣。</t>
    <phoneticPr fontId="4" type="noConversion"/>
  </si>
  <si>
    <t>CU0182002</t>
    <phoneticPr fontId="4" type="noConversion"/>
  </si>
  <si>
    <t>上海阿姆斯壮建筑制品有限公司</t>
    <phoneticPr fontId="4" type="noConversion"/>
  </si>
  <si>
    <t>Fin Fifi Zeng</t>
    <phoneticPr fontId="4" type="noConversion"/>
  </si>
  <si>
    <r>
      <t>k</t>
    </r>
    <r>
      <rPr>
        <sz val="10"/>
        <rFont val="Arial"/>
        <family val="2"/>
      </rPr>
      <t>yle</t>
    </r>
    <r>
      <rPr>
        <sz val="10"/>
        <rFont val="宋体"/>
        <family val="3"/>
        <charset val="134"/>
      </rPr>
      <t>暂估</t>
    </r>
    <phoneticPr fontId="4" type="noConversion"/>
  </si>
  <si>
    <t>客户编号</t>
    <phoneticPr fontId="6" type="noConversion"/>
  </si>
  <si>
    <t>客户名称</t>
    <phoneticPr fontId="6" type="noConversion"/>
  </si>
  <si>
    <t>福利业务项目</t>
    <phoneticPr fontId="6" type="noConversion"/>
  </si>
  <si>
    <t>是否已开票</t>
    <phoneticPr fontId="6" type="noConversion"/>
  </si>
  <si>
    <t>开票金额</t>
    <phoneticPr fontId="6" type="noConversion"/>
  </si>
  <si>
    <t>去税收入</t>
    <phoneticPr fontId="6" type="noConversion"/>
  </si>
  <si>
    <t>开票月份</t>
    <phoneticPr fontId="6" type="noConversion"/>
  </si>
  <si>
    <t>未付款金额（预估成本）</t>
    <phoneticPr fontId="6" type="noConversion"/>
  </si>
  <si>
    <t>供应商</t>
    <phoneticPr fontId="6" type="noConversion"/>
  </si>
  <si>
    <t>预计付款时间</t>
    <phoneticPr fontId="6" type="noConversion"/>
  </si>
  <si>
    <t>毛利率</t>
    <phoneticPr fontId="6" type="noConversion"/>
  </si>
  <si>
    <t>KSCS</t>
    <phoneticPr fontId="6" type="noConversion"/>
  </si>
  <si>
    <t>京东</t>
    <phoneticPr fontId="6" type="noConversion"/>
  </si>
  <si>
    <t>不确定</t>
    <phoneticPr fontId="6" type="noConversion"/>
  </si>
  <si>
    <t>满嘉</t>
    <phoneticPr fontId="6" type="noConversion"/>
  </si>
  <si>
    <t xml:space="preserve"> 96,248.78 
</t>
    <phoneticPr fontId="6" type="noConversion"/>
  </si>
  <si>
    <t xml:space="preserve">不确定
</t>
    <phoneticPr fontId="6" type="noConversion"/>
  </si>
  <si>
    <t>爱康</t>
    <phoneticPr fontId="6" type="noConversion"/>
  </si>
  <si>
    <t>SHCS</t>
    <phoneticPr fontId="6" type="noConversion"/>
  </si>
  <si>
    <t>北京博禹国际顾问有限公司</t>
    <phoneticPr fontId="4" type="noConversion"/>
  </si>
  <si>
    <t>拾梦文化发展（上海）有限公司</t>
    <phoneticPr fontId="4" type="noConversion"/>
  </si>
  <si>
    <t>盖璞（北京）商业有限公司</t>
    <phoneticPr fontId="4" type="noConversion"/>
  </si>
  <si>
    <t>所属帐套</t>
    <phoneticPr fontId="7" type="noConversion"/>
  </si>
  <si>
    <t>单位简称</t>
    <phoneticPr fontId="7" type="noConversion"/>
  </si>
  <si>
    <t>客户代码</t>
    <phoneticPr fontId="7" type="noConversion"/>
  </si>
  <si>
    <t>预估月份</t>
    <phoneticPr fontId="7" type="noConversion"/>
  </si>
  <si>
    <t>金额</t>
    <phoneticPr fontId="7" type="noConversion"/>
  </si>
  <si>
    <t>备注</t>
    <phoneticPr fontId="7" type="noConversion"/>
  </si>
  <si>
    <t>昆山才烁</t>
    <phoneticPr fontId="7" type="noConversion"/>
  </si>
  <si>
    <t>拉格代尔</t>
    <phoneticPr fontId="7" type="noConversion"/>
  </si>
  <si>
    <t>CU0289001</t>
    <phoneticPr fontId="7" type="noConversion"/>
  </si>
  <si>
    <t>盖璞集团</t>
    <phoneticPr fontId="7" type="noConversion"/>
  </si>
  <si>
    <t>CU0340000</t>
    <phoneticPr fontId="7" type="noConversion"/>
  </si>
  <si>
    <t>克鲁勃</t>
    <phoneticPr fontId="7" type="noConversion"/>
  </si>
  <si>
    <t>CU0351001</t>
    <phoneticPr fontId="7" type="noConversion"/>
  </si>
  <si>
    <t>苏州麦迪斯顿</t>
    <phoneticPr fontId="7" type="noConversion"/>
  </si>
  <si>
    <t>CU0373002</t>
    <phoneticPr fontId="7" type="noConversion"/>
  </si>
  <si>
    <t>美集物流</t>
    <phoneticPr fontId="7" type="noConversion"/>
  </si>
  <si>
    <t>CU0401000</t>
    <phoneticPr fontId="7" type="noConversion"/>
  </si>
  <si>
    <t>美集物流(北京）</t>
    <phoneticPr fontId="7" type="noConversion"/>
  </si>
  <si>
    <t>CU0401001</t>
    <phoneticPr fontId="7" type="noConversion"/>
  </si>
  <si>
    <t>美集物流(中国）</t>
    <phoneticPr fontId="7" type="noConversion"/>
  </si>
  <si>
    <t>CU0401004</t>
    <phoneticPr fontId="7" type="noConversion"/>
  </si>
  <si>
    <t>成都夏尔</t>
    <phoneticPr fontId="7" type="noConversion"/>
  </si>
  <si>
    <t>CU0493001</t>
    <phoneticPr fontId="7" type="noConversion"/>
  </si>
  <si>
    <t>恩思恩时尚</t>
    <phoneticPr fontId="7" type="noConversion"/>
  </si>
  <si>
    <t>CU0531001</t>
    <phoneticPr fontId="7" type="noConversion"/>
  </si>
  <si>
    <t>恩思恩（北京）</t>
    <phoneticPr fontId="7" type="noConversion"/>
  </si>
  <si>
    <t>cu0531002</t>
    <phoneticPr fontId="7" type="noConversion"/>
  </si>
  <si>
    <t>国环金融</t>
    <phoneticPr fontId="7" type="noConversion"/>
  </si>
  <si>
    <t>CU0587001</t>
    <phoneticPr fontId="7" type="noConversion"/>
  </si>
  <si>
    <t>普拉达时装</t>
    <phoneticPr fontId="7" type="noConversion"/>
  </si>
  <si>
    <t>CU0109001</t>
    <phoneticPr fontId="7" type="noConversion"/>
  </si>
  <si>
    <t>上海阿姆斯壮</t>
    <phoneticPr fontId="7" type="noConversion"/>
  </si>
  <si>
    <t>cu0182002</t>
    <phoneticPr fontId="7" type="noConversion"/>
  </si>
  <si>
    <t>丘奇鞋业</t>
    <phoneticPr fontId="7" type="noConversion"/>
  </si>
  <si>
    <t>cu0238001</t>
    <phoneticPr fontId="7" type="noConversion"/>
  </si>
  <si>
    <t>CU0373001</t>
    <phoneticPr fontId="7" type="noConversion"/>
  </si>
  <si>
    <t>2017年1-2月</t>
    <phoneticPr fontId="7" type="noConversion"/>
  </si>
  <si>
    <t>盖璞（上海）</t>
    <phoneticPr fontId="7" type="noConversion"/>
  </si>
  <si>
    <t>CU0340002</t>
    <phoneticPr fontId="7" type="noConversion"/>
  </si>
  <si>
    <t>北京杰迪安尔</t>
    <phoneticPr fontId="7" type="noConversion"/>
  </si>
  <si>
    <t>cu0667001</t>
    <phoneticPr fontId="7" type="noConversion"/>
  </si>
  <si>
    <t>日立保险代理</t>
    <phoneticPr fontId="7" type="noConversion"/>
  </si>
  <si>
    <t>cu0093014</t>
    <phoneticPr fontId="7" type="noConversion"/>
  </si>
  <si>
    <t>大连文思海辉</t>
    <phoneticPr fontId="7" type="noConversion"/>
  </si>
  <si>
    <t>cu0285034</t>
    <phoneticPr fontId="7" type="noConversion"/>
  </si>
  <si>
    <t>文思海辉杭州</t>
    <phoneticPr fontId="7" type="noConversion"/>
  </si>
  <si>
    <t>cu0285035</t>
    <phoneticPr fontId="7" type="noConversion"/>
  </si>
  <si>
    <t>CU0351000</t>
    <phoneticPr fontId="7" type="noConversion"/>
  </si>
  <si>
    <t>游娱网络</t>
    <phoneticPr fontId="7" type="noConversion"/>
  </si>
  <si>
    <t>cu0406000</t>
    <phoneticPr fontId="7" type="noConversion"/>
  </si>
  <si>
    <t>税金，待付</t>
    <phoneticPr fontId="7" type="noConversion"/>
  </si>
  <si>
    <t>上海德达</t>
    <phoneticPr fontId="7" type="noConversion"/>
  </si>
  <si>
    <t>cu0411001</t>
    <phoneticPr fontId="7" type="noConversion"/>
  </si>
  <si>
    <t>阿姆斯壮建筑</t>
    <phoneticPr fontId="7" type="noConversion"/>
  </si>
  <si>
    <t>cu0182004</t>
    <phoneticPr fontId="7" type="noConversion"/>
  </si>
  <si>
    <t>德达医院</t>
    <phoneticPr fontId="7" type="noConversion"/>
  </si>
  <si>
    <t>利夫兰</t>
    <phoneticPr fontId="7" type="noConversion"/>
  </si>
  <si>
    <t>cu0411002</t>
    <phoneticPr fontId="7" type="noConversion"/>
  </si>
  <si>
    <t>德达德西</t>
    <phoneticPr fontId="7" type="noConversion"/>
  </si>
  <si>
    <t>cu0411003</t>
    <phoneticPr fontId="7" type="noConversion"/>
  </si>
  <si>
    <t>IDC咨询</t>
    <phoneticPr fontId="7" type="noConversion"/>
  </si>
  <si>
    <t>cu0428001</t>
    <phoneticPr fontId="7" type="noConversion"/>
  </si>
  <si>
    <t>欧尚（中国）</t>
    <phoneticPr fontId="7" type="noConversion"/>
  </si>
  <si>
    <t>cu0692001</t>
    <phoneticPr fontId="7" type="noConversion"/>
  </si>
  <si>
    <t>广州宝供投资有限公司</t>
    <phoneticPr fontId="7" type="noConversion"/>
  </si>
  <si>
    <t>CU0665001</t>
    <phoneticPr fontId="7" type="noConversion"/>
  </si>
  <si>
    <t>盖璞</t>
    <phoneticPr fontId="7" type="noConversion"/>
  </si>
  <si>
    <t>CU034000</t>
    <phoneticPr fontId="7" type="noConversion"/>
  </si>
  <si>
    <t>杰迪安</t>
    <phoneticPr fontId="7" type="noConversion"/>
  </si>
  <si>
    <t>日立保险</t>
    <phoneticPr fontId="7" type="noConversion"/>
  </si>
  <si>
    <t>CU0093014</t>
    <phoneticPr fontId="7" type="noConversion"/>
  </si>
  <si>
    <t>北京首创热力</t>
    <phoneticPr fontId="7" type="noConversion"/>
  </si>
  <si>
    <t>cu0714001</t>
    <phoneticPr fontId="7" type="noConversion"/>
  </si>
  <si>
    <t>德达集团</t>
    <phoneticPr fontId="7" type="noConversion"/>
  </si>
  <si>
    <t>CU0411000</t>
    <phoneticPr fontId="7" type="noConversion"/>
  </si>
  <si>
    <t>恩思恩时尚（中国）</t>
    <phoneticPr fontId="7" type="noConversion"/>
  </si>
  <si>
    <t>昆才小计</t>
    <phoneticPr fontId="7" type="noConversion"/>
  </si>
  <si>
    <t>上海才烁</t>
    <phoneticPr fontId="7" type="noConversion"/>
  </si>
  <si>
    <t>文思海辉</t>
    <phoneticPr fontId="7" type="noConversion"/>
  </si>
  <si>
    <t>CU0285004</t>
    <phoneticPr fontId="7" type="noConversion"/>
  </si>
  <si>
    <t>达信（中国）保险</t>
    <phoneticPr fontId="7" type="noConversion"/>
  </si>
  <si>
    <t>cu0207002</t>
    <phoneticPr fontId="7" type="noConversion"/>
  </si>
  <si>
    <t>达信</t>
    <phoneticPr fontId="7" type="noConversion"/>
  </si>
  <si>
    <t>cu0207000</t>
    <phoneticPr fontId="7" type="noConversion"/>
  </si>
  <si>
    <t>博禹</t>
    <phoneticPr fontId="7" type="noConversion"/>
  </si>
  <si>
    <t>cu0669000</t>
    <phoneticPr fontId="7" type="noConversion"/>
  </si>
  <si>
    <t>2017年6-7月</t>
    <phoneticPr fontId="7" type="noConversion"/>
  </si>
  <si>
    <t>巴丽（上海）</t>
    <phoneticPr fontId="7" type="noConversion"/>
  </si>
  <si>
    <t>cu0636001</t>
    <phoneticPr fontId="7" type="noConversion"/>
  </si>
  <si>
    <t>合计</t>
    <phoneticPr fontId="7" type="noConversion"/>
  </si>
  <si>
    <t>上海博禹人力资源管理有限公司</t>
    <phoneticPr fontId="4" type="noConversion"/>
  </si>
  <si>
    <t>包商原来在预付账款未进成本40万，17年10月收到发票</t>
    <phoneticPr fontId="4" type="noConversion"/>
  </si>
  <si>
    <t>异常说明</t>
    <phoneticPr fontId="4" type="noConversion"/>
  </si>
  <si>
    <t>恩思恩时尚（中国）商贸有限公司</t>
    <phoneticPr fontId="4" type="noConversion"/>
  </si>
  <si>
    <t>克鲁勃润滑剂（上海）有限公司</t>
    <phoneticPr fontId="4" type="noConversion"/>
  </si>
  <si>
    <t>广州博禹人力资源服务有限公司</t>
    <phoneticPr fontId="4" type="noConversion"/>
  </si>
  <si>
    <t>10月暂估凭证</t>
    <phoneticPr fontId="4" type="noConversion"/>
  </si>
  <si>
    <t>JV21</t>
    <phoneticPr fontId="4" type="noConversion"/>
  </si>
  <si>
    <t>JV30</t>
    <phoneticPr fontId="4" type="noConversion"/>
  </si>
  <si>
    <t>JV23</t>
    <phoneticPr fontId="4" type="noConversion"/>
  </si>
  <si>
    <t>JV24</t>
    <phoneticPr fontId="4" type="noConversion"/>
  </si>
  <si>
    <t>JV25</t>
    <phoneticPr fontId="4" type="noConversion"/>
  </si>
  <si>
    <t>JV26</t>
    <phoneticPr fontId="4" type="noConversion"/>
  </si>
  <si>
    <t>JV27</t>
    <phoneticPr fontId="4" type="noConversion"/>
  </si>
  <si>
    <t>JV28</t>
    <phoneticPr fontId="4" type="noConversion"/>
  </si>
  <si>
    <t>JV29</t>
    <phoneticPr fontId="4" type="noConversion"/>
  </si>
  <si>
    <t>JV32</t>
    <phoneticPr fontId="4" type="noConversion"/>
  </si>
  <si>
    <t>JV33</t>
    <phoneticPr fontId="4" type="noConversion"/>
  </si>
  <si>
    <t>JV34</t>
    <phoneticPr fontId="4" type="noConversion"/>
  </si>
  <si>
    <t>JV35</t>
    <phoneticPr fontId="4" type="noConversion"/>
  </si>
  <si>
    <t>克鲁勃润滑剂（上海）有限公司</t>
    <phoneticPr fontId="4" type="noConversion"/>
  </si>
  <si>
    <t>JV36</t>
    <phoneticPr fontId="4" type="noConversion"/>
  </si>
  <si>
    <t>JV37</t>
    <phoneticPr fontId="4" type="noConversion"/>
  </si>
  <si>
    <t>JV38</t>
    <phoneticPr fontId="4" type="noConversion"/>
  </si>
  <si>
    <t>JV31</t>
    <phoneticPr fontId="4" type="noConversion"/>
  </si>
  <si>
    <r>
      <t>10</t>
    </r>
    <r>
      <rPr>
        <sz val="10"/>
        <color indexed="8"/>
        <rFont val="宋体"/>
        <family val="3"/>
        <charset val="134"/>
      </rPr>
      <t>月支付9月</t>
    </r>
    <phoneticPr fontId="7" type="noConversion"/>
  </si>
  <si>
    <t>支付不含税金额</t>
    <phoneticPr fontId="7" type="noConversion"/>
  </si>
  <si>
    <r>
      <t>10</t>
    </r>
    <r>
      <rPr>
        <sz val="10"/>
        <color indexed="8"/>
        <rFont val="宋体"/>
        <family val="3"/>
        <charset val="134"/>
      </rPr>
      <t>月应冲销</t>
    </r>
    <phoneticPr fontId="7" type="noConversion"/>
  </si>
  <si>
    <r>
      <t>10</t>
    </r>
    <r>
      <rPr>
        <sz val="10"/>
        <color indexed="8"/>
        <rFont val="宋体"/>
        <family val="3"/>
        <charset val="134"/>
      </rPr>
      <t>月剩余暂估</t>
    </r>
    <phoneticPr fontId="7" type="noConversion"/>
  </si>
  <si>
    <t>JV12</t>
    <phoneticPr fontId="7" type="noConversion"/>
  </si>
  <si>
    <t>JV13</t>
    <phoneticPr fontId="7" type="noConversion"/>
  </si>
  <si>
    <t>冲前面暂估成本</t>
    <phoneticPr fontId="4" type="noConversion"/>
  </si>
  <si>
    <r>
      <t>09</t>
    </r>
    <r>
      <rPr>
        <sz val="10"/>
        <rFont val="宋体"/>
        <family val="3"/>
        <charset val="134"/>
      </rPr>
      <t>月以前</t>
    </r>
    <phoneticPr fontId="4" type="noConversion"/>
  </si>
  <si>
    <t>以前月底未抵扣本月收票调整</t>
    <phoneticPr fontId="4" type="noConversion"/>
  </si>
  <si>
    <t>以前月底未抵扣本月收票调整</t>
    <phoneticPr fontId="4" type="noConversion"/>
  </si>
  <si>
    <t>智七网络科技（上海）有限公司</t>
    <phoneticPr fontId="7" type="noConversion"/>
  </si>
  <si>
    <t>上海易贸供应链管理有限公司</t>
    <phoneticPr fontId="7" type="noConversion"/>
  </si>
  <si>
    <t>北京环球艺动影业有限公司</t>
    <phoneticPr fontId="7" type="noConversion"/>
  </si>
  <si>
    <t>天职工程咨询股份有限公司</t>
    <phoneticPr fontId="7" type="noConversion"/>
  </si>
  <si>
    <t>北京环球艺动影业有限公司</t>
    <phoneticPr fontId="4" type="noConversion"/>
  </si>
  <si>
    <t>本期贷方</t>
  </si>
  <si>
    <t>昆山才烁人力资源服务有限公司</t>
  </si>
  <si>
    <t>本期借方</t>
  </si>
  <si>
    <t>上海才烁</t>
    <phoneticPr fontId="4" type="noConversion"/>
  </si>
  <si>
    <t>昆山才烁</t>
    <phoneticPr fontId="4" type="noConversion"/>
  </si>
  <si>
    <t>CU0152000</t>
    <phoneticPr fontId="4" type="noConversion"/>
  </si>
  <si>
    <t>CU0636001-1</t>
    <phoneticPr fontId="4" type="noConversion"/>
  </si>
  <si>
    <t>CU0636001-2</t>
    <phoneticPr fontId="4" type="noConversion"/>
  </si>
  <si>
    <t>成本</t>
    <phoneticPr fontId="4" type="noConversion"/>
  </si>
  <si>
    <t>暂估与实际 的差异</t>
    <phoneticPr fontId="4" type="noConversion"/>
  </si>
  <si>
    <r>
      <rPr>
        <sz val="10"/>
        <rFont val="宋体"/>
        <family val="3"/>
        <charset val="134"/>
      </rPr>
      <t>暂估与实际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的差异</t>
    </r>
    <phoneticPr fontId="4" type="noConversion"/>
  </si>
  <si>
    <t>恩思恩时尚（中国）商贸有限公司北京分公司</t>
    <phoneticPr fontId="4" type="noConversion"/>
  </si>
  <si>
    <t>上海易贸供应链管理有限公司</t>
    <phoneticPr fontId="4" type="noConversion"/>
  </si>
  <si>
    <t>巴丽（上海）商业有限公司</t>
    <phoneticPr fontId="4" type="noConversion"/>
  </si>
  <si>
    <t>北京杰迪安尔科技有限公司</t>
    <phoneticPr fontId="4" type="noConversion"/>
  </si>
  <si>
    <t>CU0667001</t>
    <phoneticPr fontId="4" type="noConversion"/>
  </si>
  <si>
    <t>CU0351002</t>
    <phoneticPr fontId="4" type="noConversion"/>
  </si>
  <si>
    <t>恩思恩（北京）商贸有限公司</t>
    <phoneticPr fontId="4" type="noConversion"/>
  </si>
  <si>
    <t>美克国际家居用品股份有限公司</t>
    <phoneticPr fontId="4" type="noConversion"/>
  </si>
  <si>
    <t>盖璞（上海）商业有限公司</t>
    <phoneticPr fontId="4" type="noConversion"/>
  </si>
  <si>
    <t>CU0340002</t>
    <phoneticPr fontId="4" type="noConversion"/>
  </si>
  <si>
    <t>CU0340003</t>
    <phoneticPr fontId="4" type="noConversion"/>
  </si>
  <si>
    <t>CU0822001</t>
    <phoneticPr fontId="4" type="noConversion"/>
  </si>
  <si>
    <t>北京陌陌信息技术有限公司</t>
    <phoneticPr fontId="4" type="noConversion"/>
  </si>
  <si>
    <t>CU0813001</t>
    <phoneticPr fontId="4" type="noConversion"/>
  </si>
  <si>
    <t>智七网络科技（上海）有限公司</t>
    <phoneticPr fontId="4" type="noConversion"/>
  </si>
  <si>
    <t>CU0708001</t>
    <phoneticPr fontId="4" type="noConversion"/>
  </si>
  <si>
    <t>上海绿谷制药有限公司</t>
    <phoneticPr fontId="4" type="noConversion"/>
  </si>
  <si>
    <t>CU0643002</t>
    <phoneticPr fontId="4" type="noConversion"/>
  </si>
  <si>
    <t>CU0709001</t>
    <phoneticPr fontId="4" type="noConversion"/>
  </si>
  <si>
    <t>艾绰（北京）商贸有限公司</t>
    <phoneticPr fontId="4" type="noConversion"/>
  </si>
  <si>
    <t>CU0221001</t>
    <phoneticPr fontId="4" type="noConversion"/>
  </si>
  <si>
    <t>CU0669002</t>
    <phoneticPr fontId="4" type="noConversion"/>
  </si>
  <si>
    <t>CU0636001-2</t>
    <phoneticPr fontId="4" type="noConversion"/>
  </si>
  <si>
    <t>CU0669001</t>
    <phoneticPr fontId="4" type="noConversion"/>
  </si>
  <si>
    <t>CU0669003</t>
    <phoneticPr fontId="4" type="noConversion"/>
  </si>
  <si>
    <t>达信（中国）保险经纪有限公司</t>
    <phoneticPr fontId="4" type="noConversion"/>
  </si>
  <si>
    <t>达信（中国）保险经纪有限公司</t>
    <phoneticPr fontId="4" type="noConversion"/>
  </si>
  <si>
    <t>CU0207001</t>
    <phoneticPr fontId="4" type="noConversion"/>
  </si>
  <si>
    <t>2017-10</t>
    <phoneticPr fontId="4" type="noConversion"/>
  </si>
  <si>
    <t>11月应冲销</t>
    <phoneticPr fontId="7" type="noConversion"/>
  </si>
  <si>
    <t>11月剩余暂估</t>
    <phoneticPr fontId="7" type="noConversion"/>
  </si>
  <si>
    <t>10月暂估金额</t>
    <phoneticPr fontId="7" type="noConversion"/>
  </si>
  <si>
    <t>11月冲减</t>
    <phoneticPr fontId="4" type="noConversion"/>
  </si>
  <si>
    <t>11月剩余暂估</t>
    <phoneticPr fontId="4" type="noConversion"/>
  </si>
  <si>
    <t>11月暂估凭证</t>
    <phoneticPr fontId="7" type="noConversion"/>
  </si>
  <si>
    <t>JV22</t>
    <phoneticPr fontId="4" type="noConversion"/>
  </si>
  <si>
    <t>JV23</t>
    <phoneticPr fontId="4" type="noConversion"/>
  </si>
  <si>
    <t>JV24</t>
    <phoneticPr fontId="4" type="noConversion"/>
  </si>
  <si>
    <t>JV25</t>
    <phoneticPr fontId="4" type="noConversion"/>
  </si>
  <si>
    <t>JV28</t>
    <phoneticPr fontId="4" type="noConversion"/>
  </si>
  <si>
    <t>JV29</t>
    <phoneticPr fontId="4" type="noConversion"/>
  </si>
  <si>
    <t>JV31</t>
    <phoneticPr fontId="4" type="noConversion"/>
  </si>
  <si>
    <t>JV32</t>
    <phoneticPr fontId="4" type="noConversion"/>
  </si>
  <si>
    <t>JV34</t>
    <phoneticPr fontId="4" type="noConversion"/>
  </si>
  <si>
    <t>JV35</t>
    <phoneticPr fontId="4" type="noConversion"/>
  </si>
  <si>
    <t>JV36</t>
    <phoneticPr fontId="4" type="noConversion"/>
  </si>
  <si>
    <t>10月暂估凭证</t>
    <phoneticPr fontId="4" type="noConversion"/>
  </si>
  <si>
    <t>JV41</t>
    <phoneticPr fontId="4" type="noConversion"/>
  </si>
  <si>
    <t>11月暂估凭证</t>
    <phoneticPr fontId="4" type="noConversion"/>
  </si>
  <si>
    <t>JV14</t>
    <phoneticPr fontId="7" type="noConversion"/>
  </si>
  <si>
    <t>JV15</t>
    <phoneticPr fontId="7" type="noConversion"/>
  </si>
  <si>
    <t>JV18</t>
    <phoneticPr fontId="4" type="noConversion"/>
  </si>
  <si>
    <t>JV16</t>
    <phoneticPr fontId="4" type="noConversion"/>
  </si>
  <si>
    <t>已冲完</t>
    <phoneticPr fontId="7" type="noConversion"/>
  </si>
  <si>
    <t>客户名称</t>
    <phoneticPr fontId="8" type="noConversion"/>
  </si>
  <si>
    <t>福利业务项目</t>
    <phoneticPr fontId="8" type="noConversion"/>
  </si>
  <si>
    <t>是否已开票</t>
    <phoneticPr fontId="8" type="noConversion"/>
  </si>
  <si>
    <t>开票金额</t>
    <phoneticPr fontId="8" type="noConversion"/>
  </si>
  <si>
    <t>去税收入</t>
    <phoneticPr fontId="8" type="noConversion"/>
  </si>
  <si>
    <t>开票月份</t>
    <phoneticPr fontId="8" type="noConversion"/>
  </si>
  <si>
    <t>未付款金额（预估成本）</t>
    <phoneticPr fontId="8" type="noConversion"/>
  </si>
  <si>
    <t>供应商</t>
    <phoneticPr fontId="8" type="noConversion"/>
  </si>
  <si>
    <t>预计付款时间</t>
    <phoneticPr fontId="8" type="noConversion"/>
  </si>
  <si>
    <t>毛利率</t>
    <phoneticPr fontId="8" type="noConversion"/>
  </si>
  <si>
    <t>普拉达</t>
    <phoneticPr fontId="8" type="noConversion"/>
  </si>
  <si>
    <t>丘奇鞋业</t>
    <phoneticPr fontId="8" type="noConversion"/>
  </si>
  <si>
    <t>上海阿姆斯壮建筑制品有限公司</t>
    <phoneticPr fontId="8" type="noConversion"/>
  </si>
  <si>
    <t>艾绰</t>
    <phoneticPr fontId="8" type="noConversion"/>
  </si>
  <si>
    <t>无锡文思海辉信息技术有限公司</t>
    <phoneticPr fontId="8" type="noConversion"/>
  </si>
  <si>
    <t>恩思恩时尚中国</t>
    <phoneticPr fontId="8" type="noConversion"/>
  </si>
  <si>
    <t>恩思恩北京</t>
    <phoneticPr fontId="8" type="noConversion"/>
  </si>
  <si>
    <t>北京杰迪安</t>
    <phoneticPr fontId="8" type="noConversion"/>
  </si>
  <si>
    <t>美克家居</t>
    <phoneticPr fontId="8" type="noConversion"/>
  </si>
  <si>
    <t>陌陌</t>
    <phoneticPr fontId="8" type="noConversion"/>
  </si>
  <si>
    <t>丘奇鞋业</t>
    <phoneticPr fontId="8" type="noConversion"/>
  </si>
  <si>
    <t>普拉达时装商业（上海）有限公司</t>
    <phoneticPr fontId="4" type="noConversion"/>
  </si>
  <si>
    <t>无锡文思海辉信息技术有限公司</t>
    <phoneticPr fontId="8" type="noConversion"/>
  </si>
  <si>
    <t>代码</t>
    <phoneticPr fontId="4" type="noConversion"/>
  </si>
  <si>
    <t>JV40-11</t>
    <phoneticPr fontId="4" type="noConversion"/>
  </si>
  <si>
    <t>11月已付</t>
    <phoneticPr fontId="4" type="noConversion"/>
  </si>
  <si>
    <t>CDPlife</t>
  </si>
  <si>
    <t/>
  </si>
  <si>
    <t>单位:CDP集团</t>
  </si>
  <si>
    <t>币种:人民币元</t>
  </si>
  <si>
    <t>日期:2017-11-30</t>
    <phoneticPr fontId="13" type="noConversion"/>
  </si>
  <si>
    <t>Customer Code</t>
  </si>
  <si>
    <t>Customer Name</t>
  </si>
  <si>
    <t>Total</t>
    <phoneticPr fontId="13" type="noConversion"/>
  </si>
  <si>
    <t>Total</t>
  </si>
  <si>
    <t>Detail</t>
  </si>
  <si>
    <t>需要确认部分</t>
    <phoneticPr fontId="13" type="noConversion"/>
  </si>
  <si>
    <t>Revenue</t>
  </si>
  <si>
    <t>Direct Cost</t>
  </si>
  <si>
    <t xml:space="preserve"> Revenue</t>
  </si>
  <si>
    <t xml:space="preserve"> Direct Cost</t>
    <phoneticPr fontId="13" type="noConversion"/>
  </si>
  <si>
    <t xml:space="preserve"> Gross Margin</t>
  </si>
  <si>
    <t xml:space="preserve"> Rate of margin</t>
  </si>
  <si>
    <t>Health Management(E-commerce)</t>
  </si>
  <si>
    <t>Bank Card (E-commerce)</t>
  </si>
  <si>
    <t>Commercial Insurance (E-commerce)</t>
  </si>
  <si>
    <t>Flexible Benefits-Platform</t>
    <phoneticPr fontId="4" type="noConversion"/>
  </si>
  <si>
    <t>有收入无成本</t>
    <phoneticPr fontId="13" type="noConversion"/>
  </si>
  <si>
    <t>有成本无收入</t>
    <phoneticPr fontId="13" type="noConversion"/>
  </si>
  <si>
    <t>亏损</t>
    <phoneticPr fontId="13" type="noConversion"/>
  </si>
  <si>
    <t>成都夏尔天逸科技有限公司</t>
    <phoneticPr fontId="13" type="noConversion"/>
  </si>
  <si>
    <t>上海赛图计算机科技股份有限公司</t>
  </si>
  <si>
    <t>CU0794000</t>
  </si>
  <si>
    <t>四环医药</t>
  </si>
  <si>
    <t>CU0794001</t>
  </si>
  <si>
    <t>北京四环制药有限公司</t>
  </si>
  <si>
    <t>CU0794002</t>
  </si>
  <si>
    <t>本溪恒康制药有限公司</t>
  </si>
  <si>
    <t>CU0794005</t>
  </si>
  <si>
    <t>吉林四环制药有限公司</t>
  </si>
  <si>
    <t>CU0794007</t>
  </si>
  <si>
    <t>吉林津升制药有限公司</t>
  </si>
  <si>
    <t>CU0794010</t>
  </si>
  <si>
    <t>通化济达医药有限公司</t>
  </si>
  <si>
    <t>CU0809001</t>
  </si>
  <si>
    <t>富林特（上海）企业管理有限公司</t>
  </si>
  <si>
    <t>毛利偏高，需要确认</t>
    <phoneticPr fontId="13" type="noConversion"/>
  </si>
  <si>
    <t>CU0828001</t>
  </si>
  <si>
    <t>上海时沃商贸有限公司</t>
  </si>
  <si>
    <t>TOTAL</t>
  </si>
  <si>
    <r>
      <rPr>
        <sz val="10"/>
        <rFont val="宋体"/>
        <family val="3"/>
        <charset val="134"/>
      </rPr>
      <t>有成本无收入，原因是因为</t>
    </r>
    <r>
      <rPr>
        <sz val="10"/>
        <rFont val="Arial"/>
        <family val="2"/>
      </rPr>
      <t>2016</t>
    </r>
    <r>
      <rPr>
        <sz val="10"/>
        <rFont val="宋体"/>
        <family val="3"/>
        <charset val="134"/>
      </rPr>
      <t>年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月发票只有复印件需将进项税转成本</t>
    </r>
    <r>
      <rPr>
        <sz val="10"/>
        <rFont val="Arial"/>
        <family val="2"/>
      </rPr>
      <t>10329.66</t>
    </r>
    <phoneticPr fontId="4" type="noConversion"/>
  </si>
  <si>
    <t>CU0822001</t>
    <phoneticPr fontId="4" type="noConversion"/>
  </si>
  <si>
    <t>总成本</t>
    <phoneticPr fontId="4" type="noConversion"/>
  </si>
  <si>
    <t>11月已支付</t>
    <phoneticPr fontId="4" type="noConversion"/>
  </si>
  <si>
    <t>需删除成本暂估</t>
    <phoneticPr fontId="4" type="noConversion"/>
  </si>
  <si>
    <r>
      <rPr>
        <sz val="10"/>
        <rFont val="宋体"/>
        <family val="3"/>
        <charset val="134"/>
      </rPr>
      <t>原因是</t>
    </r>
    <r>
      <rPr>
        <sz val="10"/>
        <rFont val="Arial"/>
        <family val="2"/>
      </rPr>
      <t>2016</t>
    </r>
    <r>
      <rPr>
        <sz val="10"/>
        <rFont val="宋体"/>
        <family val="3"/>
        <charset val="134"/>
      </rPr>
      <t>年发票收到，从预付账款转入成本</t>
    </r>
    <r>
      <rPr>
        <sz val="10"/>
        <rFont val="Arial"/>
        <family val="2"/>
      </rPr>
      <t>98249</t>
    </r>
    <r>
      <rPr>
        <sz val="10"/>
        <rFont val="宋体"/>
        <family val="3"/>
        <charset val="134"/>
      </rPr>
      <t>元（当当网），</t>
    </r>
    <r>
      <rPr>
        <sz val="10"/>
        <rFont val="Arial"/>
        <family val="2"/>
      </rPr>
      <t>15</t>
    </r>
    <r>
      <rPr>
        <sz val="10"/>
        <rFont val="宋体"/>
        <family val="3"/>
        <charset val="134"/>
      </rPr>
      <t>年发票在</t>
    </r>
    <r>
      <rPr>
        <sz val="10"/>
        <rFont val="Arial"/>
        <family val="2"/>
      </rPr>
      <t>17</t>
    </r>
    <r>
      <rPr>
        <sz val="10"/>
        <rFont val="宋体"/>
        <family val="3"/>
        <charset val="134"/>
      </rPr>
      <t>年收到抵税</t>
    </r>
    <r>
      <rPr>
        <sz val="10"/>
        <rFont val="Arial"/>
        <family val="2"/>
      </rPr>
      <t>16055</t>
    </r>
    <r>
      <rPr>
        <sz val="10"/>
        <rFont val="宋体"/>
        <family val="3"/>
        <charset val="134"/>
      </rPr>
      <t>元。除掉这些差异，毛利</t>
    </r>
    <r>
      <rPr>
        <sz val="10"/>
        <rFont val="Arial"/>
        <family val="2"/>
      </rPr>
      <t>4%</t>
    </r>
    <phoneticPr fontId="4" type="noConversion"/>
  </si>
  <si>
    <r>
      <rPr>
        <sz val="10"/>
        <rFont val="宋体"/>
        <family val="3"/>
        <charset val="134"/>
      </rPr>
      <t>原因是</t>
    </r>
    <r>
      <rPr>
        <sz val="10"/>
        <rFont val="Arial"/>
        <family val="2"/>
      </rPr>
      <t>201610</t>
    </r>
    <r>
      <rPr>
        <sz val="10"/>
        <rFont val="宋体"/>
        <family val="3"/>
        <charset val="134"/>
      </rPr>
      <t>月发票未收到只有复印件，将税额转入成本</t>
    </r>
    <r>
      <rPr>
        <sz val="10"/>
        <rFont val="Arial"/>
        <family val="2"/>
      </rPr>
      <t>18358.28</t>
    </r>
    <r>
      <rPr>
        <sz val="10"/>
        <rFont val="宋体"/>
        <family val="3"/>
        <charset val="134"/>
      </rPr>
      <t>元，除个这个成本，毛利为</t>
    </r>
    <r>
      <rPr>
        <sz val="10"/>
        <rFont val="Arial"/>
        <family val="2"/>
      </rPr>
      <t>5%</t>
    </r>
    <phoneticPr fontId="4" type="noConversion"/>
  </si>
  <si>
    <t>JV43</t>
    <phoneticPr fontId="4" type="noConversion"/>
  </si>
  <si>
    <t>未暂估收入、成本多暂估，已删</t>
    <phoneticPr fontId="4" type="noConversion"/>
  </si>
  <si>
    <r>
      <rPr>
        <sz val="10"/>
        <rFont val="宋体"/>
        <family val="3"/>
        <charset val="134"/>
      </rPr>
      <t>需暂估</t>
    </r>
    <r>
      <rPr>
        <sz val="10"/>
        <rFont val="Arial"/>
        <family val="2"/>
      </rPr>
      <t>11</t>
    </r>
    <r>
      <rPr>
        <sz val="10"/>
        <rFont val="宋体"/>
        <family val="3"/>
        <charset val="134"/>
      </rPr>
      <t>月收款收入，同时冲销</t>
    </r>
    <r>
      <rPr>
        <sz val="10"/>
        <rFont val="Arial"/>
        <family val="2"/>
      </rPr>
      <t>101509.43</t>
    </r>
    <r>
      <rPr>
        <sz val="10"/>
        <rFont val="宋体"/>
        <family val="3"/>
        <charset val="134"/>
      </rPr>
      <t>元前期成本，已重新暂估</t>
    </r>
    <phoneticPr fontId="4" type="noConversion"/>
  </si>
  <si>
    <t>小计</t>
    <phoneticPr fontId="4" type="noConversion"/>
  </si>
  <si>
    <t>小计</t>
    <phoneticPr fontId="4" type="noConversion"/>
  </si>
  <si>
    <t>合计</t>
    <phoneticPr fontId="4" type="noConversion"/>
  </si>
  <si>
    <t>需要再暂估差额成本130349.06，加上之后毛率3%</t>
    <phoneticPr fontId="4" type="noConversion"/>
  </si>
  <si>
    <t>需暂估11月成本，已重新预估，加上之扣毛利率3%</t>
    <phoneticPr fontId="4" type="noConversion"/>
  </si>
  <si>
    <t>12月支付</t>
    <phoneticPr fontId="7" type="noConversion"/>
  </si>
  <si>
    <t>12月支付</t>
    <phoneticPr fontId="4" type="noConversion"/>
  </si>
  <si>
    <r>
      <t>1</t>
    </r>
    <r>
      <rPr>
        <b/>
        <sz val="10"/>
        <color indexed="8"/>
        <rFont val="宋体"/>
        <family val="3"/>
        <charset val="134"/>
      </rPr>
      <t>2月支付</t>
    </r>
    <phoneticPr fontId="4" type="noConversion"/>
  </si>
  <si>
    <t>12月未付金额</t>
    <phoneticPr fontId="4" type="noConversion"/>
  </si>
  <si>
    <r>
      <t>1</t>
    </r>
    <r>
      <rPr>
        <b/>
        <sz val="10"/>
        <color indexed="8"/>
        <rFont val="宋体"/>
        <family val="3"/>
        <charset val="134"/>
      </rPr>
      <t>1月</t>
    </r>
    <r>
      <rPr>
        <b/>
        <sz val="10"/>
        <color indexed="8"/>
        <rFont val="宋体"/>
        <family val="3"/>
        <charset val="134"/>
      </rPr>
      <t>未付款金额（预估成本）</t>
    </r>
    <phoneticPr fontId="8" type="noConversion"/>
  </si>
  <si>
    <t>12月剩余暂估</t>
    <phoneticPr fontId="4" type="noConversion"/>
  </si>
  <si>
    <t>12月剩余暂估</t>
    <phoneticPr fontId="7" type="noConversion"/>
  </si>
  <si>
    <t>上才小计</t>
    <phoneticPr fontId="7" type="noConversion"/>
  </si>
  <si>
    <t>12月暂估凭证</t>
    <phoneticPr fontId="7" type="noConversion"/>
  </si>
  <si>
    <r>
      <t>1</t>
    </r>
    <r>
      <rPr>
        <sz val="10"/>
        <color indexed="8"/>
        <rFont val="宋体"/>
        <family val="3"/>
        <charset val="134"/>
      </rPr>
      <t>2</t>
    </r>
    <r>
      <rPr>
        <sz val="10"/>
        <color indexed="8"/>
        <rFont val="宋体"/>
        <family val="3"/>
        <charset val="134"/>
      </rPr>
      <t>月暂估凭证</t>
    </r>
    <phoneticPr fontId="4" type="noConversion"/>
  </si>
  <si>
    <r>
      <t>JV</t>
    </r>
    <r>
      <rPr>
        <sz val="10"/>
        <rFont val="宋体"/>
        <family val="3"/>
        <charset val="134"/>
      </rPr>
      <t>38</t>
    </r>
    <phoneticPr fontId="4" type="noConversion"/>
  </si>
  <si>
    <t>12月暂估凭证</t>
    <phoneticPr fontId="4" type="noConversion"/>
  </si>
  <si>
    <r>
      <t>JV1</t>
    </r>
    <r>
      <rPr>
        <sz val="10"/>
        <color indexed="8"/>
        <rFont val="宋体"/>
        <family val="3"/>
        <charset val="134"/>
      </rPr>
      <t>5</t>
    </r>
    <phoneticPr fontId="7" type="noConversion"/>
  </si>
  <si>
    <r>
      <t>JV1</t>
    </r>
    <r>
      <rPr>
        <sz val="10"/>
        <color indexed="8"/>
        <rFont val="宋体"/>
        <family val="3"/>
        <charset val="134"/>
      </rPr>
      <t>6</t>
    </r>
    <phoneticPr fontId="7" type="noConversion"/>
  </si>
  <si>
    <r>
      <t>JV1</t>
    </r>
    <r>
      <rPr>
        <sz val="10"/>
        <color indexed="8"/>
        <rFont val="宋体"/>
        <family val="3"/>
        <charset val="134"/>
      </rPr>
      <t>7</t>
    </r>
    <phoneticPr fontId="4" type="noConversion"/>
  </si>
  <si>
    <r>
      <t>JV</t>
    </r>
    <r>
      <rPr>
        <sz val="10"/>
        <rFont val="宋体"/>
        <family val="3"/>
        <charset val="134"/>
      </rPr>
      <t>18</t>
    </r>
    <phoneticPr fontId="4" type="noConversion"/>
  </si>
  <si>
    <t>达信（中国）保险经纪有限公司上海分公司</t>
    <phoneticPr fontId="4" type="noConversion"/>
  </si>
  <si>
    <t>达信（中国）保险经纪有限公司广东省分公司</t>
    <phoneticPr fontId="4" type="noConversion"/>
  </si>
  <si>
    <t>达信（中国）保险经纪有限公司辽宁省分公司</t>
    <phoneticPr fontId="4" type="noConversion"/>
  </si>
  <si>
    <t>达信（中国）保险经纪有限公司天津分公司</t>
    <phoneticPr fontId="4" type="noConversion"/>
  </si>
  <si>
    <t>达信（中国）保险经纪有限公司山东分公司</t>
    <phoneticPr fontId="4" type="noConversion"/>
  </si>
  <si>
    <t>达信（中国）保险经纪有限公司江苏分公司</t>
    <phoneticPr fontId="4" type="noConversion"/>
  </si>
  <si>
    <t>达信（中国）保险经纪有限公司成都分公司</t>
    <phoneticPr fontId="4" type="noConversion"/>
  </si>
  <si>
    <t>达信（中国）保险经纪有限公司河北分公司</t>
    <phoneticPr fontId="4" type="noConversion"/>
  </si>
  <si>
    <t>删掉暂估</t>
    <phoneticPr fontId="7" type="noConversion"/>
  </si>
  <si>
    <t>上海才烁人才信息咨询有限公司CDP人民币账簿</t>
  </si>
  <si>
    <t>CU0182007</t>
  </si>
  <si>
    <t>上海华新顿阿姆斯壮金属制品有限公司</t>
  </si>
  <si>
    <t>CU0182008</t>
  </si>
  <si>
    <t>上海华新顿阿姆斯壮金属制品有限公司工会委员会</t>
  </si>
  <si>
    <t>CU0823001</t>
  </si>
  <si>
    <t>凯杰生物工程（深圳）有限公司</t>
  </si>
  <si>
    <t>CU0823002</t>
  </si>
  <si>
    <t>凯杰企业管理（上海）有限公司</t>
  </si>
  <si>
    <t>CU0512001</t>
  </si>
  <si>
    <t>百深生物科技（上海）有限公司</t>
  </si>
  <si>
    <t>暂估月份</t>
    <phoneticPr fontId="17" type="noConversion"/>
  </si>
  <si>
    <r>
      <t>2</t>
    </r>
    <r>
      <rPr>
        <sz val="10"/>
        <color indexed="8"/>
        <rFont val="宋体"/>
        <family val="3"/>
        <charset val="134"/>
      </rPr>
      <t>017-12</t>
    </r>
    <phoneticPr fontId="17" type="noConversion"/>
  </si>
  <si>
    <t>客户代码</t>
    <phoneticPr fontId="17" type="noConversion"/>
  </si>
  <si>
    <t>客户名称</t>
    <phoneticPr fontId="17" type="noConversion"/>
  </si>
  <si>
    <t>辅助余额表</t>
  </si>
  <si>
    <t>期间：2017.12-2017.12</t>
  </si>
  <si>
    <t>币种:  :本币</t>
  </si>
  <si>
    <t>主体帐簿名称</t>
  </si>
  <si>
    <t>方向</t>
  </si>
  <si>
    <t>期初余额</t>
  </si>
  <si>
    <t>借方累计</t>
  </si>
  <si>
    <t>贷方累计</t>
  </si>
  <si>
    <t>期末余额</t>
  </si>
  <si>
    <t>本币</t>
  </si>
  <si>
    <t>6001</t>
  </si>
  <si>
    <t>71</t>
  </si>
  <si>
    <t>平</t>
  </si>
  <si>
    <t>贷</t>
  </si>
  <si>
    <t>昆山才烁人力资源服务有限公司CDP人民币账簿</t>
  </si>
  <si>
    <t>借</t>
  </si>
  <si>
    <t>CU0709002</t>
  </si>
  <si>
    <t>济南易贸创想软件有限公司</t>
  </si>
  <si>
    <t>CU0735002</t>
  </si>
  <si>
    <t>北京华点云生物科技有限公司</t>
  </si>
  <si>
    <t>CU0809002</t>
  </si>
  <si>
    <t>富林特化学品（中国）有限公司</t>
  </si>
  <si>
    <t>CU0860001</t>
  </si>
  <si>
    <t>光辉（上海）人才咨询有限公司</t>
  </si>
  <si>
    <t>核算单位:上海才烁人才信息咨询有限公司</t>
  </si>
  <si>
    <t>制单人:Fin Fifi Zeng</t>
  </si>
  <si>
    <t>打印时间:2018-1-4 14:17:40</t>
  </si>
  <si>
    <t>成本</t>
    <phoneticPr fontId="17" type="noConversion"/>
  </si>
  <si>
    <t>支付宝收入</t>
    <phoneticPr fontId="17" type="noConversion"/>
  </si>
  <si>
    <t>正常开票收入</t>
    <phoneticPr fontId="17" type="noConversion"/>
  </si>
  <si>
    <t>收入</t>
    <phoneticPr fontId="17" type="noConversion"/>
  </si>
  <si>
    <t>12暂估成本</t>
    <phoneticPr fontId="17" type="noConversion"/>
  </si>
  <si>
    <t>毛利</t>
    <phoneticPr fontId="17" type="noConversion"/>
  </si>
  <si>
    <t>3777.36</t>
    <phoneticPr fontId="17" type="noConversion"/>
  </si>
  <si>
    <t>CU0289001</t>
    <phoneticPr fontId="17" type="noConversion"/>
  </si>
  <si>
    <t>巴丽（上海）商业有限公司</t>
    <phoneticPr fontId="17" type="noConversion"/>
  </si>
  <si>
    <t>47284.91</t>
    <phoneticPr fontId="17" type="noConversion"/>
  </si>
  <si>
    <t>682.08</t>
    <phoneticPr fontId="17" type="noConversion"/>
  </si>
  <si>
    <t>319801.89</t>
    <phoneticPr fontId="17" type="noConversion"/>
  </si>
  <si>
    <t>12881.44</t>
    <phoneticPr fontId="17" type="noConversion"/>
  </si>
  <si>
    <t>24517.92</t>
    <phoneticPr fontId="17" type="noConversion"/>
  </si>
  <si>
    <t>416.98</t>
    <phoneticPr fontId="17" type="noConversion"/>
  </si>
  <si>
    <t>603.77</t>
    <phoneticPr fontId="17" type="noConversion"/>
  </si>
  <si>
    <t>1556.6</t>
    <phoneticPr fontId="17" type="noConversion"/>
  </si>
  <si>
    <t>1869.81</t>
    <phoneticPr fontId="17" type="noConversion"/>
  </si>
  <si>
    <t>收到发票进项调整冲减成本</t>
    <phoneticPr fontId="17" type="noConversion"/>
  </si>
  <si>
    <t>1120.75</t>
    <phoneticPr fontId="17" type="noConversion"/>
  </si>
  <si>
    <t>91.51</t>
    <phoneticPr fontId="17" type="noConversion"/>
  </si>
  <si>
    <t>30.19</t>
    <phoneticPr fontId="17" type="noConversion"/>
  </si>
  <si>
    <t>40.57</t>
    <phoneticPr fontId="17" type="noConversion"/>
  </si>
  <si>
    <t>426.42</t>
    <phoneticPr fontId="17" type="noConversion"/>
  </si>
  <si>
    <t>1216.98</t>
    <phoneticPr fontId="17" type="noConversion"/>
  </si>
  <si>
    <t>1250</t>
    <phoneticPr fontId="17" type="noConversion"/>
  </si>
  <si>
    <t>9259.43</t>
    <phoneticPr fontId="17" type="noConversion"/>
  </si>
  <si>
    <r>
      <t>1</t>
    </r>
    <r>
      <rPr>
        <sz val="10"/>
        <rFont val="宋体"/>
        <family val="3"/>
        <charset val="134"/>
      </rPr>
      <t>月已支付暂估</t>
    </r>
    <phoneticPr fontId="17" type="noConversion"/>
  </si>
  <si>
    <t>12月暂估成本（不含税）</t>
    <phoneticPr fontId="17" type="noConversion"/>
  </si>
  <si>
    <t>CU0093014</t>
    <phoneticPr fontId="17" type="noConversion"/>
  </si>
  <si>
    <t>日立保险代理（中国）有限公司</t>
    <phoneticPr fontId="17" type="noConversion"/>
  </si>
  <si>
    <t>上海阿姆斯壮建筑制品有限公司</t>
    <phoneticPr fontId="17" type="noConversion"/>
  </si>
  <si>
    <t>上海华新顿阿姆斯壮金属制品有限公司</t>
    <phoneticPr fontId="17" type="noConversion"/>
  </si>
  <si>
    <t>上海华新顿阿姆斯壮金属制品有限公司工会委员会</t>
    <phoneticPr fontId="17" type="noConversion"/>
  </si>
  <si>
    <t>拉格代尔商业（上海）有限公司</t>
    <phoneticPr fontId="17" type="noConversion"/>
  </si>
  <si>
    <t>盖璞（上海）商业有限公司</t>
    <phoneticPr fontId="17" type="noConversion"/>
  </si>
  <si>
    <t>盖璞（北京）商业有限公司</t>
    <phoneticPr fontId="17" type="noConversion"/>
  </si>
  <si>
    <t>克鲁勃润滑产品（上海）有限公司</t>
    <phoneticPr fontId="17" type="noConversion"/>
  </si>
  <si>
    <t>克鲁勃润滑剂（上海）有限公司</t>
    <phoneticPr fontId="17" type="noConversion"/>
  </si>
  <si>
    <t>上海德达医院有限公司</t>
    <phoneticPr fontId="17" type="noConversion"/>
  </si>
  <si>
    <t>上海利夫兰企业管理咨询有限公司</t>
    <phoneticPr fontId="17" type="noConversion"/>
  </si>
  <si>
    <t>恩思恩时尚（中国）商贸有限公司</t>
    <phoneticPr fontId="17" type="noConversion"/>
  </si>
  <si>
    <t>恩思恩（北京）商贸有限公司</t>
    <phoneticPr fontId="17" type="noConversion"/>
  </si>
  <si>
    <t>上海绿谷生命园医药有限公司</t>
    <phoneticPr fontId="17" type="noConversion"/>
  </si>
  <si>
    <t>北京杰迪安尔科技有限公司</t>
    <phoneticPr fontId="17" type="noConversion"/>
  </si>
  <si>
    <t>思童嘉商贸（上海）有限公司</t>
    <phoneticPr fontId="17" type="noConversion"/>
  </si>
  <si>
    <t>北京陌陌信息技术有限公司</t>
    <phoneticPr fontId="17" type="noConversion"/>
  </si>
  <si>
    <t>美克国际家居用品股份有限公司</t>
    <phoneticPr fontId="17" type="noConversion"/>
  </si>
  <si>
    <t>凯杰生物工程（深圳）有限公司</t>
    <phoneticPr fontId="17" type="noConversion"/>
  </si>
  <si>
    <t>凯杰企业管理（上海）有限公司</t>
    <phoneticPr fontId="17" type="noConversion"/>
  </si>
  <si>
    <t>上海依图网络科技有限公司</t>
    <phoneticPr fontId="17" type="noConversion"/>
  </si>
  <si>
    <t>上海绿谷制药有限公司</t>
    <phoneticPr fontId="17" type="noConversion"/>
  </si>
  <si>
    <t>12月暂估凭证</t>
    <phoneticPr fontId="17" type="noConversion"/>
  </si>
  <si>
    <t>JV-39</t>
    <phoneticPr fontId="17" type="noConversion"/>
  </si>
  <si>
    <t>百深生物科技（上海）有限公司</t>
    <phoneticPr fontId="17" type="noConversion"/>
  </si>
  <si>
    <t>巴丽（上海）商业有限公司</t>
    <phoneticPr fontId="17" type="noConversion"/>
  </si>
  <si>
    <t>上海博禹人力资源管理有限公司</t>
    <phoneticPr fontId="17" type="noConversion"/>
  </si>
  <si>
    <t>广州博禹人力资源服务有限公司</t>
    <phoneticPr fontId="17" type="noConversion"/>
  </si>
  <si>
    <t>JV-19</t>
    <phoneticPr fontId="17" type="noConversion"/>
  </si>
  <si>
    <t>实际应剩余</t>
    <phoneticPr fontId="7" type="noConversion"/>
  </si>
  <si>
    <t>实际应剩余</t>
    <phoneticPr fontId="4" type="noConversion"/>
  </si>
  <si>
    <t>实际应剩余</t>
    <phoneticPr fontId="4" type="noConversion"/>
  </si>
  <si>
    <t>实际应剩余</t>
    <phoneticPr fontId="17" type="noConversion"/>
  </si>
  <si>
    <t>达信</t>
    <phoneticPr fontId="4" type="noConversion"/>
  </si>
  <si>
    <t>上海才烁</t>
    <phoneticPr fontId="4" type="noConversion"/>
  </si>
  <si>
    <t>文思海辉</t>
    <phoneticPr fontId="4" type="noConversion"/>
  </si>
  <si>
    <t>CU0285000</t>
    <phoneticPr fontId="4" type="noConversion"/>
  </si>
  <si>
    <t>CU0207000</t>
    <phoneticPr fontId="4" type="noConversion"/>
  </si>
  <si>
    <t>巴丽（上海）</t>
    <phoneticPr fontId="4" type="noConversion"/>
  </si>
  <si>
    <t>博禹</t>
    <phoneticPr fontId="4" type="noConversion"/>
  </si>
  <si>
    <t>所属帐套</t>
    <phoneticPr fontId="4" type="noConversion"/>
  </si>
  <si>
    <t>单位简称</t>
    <phoneticPr fontId="4" type="noConversion"/>
  </si>
  <si>
    <t>客户代码</t>
    <phoneticPr fontId="4" type="noConversion"/>
  </si>
  <si>
    <t>预估月份</t>
    <phoneticPr fontId="4" type="noConversion"/>
  </si>
  <si>
    <t>JV15</t>
    <phoneticPr fontId="4" type="noConversion"/>
  </si>
  <si>
    <t>日立保险代理（中国）有限公司</t>
    <phoneticPr fontId="4" type="noConversion"/>
  </si>
  <si>
    <t>CU0093014</t>
    <phoneticPr fontId="4" type="noConversion"/>
  </si>
  <si>
    <t>上海德达医院有限公司</t>
    <phoneticPr fontId="4" type="noConversion"/>
  </si>
  <si>
    <t>拉格代尔商业（上海）有限公司</t>
    <phoneticPr fontId="4" type="noConversion"/>
  </si>
  <si>
    <t>苏州麦迪斯顿</t>
    <phoneticPr fontId="4" type="noConversion"/>
  </si>
  <si>
    <t>cu0428001</t>
    <phoneticPr fontId="4" type="noConversion"/>
  </si>
  <si>
    <t>IDC咨询(北京)有限公司</t>
    <phoneticPr fontId="4" type="noConversion"/>
  </si>
  <si>
    <t>广州宝供投资有限公司</t>
    <phoneticPr fontId="4" type="noConversion"/>
  </si>
  <si>
    <t>CU0665001</t>
    <phoneticPr fontId="4" type="noConversion"/>
  </si>
  <si>
    <t>cu0667001</t>
    <phoneticPr fontId="4" type="noConversion"/>
  </si>
  <si>
    <t>cu0692001</t>
    <phoneticPr fontId="4" type="noConversion"/>
  </si>
  <si>
    <t>北京首创热力</t>
    <phoneticPr fontId="4" type="noConversion"/>
  </si>
  <si>
    <t>cu0714001</t>
    <phoneticPr fontId="4" type="noConversion"/>
  </si>
  <si>
    <t>凯杰生物工程（深圳）有限公司</t>
    <phoneticPr fontId="4" type="noConversion"/>
  </si>
  <si>
    <t>凯杰企业管理（上海）有限公司</t>
    <phoneticPr fontId="4" type="noConversion"/>
  </si>
  <si>
    <t>CU0860001</t>
    <phoneticPr fontId="21" type="noConversion"/>
  </si>
  <si>
    <t>CU0468001</t>
    <phoneticPr fontId="21" type="noConversion"/>
  </si>
  <si>
    <t>艾绰（北京）商贸有限公司</t>
    <phoneticPr fontId="4" type="noConversion"/>
  </si>
  <si>
    <t>CU0221001</t>
    <phoneticPr fontId="4" type="noConversion"/>
  </si>
  <si>
    <t>201801月剩余暂估金额</t>
    <phoneticPr fontId="21" type="noConversion"/>
  </si>
  <si>
    <t>201801月支付(不含税）</t>
    <phoneticPr fontId="21" type="noConversion"/>
  </si>
  <si>
    <t>欧尚（中国）投资有限公司</t>
    <phoneticPr fontId="4" type="noConversion"/>
  </si>
  <si>
    <t>思童嘉商贸（上海）有限公司</t>
    <phoneticPr fontId="4" type="noConversion"/>
  </si>
  <si>
    <t>天职集团</t>
    <phoneticPr fontId="4" type="noConversion"/>
  </si>
  <si>
    <t>光辉（上海）人才咨询有限公司</t>
    <phoneticPr fontId="4" type="noConversion"/>
  </si>
  <si>
    <t>包商银行</t>
    <phoneticPr fontId="4" type="noConversion"/>
  </si>
  <si>
    <t>所属帐套</t>
    <phoneticPr fontId="4" type="noConversion"/>
  </si>
  <si>
    <t>客户代码</t>
    <phoneticPr fontId="4" type="noConversion"/>
  </si>
  <si>
    <t>单位简称</t>
    <phoneticPr fontId="4" type="noConversion"/>
  </si>
  <si>
    <t>预估月份</t>
    <phoneticPr fontId="4" type="noConversion"/>
  </si>
  <si>
    <t>预估应付未付</t>
    <phoneticPr fontId="21" type="noConversion"/>
  </si>
  <si>
    <t>12月暂估凭证</t>
    <phoneticPr fontId="4" type="noConversion"/>
  </si>
  <si>
    <t>201801月支付(不含税）</t>
    <phoneticPr fontId="21" type="noConversion"/>
  </si>
  <si>
    <t>预估应付未付（不含税）</t>
    <phoneticPr fontId="21" type="noConversion"/>
  </si>
  <si>
    <t>201802月支付(不含税）</t>
    <phoneticPr fontId="21" type="noConversion"/>
  </si>
  <si>
    <t>201802月剩余暂估金额</t>
    <phoneticPr fontId="21" type="noConversion"/>
  </si>
  <si>
    <t>所属帐套</t>
    <phoneticPr fontId="22" type="noConversion"/>
  </si>
  <si>
    <t>客户代码</t>
    <phoneticPr fontId="22" type="noConversion"/>
  </si>
  <si>
    <t>单位简称</t>
    <phoneticPr fontId="22" type="noConversion"/>
  </si>
  <si>
    <t>预估月份</t>
    <phoneticPr fontId="22" type="noConversion"/>
  </si>
  <si>
    <t>预估应付未付（不含税）</t>
    <phoneticPr fontId="22" type="noConversion"/>
  </si>
  <si>
    <t>凭证</t>
    <phoneticPr fontId="22" type="noConversion"/>
  </si>
  <si>
    <t>2月支付</t>
    <phoneticPr fontId="22" type="noConversion"/>
  </si>
  <si>
    <r>
      <t>2</t>
    </r>
    <r>
      <rPr>
        <sz val="10"/>
        <rFont val="宋体"/>
        <family val="3"/>
        <charset val="134"/>
      </rPr>
      <t>月剩余应付未付</t>
    </r>
    <phoneticPr fontId="22" type="noConversion"/>
  </si>
  <si>
    <t>上海才烁</t>
    <phoneticPr fontId="22" type="noConversion"/>
  </si>
  <si>
    <t>CU0207000</t>
    <phoneticPr fontId="22" type="noConversion"/>
  </si>
  <si>
    <t>JV35</t>
    <phoneticPr fontId="22" type="noConversion"/>
  </si>
  <si>
    <t>上海才烁</t>
    <phoneticPr fontId="22" type="noConversion"/>
  </si>
  <si>
    <t>北京博禹国际顾问有限公司</t>
    <phoneticPr fontId="22" type="noConversion"/>
  </si>
  <si>
    <t>上海博禹人力资源管理有限公司</t>
    <phoneticPr fontId="22" type="noConversion"/>
  </si>
  <si>
    <t>广州博禹人力资源服务有限公司</t>
    <phoneticPr fontId="22" type="noConversion"/>
  </si>
  <si>
    <t>JV35</t>
    <phoneticPr fontId="22" type="noConversion"/>
  </si>
  <si>
    <t>上海才烁</t>
    <phoneticPr fontId="22" type="noConversion"/>
  </si>
  <si>
    <t>CU0289000</t>
    <phoneticPr fontId="22" type="noConversion"/>
  </si>
  <si>
    <t>拉格代尔</t>
    <phoneticPr fontId="22" type="noConversion"/>
  </si>
  <si>
    <t>JV35</t>
  </si>
  <si>
    <t>百深生物科技（上海）有限公司</t>
    <phoneticPr fontId="22" type="noConversion"/>
  </si>
  <si>
    <t>所属帐套</t>
    <phoneticPr fontId="22" type="noConversion"/>
  </si>
  <si>
    <t>客户代码</t>
    <phoneticPr fontId="22" type="noConversion"/>
  </si>
  <si>
    <t>单位简称</t>
    <phoneticPr fontId="22" type="noConversion"/>
  </si>
  <si>
    <t>预估月份</t>
    <phoneticPr fontId="22" type="noConversion"/>
  </si>
  <si>
    <t>预估应付未付（不含税）</t>
    <phoneticPr fontId="22" type="noConversion"/>
  </si>
  <si>
    <t>凭证</t>
    <phoneticPr fontId="22" type="noConversion"/>
  </si>
  <si>
    <t>昆山才烁</t>
    <phoneticPr fontId="22" type="noConversion"/>
  </si>
  <si>
    <t>CU0182001</t>
    <phoneticPr fontId="22" type="noConversion"/>
  </si>
  <si>
    <t>阿姆斯壮（中国）投资有限公司</t>
    <phoneticPr fontId="22" type="noConversion"/>
  </si>
  <si>
    <t>JV12</t>
    <phoneticPr fontId="22" type="noConversion"/>
  </si>
  <si>
    <t>CU0182002</t>
    <phoneticPr fontId="22" type="noConversion"/>
  </si>
  <si>
    <t>上海阿姆斯壮建筑制品有限公司</t>
    <phoneticPr fontId="22" type="noConversion"/>
  </si>
  <si>
    <t>CU0182007</t>
    <phoneticPr fontId="22" type="noConversion"/>
  </si>
  <si>
    <t>上海华新顿阿姆斯壮金属制品有限公司</t>
    <phoneticPr fontId="22" type="noConversion"/>
  </si>
  <si>
    <t>CU0285035</t>
    <phoneticPr fontId="22" type="noConversion"/>
  </si>
  <si>
    <t>文思海辉技术有限公司杭州分公司工会委员会</t>
    <phoneticPr fontId="22" type="noConversion"/>
  </si>
  <si>
    <t>CU0411001</t>
    <phoneticPr fontId="22" type="noConversion"/>
  </si>
  <si>
    <t>上海德达医院有限公司</t>
    <phoneticPr fontId="22" type="noConversion"/>
  </si>
  <si>
    <t>CU0411002</t>
    <phoneticPr fontId="22" type="noConversion"/>
  </si>
  <si>
    <t>上海利夫兰企业管理咨询有限公司</t>
    <phoneticPr fontId="22" type="noConversion"/>
  </si>
  <si>
    <t>CU0411003</t>
    <phoneticPr fontId="22" type="noConversion"/>
  </si>
  <si>
    <t>上海德达德西门诊部有限公司</t>
    <phoneticPr fontId="22" type="noConversion"/>
  </si>
  <si>
    <t>CU0411004</t>
    <phoneticPr fontId="22" type="noConversion"/>
  </si>
  <si>
    <t>阿克索（上海）企业管理有限公司</t>
    <phoneticPr fontId="22" type="noConversion"/>
  </si>
  <si>
    <t>CU0531001</t>
    <phoneticPr fontId="22" type="noConversion"/>
  </si>
  <si>
    <t>恩思恩时尚（中国）商贸有限公司</t>
    <phoneticPr fontId="22" type="noConversion"/>
  </si>
  <si>
    <t>CU0531002</t>
    <phoneticPr fontId="22" type="noConversion"/>
  </si>
  <si>
    <t>恩思恩（北京）商贸有限公司</t>
    <phoneticPr fontId="22" type="noConversion"/>
  </si>
  <si>
    <t>CU0643002</t>
    <phoneticPr fontId="22" type="noConversion"/>
  </si>
  <si>
    <t>上海绿谷制药有限公司</t>
    <phoneticPr fontId="22" type="noConversion"/>
  </si>
  <si>
    <t>CU0667001</t>
    <phoneticPr fontId="22" type="noConversion"/>
  </si>
  <si>
    <t>北京杰迪安尔科技有限公司</t>
    <phoneticPr fontId="22" type="noConversion"/>
  </si>
  <si>
    <t>CU0692001</t>
    <phoneticPr fontId="22" type="noConversion"/>
  </si>
  <si>
    <t>欧尚（中国）投资有限公司</t>
    <phoneticPr fontId="22" type="noConversion"/>
  </si>
  <si>
    <t>CU0782002</t>
    <phoneticPr fontId="22" type="noConversion"/>
  </si>
  <si>
    <t>天职（北京）国际工程项目管理有限公司</t>
    <phoneticPr fontId="22" type="noConversion"/>
  </si>
  <si>
    <t>CU0822001</t>
    <phoneticPr fontId="22" type="noConversion"/>
  </si>
  <si>
    <t>美克国际家居用品股份有限公司</t>
    <phoneticPr fontId="22" type="noConversion"/>
  </si>
  <si>
    <t>JV12</t>
    <phoneticPr fontId="22" type="noConversion"/>
  </si>
  <si>
    <t>昆山才烁</t>
    <phoneticPr fontId="22" type="noConversion"/>
  </si>
  <si>
    <t>CU0823001</t>
    <phoneticPr fontId="22" type="noConversion"/>
  </si>
  <si>
    <t>凯杰生物工程（深圳）有限公司</t>
    <phoneticPr fontId="22" type="noConversion"/>
  </si>
  <si>
    <t>CU0823002</t>
    <phoneticPr fontId="22" type="noConversion"/>
  </si>
  <si>
    <t>凯杰企业管理（上海）有限公司</t>
    <phoneticPr fontId="22" type="noConversion"/>
  </si>
  <si>
    <t>CU0823003</t>
    <phoneticPr fontId="22" type="noConversion"/>
  </si>
  <si>
    <t>天根生化科技（北京）有限公司</t>
    <phoneticPr fontId="22" type="noConversion"/>
  </si>
  <si>
    <t>CU0869003</t>
    <phoneticPr fontId="22" type="noConversion"/>
  </si>
  <si>
    <t>智睿企业咨询（深圳）有限公司上海分公司</t>
    <phoneticPr fontId="22" type="noConversion"/>
  </si>
  <si>
    <t>CU0847001</t>
    <phoneticPr fontId="22" type="noConversion"/>
  </si>
  <si>
    <t>大原、大连大健康科技管理有限公司</t>
    <phoneticPr fontId="22" type="noConversion"/>
  </si>
  <si>
    <t>CU0709001</t>
    <phoneticPr fontId="22" type="noConversion"/>
  </si>
  <si>
    <t>上海易贸供应链管理有限公司</t>
    <phoneticPr fontId="22" type="noConversion"/>
  </si>
  <si>
    <t>CU0708001</t>
    <phoneticPr fontId="22" type="noConversion"/>
  </si>
  <si>
    <t>智七网络科技（上海）有限公司</t>
    <phoneticPr fontId="22" type="noConversion"/>
  </si>
  <si>
    <t>盖璞（上海）商业有限公司</t>
    <phoneticPr fontId="22" type="noConversion"/>
  </si>
  <si>
    <t>常熟才烁</t>
    <phoneticPr fontId="22" type="noConversion"/>
  </si>
  <si>
    <t>CU0736001</t>
    <phoneticPr fontId="22" type="noConversion"/>
  </si>
  <si>
    <t>深圳市前海麦达数字有限公司</t>
    <phoneticPr fontId="22" type="noConversion"/>
  </si>
  <si>
    <t>JV11</t>
    <phoneticPr fontId="22" type="noConversion"/>
  </si>
  <si>
    <t>常熟才烁</t>
    <phoneticPr fontId="22" type="noConversion"/>
  </si>
  <si>
    <t>CU0878001</t>
    <phoneticPr fontId="22" type="noConversion"/>
  </si>
  <si>
    <t>奥腾思格玛（中国）集团有限公司</t>
    <phoneticPr fontId="22" type="noConversion"/>
  </si>
  <si>
    <t>2月暂估凭证</t>
    <phoneticPr fontId="4" type="noConversion"/>
  </si>
  <si>
    <t>JV7</t>
    <phoneticPr fontId="21" type="noConversion"/>
  </si>
  <si>
    <t>2月暂估凭证</t>
    <phoneticPr fontId="22" type="noConversion"/>
  </si>
  <si>
    <t>JV8</t>
    <phoneticPr fontId="22" type="noConversion"/>
  </si>
  <si>
    <t>JV7</t>
    <phoneticPr fontId="22" type="noConversion"/>
  </si>
  <si>
    <t>JV32</t>
    <phoneticPr fontId="21" type="noConversion"/>
  </si>
  <si>
    <t>JV33</t>
    <phoneticPr fontId="21" type="noConversion"/>
  </si>
  <si>
    <t>2月预估应付未付（不含税）</t>
    <phoneticPr fontId="22" type="noConversion"/>
  </si>
  <si>
    <t>CU0898001</t>
  </si>
  <si>
    <t>CU0182001</t>
  </si>
  <si>
    <t>阿姆斯壮（中国）投资有限公司</t>
  </si>
  <si>
    <t>CU0182009</t>
  </si>
  <si>
    <t>CU0823003</t>
  </si>
  <si>
    <t>天根生化科技（北京）有限公司</t>
  </si>
  <si>
    <t>CU0847001</t>
  </si>
  <si>
    <t>美年大健康产业控股股份有限公司</t>
  </si>
  <si>
    <t>CU0869001</t>
  </si>
  <si>
    <t>CU0869003</t>
  </si>
  <si>
    <t>智睿企业咨询（深圳）有限公司上海分公司</t>
  </si>
  <si>
    <t>CU0884001</t>
  </si>
  <si>
    <t>CU0892001</t>
  </si>
  <si>
    <t>恩德斯豪斯（中国）自动化有限公司</t>
    <phoneticPr fontId="4" type="noConversion"/>
  </si>
  <si>
    <t>苏州凯爱健康科技有限公司</t>
    <phoneticPr fontId="4" type="noConversion"/>
  </si>
  <si>
    <t>凯易讯网络技术开发（南京）有限公司</t>
    <phoneticPr fontId="4" type="noConversion"/>
  </si>
  <si>
    <t>JV42</t>
    <phoneticPr fontId="4" type="noConversion"/>
  </si>
  <si>
    <t>阿姆斯壮世界工业（中国）有限公司</t>
    <phoneticPr fontId="4" type="noConversion"/>
  </si>
  <si>
    <t>丘奇鞋业（上海）有限公司</t>
    <phoneticPr fontId="4" type="noConversion"/>
  </si>
  <si>
    <t>智睿企业咨询（深圳）有限公司</t>
    <phoneticPr fontId="4" type="noConversion"/>
  </si>
  <si>
    <r>
      <t>预估</t>
    </r>
    <r>
      <rPr>
        <sz val="10"/>
        <rFont val="Arial"/>
        <family val="2"/>
      </rPr>
      <t>kyle hu--</t>
    </r>
    <r>
      <rPr>
        <sz val="10"/>
        <rFont val="宋体"/>
        <family val="3"/>
        <charset val="134"/>
      </rPr>
      <t>游族</t>
    </r>
    <r>
      <rPr>
        <sz val="10"/>
        <rFont val="Arial"/>
        <family val="2"/>
      </rPr>
      <t>1704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业务部确认未付）</t>
    </r>
  </si>
  <si>
    <t>JV11</t>
    <phoneticPr fontId="21" type="noConversion"/>
  </si>
  <si>
    <t>观致</t>
    <phoneticPr fontId="21" type="noConversion"/>
  </si>
  <si>
    <t>CU0406000</t>
    <phoneticPr fontId="21" type="noConversion"/>
  </si>
  <si>
    <t>CU0237000</t>
    <phoneticPr fontId="21" type="noConversion"/>
  </si>
  <si>
    <t>JV12</t>
    <phoneticPr fontId="21" type="noConversion"/>
  </si>
  <si>
    <t>3月支付</t>
    <phoneticPr fontId="4" type="noConversion"/>
  </si>
  <si>
    <t>3月剩余暂估</t>
    <phoneticPr fontId="4" type="noConversion"/>
  </si>
  <si>
    <t>3月支付</t>
    <phoneticPr fontId="22" type="noConversion"/>
  </si>
  <si>
    <r>
      <t>3</t>
    </r>
    <r>
      <rPr>
        <sz val="10"/>
        <rFont val="宋体"/>
        <family val="3"/>
        <charset val="134"/>
      </rPr>
      <t>月剩余应付未付</t>
    </r>
    <phoneticPr fontId="22" type="noConversion"/>
  </si>
  <si>
    <t>3月暂估凭证</t>
    <phoneticPr fontId="4" type="noConversion"/>
  </si>
  <si>
    <t>201803月支付(不含税）</t>
    <phoneticPr fontId="21" type="noConversion"/>
  </si>
  <si>
    <t>201803月剩余暂估金额</t>
    <phoneticPr fontId="21" type="noConversion"/>
  </si>
  <si>
    <t>3月暂估凭证</t>
    <phoneticPr fontId="22" type="noConversion"/>
  </si>
  <si>
    <t>JV9</t>
    <phoneticPr fontId="22" type="noConversion"/>
  </si>
  <si>
    <t>3月凭证</t>
    <phoneticPr fontId="4" type="noConversion"/>
  </si>
  <si>
    <t>JV10</t>
    <phoneticPr fontId="4" type="noConversion"/>
  </si>
  <si>
    <t>JV8</t>
    <phoneticPr fontId="21" type="noConversion"/>
  </si>
  <si>
    <t>凭证</t>
    <phoneticPr fontId="4" type="noConversion"/>
  </si>
  <si>
    <t>JV17</t>
    <phoneticPr fontId="4" type="noConversion"/>
  </si>
  <si>
    <t>JV5</t>
    <phoneticPr fontId="4" type="noConversion"/>
  </si>
  <si>
    <t>3月预估应付未付（不含税）</t>
    <phoneticPr fontId="22" type="noConversion"/>
  </si>
  <si>
    <t>阿姆斯壮世界工业（中国）有限公司</t>
  </si>
  <si>
    <t>CU0869002</t>
  </si>
  <si>
    <t>CU0869005</t>
  </si>
  <si>
    <t>CU0736001</t>
  </si>
  <si>
    <t>CU0895001</t>
  </si>
  <si>
    <t>CU0904001</t>
  </si>
  <si>
    <t>CU0904002</t>
  </si>
  <si>
    <t>CU0904003</t>
  </si>
  <si>
    <t>深圳市前海麦达数字有限公司</t>
    <phoneticPr fontId="4" type="noConversion"/>
  </si>
  <si>
    <t>伟景行科技股份有限公司</t>
    <phoneticPr fontId="4" type="noConversion"/>
  </si>
  <si>
    <t>紫光电子商务有限公司</t>
    <phoneticPr fontId="4" type="noConversion"/>
  </si>
  <si>
    <t>紫光数码（苏州）集团有限公司</t>
    <phoneticPr fontId="4" type="noConversion"/>
  </si>
  <si>
    <t>紫光融资租赁有限公司</t>
    <phoneticPr fontId="4" type="noConversion"/>
  </si>
  <si>
    <t>JV13</t>
    <phoneticPr fontId="4" type="noConversion"/>
  </si>
  <si>
    <t>JV40</t>
    <phoneticPr fontId="4" type="noConversion"/>
  </si>
  <si>
    <t>上海歌行电子科技有限公司</t>
    <phoneticPr fontId="4" type="noConversion"/>
  </si>
  <si>
    <t>智睿企业咨询（深圳）有限公司北京分公司</t>
    <phoneticPr fontId="4" type="noConversion"/>
  </si>
  <si>
    <t>叶睿职业技能培训（上海）有限公司</t>
    <phoneticPr fontId="4" type="noConversion"/>
  </si>
  <si>
    <t>无锡文思海辉信息技术有限公司</t>
    <phoneticPr fontId="4" type="noConversion"/>
  </si>
  <si>
    <t>JV14</t>
    <phoneticPr fontId="4" type="noConversion"/>
  </si>
  <si>
    <t>4月支付</t>
    <phoneticPr fontId="4" type="noConversion"/>
  </si>
  <si>
    <t>4月剩余暂估</t>
    <phoneticPr fontId="4" type="noConversion"/>
  </si>
  <si>
    <t>4月支付</t>
    <phoneticPr fontId="4" type="noConversion"/>
  </si>
  <si>
    <t>4月剩余暂估</t>
    <phoneticPr fontId="4" type="noConversion"/>
  </si>
  <si>
    <r>
      <t>201804</t>
    </r>
    <r>
      <rPr>
        <sz val="10"/>
        <rFont val="宋体"/>
        <family val="3"/>
        <charset val="134"/>
      </rPr>
      <t>月支付</t>
    </r>
    <phoneticPr fontId="21" type="noConversion"/>
  </si>
  <si>
    <t>201804月剩余暂估金额</t>
    <phoneticPr fontId="21" type="noConversion"/>
  </si>
  <si>
    <t>4月支付</t>
    <phoneticPr fontId="22" type="noConversion"/>
  </si>
  <si>
    <r>
      <t>4</t>
    </r>
    <r>
      <rPr>
        <sz val="10"/>
        <rFont val="宋体"/>
        <family val="3"/>
        <charset val="134"/>
      </rPr>
      <t>月剩余应付未付</t>
    </r>
    <phoneticPr fontId="22" type="noConversion"/>
  </si>
  <si>
    <t>CU0411001</t>
    <phoneticPr fontId="21" type="noConversion"/>
  </si>
  <si>
    <t>凭证</t>
    <phoneticPr fontId="21" type="noConversion"/>
  </si>
  <si>
    <t>JV9</t>
    <phoneticPr fontId="21" type="noConversion"/>
  </si>
  <si>
    <t>JV10</t>
    <phoneticPr fontId="21" type="noConversion"/>
  </si>
  <si>
    <t>JV12</t>
    <phoneticPr fontId="22" type="noConversion"/>
  </si>
  <si>
    <t>JV13</t>
    <phoneticPr fontId="4" type="noConversion"/>
  </si>
  <si>
    <t>JV13</t>
    <phoneticPr fontId="22" type="noConversion"/>
  </si>
  <si>
    <t>JV14</t>
    <phoneticPr fontId="4" type="noConversion"/>
  </si>
  <si>
    <t>JV6</t>
    <phoneticPr fontId="4" type="noConversion"/>
  </si>
  <si>
    <t>JV7</t>
    <phoneticPr fontId="4" type="noConversion"/>
  </si>
  <si>
    <t>4月预估应付未付（不含税）</t>
    <phoneticPr fontId="22" type="noConversion"/>
  </si>
  <si>
    <t>CU0207001</t>
    <phoneticPr fontId="4" type="noConversion"/>
  </si>
  <si>
    <t>CU0636001</t>
    <phoneticPr fontId="4" type="noConversion"/>
  </si>
  <si>
    <t>CU0898001</t>
    <phoneticPr fontId="4" type="noConversion"/>
  </si>
  <si>
    <t>CU0937001</t>
  </si>
  <si>
    <t>阿姆斯壮（中国）投资有限公司</t>
    <phoneticPr fontId="4" type="noConversion"/>
  </si>
  <si>
    <t>JV12</t>
    <phoneticPr fontId="4" type="noConversion"/>
  </si>
  <si>
    <t>蓝图创新投资管理（北京）有限公司</t>
    <phoneticPr fontId="4" type="noConversion"/>
  </si>
  <si>
    <t>5月支付</t>
    <phoneticPr fontId="22" type="noConversion"/>
  </si>
  <si>
    <t>5月剩余</t>
    <phoneticPr fontId="22" type="noConversion"/>
  </si>
  <si>
    <t>201805月剩余暂估金额</t>
    <phoneticPr fontId="21" type="noConversion"/>
  </si>
  <si>
    <t>201805月支付</t>
    <phoneticPr fontId="21" type="noConversion"/>
  </si>
  <si>
    <t>05月支付</t>
    <phoneticPr fontId="4" type="noConversion"/>
  </si>
  <si>
    <t>05月剩余暂估</t>
    <phoneticPr fontId="4" type="noConversion"/>
  </si>
  <si>
    <t>JV12</t>
    <phoneticPr fontId="21" type="noConversion"/>
  </si>
  <si>
    <t>JV13</t>
    <phoneticPr fontId="22" type="noConversion"/>
  </si>
  <si>
    <t>JV15</t>
    <phoneticPr fontId="4" type="noConversion"/>
  </si>
  <si>
    <t>JV16</t>
    <phoneticPr fontId="4" type="noConversion"/>
  </si>
  <si>
    <t>JV11</t>
    <phoneticPr fontId="22" type="noConversion"/>
  </si>
  <si>
    <t>JV12</t>
    <phoneticPr fontId="4" type="noConversion"/>
  </si>
  <si>
    <t>JV14</t>
    <phoneticPr fontId="4" type="noConversion"/>
  </si>
  <si>
    <t>JV8</t>
    <phoneticPr fontId="4" type="noConversion"/>
  </si>
  <si>
    <t>JV9</t>
    <phoneticPr fontId="4" type="noConversion"/>
  </si>
  <si>
    <t>JV10</t>
    <phoneticPr fontId="4" type="noConversion"/>
  </si>
  <si>
    <t>5月预估应付未付（不含税）</t>
    <phoneticPr fontId="22" type="noConversion"/>
  </si>
  <si>
    <t>CU0285027</t>
  </si>
  <si>
    <t>宁波才烁</t>
    <phoneticPr fontId="22" type="noConversion"/>
  </si>
  <si>
    <t>CU0794008</t>
  </si>
  <si>
    <t>CU0448003</t>
  </si>
  <si>
    <t>CU0936001</t>
  </si>
  <si>
    <t>文思海辉技术有限公司</t>
    <phoneticPr fontId="4" type="noConversion"/>
  </si>
  <si>
    <t>上海利夫兰企业管理咨询有限公司</t>
    <phoneticPr fontId="4" type="noConversion"/>
  </si>
  <si>
    <t>上海德达德西门诊部有限公司</t>
    <phoneticPr fontId="4" type="noConversion"/>
  </si>
  <si>
    <t>阿克索（上海）企业管理有限公司</t>
    <phoneticPr fontId="4" type="noConversion"/>
  </si>
  <si>
    <t>北京文思海辉金信软件有限公司</t>
    <phoneticPr fontId="4" type="noConversion"/>
  </si>
  <si>
    <t>深圳文思海辉信息技术有限公司</t>
    <phoneticPr fontId="4" type="noConversion"/>
  </si>
  <si>
    <t>南京文思海辉信息技术有限公司</t>
    <phoneticPr fontId="4" type="noConversion"/>
  </si>
  <si>
    <t>成都文思海辉信息技术有限公司</t>
    <phoneticPr fontId="4" type="noConversion"/>
  </si>
  <si>
    <t>大连文思海辉信息技术有限公司工会委员会</t>
    <phoneticPr fontId="4" type="noConversion"/>
  </si>
  <si>
    <t>文思海辉技术有限公司杭州分公司工会委员会</t>
    <phoneticPr fontId="4" type="noConversion"/>
  </si>
  <si>
    <t>JV19</t>
    <phoneticPr fontId="4" type="noConversion"/>
  </si>
  <si>
    <t>北京蓝色印象品牌顾问有限公司</t>
    <phoneticPr fontId="4" type="noConversion"/>
  </si>
  <si>
    <t>浩仲六弈（上海）网络科技有限公司</t>
    <phoneticPr fontId="4" type="noConversion"/>
  </si>
  <si>
    <t>西藏康馨药业有限公司</t>
    <phoneticPr fontId="4" type="noConversion"/>
  </si>
  <si>
    <t>06月支付</t>
    <phoneticPr fontId="4" type="noConversion"/>
  </si>
  <si>
    <t>06月剩余暂估</t>
    <phoneticPr fontId="4" type="noConversion"/>
  </si>
  <si>
    <t>06月支付</t>
    <phoneticPr fontId="22" type="noConversion"/>
  </si>
  <si>
    <t>06月剩余暂估</t>
    <phoneticPr fontId="22" type="noConversion"/>
  </si>
  <si>
    <t>上海才烁</t>
    <phoneticPr fontId="4" type="noConversion"/>
  </si>
  <si>
    <t>凯易讯网络技术开发（南京）有限公司</t>
  </si>
  <si>
    <t>昆山才烁</t>
    <phoneticPr fontId="4" type="noConversion"/>
  </si>
  <si>
    <t>常熟才烁</t>
    <phoneticPr fontId="4" type="noConversion"/>
  </si>
  <si>
    <t>CU0448004</t>
  </si>
  <si>
    <t>多盟睿达科技（中国）有限公司</t>
  </si>
  <si>
    <t>CU0448005</t>
  </si>
  <si>
    <t>蓝色光标（天津）移动互联网络科技有限公司</t>
  </si>
  <si>
    <t>紫光电子商务有限公司</t>
  </si>
  <si>
    <t>07月支付</t>
    <phoneticPr fontId="22" type="noConversion"/>
  </si>
  <si>
    <t>07月剩余暂估</t>
    <phoneticPr fontId="22" type="noConversion"/>
  </si>
  <si>
    <t>07月支付</t>
    <phoneticPr fontId="4" type="noConversion"/>
  </si>
  <si>
    <t>07月剩余暂估</t>
    <phoneticPr fontId="4" type="noConversion"/>
  </si>
  <si>
    <t>07月剩余暂估</t>
    <phoneticPr fontId="4" type="noConversion"/>
  </si>
  <si>
    <t>07月支付</t>
    <phoneticPr fontId="4" type="noConversion"/>
  </si>
  <si>
    <t>JV13</t>
    <phoneticPr fontId="21" type="noConversion"/>
  </si>
  <si>
    <t>JV14</t>
    <phoneticPr fontId="22" type="noConversion"/>
  </si>
  <si>
    <t>JV15</t>
    <phoneticPr fontId="4" type="noConversion"/>
  </si>
  <si>
    <t>JV10</t>
    <phoneticPr fontId="22" type="noConversion"/>
  </si>
  <si>
    <t>JV11</t>
    <phoneticPr fontId="4" type="noConversion"/>
  </si>
  <si>
    <t>JV6</t>
    <phoneticPr fontId="4" type="noConversion"/>
  </si>
  <si>
    <t>JV11</t>
    <phoneticPr fontId="4" type="noConversion"/>
  </si>
  <si>
    <t>6月预估应付未付（不含税）</t>
    <phoneticPr fontId="22" type="noConversion"/>
  </si>
  <si>
    <t>JV47</t>
    <phoneticPr fontId="28" type="noConversion"/>
  </si>
  <si>
    <t>JV21</t>
    <phoneticPr fontId="28" type="noConversion"/>
  </si>
  <si>
    <t>日立保险代理（中国）有限公司</t>
    <phoneticPr fontId="28" type="noConversion"/>
  </si>
  <si>
    <t>克鲁勃润滑产品（上海）有限公司</t>
    <phoneticPr fontId="28" type="noConversion"/>
  </si>
  <si>
    <t>CU0351002</t>
    <phoneticPr fontId="28" type="noConversion"/>
  </si>
  <si>
    <t>克鲁勃润滑剂（上海）有限公司</t>
    <phoneticPr fontId="28" type="noConversion"/>
  </si>
  <si>
    <t>CU0468001</t>
    <phoneticPr fontId="28" type="noConversion"/>
  </si>
  <si>
    <t>包商银行股份有限公司</t>
    <phoneticPr fontId="28" type="noConversion"/>
  </si>
  <si>
    <t>CU0769001</t>
    <phoneticPr fontId="28" type="noConversion"/>
  </si>
  <si>
    <t>思童嘉商贸（上海）有限公司</t>
    <phoneticPr fontId="28" type="noConversion"/>
  </si>
  <si>
    <t>CU0782001</t>
    <phoneticPr fontId="28" type="noConversion"/>
  </si>
  <si>
    <t>天职工程咨询股份有限公司</t>
    <phoneticPr fontId="28" type="noConversion"/>
  </si>
  <si>
    <t>CU0869001</t>
    <phoneticPr fontId="28" type="noConversion"/>
  </si>
  <si>
    <t>智睿企业咨询（深圳）有限公司</t>
    <phoneticPr fontId="28" type="noConversion"/>
  </si>
  <si>
    <t>CU0869002</t>
    <phoneticPr fontId="28" type="noConversion"/>
  </si>
  <si>
    <t>智睿企业咨询（深圳）有限公司北京分公司</t>
    <phoneticPr fontId="28" type="noConversion"/>
  </si>
  <si>
    <t>CU0869003</t>
    <phoneticPr fontId="28" type="noConversion"/>
  </si>
  <si>
    <t>智睿企业咨询（深圳）有限公司上海分公司</t>
    <phoneticPr fontId="28" type="noConversion"/>
  </si>
  <si>
    <t>叶睿职业技能培训（上海）有限公司</t>
    <phoneticPr fontId="28" type="noConversion"/>
  </si>
  <si>
    <t>CU0869005</t>
    <phoneticPr fontId="28" type="noConversion"/>
  </si>
  <si>
    <t>盖璞（北京）商业有限公司</t>
    <phoneticPr fontId="28" type="noConversion"/>
  </si>
  <si>
    <t>CU0340003</t>
    <phoneticPr fontId="28" type="noConversion"/>
  </si>
  <si>
    <t>厦门蓝图创金投资有限公司</t>
    <phoneticPr fontId="28" type="noConversion"/>
  </si>
  <si>
    <t>CU0448006</t>
    <phoneticPr fontId="28" type="noConversion"/>
  </si>
  <si>
    <t>北京今久广告传播有限责任公司</t>
    <phoneticPr fontId="28" type="noConversion"/>
  </si>
  <si>
    <t>CU0448010</t>
    <phoneticPr fontId="28" type="noConversion"/>
  </si>
  <si>
    <t>新疆昆仑美达供应链管理有限公司</t>
    <phoneticPr fontId="28" type="noConversion"/>
  </si>
  <si>
    <t>CU0822002</t>
    <phoneticPr fontId="28" type="noConversion"/>
  </si>
  <si>
    <t>恩德斯豪斯（中国）自动化有限公司</t>
    <phoneticPr fontId="28" type="noConversion"/>
  </si>
  <si>
    <t>CU0884001</t>
    <phoneticPr fontId="28" type="noConversion"/>
  </si>
  <si>
    <t>苏州凯爱健康科技有限公司</t>
    <phoneticPr fontId="28" type="noConversion"/>
  </si>
  <si>
    <t>CU0892001</t>
    <phoneticPr fontId="28" type="noConversion"/>
  </si>
  <si>
    <t>上海阿特门计算机技术有限公司</t>
    <phoneticPr fontId="28" type="noConversion"/>
  </si>
  <si>
    <t>CU0903001</t>
    <phoneticPr fontId="28" type="noConversion"/>
  </si>
  <si>
    <t>浩仲六弈（上海）网络科技有限公司</t>
    <phoneticPr fontId="4" type="noConversion"/>
  </si>
  <si>
    <t>CU0936001</t>
    <phoneticPr fontId="28" type="noConversion"/>
  </si>
  <si>
    <t>0103</t>
    <phoneticPr fontId="28" type="noConversion"/>
  </si>
  <si>
    <t>薪得付信息技术（上海）有限公司</t>
    <phoneticPr fontId="28" type="noConversion"/>
  </si>
  <si>
    <t>JV29</t>
    <phoneticPr fontId="28" type="noConversion"/>
  </si>
  <si>
    <t>拉格代尔商业（上海）有限公司</t>
    <phoneticPr fontId="28" type="noConversion"/>
  </si>
  <si>
    <t>08月支付</t>
  </si>
  <si>
    <t>08月支付</t>
    <phoneticPr fontId="4" type="noConversion"/>
  </si>
  <si>
    <t>08月剩余暂估</t>
  </si>
  <si>
    <t>08月剩余暂估</t>
    <phoneticPr fontId="4" type="noConversion"/>
  </si>
  <si>
    <t>08月支付</t>
    <phoneticPr fontId="4" type="noConversion"/>
  </si>
  <si>
    <t>08月剩余暂估</t>
    <phoneticPr fontId="4" type="noConversion"/>
  </si>
  <si>
    <t>08月支付</t>
    <phoneticPr fontId="22" type="noConversion"/>
  </si>
  <si>
    <t>08月剩余暂估</t>
    <phoneticPr fontId="22" type="noConversion"/>
  </si>
  <si>
    <t>JV11</t>
    <phoneticPr fontId="4" type="noConversion"/>
  </si>
  <si>
    <t>JV12</t>
    <phoneticPr fontId="4" type="noConversion"/>
  </si>
  <si>
    <t>JV15</t>
    <phoneticPr fontId="28" type="noConversion"/>
  </si>
  <si>
    <t>JV29</t>
    <phoneticPr fontId="22" type="noConversion"/>
  </si>
  <si>
    <t>JV30</t>
    <phoneticPr fontId="4" type="noConversion"/>
  </si>
  <si>
    <t>JV31</t>
    <phoneticPr fontId="4" type="noConversion"/>
  </si>
  <si>
    <t>JV34</t>
    <phoneticPr fontId="28" type="noConversion"/>
  </si>
  <si>
    <t>JV11</t>
    <phoneticPr fontId="22" type="noConversion"/>
  </si>
  <si>
    <t>JV13</t>
    <phoneticPr fontId="4" type="noConversion"/>
  </si>
  <si>
    <t>JV16</t>
    <phoneticPr fontId="28" type="noConversion"/>
  </si>
  <si>
    <t>07月剩余暂估</t>
    <phoneticPr fontId="4" type="noConversion"/>
  </si>
  <si>
    <t>JV19</t>
    <phoneticPr fontId="21" type="noConversion"/>
  </si>
  <si>
    <t>JV20</t>
    <phoneticPr fontId="21" type="noConversion"/>
  </si>
  <si>
    <t>JV21</t>
    <phoneticPr fontId="21" type="noConversion"/>
  </si>
  <si>
    <t>JV22</t>
    <phoneticPr fontId="21" type="noConversion"/>
  </si>
  <si>
    <t>7月预估应付未付（不含税）</t>
  </si>
  <si>
    <t>CU0720001</t>
  </si>
  <si>
    <t>北京蓝色印象品牌顾问有限公司</t>
  </si>
  <si>
    <t>CU0448006</t>
  </si>
  <si>
    <t>厦门蓝图创金投资有限公司</t>
  </si>
  <si>
    <t>CU0448009</t>
  </si>
  <si>
    <t>CU0448010</t>
  </si>
  <si>
    <t>北京今久广告传播有限责任公司</t>
  </si>
  <si>
    <t>CU0448011</t>
  </si>
  <si>
    <t>JV61</t>
    <phoneticPr fontId="30" type="noConversion"/>
  </si>
  <si>
    <t>天职（北京）国际工程项目管理有限公司</t>
    <phoneticPr fontId="30" type="noConversion"/>
  </si>
  <si>
    <t>JV23</t>
    <phoneticPr fontId="30" type="noConversion"/>
  </si>
  <si>
    <t>蓝色光标（天津）移动互联科技有限公司</t>
    <phoneticPr fontId="30" type="noConversion"/>
  </si>
  <si>
    <t>精准阳光（北京）传媒广告有限公司</t>
    <phoneticPr fontId="30" type="noConversion"/>
  </si>
  <si>
    <t>北京榕华蓝拓投资管理有限公司</t>
    <phoneticPr fontId="30" type="noConversion"/>
  </si>
  <si>
    <t>上海卫展医院管理有限公司</t>
    <phoneticPr fontId="30" type="noConversion"/>
  </si>
  <si>
    <t>CU0812000</t>
    <phoneticPr fontId="30" type="noConversion"/>
  </si>
  <si>
    <t>恩派</t>
    <phoneticPr fontId="30" type="noConversion"/>
  </si>
  <si>
    <t>智睿企业咨询（深圳）有限公司上海分公司</t>
    <phoneticPr fontId="30" type="noConversion"/>
  </si>
  <si>
    <t>CU0869003</t>
    <phoneticPr fontId="30" type="noConversion"/>
  </si>
  <si>
    <t>JV29</t>
    <phoneticPr fontId="30" type="noConversion"/>
  </si>
  <si>
    <t>JV32</t>
    <phoneticPr fontId="30" type="noConversion"/>
  </si>
  <si>
    <t>09月支付</t>
    <phoneticPr fontId="4" type="noConversion"/>
  </si>
  <si>
    <t>09月剩余暂估</t>
    <phoneticPr fontId="4" type="noConversion"/>
  </si>
  <si>
    <t>09月支付</t>
    <phoneticPr fontId="22" type="noConversion"/>
  </si>
  <si>
    <t>09月剩余暂估</t>
    <phoneticPr fontId="22" type="noConversion"/>
  </si>
  <si>
    <t>JV35</t>
    <phoneticPr fontId="22" type="noConversion"/>
  </si>
  <si>
    <t>JV36</t>
    <phoneticPr fontId="4" type="noConversion"/>
  </si>
  <si>
    <t>JV37</t>
    <phoneticPr fontId="4" type="noConversion"/>
  </si>
  <si>
    <t>JV38</t>
    <phoneticPr fontId="4" type="noConversion"/>
  </si>
  <si>
    <t>JV39</t>
    <phoneticPr fontId="4" type="noConversion"/>
  </si>
  <si>
    <t>JV40</t>
    <phoneticPr fontId="28" type="noConversion"/>
  </si>
  <si>
    <t>JV41</t>
    <phoneticPr fontId="30" type="noConversion"/>
  </si>
  <si>
    <t>08月剩余暂估</t>
    <phoneticPr fontId="4" type="noConversion"/>
  </si>
  <si>
    <t>JV12</t>
    <phoneticPr fontId="22" type="noConversion"/>
  </si>
  <si>
    <t>JV13</t>
    <phoneticPr fontId="4" type="noConversion"/>
  </si>
  <si>
    <t>JV14</t>
    <phoneticPr fontId="4" type="noConversion"/>
  </si>
  <si>
    <t>JV15</t>
    <phoneticPr fontId="4" type="noConversion"/>
  </si>
  <si>
    <t>JV16</t>
    <phoneticPr fontId="4" type="noConversion"/>
  </si>
  <si>
    <t>JV17</t>
    <phoneticPr fontId="28" type="noConversion"/>
  </si>
  <si>
    <t>JV18</t>
    <phoneticPr fontId="30" type="noConversion"/>
  </si>
  <si>
    <t>JV18</t>
    <phoneticPr fontId="4" type="noConversion"/>
  </si>
  <si>
    <t>JV19</t>
    <phoneticPr fontId="4" type="noConversion"/>
  </si>
  <si>
    <t>JV20</t>
    <phoneticPr fontId="4" type="noConversion"/>
  </si>
  <si>
    <t>JV21</t>
    <phoneticPr fontId="4" type="noConversion"/>
  </si>
  <si>
    <t>JV22</t>
    <phoneticPr fontId="28" type="noConversion"/>
  </si>
  <si>
    <t>JV23</t>
    <phoneticPr fontId="30" type="noConversion"/>
  </si>
  <si>
    <t>8月预估应付未付（不含税）</t>
    <phoneticPr fontId="33" type="noConversion"/>
  </si>
  <si>
    <t>JV23</t>
    <phoneticPr fontId="33" type="noConversion"/>
  </si>
  <si>
    <t>JV54</t>
    <phoneticPr fontId="33" type="noConversion"/>
  </si>
  <si>
    <t>CU0812005</t>
  </si>
  <si>
    <t>上海知行社区发展服务中心</t>
  </si>
  <si>
    <t>CU0812006</t>
  </si>
  <si>
    <t>成都高新区安逸舍社区服务中心</t>
  </si>
  <si>
    <t>CU0812007</t>
  </si>
  <si>
    <t>南京恩派非营利组织发展中心</t>
  </si>
  <si>
    <t>CU0812008</t>
  </si>
  <si>
    <t>益博云天（北京）科技有限公司</t>
  </si>
  <si>
    <t>CU0812010</t>
  </si>
  <si>
    <t>北京里仁社区建设促进中心</t>
  </si>
  <si>
    <t>CU0812011</t>
  </si>
  <si>
    <t>珠海恩派非营利组织发展中心</t>
  </si>
  <si>
    <t>CU0812012</t>
  </si>
  <si>
    <t>武汉恩派社会创新发展中心</t>
  </si>
  <si>
    <t>CU0812013</t>
  </si>
  <si>
    <t>赢虎（上海）网络科技有限公司</t>
  </si>
  <si>
    <t>CU0812014</t>
  </si>
  <si>
    <t>天津恩派社会组织培育服务中心</t>
  </si>
  <si>
    <t>CU0812016</t>
  </si>
  <si>
    <t>北京市西城区恩派非营利组织发展中心</t>
  </si>
  <si>
    <t>CU0812019</t>
  </si>
  <si>
    <t>广州市恩派社会组织发展中心</t>
  </si>
  <si>
    <t>CU0812020</t>
  </si>
  <si>
    <t>东莞恩派非营利组织发展中心</t>
  </si>
  <si>
    <t>紫光融资租赁有限公司</t>
  </si>
  <si>
    <t>JV35</t>
    <phoneticPr fontId="33" type="noConversion"/>
  </si>
  <si>
    <t>10月支付</t>
    <phoneticPr fontId="22" type="noConversion"/>
  </si>
  <si>
    <t>10月剩余暂估</t>
    <phoneticPr fontId="22" type="noConversion"/>
  </si>
  <si>
    <t>10月支付</t>
    <phoneticPr fontId="22" type="noConversion"/>
  </si>
  <si>
    <t>10月剩余暂估</t>
    <phoneticPr fontId="22" type="noConversion"/>
  </si>
  <si>
    <t>9月预估应付未付（不含税）</t>
    <phoneticPr fontId="33" type="noConversion"/>
  </si>
  <si>
    <t>JV55</t>
    <phoneticPr fontId="4" type="noConversion"/>
  </si>
  <si>
    <t>CU0448015</t>
  </si>
  <si>
    <t>CU0822002</t>
  </si>
  <si>
    <t>CU0824001</t>
  </si>
  <si>
    <t>CU0904000</t>
  </si>
  <si>
    <t>CU1015001</t>
  </si>
  <si>
    <t>CU1048001</t>
  </si>
  <si>
    <t>CU1048002</t>
  </si>
  <si>
    <t>CU1050001</t>
  </si>
  <si>
    <t>日立保险代理（中国）有限公司</t>
    <phoneticPr fontId="46" type="noConversion"/>
  </si>
  <si>
    <t>普拉达时装商业（上海）有限公司</t>
    <phoneticPr fontId="46" type="noConversion"/>
  </si>
  <si>
    <t>阿姆斯壮（中国）投资有限公司</t>
    <phoneticPr fontId="46" type="noConversion"/>
  </si>
  <si>
    <t>阿姆斯壮世界工业（中国）有限公司</t>
    <phoneticPr fontId="46" type="noConversion"/>
  </si>
  <si>
    <t>艾绰（北京）商贸有限公司</t>
    <phoneticPr fontId="46" type="noConversion"/>
  </si>
  <si>
    <t>丘奇鞋业（上海）有限公司</t>
    <phoneticPr fontId="46" type="noConversion"/>
  </si>
  <si>
    <t>CU0285000</t>
    <phoneticPr fontId="46" type="noConversion"/>
  </si>
  <si>
    <t>文思海辉</t>
    <phoneticPr fontId="46" type="noConversion"/>
  </si>
  <si>
    <t>德莎国际货运代理（上海）有限公司</t>
    <phoneticPr fontId="46" type="noConversion"/>
  </si>
  <si>
    <t>北京蓝色印象品牌顾问有限公司</t>
    <phoneticPr fontId="46" type="noConversion"/>
  </si>
  <si>
    <t>蓝色光标（天津）移动互联科技有限公司</t>
    <phoneticPr fontId="46" type="noConversion"/>
  </si>
  <si>
    <t>厦门蓝图创金投资有限公司</t>
    <phoneticPr fontId="46" type="noConversion"/>
  </si>
  <si>
    <t>精准阳光（北京）传媒广告有限公司</t>
    <phoneticPr fontId="46" type="noConversion"/>
  </si>
  <si>
    <t>北京今久广告传播有限责任公司</t>
    <phoneticPr fontId="46" type="noConversion"/>
  </si>
  <si>
    <t>北京蓝色光标数据科技股份有限公司</t>
    <phoneticPr fontId="46" type="noConversion"/>
  </si>
  <si>
    <t>绿谷</t>
    <phoneticPr fontId="46" type="noConversion"/>
  </si>
  <si>
    <t>北京博禹国际顾问有限公司</t>
    <phoneticPr fontId="46" type="noConversion"/>
  </si>
  <si>
    <t>沃越品牌管理（上海）有限公司</t>
    <phoneticPr fontId="46" type="noConversion"/>
  </si>
  <si>
    <t>欧尚（中国）投资有限公司</t>
    <phoneticPr fontId="46" type="noConversion"/>
  </si>
  <si>
    <t>北京华点云生物科技有限公司</t>
    <phoneticPr fontId="46" type="noConversion"/>
  </si>
  <si>
    <t>CU0782000</t>
    <phoneticPr fontId="46" type="noConversion"/>
  </si>
  <si>
    <t>天职集团</t>
    <phoneticPr fontId="46" type="noConversion"/>
  </si>
  <si>
    <t>美克国际家居用品股份有限公司</t>
    <phoneticPr fontId="46" type="noConversion"/>
  </si>
  <si>
    <t>新疆昆仑美达供应链管理有限公司</t>
    <phoneticPr fontId="46" type="noConversion"/>
  </si>
  <si>
    <t>苏州舒尔贸易有限公司</t>
    <phoneticPr fontId="46" type="noConversion"/>
  </si>
  <si>
    <t>紫光集团</t>
    <phoneticPr fontId="46" type="noConversion"/>
  </si>
  <si>
    <t>上海德筑企业管理有限公司</t>
    <phoneticPr fontId="46" type="noConversion"/>
  </si>
  <si>
    <t>奥托博克（中国）工业有限公司</t>
    <phoneticPr fontId="46" type="noConversion"/>
  </si>
  <si>
    <t>北京奥博斯创机械设备制造有限公司</t>
    <phoneticPr fontId="46" type="noConversion"/>
  </si>
  <si>
    <t>华润万家有限公司</t>
    <phoneticPr fontId="46" type="noConversion"/>
  </si>
  <si>
    <t>上海蔚真企业管理咨询有限公司</t>
    <phoneticPr fontId="46" type="noConversion"/>
  </si>
  <si>
    <t>CU0812000</t>
    <phoneticPr fontId="46" type="noConversion"/>
  </si>
  <si>
    <t>恩派</t>
    <phoneticPr fontId="46" type="noConversion"/>
  </si>
  <si>
    <t>CU0963000</t>
    <phoneticPr fontId="46" type="noConversion"/>
  </si>
  <si>
    <t>上海瑞慈门诊</t>
  </si>
  <si>
    <t>JV27</t>
    <phoneticPr fontId="4" type="noConversion"/>
  </si>
  <si>
    <t>上海卫展医院管理有限公司</t>
    <phoneticPr fontId="4" type="noConversion"/>
  </si>
  <si>
    <t>苏州凯爱健康科技有限公司</t>
    <phoneticPr fontId="4" type="noConversion"/>
  </si>
  <si>
    <t>紫光集团</t>
    <phoneticPr fontId="4" type="noConversion"/>
  </si>
  <si>
    <t>浩仲六弈（上海）网络科技有限公司</t>
    <phoneticPr fontId="4" type="noConversion"/>
  </si>
  <si>
    <t>JV38</t>
    <phoneticPr fontId="4" type="noConversion"/>
  </si>
  <si>
    <t>10月支付</t>
    <phoneticPr fontId="4" type="noConversion"/>
  </si>
  <si>
    <t>10月剩余暂估</t>
    <phoneticPr fontId="4" type="noConversion"/>
  </si>
  <si>
    <t>11月支付</t>
    <phoneticPr fontId="22" type="noConversion"/>
  </si>
  <si>
    <t>11月剩余暂估</t>
    <phoneticPr fontId="22" type="noConversion"/>
  </si>
  <si>
    <t>09月支付</t>
    <phoneticPr fontId="4" type="noConversion"/>
  </si>
  <si>
    <t>09月剩余暂估</t>
    <phoneticPr fontId="4" type="noConversion"/>
  </si>
  <si>
    <t>JV14</t>
    <phoneticPr fontId="21" type="noConversion"/>
  </si>
  <si>
    <t>JV16</t>
    <phoneticPr fontId="21" type="noConversion"/>
  </si>
  <si>
    <t>JV17</t>
    <phoneticPr fontId="21" type="noConversion"/>
  </si>
  <si>
    <t>JV15</t>
    <phoneticPr fontId="21" type="noConversion"/>
  </si>
  <si>
    <t>JV18</t>
    <phoneticPr fontId="22" type="noConversion"/>
  </si>
  <si>
    <t>JV19</t>
    <phoneticPr fontId="4" type="noConversion"/>
  </si>
  <si>
    <t>JV20</t>
    <phoneticPr fontId="4" type="noConversion"/>
  </si>
  <si>
    <t>JV21</t>
    <phoneticPr fontId="4" type="noConversion"/>
  </si>
  <si>
    <t>JV22</t>
    <phoneticPr fontId="4" type="noConversion"/>
  </si>
  <si>
    <t>JV23</t>
    <phoneticPr fontId="28" type="noConversion"/>
  </si>
  <si>
    <t>JV24</t>
    <phoneticPr fontId="30" type="noConversion"/>
  </si>
  <si>
    <t>JV25</t>
    <phoneticPr fontId="33" type="noConversion"/>
  </si>
  <si>
    <t>JV48</t>
    <phoneticPr fontId="22" type="noConversion"/>
  </si>
  <si>
    <t>JV47</t>
    <phoneticPr fontId="4" type="noConversion"/>
  </si>
  <si>
    <t>JV46</t>
    <phoneticPr fontId="4" type="noConversion"/>
  </si>
  <si>
    <t>JV45</t>
    <phoneticPr fontId="4" type="noConversion"/>
  </si>
  <si>
    <t>JV44</t>
    <phoneticPr fontId="4" type="noConversion"/>
  </si>
  <si>
    <t>JV43</t>
    <phoneticPr fontId="28" type="noConversion"/>
  </si>
  <si>
    <t>JV42</t>
    <phoneticPr fontId="30" type="noConversion"/>
  </si>
  <si>
    <t>JV41</t>
    <phoneticPr fontId="33" type="noConversion"/>
  </si>
  <si>
    <t>JV27</t>
    <phoneticPr fontId="4" type="noConversion"/>
  </si>
  <si>
    <t>JV28</t>
    <phoneticPr fontId="4" type="noConversion"/>
  </si>
  <si>
    <t>JV29</t>
    <phoneticPr fontId="4" type="noConversion"/>
  </si>
  <si>
    <t>JV30</t>
    <phoneticPr fontId="4" type="noConversion"/>
  </si>
  <si>
    <t>JV31</t>
    <phoneticPr fontId="28" type="noConversion"/>
  </si>
  <si>
    <t>JV32</t>
    <phoneticPr fontId="30" type="noConversion"/>
  </si>
  <si>
    <t>JV32</t>
    <phoneticPr fontId="30" type="noConversion"/>
  </si>
  <si>
    <t>JV33</t>
    <phoneticPr fontId="33" type="noConversion"/>
  </si>
  <si>
    <t>JV25</t>
    <phoneticPr fontId="4" type="noConversion"/>
  </si>
  <si>
    <t>JV26</t>
    <phoneticPr fontId="4" type="noConversion"/>
  </si>
  <si>
    <t>JV27</t>
    <phoneticPr fontId="4" type="noConversion"/>
  </si>
  <si>
    <t>JV28</t>
    <phoneticPr fontId="4" type="noConversion"/>
  </si>
  <si>
    <t>JV29</t>
    <phoneticPr fontId="28" type="noConversion"/>
  </si>
  <si>
    <t>JV30</t>
    <phoneticPr fontId="30" type="noConversion"/>
  </si>
  <si>
    <t>JV31</t>
    <phoneticPr fontId="33" type="noConversion"/>
  </si>
  <si>
    <t>JV32</t>
    <phoneticPr fontId="4" type="noConversion"/>
  </si>
  <si>
    <t>JV38</t>
    <phoneticPr fontId="22" type="noConversion"/>
  </si>
  <si>
    <t>JV39</t>
    <phoneticPr fontId="4" type="noConversion"/>
  </si>
  <si>
    <t>JV40</t>
    <phoneticPr fontId="4" type="noConversion"/>
  </si>
  <si>
    <t>JV41</t>
    <phoneticPr fontId="4" type="noConversion"/>
  </si>
  <si>
    <t>JV42</t>
    <phoneticPr fontId="4" type="noConversion"/>
  </si>
  <si>
    <t>JV44</t>
    <phoneticPr fontId="30" type="noConversion"/>
  </si>
  <si>
    <t>JV45</t>
    <phoneticPr fontId="33" type="noConversion"/>
  </si>
  <si>
    <t>JV46</t>
    <phoneticPr fontId="4" type="noConversion"/>
  </si>
  <si>
    <t>JV19</t>
    <phoneticPr fontId="4" type="noConversion"/>
  </si>
  <si>
    <t>JV26</t>
    <phoneticPr fontId="4" type="noConversion"/>
  </si>
  <si>
    <t>10月支付</t>
    <phoneticPr fontId="4" type="noConversion"/>
  </si>
  <si>
    <t>10月剩余暂估</t>
    <phoneticPr fontId="4" type="noConversion"/>
  </si>
  <si>
    <t>JV27</t>
    <phoneticPr fontId="21" type="noConversion"/>
  </si>
  <si>
    <t>JV28</t>
    <phoneticPr fontId="21" type="noConversion"/>
  </si>
  <si>
    <t>JV29</t>
    <phoneticPr fontId="21" type="noConversion"/>
  </si>
  <si>
    <t>JV30</t>
    <phoneticPr fontId="21" type="noConversion"/>
  </si>
  <si>
    <t>10月预估应付未付（不含税）</t>
    <phoneticPr fontId="33" type="noConversion"/>
  </si>
  <si>
    <t>10月预估应付未付（不含税）</t>
    <phoneticPr fontId="33" type="noConversion"/>
  </si>
  <si>
    <t>普拉达时装商业（上海）有限公司</t>
    <phoneticPr fontId="48" type="noConversion"/>
  </si>
  <si>
    <t>JV33</t>
    <phoneticPr fontId="4" type="noConversion"/>
  </si>
  <si>
    <t>克鲁勃润滑产品（上海）有限公司</t>
    <phoneticPr fontId="48" type="noConversion"/>
  </si>
  <si>
    <t>北京蓝色印象品牌顾问有限公司</t>
    <phoneticPr fontId="48" type="noConversion"/>
  </si>
  <si>
    <t>CU0468002</t>
  </si>
  <si>
    <t>包商银行股份有限公司兴安盟分行</t>
  </si>
  <si>
    <t>恩思恩时尚（中国）商贸有限公司</t>
    <phoneticPr fontId="48" type="noConversion"/>
  </si>
  <si>
    <t>北京杰迪安尔科技有限公司</t>
    <phoneticPr fontId="48" type="noConversion"/>
  </si>
  <si>
    <t>天职集团</t>
    <phoneticPr fontId="48" type="noConversion"/>
  </si>
  <si>
    <t>CU0812002</t>
  </si>
  <si>
    <t>上海屋里厢社区服务中心</t>
  </si>
  <si>
    <t>美克国际家居用品股份有限公司</t>
    <phoneticPr fontId="48" type="noConversion"/>
  </si>
  <si>
    <t>凯杰生物工程（深圳）有限公司</t>
    <phoneticPr fontId="48" type="noConversion"/>
  </si>
  <si>
    <t>苏州舒尔贸易有限公司</t>
    <phoneticPr fontId="48" type="noConversion"/>
  </si>
  <si>
    <t>苏州凯爱健康科技有限公司</t>
  </si>
  <si>
    <t>CU1013001</t>
  </si>
  <si>
    <t>喜利得（中国）商贸有限公司</t>
    <phoneticPr fontId="48" type="noConversion"/>
  </si>
  <si>
    <t>CU1054001</t>
  </si>
  <si>
    <t>北京金未来金融信息服务有限公司</t>
    <phoneticPr fontId="48" type="noConversion"/>
  </si>
  <si>
    <t>CU1067001</t>
  </si>
  <si>
    <t>三诺生物传感股份有限公司</t>
    <phoneticPr fontId="48" type="noConversion"/>
  </si>
  <si>
    <t>JV57</t>
    <phoneticPr fontId="4" type="noConversion"/>
  </si>
  <si>
    <t>JV39</t>
    <phoneticPr fontId="4" type="noConversion"/>
  </si>
  <si>
    <t>宁波才烁</t>
    <phoneticPr fontId="22" type="noConversion"/>
  </si>
  <si>
    <t>CU1056001</t>
  </si>
  <si>
    <t>吉林津升盈凯营销管理有限公司</t>
  </si>
  <si>
    <t>JV34</t>
    <phoneticPr fontId="4" type="noConversion"/>
  </si>
  <si>
    <t>CU0937001</t>
    <phoneticPr fontId="48" type="noConversion"/>
  </si>
  <si>
    <t>CU0813001</t>
    <phoneticPr fontId="4" type="noConversion"/>
  </si>
  <si>
    <t>北京陌陌信息技术有限公司</t>
    <phoneticPr fontId="48" type="noConversion"/>
  </si>
  <si>
    <t>蓝图创新投资管理（北京）有限公司</t>
    <phoneticPr fontId="4" type="noConversion"/>
  </si>
  <si>
    <t>11月支付</t>
    <phoneticPr fontId="4" type="noConversion"/>
  </si>
  <si>
    <t>11月剩余暂估</t>
    <phoneticPr fontId="4" type="noConversion"/>
  </si>
  <si>
    <t>11月支付</t>
    <phoneticPr fontId="22" type="noConversion"/>
  </si>
  <si>
    <t>11月剩余暂估</t>
    <phoneticPr fontId="22" type="noConversion"/>
  </si>
  <si>
    <t>11月支付</t>
    <phoneticPr fontId="22" type="noConversion"/>
  </si>
  <si>
    <t>11月剩余暂估</t>
    <phoneticPr fontId="22" type="noConversion"/>
  </si>
  <si>
    <t>11月支付</t>
    <phoneticPr fontId="4" type="noConversion"/>
  </si>
  <si>
    <t>11月剩余暂估</t>
    <phoneticPr fontId="4" type="noConversion"/>
  </si>
  <si>
    <t>11月支付</t>
    <phoneticPr fontId="4" type="noConversion"/>
  </si>
  <si>
    <t>11月剩余暂估</t>
    <phoneticPr fontId="4" type="noConversion"/>
  </si>
  <si>
    <t>12月支付</t>
    <phoneticPr fontId="22" type="noConversion"/>
  </si>
  <si>
    <t>12月剩余暂估</t>
    <phoneticPr fontId="22" type="noConversion"/>
  </si>
  <si>
    <t>11月预估应付未付（不含税）</t>
  </si>
  <si>
    <t>CU0145001</t>
  </si>
  <si>
    <t>新疆昆仑美达供应链管理有限公司</t>
  </si>
  <si>
    <t>CU1034001</t>
  </si>
  <si>
    <t>CU1065002</t>
  </si>
  <si>
    <t>CU1075001</t>
  </si>
  <si>
    <t>CU1082001</t>
  </si>
  <si>
    <t>CU0432013</t>
  </si>
  <si>
    <t>JV58</t>
    <phoneticPr fontId="4" type="noConversion"/>
  </si>
  <si>
    <t>软通动力技术服务有限公司</t>
    <phoneticPr fontId="4" type="noConversion"/>
  </si>
  <si>
    <t>锐珂亚太投资管理（上海）有限公司</t>
    <phoneticPr fontId="4" type="noConversion"/>
  </si>
  <si>
    <t>上海华新顿阿姆斯壮金属制品有限公司</t>
    <phoneticPr fontId="4" type="noConversion"/>
  </si>
  <si>
    <t>北京杰迪安尔科技有限公司</t>
    <phoneticPr fontId="4" type="noConversion"/>
  </si>
  <si>
    <t>上海博禹人力资源管理有限公司</t>
    <phoneticPr fontId="4" type="noConversion"/>
  </si>
  <si>
    <t>CU0812000</t>
    <phoneticPr fontId="4" type="noConversion"/>
  </si>
  <si>
    <t>恩派</t>
    <phoneticPr fontId="4" type="noConversion"/>
  </si>
  <si>
    <t>凯杰生物工程（深圳）有限公司</t>
    <phoneticPr fontId="4" type="noConversion"/>
  </si>
  <si>
    <t>天根生化科技（北京）有限公司</t>
    <phoneticPr fontId="4" type="noConversion"/>
  </si>
  <si>
    <t>北京天信宏达科技有限公司</t>
    <phoneticPr fontId="4" type="noConversion"/>
  </si>
  <si>
    <t>奥托博克（中国）工业有限公司</t>
    <phoneticPr fontId="4" type="noConversion"/>
  </si>
  <si>
    <t>湖北长江蔚来新能源投资管理有限公司</t>
    <phoneticPr fontId="4" type="noConversion"/>
  </si>
  <si>
    <t>上海盈努惠实业有限公司</t>
    <phoneticPr fontId="4" type="noConversion"/>
  </si>
  <si>
    <t>宁波市化工研究设计院有限公司</t>
    <phoneticPr fontId="4" type="noConversion"/>
  </si>
  <si>
    <t>CU0904000</t>
    <phoneticPr fontId="4" type="noConversion"/>
  </si>
  <si>
    <t>紫光集团</t>
    <phoneticPr fontId="4" type="noConversion"/>
  </si>
  <si>
    <t>苏州舒尔贸易有限公司</t>
  </si>
  <si>
    <t>三诺生物传感股份有限公司</t>
  </si>
  <si>
    <t>CU0471027</t>
    <phoneticPr fontId="4" type="noConversion"/>
  </si>
  <si>
    <t>12月支付</t>
  </si>
  <si>
    <t>12月支付</t>
    <phoneticPr fontId="22" type="noConversion"/>
  </si>
  <si>
    <t>12月剩余暂估</t>
  </si>
  <si>
    <t>12月支付</t>
    <phoneticPr fontId="4" type="noConversion"/>
  </si>
  <si>
    <t>12月剩余暂估</t>
    <phoneticPr fontId="4" type="noConversion"/>
  </si>
  <si>
    <r>
      <t>12</t>
    </r>
    <r>
      <rPr>
        <sz val="10"/>
        <rFont val="宋体"/>
        <family val="3"/>
        <charset val="134"/>
      </rPr>
      <t>月支付</t>
    </r>
    <phoneticPr fontId="4" type="noConversion"/>
  </si>
  <si>
    <t>12月支付</t>
    <phoneticPr fontId="22" type="noConversion"/>
  </si>
  <si>
    <t>12月剩余暂估</t>
    <phoneticPr fontId="22" type="noConversion"/>
  </si>
  <si>
    <t>11月支付</t>
    <phoneticPr fontId="22" type="noConversion"/>
  </si>
  <si>
    <t>11月剩余暂估</t>
    <phoneticPr fontId="22" type="noConversion"/>
  </si>
  <si>
    <r>
      <t>12</t>
    </r>
    <r>
      <rPr>
        <sz val="10"/>
        <rFont val="宋体"/>
        <family val="3"/>
        <charset val="134"/>
      </rPr>
      <t>月剩余</t>
    </r>
    <phoneticPr fontId="21" type="noConversion"/>
  </si>
  <si>
    <t>CU0109001</t>
    <phoneticPr fontId="4" type="noConversion"/>
  </si>
  <si>
    <t>CU0769001</t>
    <phoneticPr fontId="28" type="noConversion"/>
  </si>
  <si>
    <t>12月支付</t>
    <phoneticPr fontId="4" type="noConversion"/>
  </si>
  <si>
    <t>12月剩余暂估</t>
    <phoneticPr fontId="4" type="noConversion"/>
  </si>
  <si>
    <t>凭证</t>
    <phoneticPr fontId="4" type="noConversion"/>
  </si>
  <si>
    <t>昆山才烁</t>
  </si>
  <si>
    <t>CU0285000</t>
  </si>
  <si>
    <t>文思海辉</t>
  </si>
  <si>
    <t>CU0812000</t>
  </si>
  <si>
    <t>恩派</t>
  </si>
  <si>
    <t>紫光集团</t>
  </si>
  <si>
    <t>奥托博克（中国）工业有限公司</t>
  </si>
  <si>
    <t>北京奥博斯创机械设备制造有限公司</t>
  </si>
  <si>
    <t>华润万家有限公司</t>
  </si>
  <si>
    <t>上海蔚真企业管理咨询有限公司</t>
  </si>
  <si>
    <t>CU0904003</t>
    <phoneticPr fontId="4" type="noConversion"/>
  </si>
  <si>
    <t>12月预估应付未付（不含税）</t>
    <phoneticPr fontId="4" type="noConversion"/>
  </si>
  <si>
    <t>锐珂亚太投资管理（上海）有限公司</t>
  </si>
  <si>
    <t>CU0558002</t>
  </si>
  <si>
    <t>CU0558003</t>
  </si>
  <si>
    <t>CU0558007</t>
  </si>
  <si>
    <t>CU0558009</t>
  </si>
  <si>
    <t>CU0812001</t>
  </si>
  <si>
    <t>CU0812015</t>
  </si>
  <si>
    <t>智睿企业咨询（深圳）有限公司北京分公司</t>
  </si>
  <si>
    <t>CU1062001</t>
  </si>
  <si>
    <t>湖北长江蔚来新能源投资管理有限公司</t>
  </si>
  <si>
    <t>上海卫展医院管理有限公司</t>
  </si>
  <si>
    <t>常熟才烁</t>
    <phoneticPr fontId="4" type="noConversion"/>
  </si>
  <si>
    <t>JV64</t>
    <phoneticPr fontId="4" type="noConversion"/>
  </si>
  <si>
    <t>上海华新顿阿姆斯壮金属制品有限公司工会委员会</t>
    <phoneticPr fontId="4" type="noConversion"/>
  </si>
  <si>
    <t>克鲁勃润滑产品（上海）有限公司</t>
    <phoneticPr fontId="4" type="noConversion"/>
  </si>
  <si>
    <t>IDC咨询（北京）有限公司</t>
    <phoneticPr fontId="4" type="noConversion"/>
  </si>
  <si>
    <t>深圳市顺荣通讯技术有限公司</t>
    <phoneticPr fontId="4" type="noConversion"/>
  </si>
  <si>
    <t>大连聚盟科技发展有限公司</t>
    <phoneticPr fontId="4" type="noConversion"/>
  </si>
  <si>
    <t>聚思鸿信息技术服务（大连）有限公司</t>
    <phoneticPr fontId="4" type="noConversion"/>
  </si>
  <si>
    <t>佛山聚盟环球信息技术服务有限公司</t>
    <phoneticPr fontId="4" type="noConversion"/>
  </si>
  <si>
    <t>上海恩派社会创新发展中心</t>
    <phoneticPr fontId="4" type="noConversion"/>
  </si>
  <si>
    <t>上海屋里厢社区服务中心</t>
    <phoneticPr fontId="4" type="noConversion"/>
  </si>
  <si>
    <t>成都高新区安逸舍社区服务中心</t>
    <phoneticPr fontId="4" type="noConversion"/>
  </si>
  <si>
    <t>北京市恩派非营利组织发展中心</t>
    <phoneticPr fontId="4" type="noConversion"/>
  </si>
  <si>
    <t>上海德筑企业管理有限公司</t>
    <phoneticPr fontId="4" type="noConversion"/>
  </si>
  <si>
    <t>北京天信宏达科技有限公司</t>
    <phoneticPr fontId="4" type="noConversion"/>
  </si>
  <si>
    <t>上海锐麦软件技术有限公司</t>
    <phoneticPr fontId="4" type="noConversion"/>
  </si>
  <si>
    <t>三诺生物传感股份有限公司</t>
    <phoneticPr fontId="4" type="noConversion"/>
  </si>
  <si>
    <t>北京杰迪安尔科技有限公司</t>
    <phoneticPr fontId="4" type="noConversion"/>
  </si>
  <si>
    <t>CU0823001</t>
    <phoneticPr fontId="4" type="noConversion"/>
  </si>
  <si>
    <t>凯杰生物工程（深圳）有限公司</t>
    <phoneticPr fontId="4" type="noConversion"/>
  </si>
  <si>
    <t>凯杰企业管理（上海）有限公司</t>
    <phoneticPr fontId="4" type="noConversion"/>
  </si>
  <si>
    <t>天根生化科技（北京）有限公司</t>
    <phoneticPr fontId="4" type="noConversion"/>
  </si>
  <si>
    <t>苏州舒尔贸易有限公司</t>
    <phoneticPr fontId="4" type="noConversion"/>
  </si>
  <si>
    <t>1月支付</t>
    <phoneticPr fontId="4" type="noConversion"/>
  </si>
  <si>
    <t>1月剩余</t>
    <phoneticPr fontId="4" type="noConversion"/>
  </si>
  <si>
    <t>欧尚（中国）投资有限公司</t>
    <phoneticPr fontId="22" type="noConversion"/>
  </si>
  <si>
    <t>2月支付</t>
    <phoneticPr fontId="4" type="noConversion"/>
  </si>
  <si>
    <t>2月剩余</t>
    <phoneticPr fontId="4" type="noConversion"/>
  </si>
  <si>
    <t>2月支付</t>
    <phoneticPr fontId="4" type="noConversion"/>
  </si>
  <si>
    <t>2月剩余</t>
    <phoneticPr fontId="4" type="noConversion"/>
  </si>
  <si>
    <t>2月支付</t>
    <phoneticPr fontId="4" type="noConversion"/>
  </si>
  <si>
    <t>2月剩余</t>
    <phoneticPr fontId="4" type="noConversion"/>
  </si>
  <si>
    <t>凭证号</t>
    <phoneticPr fontId="4" type="noConversion"/>
  </si>
  <si>
    <t>集团代码</t>
    <phoneticPr fontId="4" type="noConversion"/>
  </si>
  <si>
    <t>JV3</t>
    <phoneticPr fontId="4" type="noConversion"/>
  </si>
  <si>
    <t>JV21</t>
    <phoneticPr fontId="4" type="noConversion"/>
  </si>
  <si>
    <t>JV52</t>
    <phoneticPr fontId="4" type="noConversion"/>
  </si>
  <si>
    <t>荣联数讯（北京）信息技术有限公司</t>
  </si>
  <si>
    <t>CU0148001</t>
  </si>
  <si>
    <t>CU0869000</t>
  </si>
  <si>
    <t>普拉达 Prada</t>
    <phoneticPr fontId="4" type="noConversion"/>
  </si>
  <si>
    <t>CU0109000</t>
    <phoneticPr fontId="4" type="noConversion"/>
  </si>
  <si>
    <t>JV21</t>
    <phoneticPr fontId="4" type="noConversion"/>
  </si>
  <si>
    <t>锐珂 Rayco</t>
    <phoneticPr fontId="4" type="noConversion"/>
  </si>
  <si>
    <t>贝雅投资咨询（上海）有限公司</t>
    <phoneticPr fontId="4" type="noConversion"/>
  </si>
  <si>
    <t>剩余暂估</t>
    <phoneticPr fontId="4" type="noConversion"/>
  </si>
  <si>
    <t>剩余暂估</t>
    <phoneticPr fontId="4" type="noConversion"/>
  </si>
  <si>
    <t>阿姆斯壮</t>
    <phoneticPr fontId="4" type="noConversion"/>
  </si>
  <si>
    <t>CU0182000</t>
    <phoneticPr fontId="4" type="noConversion"/>
  </si>
  <si>
    <t>艾绰（北京）商贸有限公司</t>
    <phoneticPr fontId="4" type="noConversion"/>
  </si>
  <si>
    <t>CU0221001</t>
    <phoneticPr fontId="4" type="noConversion"/>
  </si>
  <si>
    <t>文思海辉</t>
    <phoneticPr fontId="4" type="noConversion"/>
  </si>
  <si>
    <t>CU0285000</t>
    <phoneticPr fontId="4" type="noConversion"/>
  </si>
  <si>
    <t>拉格代尔</t>
    <phoneticPr fontId="4" type="noConversion"/>
  </si>
  <si>
    <t>CU0289000</t>
    <phoneticPr fontId="4" type="noConversion"/>
  </si>
  <si>
    <t>上海德达集团</t>
    <phoneticPr fontId="4" type="noConversion"/>
  </si>
  <si>
    <t>新疆金风科技股份有限公司</t>
    <phoneticPr fontId="4" type="noConversion"/>
  </si>
  <si>
    <t>CU0460002</t>
    <phoneticPr fontId="4" type="noConversion"/>
  </si>
  <si>
    <t>包商银行</t>
    <phoneticPr fontId="4" type="noConversion"/>
  </si>
  <si>
    <t>CU0468000</t>
    <phoneticPr fontId="4" type="noConversion"/>
  </si>
  <si>
    <t>恩思恩</t>
    <phoneticPr fontId="4" type="noConversion"/>
  </si>
  <si>
    <t>华院数据</t>
    <phoneticPr fontId="4" type="noConversion"/>
  </si>
  <si>
    <t>巴丽</t>
    <phoneticPr fontId="4" type="noConversion"/>
  </si>
  <si>
    <t>北京杰迪安尔科技有限公司</t>
    <phoneticPr fontId="4" type="noConversion"/>
  </si>
  <si>
    <t>CU0667001</t>
    <phoneticPr fontId="4" type="noConversion"/>
  </si>
  <si>
    <t>欧尚（中国）投资有限公司</t>
    <phoneticPr fontId="4" type="noConversion"/>
  </si>
  <si>
    <t>蒂森克虏伯</t>
    <phoneticPr fontId="4" type="noConversion"/>
  </si>
  <si>
    <t>思童嘉商贸（上海）有限公司</t>
    <phoneticPr fontId="4" type="noConversion"/>
  </si>
  <si>
    <t>天职集团</t>
    <phoneticPr fontId="4" type="noConversion"/>
  </si>
  <si>
    <t>CU0782000</t>
    <phoneticPr fontId="4" type="noConversion"/>
  </si>
  <si>
    <t>恩派</t>
    <phoneticPr fontId="4" type="noConversion"/>
  </si>
  <si>
    <t>CU0812000</t>
    <phoneticPr fontId="4" type="noConversion"/>
  </si>
  <si>
    <t>美克国际家居用品股份有限公司</t>
    <phoneticPr fontId="4" type="noConversion"/>
  </si>
  <si>
    <t>CU0822001</t>
    <phoneticPr fontId="4" type="noConversion"/>
  </si>
  <si>
    <t>凯杰</t>
    <phoneticPr fontId="4" type="noConversion"/>
  </si>
  <si>
    <t>苏州舒尔贸易有限公司</t>
    <phoneticPr fontId="4" type="noConversion"/>
  </si>
  <si>
    <t>CU0824001</t>
    <phoneticPr fontId="4" type="noConversion"/>
  </si>
  <si>
    <t>深圳欧贝特卡系统科技有限公司</t>
    <phoneticPr fontId="4" type="noConversion"/>
  </si>
  <si>
    <t>CU0848001</t>
    <phoneticPr fontId="4" type="noConversion"/>
  </si>
  <si>
    <t>智睿</t>
    <phoneticPr fontId="4" type="noConversion"/>
  </si>
  <si>
    <t>恩德斯豪斯（中国）自动化有限公司</t>
    <phoneticPr fontId="4" type="noConversion"/>
  </si>
  <si>
    <t>CU0884001</t>
    <phoneticPr fontId="4" type="noConversion"/>
  </si>
  <si>
    <t>紫光集团</t>
    <phoneticPr fontId="4" type="noConversion"/>
  </si>
  <si>
    <t>CU0904000</t>
    <phoneticPr fontId="4" type="noConversion"/>
  </si>
  <si>
    <t>鑫车投资（上海）有限公司</t>
    <phoneticPr fontId="4" type="noConversion"/>
  </si>
  <si>
    <t>CU0914001</t>
    <phoneticPr fontId="4" type="noConversion"/>
  </si>
  <si>
    <t>喜利得（中国）商贸有限公司</t>
    <phoneticPr fontId="4" type="noConversion"/>
  </si>
  <si>
    <t>CU1013001</t>
    <phoneticPr fontId="4" type="noConversion"/>
  </si>
  <si>
    <t>斐珞尔（上海）贸易有限公司</t>
    <phoneticPr fontId="4" type="noConversion"/>
  </si>
  <si>
    <t>CU1032001</t>
    <phoneticPr fontId="4" type="noConversion"/>
  </si>
  <si>
    <t>北京天信宏达科技有限公司</t>
    <phoneticPr fontId="4" type="noConversion"/>
  </si>
  <si>
    <t>CU1034001</t>
    <phoneticPr fontId="4" type="noConversion"/>
  </si>
  <si>
    <t>奥托博克（中国）工业有限公司</t>
    <phoneticPr fontId="4" type="noConversion"/>
  </si>
  <si>
    <t>CU1048001</t>
    <phoneticPr fontId="4" type="noConversion"/>
  </si>
  <si>
    <t>蔚兰红瓴</t>
    <phoneticPr fontId="4" type="noConversion"/>
  </si>
  <si>
    <t>CU1065000</t>
    <phoneticPr fontId="4" type="noConversion"/>
  </si>
  <si>
    <t>上海盈努惠实业有限公司</t>
    <phoneticPr fontId="4" type="noConversion"/>
  </si>
  <si>
    <t>CU1075001</t>
    <phoneticPr fontId="4" type="noConversion"/>
  </si>
  <si>
    <t>昆明贝泰妮生物科技有限公司</t>
    <phoneticPr fontId="4" type="noConversion"/>
  </si>
  <si>
    <t>法拉利汽车国际贸易（上海）有限公司</t>
    <phoneticPr fontId="4" type="noConversion"/>
  </si>
  <si>
    <t>CU1164001</t>
    <phoneticPr fontId="4" type="noConversion"/>
  </si>
  <si>
    <t>CU0207000</t>
    <phoneticPr fontId="4" type="noConversion"/>
  </si>
  <si>
    <t>JV66</t>
    <phoneticPr fontId="4" type="noConversion"/>
  </si>
  <si>
    <t>博禹</t>
    <phoneticPr fontId="4" type="noConversion"/>
  </si>
  <si>
    <t>CU0669000</t>
    <phoneticPr fontId="4" type="noConversion"/>
  </si>
  <si>
    <t>浩仲六弈（上海）网络科技有限公司</t>
  </si>
  <si>
    <t>CU0813001</t>
    <phoneticPr fontId="4" type="noConversion"/>
  </si>
  <si>
    <t>3月支付</t>
    <phoneticPr fontId="4" type="noConversion"/>
  </si>
  <si>
    <t>3月剩余</t>
    <phoneticPr fontId="4" type="noConversion"/>
  </si>
  <si>
    <t>3月支付</t>
    <phoneticPr fontId="4" type="noConversion"/>
  </si>
  <si>
    <t>3月剩余</t>
    <phoneticPr fontId="4" type="noConversion"/>
  </si>
  <si>
    <t>JV42</t>
    <phoneticPr fontId="4" type="noConversion"/>
  </si>
  <si>
    <t>JV44</t>
    <phoneticPr fontId="4" type="noConversion"/>
  </si>
  <si>
    <t>3月支付</t>
    <phoneticPr fontId="4" type="noConversion"/>
  </si>
  <si>
    <t>3月剩余</t>
    <phoneticPr fontId="4" type="noConversion"/>
  </si>
  <si>
    <t>JV13</t>
    <phoneticPr fontId="4" type="noConversion"/>
  </si>
  <si>
    <t>JV15</t>
    <phoneticPr fontId="4" type="noConversion"/>
  </si>
  <si>
    <t>CU0145</t>
  </si>
  <si>
    <t>CU0182</t>
  </si>
  <si>
    <t>CU0531</t>
  </si>
  <si>
    <t>CU0667</t>
  </si>
  <si>
    <t>CU0812</t>
  </si>
  <si>
    <t>CU0822</t>
  </si>
  <si>
    <t>CU0823</t>
  </si>
  <si>
    <t>CU0824</t>
  </si>
  <si>
    <t>CU0869</t>
  </si>
  <si>
    <t>CU0904</t>
  </si>
  <si>
    <t>JV4</t>
    <phoneticPr fontId="4" type="noConversion"/>
  </si>
  <si>
    <t>CU0848</t>
  </si>
  <si>
    <t>JV6</t>
    <phoneticPr fontId="4" type="noConversion"/>
  </si>
  <si>
    <t>凯易讯网络技术开发（南京）有限公司</t>
    <phoneticPr fontId="4" type="noConversion"/>
  </si>
  <si>
    <t>JV62</t>
    <phoneticPr fontId="4" type="noConversion"/>
  </si>
  <si>
    <t>JV23</t>
    <phoneticPr fontId="4" type="noConversion"/>
  </si>
  <si>
    <t>北京天信宏达科技有限公司</t>
  </si>
  <si>
    <t>喜利得（中国）商贸有限公司</t>
  </si>
  <si>
    <t>智睿</t>
  </si>
  <si>
    <t>深圳欧贝特卡系统科技有限公司</t>
  </si>
  <si>
    <t>华院数据技术（上海）有限公司</t>
  </si>
  <si>
    <t>CU0145000</t>
    <phoneticPr fontId="4" type="noConversion"/>
  </si>
  <si>
    <t>阿姆斯壮</t>
    <phoneticPr fontId="4" type="noConversion"/>
  </si>
  <si>
    <t>锐珂</t>
    <phoneticPr fontId="4" type="noConversion"/>
  </si>
  <si>
    <t>恩思恩</t>
    <phoneticPr fontId="4" type="noConversion"/>
  </si>
  <si>
    <t>巴丽</t>
    <phoneticPr fontId="4" type="noConversion"/>
  </si>
  <si>
    <t>CU0667001</t>
    <phoneticPr fontId="4" type="noConversion"/>
  </si>
  <si>
    <t>CU0812000</t>
    <phoneticPr fontId="4" type="noConversion"/>
  </si>
  <si>
    <t>恩派</t>
    <phoneticPr fontId="4" type="noConversion"/>
  </si>
  <si>
    <t>CU0822001</t>
    <phoneticPr fontId="4" type="noConversion"/>
  </si>
  <si>
    <t>CU0823000</t>
    <phoneticPr fontId="4" type="noConversion"/>
  </si>
  <si>
    <t>凯杰</t>
    <phoneticPr fontId="4" type="noConversion"/>
  </si>
  <si>
    <t>CU0824001</t>
    <phoneticPr fontId="4" type="noConversion"/>
  </si>
  <si>
    <t>CU0848001</t>
    <phoneticPr fontId="4" type="noConversion"/>
  </si>
  <si>
    <t>CU0869000</t>
    <phoneticPr fontId="4" type="noConversion"/>
  </si>
  <si>
    <t>CU0904000</t>
    <phoneticPr fontId="4" type="noConversion"/>
  </si>
  <si>
    <t>紫光</t>
    <phoneticPr fontId="4" type="noConversion"/>
  </si>
  <si>
    <t>CU1013001</t>
    <phoneticPr fontId="4" type="noConversion"/>
  </si>
  <si>
    <t>CU1034001</t>
    <phoneticPr fontId="4" type="noConversion"/>
  </si>
  <si>
    <t>之宝（中国）户外产品有限公司</t>
    <phoneticPr fontId="4" type="noConversion"/>
  </si>
  <si>
    <t>乔治阿玛尼（上海）商贸有限公司</t>
    <phoneticPr fontId="4" type="noConversion"/>
  </si>
  <si>
    <t>CU1016001</t>
    <phoneticPr fontId="4" type="noConversion"/>
  </si>
  <si>
    <t>CU1172001</t>
    <phoneticPr fontId="4" type="noConversion"/>
  </si>
  <si>
    <t>蓝图创新投资管理（北京）有限公司</t>
    <phoneticPr fontId="4" type="noConversion"/>
  </si>
  <si>
    <t>CU0937001</t>
    <phoneticPr fontId="4" type="noConversion"/>
  </si>
  <si>
    <t>游娱网络</t>
    <phoneticPr fontId="4" type="noConversion"/>
  </si>
  <si>
    <t>CU0406000</t>
    <phoneticPr fontId="4" type="noConversion"/>
  </si>
  <si>
    <t>JV12</t>
    <phoneticPr fontId="4" type="noConversion"/>
  </si>
  <si>
    <t>CU1065005</t>
    <phoneticPr fontId="4" type="noConversion"/>
  </si>
  <si>
    <t>CU0963000</t>
  </si>
  <si>
    <t>瑞慈门诊</t>
    <phoneticPr fontId="4" type="noConversion"/>
  </si>
  <si>
    <t>上海利宣广告有限公司</t>
  </si>
  <si>
    <t>CU0736003</t>
    <phoneticPr fontId="4" type="noConversion"/>
  </si>
  <si>
    <t>蓝色光标</t>
    <phoneticPr fontId="4" type="noConversion"/>
  </si>
  <si>
    <t>CU0448000</t>
    <phoneticPr fontId="4" type="noConversion"/>
  </si>
  <si>
    <t>大健康</t>
    <phoneticPr fontId="4" type="noConversion"/>
  </si>
  <si>
    <t>CU0847000</t>
    <phoneticPr fontId="4" type="noConversion"/>
  </si>
  <si>
    <t>北京金未来金融信息服务有限公司</t>
  </si>
  <si>
    <t>CU1054001</t>
    <phoneticPr fontId="4" type="noConversion"/>
  </si>
  <si>
    <t>好车酷酷二手车经纪（天津）有限公司</t>
  </si>
  <si>
    <t>4月支付</t>
    <phoneticPr fontId="4" type="noConversion"/>
  </si>
  <si>
    <t>4月剩余</t>
    <phoneticPr fontId="4" type="noConversion"/>
  </si>
  <si>
    <t>4月剩余</t>
    <phoneticPr fontId="4" type="noConversion"/>
  </si>
  <si>
    <t>JV15</t>
    <phoneticPr fontId="4" type="noConversion"/>
  </si>
  <si>
    <t>JV15</t>
    <phoneticPr fontId="4" type="noConversion"/>
  </si>
  <si>
    <t>JV16</t>
    <phoneticPr fontId="4" type="noConversion"/>
  </si>
  <si>
    <t>JV17</t>
    <phoneticPr fontId="4" type="noConversion"/>
  </si>
  <si>
    <t>4月支付</t>
    <phoneticPr fontId="4" type="noConversion"/>
  </si>
  <si>
    <t>4月剩余</t>
    <phoneticPr fontId="4" type="noConversion"/>
  </si>
  <si>
    <t>JV13</t>
    <phoneticPr fontId="4" type="noConversion"/>
  </si>
  <si>
    <t>JV14</t>
    <phoneticPr fontId="4" type="noConversion"/>
  </si>
  <si>
    <t>JV6</t>
    <phoneticPr fontId="4" type="noConversion"/>
  </si>
  <si>
    <t>JV6</t>
    <phoneticPr fontId="4" type="noConversion"/>
  </si>
  <si>
    <t>CU1016</t>
  </si>
  <si>
    <t>CU1149</t>
  </si>
  <si>
    <t>JV8</t>
    <phoneticPr fontId="4" type="noConversion"/>
  </si>
  <si>
    <t>JV7</t>
    <phoneticPr fontId="4" type="noConversion"/>
  </si>
  <si>
    <t>恩德斯豪斯（中国）自动化有限公司</t>
  </si>
  <si>
    <t>CU0884001</t>
    <phoneticPr fontId="4" type="noConversion"/>
  </si>
  <si>
    <t>CU0720001</t>
    <phoneticPr fontId="4" type="noConversion"/>
  </si>
  <si>
    <t>JV24</t>
    <phoneticPr fontId="4" type="noConversion"/>
  </si>
  <si>
    <t>CU0207000</t>
    <phoneticPr fontId="4" type="noConversion"/>
  </si>
  <si>
    <t>JV58</t>
    <phoneticPr fontId="4" type="noConversion"/>
  </si>
  <si>
    <t>上海恩派社会创新发展中心</t>
  </si>
  <si>
    <t>鑫车投资（上海）有限公司</t>
  </si>
  <si>
    <t>乔治阿玛尼（上海）商贸有限公司</t>
  </si>
  <si>
    <t>通用公正技术服务（中国）有限公司</t>
  </si>
  <si>
    <t>CU1198</t>
  </si>
  <si>
    <t>CU0145000</t>
    <phoneticPr fontId="4" type="noConversion"/>
  </si>
  <si>
    <t>CU0667001</t>
    <phoneticPr fontId="4" type="noConversion"/>
  </si>
  <si>
    <t>CU0812000</t>
    <phoneticPr fontId="4" type="noConversion"/>
  </si>
  <si>
    <t>CU0822001</t>
    <phoneticPr fontId="4" type="noConversion"/>
  </si>
  <si>
    <t>CU0823000</t>
    <phoneticPr fontId="4" type="noConversion"/>
  </si>
  <si>
    <t>CU0824001</t>
    <phoneticPr fontId="4" type="noConversion"/>
  </si>
  <si>
    <t>CU0848001</t>
    <phoneticPr fontId="4" type="noConversion"/>
  </si>
  <si>
    <t>CU0869000</t>
    <phoneticPr fontId="4" type="noConversion"/>
  </si>
  <si>
    <t>CU0904000</t>
    <phoneticPr fontId="4" type="noConversion"/>
  </si>
  <si>
    <t>CU1016001</t>
    <phoneticPr fontId="4" type="noConversion"/>
  </si>
  <si>
    <t>贝雅投资咨询（上海）有限公司</t>
    <phoneticPr fontId="4" type="noConversion"/>
  </si>
  <si>
    <t>CU0238001</t>
    <phoneticPr fontId="4" type="noConversion"/>
  </si>
  <si>
    <t>CU0093000</t>
    <phoneticPr fontId="4" type="noConversion"/>
  </si>
  <si>
    <t>CU0148000</t>
    <phoneticPr fontId="4" type="noConversion"/>
  </si>
  <si>
    <t>CU0351000</t>
    <phoneticPr fontId="4" type="noConversion"/>
  </si>
  <si>
    <t>CU0468002</t>
    <phoneticPr fontId="4" type="noConversion"/>
  </si>
  <si>
    <t>杭州康晟健康管理咨询有限公司</t>
    <phoneticPr fontId="4" type="noConversion"/>
  </si>
  <si>
    <t>CU0914000</t>
    <phoneticPr fontId="4" type="noConversion"/>
  </si>
  <si>
    <t>CU1065000</t>
    <phoneticPr fontId="4" type="noConversion"/>
  </si>
  <si>
    <t>CU1054001</t>
    <phoneticPr fontId="4" type="noConversion"/>
  </si>
  <si>
    <t>JV5</t>
    <phoneticPr fontId="4" type="noConversion"/>
  </si>
  <si>
    <t>5月支付</t>
    <phoneticPr fontId="4" type="noConversion"/>
  </si>
  <si>
    <t>5月剩余</t>
    <phoneticPr fontId="4" type="noConversion"/>
  </si>
  <si>
    <t>JV17</t>
    <phoneticPr fontId="4" type="noConversion"/>
  </si>
  <si>
    <t>JV16</t>
    <phoneticPr fontId="4" type="noConversion"/>
  </si>
  <si>
    <t>JV18</t>
    <phoneticPr fontId="4" type="noConversion"/>
  </si>
  <si>
    <t>JV19</t>
    <phoneticPr fontId="4" type="noConversion"/>
  </si>
  <si>
    <t>JV13</t>
    <phoneticPr fontId="4" type="noConversion"/>
  </si>
  <si>
    <t>JV14</t>
    <phoneticPr fontId="4" type="noConversion"/>
  </si>
  <si>
    <t>JV15</t>
    <phoneticPr fontId="4" type="noConversion"/>
  </si>
  <si>
    <t>JV16</t>
    <phoneticPr fontId="4" type="noConversion"/>
  </si>
  <si>
    <t>CU0340</t>
  </si>
  <si>
    <t>CU0351</t>
  </si>
  <si>
    <t>CU0468</t>
  </si>
  <si>
    <t>CU1065</t>
  </si>
  <si>
    <t>CU0148</t>
  </si>
  <si>
    <t>CU0884</t>
  </si>
  <si>
    <t>CU0720</t>
  </si>
  <si>
    <t>JV5</t>
    <phoneticPr fontId="4" type="noConversion"/>
  </si>
  <si>
    <t>JV8</t>
    <phoneticPr fontId="4" type="noConversion"/>
  </si>
  <si>
    <t>JV7</t>
    <phoneticPr fontId="4" type="noConversion"/>
  </si>
  <si>
    <t>JV6</t>
    <phoneticPr fontId="4" type="noConversion"/>
  </si>
  <si>
    <t>上海盈努惠实业有限公司</t>
  </si>
  <si>
    <t>固特异轮胎管理（上海）有限公司</t>
  </si>
  <si>
    <t>上海精学锐信息科技有限公司</t>
  </si>
  <si>
    <t>CU0182</t>
    <phoneticPr fontId="4" type="noConversion"/>
  </si>
  <si>
    <t>CU0238</t>
    <phoneticPr fontId="4" type="noConversion"/>
  </si>
  <si>
    <t>CU0285</t>
    <phoneticPr fontId="4" type="noConversion"/>
  </si>
  <si>
    <t>CU0531</t>
    <phoneticPr fontId="4" type="noConversion"/>
  </si>
  <si>
    <t>CU0570</t>
    <phoneticPr fontId="4" type="noConversion"/>
  </si>
  <si>
    <t>CU0782</t>
    <phoneticPr fontId="4" type="noConversion"/>
  </si>
  <si>
    <t>CU0812</t>
    <phoneticPr fontId="4" type="noConversion"/>
  </si>
  <si>
    <t>CU0813</t>
    <phoneticPr fontId="4" type="noConversion"/>
  </si>
  <si>
    <t>CU0822</t>
    <phoneticPr fontId="4" type="noConversion"/>
  </si>
  <si>
    <t>CU0823</t>
    <phoneticPr fontId="4" type="noConversion"/>
  </si>
  <si>
    <t>CU0824</t>
    <phoneticPr fontId="4" type="noConversion"/>
  </si>
  <si>
    <t>CU0848</t>
    <phoneticPr fontId="4" type="noConversion"/>
  </si>
  <si>
    <t>CU0860</t>
    <phoneticPr fontId="4" type="noConversion"/>
  </si>
  <si>
    <t>CU0869</t>
    <phoneticPr fontId="4" type="noConversion"/>
  </si>
  <si>
    <t>CU0884</t>
    <phoneticPr fontId="4" type="noConversion"/>
  </si>
  <si>
    <t>CU0914</t>
    <phoneticPr fontId="4" type="noConversion"/>
  </si>
  <si>
    <t>CU1016</t>
    <phoneticPr fontId="4" type="noConversion"/>
  </si>
  <si>
    <t>CU1075</t>
    <phoneticPr fontId="4" type="noConversion"/>
  </si>
  <si>
    <t>CU1198</t>
    <phoneticPr fontId="4" type="noConversion"/>
  </si>
  <si>
    <t>CU1204</t>
    <phoneticPr fontId="4" type="noConversion"/>
  </si>
  <si>
    <t>CU1211</t>
    <phoneticPr fontId="4" type="noConversion"/>
  </si>
  <si>
    <t>JV11</t>
    <phoneticPr fontId="4" type="noConversion"/>
  </si>
  <si>
    <t>JV24</t>
    <phoneticPr fontId="4" type="noConversion"/>
  </si>
  <si>
    <t>CU0207</t>
  </si>
  <si>
    <t>CU0669</t>
  </si>
  <si>
    <t>CU0898</t>
  </si>
  <si>
    <t>汉庭星空（上海）酒店管理有限公司</t>
  </si>
  <si>
    <t>CU1230</t>
    <phoneticPr fontId="4" type="noConversion"/>
  </si>
  <si>
    <t>JV43</t>
    <phoneticPr fontId="4" type="noConversion"/>
  </si>
  <si>
    <t>CU0093</t>
    <phoneticPr fontId="4" type="noConversion"/>
  </si>
  <si>
    <t>CU0109</t>
    <phoneticPr fontId="4" type="noConversion"/>
  </si>
  <si>
    <t>CU0667</t>
    <phoneticPr fontId="4" type="noConversion"/>
  </si>
  <si>
    <t>5月支付</t>
    <phoneticPr fontId="4" type="noConversion"/>
  </si>
  <si>
    <t>5月剩余</t>
    <phoneticPr fontId="4" type="noConversion"/>
  </si>
  <si>
    <t>5月支付</t>
    <phoneticPr fontId="4" type="noConversion"/>
  </si>
  <si>
    <t>6月支付</t>
    <phoneticPr fontId="4" type="noConversion"/>
  </si>
  <si>
    <t>6月剩余</t>
    <phoneticPr fontId="4" type="noConversion"/>
  </si>
  <si>
    <t>JV17</t>
    <phoneticPr fontId="4" type="noConversion"/>
  </si>
  <si>
    <t>JV18</t>
    <phoneticPr fontId="4" type="noConversion"/>
  </si>
  <si>
    <t>JV19</t>
    <phoneticPr fontId="4" type="noConversion"/>
  </si>
  <si>
    <t>JV20</t>
    <phoneticPr fontId="4" type="noConversion"/>
  </si>
  <si>
    <t>JV21</t>
    <phoneticPr fontId="4" type="noConversion"/>
  </si>
  <si>
    <t>JV6</t>
    <phoneticPr fontId="4" type="noConversion"/>
  </si>
  <si>
    <t>JV7</t>
    <phoneticPr fontId="4" type="noConversion"/>
  </si>
  <si>
    <t>JV8</t>
    <phoneticPr fontId="4" type="noConversion"/>
  </si>
  <si>
    <t>JV9</t>
    <phoneticPr fontId="4" type="noConversion"/>
  </si>
  <si>
    <t>JV10</t>
    <phoneticPr fontId="4" type="noConversion"/>
  </si>
  <si>
    <t>泰利福医疗器械商贸（上海）有限公司</t>
  </si>
  <si>
    <t>CU1163</t>
  </si>
  <si>
    <t>JV60</t>
    <phoneticPr fontId="4" type="noConversion"/>
  </si>
  <si>
    <t>JV25</t>
    <phoneticPr fontId="4" type="noConversion"/>
  </si>
  <si>
    <t>上海得力润滑油有限公司</t>
  </si>
  <si>
    <t>贝雅投资咨询（上海）有限公司</t>
  </si>
  <si>
    <t>新疆金风科技股份有限公司</t>
  </si>
  <si>
    <t>聚思鸿信息技术服务（大连）有限公司</t>
  </si>
  <si>
    <t>蒂森克虏伯发动机系统（大连）有限公司</t>
  </si>
  <si>
    <t>深圳市前海麦达数字有限公司</t>
  </si>
  <si>
    <t>昆明贝泰妮生物科技有限公司</t>
  </si>
  <si>
    <t>CU0109</t>
  </si>
  <si>
    <t>CU0285</t>
  </si>
  <si>
    <t>CU0289</t>
  </si>
  <si>
    <t>CU0411</t>
  </si>
  <si>
    <t>CU0460</t>
  </si>
  <si>
    <t>CU0558</t>
  </si>
  <si>
    <t>CU0692</t>
  </si>
  <si>
    <t>CU0734</t>
  </si>
  <si>
    <t>CU0735</t>
  </si>
  <si>
    <t>CU0736</t>
  </si>
  <si>
    <t>CU0782</t>
  </si>
  <si>
    <t>CU1013</t>
  </si>
  <si>
    <t>CU1048</t>
  </si>
  <si>
    <t>CU1152</t>
  </si>
  <si>
    <t>CU1204</t>
  </si>
  <si>
    <t>CU1352</t>
    <phoneticPr fontId="4" type="noConversion"/>
  </si>
  <si>
    <t>7月支付</t>
    <phoneticPr fontId="4" type="noConversion"/>
  </si>
  <si>
    <t>7月剩余</t>
    <phoneticPr fontId="4" type="noConversion"/>
  </si>
  <si>
    <t>7月支付</t>
    <phoneticPr fontId="4" type="noConversion"/>
  </si>
  <si>
    <t>JV7</t>
    <phoneticPr fontId="4" type="noConversion"/>
  </si>
  <si>
    <t>JV8</t>
    <phoneticPr fontId="4" type="noConversion"/>
  </si>
  <si>
    <t>JV9</t>
    <phoneticPr fontId="4" type="noConversion"/>
  </si>
  <si>
    <t>JV10</t>
    <phoneticPr fontId="4" type="noConversion"/>
  </si>
  <si>
    <t>JV12</t>
    <phoneticPr fontId="4" type="noConversion"/>
  </si>
  <si>
    <t>JV11</t>
    <phoneticPr fontId="4" type="noConversion"/>
  </si>
  <si>
    <t>-</t>
    <phoneticPr fontId="4" type="noConversion"/>
  </si>
  <si>
    <t>JV8</t>
    <phoneticPr fontId="4" type="noConversion"/>
  </si>
  <si>
    <t>JV9</t>
    <phoneticPr fontId="4" type="noConversion"/>
  </si>
  <si>
    <t>JV10</t>
    <phoneticPr fontId="4" type="noConversion"/>
  </si>
  <si>
    <t>JV11</t>
    <phoneticPr fontId="4" type="noConversion"/>
  </si>
  <si>
    <t>JV12</t>
    <phoneticPr fontId="4" type="noConversion"/>
  </si>
  <si>
    <t>JV21</t>
    <phoneticPr fontId="4" type="noConversion"/>
  </si>
  <si>
    <t>CU1230</t>
  </si>
  <si>
    <t>JV57</t>
    <phoneticPr fontId="4" type="noConversion"/>
  </si>
  <si>
    <t>上海库润信息技术有限公司</t>
  </si>
  <si>
    <t>CU1375</t>
  </si>
  <si>
    <t>CU0351</t>
    <phoneticPr fontId="4" type="noConversion"/>
  </si>
  <si>
    <t>CU0769</t>
    <phoneticPr fontId="4" type="noConversion"/>
  </si>
  <si>
    <t>JV17</t>
    <phoneticPr fontId="4" type="noConversion"/>
  </si>
  <si>
    <t>艾蒙斯特朗流体系统（上海）有限公司</t>
  </si>
  <si>
    <t>CU1155</t>
    <phoneticPr fontId="4" type="noConversion"/>
  </si>
  <si>
    <t>CU0848</t>
    <phoneticPr fontId="4" type="noConversion"/>
  </si>
  <si>
    <t>深圳欧贝特卡系统科技有限公司</t>
    <phoneticPr fontId="4" type="noConversion"/>
  </si>
  <si>
    <t>8月支付</t>
    <phoneticPr fontId="4" type="noConversion"/>
  </si>
  <si>
    <t>8月支付</t>
    <phoneticPr fontId="4" type="noConversion"/>
  </si>
  <si>
    <t>8月剩余</t>
    <phoneticPr fontId="4" type="noConversion"/>
  </si>
  <si>
    <t>8月剩余</t>
    <phoneticPr fontId="4" type="noConversion"/>
  </si>
  <si>
    <t>CU0769</t>
  </si>
  <si>
    <t>9月支付</t>
    <phoneticPr fontId="4" type="noConversion"/>
  </si>
  <si>
    <t>9月剩余</t>
    <phoneticPr fontId="4" type="noConversion"/>
  </si>
  <si>
    <t>10月支付</t>
    <phoneticPr fontId="4" type="noConversion"/>
  </si>
  <si>
    <t>10月剩余</t>
    <phoneticPr fontId="4" type="noConversion"/>
  </si>
  <si>
    <t>11月支付</t>
    <phoneticPr fontId="4" type="noConversion"/>
  </si>
  <si>
    <t>11月剩余</t>
    <phoneticPr fontId="4" type="noConversion"/>
  </si>
  <si>
    <t>12月支付</t>
    <phoneticPr fontId="4" type="noConversion"/>
  </si>
  <si>
    <t>12月剩余</t>
    <phoneticPr fontId="4" type="noConversion"/>
  </si>
  <si>
    <t>CU1155</t>
  </si>
  <si>
    <t>11月剩余</t>
    <phoneticPr fontId="4" type="noConversion"/>
  </si>
  <si>
    <t>11月支付</t>
    <phoneticPr fontId="4" type="noConversion"/>
  </si>
  <si>
    <t>10月剩余</t>
    <phoneticPr fontId="4" type="noConversion"/>
  </si>
  <si>
    <t>9月支付</t>
    <phoneticPr fontId="4" type="noConversion"/>
  </si>
  <si>
    <t>9月剩余</t>
    <phoneticPr fontId="4" type="noConversion"/>
  </si>
  <si>
    <t>JV13</t>
    <phoneticPr fontId="4" type="noConversion"/>
  </si>
  <si>
    <t>JV14</t>
    <phoneticPr fontId="4" type="noConversion"/>
  </si>
  <si>
    <t>JV15</t>
    <phoneticPr fontId="4" type="noConversion"/>
  </si>
  <si>
    <t>JV16</t>
    <phoneticPr fontId="4" type="noConversion"/>
  </si>
  <si>
    <t>JV17</t>
    <phoneticPr fontId="4" type="noConversion"/>
  </si>
  <si>
    <t>JV18</t>
    <phoneticPr fontId="4" type="noConversion"/>
  </si>
  <si>
    <t>JV21</t>
    <phoneticPr fontId="4" type="noConversion"/>
  </si>
  <si>
    <t>JV22</t>
    <phoneticPr fontId="4" type="noConversion"/>
  </si>
  <si>
    <t>JV23</t>
    <phoneticPr fontId="4" type="noConversion"/>
  </si>
  <si>
    <t>JV24</t>
    <phoneticPr fontId="4" type="noConversion"/>
  </si>
  <si>
    <t>JV25</t>
    <phoneticPr fontId="4" type="noConversion"/>
  </si>
  <si>
    <t>JV26</t>
    <phoneticPr fontId="4" type="noConversion"/>
  </si>
  <si>
    <t>JV8</t>
    <phoneticPr fontId="4" type="noConversion"/>
  </si>
  <si>
    <t>JV9</t>
    <phoneticPr fontId="4" type="noConversion"/>
  </si>
  <si>
    <t>JV10</t>
    <phoneticPr fontId="4" type="noConversion"/>
  </si>
  <si>
    <t>JV11</t>
    <phoneticPr fontId="4" type="noConversion"/>
  </si>
  <si>
    <t>JV12</t>
    <phoneticPr fontId="4" type="noConversion"/>
  </si>
  <si>
    <t>CU0914</t>
  </si>
  <si>
    <t>CU1159</t>
  </si>
  <si>
    <t>CU1354</t>
  </si>
  <si>
    <t>深圳市前海麦达数字有限公司</t>
    <phoneticPr fontId="4" type="noConversion"/>
  </si>
  <si>
    <t>天职集团</t>
    <phoneticPr fontId="4" type="noConversion"/>
  </si>
  <si>
    <t>美克国际家居用品股份有限公司</t>
    <phoneticPr fontId="4" type="noConversion"/>
  </si>
  <si>
    <t>苏州舒尔贸易有限公司</t>
    <phoneticPr fontId="4" type="noConversion"/>
  </si>
  <si>
    <t>恩德斯豪斯（中国）自动化有限公司</t>
    <phoneticPr fontId="4" type="noConversion"/>
  </si>
  <si>
    <t>鑫车投资（上海）有限公司</t>
    <phoneticPr fontId="4" type="noConversion"/>
  </si>
  <si>
    <t>北京万国长安科技有限公司</t>
    <phoneticPr fontId="4" type="noConversion"/>
  </si>
  <si>
    <t>威内源企业管理咨询（上海）有限公司</t>
    <phoneticPr fontId="4" type="noConversion"/>
  </si>
  <si>
    <t>JV19</t>
    <phoneticPr fontId="4" type="noConversion"/>
  </si>
  <si>
    <t>通用公正技术服务（中国）有限公司</t>
    <phoneticPr fontId="4" type="noConversion"/>
  </si>
  <si>
    <t>CU0340</t>
    <phoneticPr fontId="4" type="noConversion"/>
  </si>
  <si>
    <t>CU1352</t>
    <phoneticPr fontId="4" type="noConversion"/>
  </si>
  <si>
    <t>上海得力润滑油有限公司</t>
    <phoneticPr fontId="4" type="noConversion"/>
  </si>
  <si>
    <t>JV21</t>
    <phoneticPr fontId="4" type="noConversion"/>
  </si>
  <si>
    <t>达信（中国）保险经纪有限公司</t>
    <phoneticPr fontId="4" type="noConversion"/>
  </si>
  <si>
    <t>泰利福医疗器械商贸（上海）有限公司</t>
    <phoneticPr fontId="4" type="noConversion"/>
  </si>
  <si>
    <t>JV73</t>
    <phoneticPr fontId="4" type="noConversion"/>
  </si>
  <si>
    <t>CU0898</t>
    <phoneticPr fontId="4" type="noConversion"/>
  </si>
  <si>
    <t>CU1154</t>
    <phoneticPr fontId="4" type="noConversion"/>
  </si>
  <si>
    <t>上海品晟医药科技有限公司</t>
    <phoneticPr fontId="4" type="noConversion"/>
  </si>
  <si>
    <t>JV10</t>
    <phoneticPr fontId="4" type="noConversion"/>
  </si>
  <si>
    <t>JV11</t>
    <phoneticPr fontId="4" type="noConversion"/>
  </si>
  <si>
    <t>JV12</t>
    <phoneticPr fontId="4" type="noConversion"/>
  </si>
  <si>
    <t>JV13</t>
    <phoneticPr fontId="4" type="noConversion"/>
  </si>
  <si>
    <t>JV15</t>
    <phoneticPr fontId="4" type="noConversion"/>
  </si>
  <si>
    <t>JV16</t>
    <phoneticPr fontId="4" type="noConversion"/>
  </si>
  <si>
    <t>JV8</t>
    <phoneticPr fontId="4" type="noConversion"/>
  </si>
  <si>
    <t>JV9</t>
    <phoneticPr fontId="4" type="noConversion"/>
  </si>
  <si>
    <t>JV14</t>
    <phoneticPr fontId="4" type="noConversion"/>
  </si>
  <si>
    <t>JV12</t>
    <phoneticPr fontId="4" type="noConversion"/>
  </si>
  <si>
    <t>JV17</t>
    <phoneticPr fontId="4" type="noConversion"/>
  </si>
  <si>
    <t>JV18</t>
    <phoneticPr fontId="4" type="noConversion"/>
  </si>
  <si>
    <t>JV19</t>
    <phoneticPr fontId="4" type="noConversion"/>
  </si>
  <si>
    <t>JV20</t>
    <phoneticPr fontId="4" type="noConversion"/>
  </si>
  <si>
    <t>CU0570</t>
  </si>
  <si>
    <t>CU0636</t>
  </si>
  <si>
    <t>日立保险代理（中国）有限公司</t>
    <phoneticPr fontId="4" type="noConversion"/>
  </si>
  <si>
    <t>CU0093</t>
    <phoneticPr fontId="4" type="noConversion"/>
  </si>
  <si>
    <t>普拉达时装商业（上海）有限公司</t>
    <phoneticPr fontId="4" type="noConversion"/>
  </si>
  <si>
    <t>CU0109</t>
    <phoneticPr fontId="4" type="noConversion"/>
  </si>
  <si>
    <t>丘奇鞋业（上海）有限公司</t>
    <phoneticPr fontId="4" type="noConversion"/>
  </si>
  <si>
    <t>CU0238</t>
    <phoneticPr fontId="4" type="noConversion"/>
  </si>
  <si>
    <t>文思海辉</t>
    <phoneticPr fontId="4" type="noConversion"/>
  </si>
  <si>
    <t>CU0285</t>
    <phoneticPr fontId="4" type="noConversion"/>
  </si>
  <si>
    <t>拉格代尔商业（上海）有限公司</t>
    <phoneticPr fontId="4" type="noConversion"/>
  </si>
  <si>
    <t>CU0289</t>
    <phoneticPr fontId="4" type="noConversion"/>
  </si>
  <si>
    <t>蓝色光标</t>
    <phoneticPr fontId="4" type="noConversion"/>
  </si>
  <si>
    <t>CU0448</t>
    <phoneticPr fontId="4" type="noConversion"/>
  </si>
  <si>
    <t>新疆金风科技股份有限公司</t>
    <phoneticPr fontId="4" type="noConversion"/>
  </si>
  <si>
    <t>CU0460</t>
    <phoneticPr fontId="4" type="noConversion"/>
  </si>
  <si>
    <t>包商银行股份有限公司</t>
    <phoneticPr fontId="4" type="noConversion"/>
  </si>
  <si>
    <t>CU0468</t>
    <phoneticPr fontId="4" type="noConversion"/>
  </si>
  <si>
    <t>聚思鸿信息技术服务（大连）有限公司</t>
    <phoneticPr fontId="4" type="noConversion"/>
  </si>
  <si>
    <t>华院数据技术（上海）有限公司</t>
    <phoneticPr fontId="4" type="noConversion"/>
  </si>
  <si>
    <t>巴丽（上海）商业有限公司</t>
    <phoneticPr fontId="4" type="noConversion"/>
  </si>
  <si>
    <t>蒂森克虏伯发动机系统（大连）有限公司</t>
    <phoneticPr fontId="4" type="noConversion"/>
  </si>
  <si>
    <t>CU0734</t>
    <phoneticPr fontId="4" type="noConversion"/>
  </si>
  <si>
    <t>深圳市前海麦达数字有限公司</t>
    <phoneticPr fontId="4" type="noConversion"/>
  </si>
  <si>
    <t>CU0736</t>
    <phoneticPr fontId="4" type="noConversion"/>
  </si>
  <si>
    <t>美克国际家居用品股份有限公司</t>
    <phoneticPr fontId="4" type="noConversion"/>
  </si>
  <si>
    <t>爱德觅尔（深圳）科技有限公司</t>
    <phoneticPr fontId="4" type="noConversion"/>
  </si>
  <si>
    <t>CU0848</t>
    <phoneticPr fontId="4" type="noConversion"/>
  </si>
  <si>
    <t>紫光电子商务有限公司</t>
    <phoneticPr fontId="4" type="noConversion"/>
  </si>
  <si>
    <t>CU0904</t>
    <phoneticPr fontId="4" type="noConversion"/>
  </si>
  <si>
    <t>蓝图创新投资管理（北京）有限公司</t>
    <phoneticPr fontId="4" type="noConversion"/>
  </si>
  <si>
    <t>CU0937</t>
    <phoneticPr fontId="4" type="noConversion"/>
  </si>
  <si>
    <t>喜利得（中国）商贸有限公司</t>
    <phoneticPr fontId="4" type="noConversion"/>
  </si>
  <si>
    <t>CU1013</t>
    <phoneticPr fontId="4" type="noConversion"/>
  </si>
  <si>
    <t>CU1016</t>
    <phoneticPr fontId="4" type="noConversion"/>
  </si>
  <si>
    <t>艾蒙斯特朗流体系统（上海）有限公司</t>
    <phoneticPr fontId="4" type="noConversion"/>
  </si>
  <si>
    <t>CU1155</t>
    <phoneticPr fontId="4" type="noConversion"/>
  </si>
  <si>
    <t>上海库润信息技术有限公司</t>
    <phoneticPr fontId="4" type="noConversion"/>
  </si>
  <si>
    <t>JV24</t>
    <phoneticPr fontId="4" type="noConversion"/>
  </si>
  <si>
    <t>CU0207</t>
    <phoneticPr fontId="4" type="noConversion"/>
  </si>
  <si>
    <t>CU0669</t>
    <phoneticPr fontId="4" type="noConversion"/>
  </si>
  <si>
    <t>CU0898</t>
    <phoneticPr fontId="4" type="noConversion"/>
  </si>
  <si>
    <t>CU1163</t>
    <phoneticPr fontId="4" type="noConversion"/>
  </si>
  <si>
    <t>健赢士医疗科技（上海）有限公司</t>
    <phoneticPr fontId="4" type="noConversion"/>
  </si>
  <si>
    <t>CU1610</t>
    <phoneticPr fontId="4" type="noConversion"/>
  </si>
  <si>
    <t>JV72</t>
    <phoneticPr fontId="4" type="noConversion"/>
  </si>
  <si>
    <t>杭州康晟健康管理咨询有限公司</t>
  </si>
  <si>
    <t>CU0562</t>
    <phoneticPr fontId="4" type="noConversion"/>
  </si>
  <si>
    <t>CU0692</t>
    <phoneticPr fontId="4" type="noConversion"/>
  </si>
  <si>
    <t>CU1152</t>
    <phoneticPr fontId="4" type="noConversion"/>
  </si>
  <si>
    <t>欧尚（中国）投资有限公司</t>
    <phoneticPr fontId="4" type="noConversion"/>
  </si>
  <si>
    <t>昆明贝泰妮生物科技有限公司</t>
    <phoneticPr fontId="4" type="noConversion"/>
  </si>
  <si>
    <t>汉庭星空（上海）酒店管理有限公司</t>
    <phoneticPr fontId="4" type="noConversion"/>
  </si>
  <si>
    <t>JV23</t>
    <phoneticPr fontId="4" type="noConversion"/>
  </si>
  <si>
    <t>JV24</t>
    <phoneticPr fontId="4" type="noConversion"/>
  </si>
  <si>
    <t>JV25</t>
    <phoneticPr fontId="4" type="noConversion"/>
  </si>
  <si>
    <t>JV26</t>
    <phoneticPr fontId="4" type="noConversion"/>
  </si>
  <si>
    <t>JV27</t>
    <phoneticPr fontId="4" type="noConversion"/>
  </si>
  <si>
    <t>JV28</t>
    <phoneticPr fontId="4" type="noConversion"/>
  </si>
  <si>
    <t>JV29</t>
    <phoneticPr fontId="4" type="noConversion"/>
  </si>
  <si>
    <t>JV30</t>
    <phoneticPr fontId="4" type="noConversion"/>
  </si>
  <si>
    <t>JV10</t>
    <phoneticPr fontId="4" type="noConversion"/>
  </si>
  <si>
    <t>JV11</t>
    <phoneticPr fontId="4" type="noConversion"/>
  </si>
  <si>
    <t>JV12</t>
    <phoneticPr fontId="4" type="noConversion"/>
  </si>
  <si>
    <t>JV13</t>
    <phoneticPr fontId="4" type="noConversion"/>
  </si>
  <si>
    <t>JV14</t>
    <phoneticPr fontId="4" type="noConversion"/>
  </si>
  <si>
    <t>JV15</t>
    <phoneticPr fontId="4" type="noConversion"/>
  </si>
  <si>
    <t>JV16</t>
    <phoneticPr fontId="4" type="noConversion"/>
  </si>
  <si>
    <t>JV17</t>
    <phoneticPr fontId="4" type="noConversion"/>
  </si>
  <si>
    <t>JV18</t>
    <phoneticPr fontId="4" type="noConversion"/>
  </si>
  <si>
    <t>JV18</t>
    <phoneticPr fontId="4" type="noConversion"/>
  </si>
  <si>
    <t>JV19</t>
    <phoneticPr fontId="4" type="noConversion"/>
  </si>
  <si>
    <t>爱德觅尔（深圳）科技有限公司</t>
  </si>
  <si>
    <t>之宝（中国）户外产品有限公司</t>
  </si>
  <si>
    <t>CU0093</t>
  </si>
  <si>
    <t>CU1054</t>
  </si>
  <si>
    <t>JV19</t>
    <phoneticPr fontId="4" type="noConversion"/>
  </si>
  <si>
    <t>JV23</t>
    <phoneticPr fontId="4" type="noConversion"/>
  </si>
  <si>
    <t>JV72</t>
    <phoneticPr fontId="4" type="noConversion"/>
  </si>
  <si>
    <t>北京万国长安科技有限公司</t>
  </si>
  <si>
    <t>上海品盛化工有限公司</t>
  </si>
  <si>
    <t>上海创米科技有限公司</t>
  </si>
  <si>
    <t>威内源企业管理咨询（上海）有限公司</t>
  </si>
  <si>
    <t>CU1172</t>
  </si>
  <si>
    <t>CU1223</t>
  </si>
  <si>
    <t>CU1345</t>
  </si>
  <si>
    <t>连云港锐巴化工有限公司</t>
  </si>
  <si>
    <t>通标标准技术服务（上海）有限公司</t>
  </si>
  <si>
    <t>WorldOne Research Limited</t>
    <phoneticPr fontId="4" type="noConversion"/>
  </si>
  <si>
    <t>CU1430</t>
  </si>
  <si>
    <t>CU1705</t>
  </si>
  <si>
    <t>CU1718</t>
  </si>
  <si>
    <t>JV10</t>
    <phoneticPr fontId="4" type="noConversion"/>
  </si>
  <si>
    <t>JV11</t>
    <phoneticPr fontId="4" type="noConversion"/>
  </si>
  <si>
    <t>JV12</t>
    <phoneticPr fontId="4" type="noConversion"/>
  </si>
  <si>
    <t>JV13</t>
    <phoneticPr fontId="4" type="noConversion"/>
  </si>
  <si>
    <t>JV14</t>
    <phoneticPr fontId="4" type="noConversion"/>
  </si>
  <si>
    <t>JV15</t>
    <phoneticPr fontId="4" type="noConversion"/>
  </si>
  <si>
    <t>JV16</t>
    <phoneticPr fontId="4" type="noConversion"/>
  </si>
  <si>
    <t>JV17</t>
    <phoneticPr fontId="4" type="noConversion"/>
  </si>
  <si>
    <t>JV18</t>
    <phoneticPr fontId="4" type="noConversion"/>
  </si>
  <si>
    <t>JV10</t>
    <phoneticPr fontId="4" type="noConversion"/>
  </si>
  <si>
    <t>JV16</t>
    <phoneticPr fontId="4" type="noConversion"/>
  </si>
  <si>
    <t>JV17</t>
    <phoneticPr fontId="4" type="noConversion"/>
  </si>
  <si>
    <t>JV12</t>
    <phoneticPr fontId="4" type="noConversion"/>
  </si>
  <si>
    <t>JV13</t>
    <phoneticPr fontId="4" type="noConversion"/>
  </si>
  <si>
    <t>JV14</t>
    <phoneticPr fontId="4" type="noConversion"/>
  </si>
  <si>
    <t>JV15</t>
    <phoneticPr fontId="4" type="noConversion"/>
  </si>
  <si>
    <t>JV19</t>
    <phoneticPr fontId="4" type="noConversion"/>
  </si>
  <si>
    <t>JV20</t>
    <phoneticPr fontId="4" type="noConversion"/>
  </si>
  <si>
    <t>JV21</t>
    <phoneticPr fontId="4" type="noConversion"/>
  </si>
  <si>
    <t>JV30</t>
    <phoneticPr fontId="4" type="noConversion"/>
  </si>
  <si>
    <t>健是医疗科技（上海）有限公司</t>
  </si>
  <si>
    <t>CU0207</t>
    <phoneticPr fontId="4" type="noConversion"/>
  </si>
  <si>
    <t>JV88</t>
    <phoneticPr fontId="4" type="noConversion"/>
  </si>
  <si>
    <t>CU0937</t>
  </si>
  <si>
    <t>CU1075</t>
  </si>
  <si>
    <t>CU1745</t>
  </si>
  <si>
    <t>CU0296</t>
    <phoneticPr fontId="4" type="noConversion"/>
  </si>
  <si>
    <t>蓝色光标</t>
    <phoneticPr fontId="4" type="noConversion"/>
  </si>
  <si>
    <t>CU0448</t>
    <phoneticPr fontId="4" type="noConversion"/>
  </si>
  <si>
    <t>新疆金风科技股份有限公司</t>
    <phoneticPr fontId="4" type="noConversion"/>
  </si>
  <si>
    <t>CU0460</t>
    <phoneticPr fontId="4" type="noConversion"/>
  </si>
  <si>
    <t>CU0531</t>
    <phoneticPr fontId="4" type="noConversion"/>
  </si>
  <si>
    <t>蒂森克虏伯发动机系统（大连）有限公司</t>
    <phoneticPr fontId="4" type="noConversion"/>
  </si>
  <si>
    <t>深圳市前海麦达数字有限公司</t>
    <phoneticPr fontId="4" type="noConversion"/>
  </si>
  <si>
    <t>天职集团</t>
    <phoneticPr fontId="4" type="noConversion"/>
  </si>
  <si>
    <t>恩派</t>
    <phoneticPr fontId="4" type="noConversion"/>
  </si>
  <si>
    <t>美克国际家居用品股份有限公司</t>
    <phoneticPr fontId="4" type="noConversion"/>
  </si>
  <si>
    <t>凯杰生物工程（深圳）有限公司</t>
    <phoneticPr fontId="4" type="noConversion"/>
  </si>
  <si>
    <t>苏州舒尔贸易有限公司</t>
    <phoneticPr fontId="4" type="noConversion"/>
  </si>
  <si>
    <t>爱德觅尔（深圳）科技有限公司</t>
    <phoneticPr fontId="4" type="noConversion"/>
  </si>
  <si>
    <t>智睿</t>
    <phoneticPr fontId="4" type="noConversion"/>
  </si>
  <si>
    <t>恩德斯豪斯（中国）自动化有限公司</t>
    <phoneticPr fontId="4" type="noConversion"/>
  </si>
  <si>
    <t>紫光集团</t>
    <phoneticPr fontId="4" type="noConversion"/>
  </si>
  <si>
    <t>鑫车投资（上海）有限公司</t>
    <phoneticPr fontId="4" type="noConversion"/>
  </si>
  <si>
    <t>蓝图创新投资管理（北京）有限公司</t>
    <phoneticPr fontId="4" type="noConversion"/>
  </si>
  <si>
    <t>乔治阿玛尼（上海）商贸有限公司</t>
    <phoneticPr fontId="4" type="noConversion"/>
  </si>
  <si>
    <t>上海盈努惠实业有限公司</t>
    <phoneticPr fontId="4" type="noConversion"/>
  </si>
  <si>
    <t>艾蒙斯特朗流体系统（上海）有限公司</t>
    <phoneticPr fontId="4" type="noConversion"/>
  </si>
  <si>
    <t>上海品盛化工有限公司</t>
    <phoneticPr fontId="4" type="noConversion"/>
  </si>
  <si>
    <t>上海创米科技有限公司</t>
    <phoneticPr fontId="4" type="noConversion"/>
  </si>
  <si>
    <t>威内源企业管理咨询（上海）有限公司</t>
    <phoneticPr fontId="4" type="noConversion"/>
  </si>
  <si>
    <t>上海库润信息技术有限公司</t>
    <phoneticPr fontId="4" type="noConversion"/>
  </si>
  <si>
    <t>连云港锐巴化工有限公司</t>
    <phoneticPr fontId="4" type="noConversion"/>
  </si>
  <si>
    <t>通标标准技术服务（上海）有限公司</t>
    <phoneticPr fontId="4" type="noConversion"/>
  </si>
  <si>
    <t>WorldOne Research Limited</t>
    <phoneticPr fontId="4" type="noConversion"/>
  </si>
  <si>
    <t>格林机床（上海）有限公司</t>
    <phoneticPr fontId="4" type="noConversion"/>
  </si>
  <si>
    <t>JV25</t>
    <phoneticPr fontId="4" type="noConversion"/>
  </si>
  <si>
    <t>JV56</t>
    <phoneticPr fontId="4" type="noConversion"/>
  </si>
  <si>
    <t>JV57</t>
    <phoneticPr fontId="4" type="noConversion"/>
  </si>
  <si>
    <t>CU0669000</t>
    <phoneticPr fontId="4" type="noConversion"/>
  </si>
  <si>
    <t>JV58</t>
    <phoneticPr fontId="4" type="noConversion"/>
  </si>
  <si>
    <t>CU0898</t>
    <phoneticPr fontId="4" type="noConversion"/>
  </si>
  <si>
    <t>JV59</t>
    <phoneticPr fontId="4" type="noConversion"/>
  </si>
  <si>
    <t>CU0207</t>
    <phoneticPr fontId="4" type="noConversion"/>
  </si>
  <si>
    <t>CU0669</t>
    <phoneticPr fontId="4" type="noConversion"/>
  </si>
  <si>
    <t>JV60</t>
    <phoneticPr fontId="4" type="noConversion"/>
  </si>
  <si>
    <t>JV61</t>
    <phoneticPr fontId="4" type="noConversion"/>
  </si>
  <si>
    <t>JV62</t>
    <phoneticPr fontId="4" type="noConversion"/>
  </si>
  <si>
    <t>JV63</t>
    <phoneticPr fontId="4" type="noConversion"/>
  </si>
  <si>
    <t>CU0669</t>
    <phoneticPr fontId="4" type="noConversion"/>
  </si>
  <si>
    <t>CU0898</t>
    <phoneticPr fontId="4" type="noConversion"/>
  </si>
  <si>
    <t>JV64</t>
    <phoneticPr fontId="4" type="noConversion"/>
  </si>
  <si>
    <t>CU0669</t>
    <phoneticPr fontId="4" type="noConversion"/>
  </si>
  <si>
    <t>CU1610</t>
    <phoneticPr fontId="4" type="noConversion"/>
  </si>
  <si>
    <t>JV65</t>
    <phoneticPr fontId="4" type="noConversion"/>
  </si>
  <si>
    <t>CU0720001</t>
    <phoneticPr fontId="4" type="noConversion"/>
  </si>
  <si>
    <t>CU0884001</t>
    <phoneticPr fontId="4" type="noConversion"/>
  </si>
  <si>
    <t>CU0905003</t>
    <phoneticPr fontId="4" type="noConversion"/>
  </si>
  <si>
    <t>CU0936001</t>
    <phoneticPr fontId="4" type="noConversion"/>
  </si>
  <si>
    <t>JV19</t>
    <phoneticPr fontId="4" type="noConversion"/>
  </si>
  <si>
    <t>CU0720001</t>
    <phoneticPr fontId="4" type="noConversion"/>
  </si>
  <si>
    <t>JV20</t>
    <phoneticPr fontId="4" type="noConversion"/>
  </si>
  <si>
    <t>JV21</t>
    <phoneticPr fontId="4" type="noConversion"/>
  </si>
  <si>
    <t>JV22</t>
    <phoneticPr fontId="4" type="noConversion"/>
  </si>
  <si>
    <t>JV23</t>
    <phoneticPr fontId="4" type="noConversion"/>
  </si>
  <si>
    <t>JV24</t>
    <phoneticPr fontId="4" type="noConversion"/>
  </si>
  <si>
    <t>JV25</t>
    <phoneticPr fontId="4" type="noConversion"/>
  </si>
  <si>
    <t>JV26</t>
    <phoneticPr fontId="4" type="noConversion"/>
  </si>
  <si>
    <t>JV27</t>
    <phoneticPr fontId="4" type="noConversion"/>
  </si>
  <si>
    <t>JV28</t>
    <phoneticPr fontId="4" type="noConversion"/>
  </si>
  <si>
    <t>CU0531002</t>
    <phoneticPr fontId="22" type="noConversion"/>
  </si>
  <si>
    <t>欧尚（中国）投资有限公司</t>
    <phoneticPr fontId="4" type="noConversion"/>
  </si>
  <si>
    <t>CU0692001</t>
    <phoneticPr fontId="4" type="noConversion"/>
  </si>
  <si>
    <t>CU0406000</t>
    <phoneticPr fontId="21" type="noConversion"/>
  </si>
  <si>
    <t>CU0468001</t>
    <phoneticPr fontId="21" type="noConversion"/>
  </si>
  <si>
    <t>CU0531001</t>
    <phoneticPr fontId="4" type="noConversion"/>
  </si>
  <si>
    <t>CU0558009</t>
    <phoneticPr fontId="4" type="noConversion"/>
  </si>
  <si>
    <t>CU0772001</t>
    <phoneticPr fontId="4" type="noConversion"/>
  </si>
  <si>
    <t>JV14</t>
    <phoneticPr fontId="4" type="noConversion"/>
  </si>
  <si>
    <t>CU0182000</t>
    <phoneticPr fontId="4" type="noConversion"/>
  </si>
  <si>
    <t>CU0411000</t>
    <phoneticPr fontId="4" type="noConversion"/>
  </si>
  <si>
    <t>CU0428001</t>
    <phoneticPr fontId="4" type="noConversion"/>
  </si>
  <si>
    <t>CU0531000</t>
    <phoneticPr fontId="4" type="noConversion"/>
  </si>
  <si>
    <t>CU0570000</t>
    <phoneticPr fontId="4" type="noConversion"/>
  </si>
  <si>
    <t>CU0636000</t>
    <phoneticPr fontId="4" type="noConversion"/>
  </si>
  <si>
    <t>CU0692001</t>
    <phoneticPr fontId="4" type="noConversion"/>
  </si>
  <si>
    <t>CU0734000</t>
    <phoneticPr fontId="4" type="noConversion"/>
  </si>
  <si>
    <t>CU0769001</t>
    <phoneticPr fontId="4" type="noConversion"/>
  </si>
  <si>
    <t>CU0823000</t>
    <phoneticPr fontId="4" type="noConversion"/>
  </si>
  <si>
    <t>CU1152001</t>
    <phoneticPr fontId="4" type="noConversion"/>
  </si>
  <si>
    <t>JV15</t>
    <phoneticPr fontId="4" type="noConversion"/>
  </si>
  <si>
    <t>CU0531000</t>
    <phoneticPr fontId="4" type="noConversion"/>
  </si>
  <si>
    <t>CU0570000</t>
    <phoneticPr fontId="4" type="noConversion"/>
  </si>
  <si>
    <t>CU0636000</t>
    <phoneticPr fontId="4" type="noConversion"/>
  </si>
  <si>
    <t>CU1067001</t>
    <phoneticPr fontId="4" type="noConversion"/>
  </si>
  <si>
    <t>CU1149001</t>
    <phoneticPr fontId="4" type="noConversion"/>
  </si>
  <si>
    <t>JV16</t>
    <phoneticPr fontId="4" type="noConversion"/>
  </si>
  <si>
    <t>CU0182000</t>
    <phoneticPr fontId="4" type="noConversion"/>
  </si>
  <si>
    <t>CU0562001</t>
    <phoneticPr fontId="4" type="noConversion"/>
  </si>
  <si>
    <t>CU1149001</t>
    <phoneticPr fontId="4" type="noConversion"/>
  </si>
  <si>
    <t>JV17</t>
    <phoneticPr fontId="4" type="noConversion"/>
  </si>
  <si>
    <t>JV18</t>
    <phoneticPr fontId="4" type="noConversion"/>
  </si>
  <si>
    <t>JV19</t>
    <phoneticPr fontId="4" type="noConversion"/>
  </si>
  <si>
    <t>JV20</t>
    <phoneticPr fontId="4" type="noConversion"/>
  </si>
  <si>
    <t>JV21</t>
    <phoneticPr fontId="4" type="noConversion"/>
  </si>
  <si>
    <t>JV22</t>
    <phoneticPr fontId="4" type="noConversion"/>
  </si>
  <si>
    <t>JV23</t>
    <phoneticPr fontId="4" type="noConversion"/>
  </si>
  <si>
    <t>JV24</t>
    <phoneticPr fontId="4" type="noConversion"/>
  </si>
  <si>
    <t>CU1230</t>
    <phoneticPr fontId="4" type="noConversion"/>
  </si>
  <si>
    <t>JV94</t>
    <phoneticPr fontId="4" type="noConversion"/>
  </si>
  <si>
    <t>杭州辉图生物科技有限公司</t>
  </si>
  <si>
    <t>CU1736</t>
  </si>
  <si>
    <t>JV35</t>
    <phoneticPr fontId="4" type="noConversion"/>
  </si>
  <si>
    <t>上海德筑企业管理有限公司</t>
  </si>
  <si>
    <t>WorldOne Research Limited</t>
  </si>
  <si>
    <t>博泽汽车技术企业管理（中国）有限公司</t>
  </si>
  <si>
    <t>上海紫竹高新区（集团）有限公司</t>
  </si>
  <si>
    <t>CU0238</t>
  </si>
  <si>
    <t>CU0296</t>
  </si>
  <si>
    <t>CU1015</t>
  </si>
  <si>
    <t>CU1780</t>
  </si>
  <si>
    <t>CU1785</t>
  </si>
  <si>
    <t>CU0145</t>
    <phoneticPr fontId="4" type="noConversion"/>
  </si>
  <si>
    <t>JV25</t>
    <phoneticPr fontId="4" type="noConversion"/>
  </si>
  <si>
    <t>CU0145000</t>
    <phoneticPr fontId="4" type="noConversion"/>
  </si>
  <si>
    <t>JV13</t>
    <phoneticPr fontId="4" type="noConversion"/>
  </si>
  <si>
    <t>JV14</t>
    <phoneticPr fontId="4" type="noConversion"/>
  </si>
  <si>
    <t>JV15</t>
    <phoneticPr fontId="4" type="noConversion"/>
  </si>
  <si>
    <t>JV16</t>
    <phoneticPr fontId="4" type="noConversion"/>
  </si>
  <si>
    <t>JV17</t>
    <phoneticPr fontId="4" type="noConversion"/>
  </si>
  <si>
    <t>JV18</t>
    <phoneticPr fontId="4" type="noConversion"/>
  </si>
  <si>
    <t>JV19</t>
    <phoneticPr fontId="4" type="noConversion"/>
  </si>
  <si>
    <t>JV20</t>
    <phoneticPr fontId="4" type="noConversion"/>
  </si>
  <si>
    <t>JV21</t>
    <phoneticPr fontId="4" type="noConversion"/>
  </si>
  <si>
    <t>JV22</t>
    <phoneticPr fontId="4" type="noConversion"/>
  </si>
  <si>
    <t>JV23</t>
    <phoneticPr fontId="4" type="noConversion"/>
  </si>
  <si>
    <t>JV24</t>
    <phoneticPr fontId="4" type="noConversion"/>
  </si>
  <si>
    <t>JV13</t>
    <phoneticPr fontId="4" type="noConversion"/>
  </si>
  <si>
    <t>JV23</t>
    <phoneticPr fontId="4" type="noConversion"/>
  </si>
  <si>
    <t>JV25</t>
    <phoneticPr fontId="4" type="noConversion"/>
  </si>
  <si>
    <t>JV30</t>
    <phoneticPr fontId="4" type="noConversion"/>
  </si>
  <si>
    <t>JV26</t>
    <phoneticPr fontId="4" type="noConversion"/>
  </si>
  <si>
    <t>JV27</t>
    <phoneticPr fontId="4" type="noConversion"/>
  </si>
  <si>
    <t>JV28</t>
    <phoneticPr fontId="4" type="noConversion"/>
  </si>
  <si>
    <t>JV29</t>
    <phoneticPr fontId="4" type="noConversion"/>
  </si>
  <si>
    <t>JV31</t>
    <phoneticPr fontId="4" type="noConversion"/>
  </si>
  <si>
    <t>JV32</t>
    <phoneticPr fontId="4" type="noConversion"/>
  </si>
  <si>
    <t>JV33</t>
    <phoneticPr fontId="4" type="noConversion"/>
  </si>
  <si>
    <t>易趋宏挤压研磨机械（上海）有限公司</t>
  </si>
  <si>
    <t>倍酪滋（上海）食品贸易有限公司</t>
  </si>
  <si>
    <t>蔚兰红瓴</t>
  </si>
  <si>
    <t>酩悦轩尼诗帝亚吉欧洋酒（上海）有限公司</t>
  </si>
  <si>
    <t>上海纬中元国际贸易有限公司</t>
  </si>
  <si>
    <t>常州瑞慈融资租赁有限公司</t>
  </si>
  <si>
    <t>CU0017</t>
  </si>
  <si>
    <t>CU0562</t>
  </si>
  <si>
    <t>CU0998</t>
  </si>
  <si>
    <t>CU1738</t>
  </si>
  <si>
    <t>CU1805</t>
  </si>
  <si>
    <t>CU1808</t>
  </si>
  <si>
    <t>CU0207</t>
    <phoneticPr fontId="4" type="noConversion"/>
  </si>
  <si>
    <t>CU0669</t>
    <phoneticPr fontId="4" type="noConversion"/>
  </si>
  <si>
    <t>CU1163</t>
    <phoneticPr fontId="4" type="noConversion"/>
  </si>
  <si>
    <t>CU1230</t>
    <phoneticPr fontId="48" type="noConversion"/>
  </si>
  <si>
    <t>CU1610</t>
    <phoneticPr fontId="4" type="noConversion"/>
  </si>
  <si>
    <t>1月支付</t>
    <phoneticPr fontId="4" type="noConversion"/>
  </si>
  <si>
    <t>1月支付</t>
    <phoneticPr fontId="4" type="noConversion"/>
  </si>
  <si>
    <t>1月剩余</t>
    <phoneticPr fontId="4" type="noConversion"/>
  </si>
  <si>
    <t>拉格代尔商业（上海）有限公司</t>
    <phoneticPr fontId="4" type="noConversion"/>
  </si>
  <si>
    <t>深圳市顺荣通讯技术有限公司</t>
    <phoneticPr fontId="4" type="noConversion"/>
  </si>
  <si>
    <t>JV25</t>
    <phoneticPr fontId="4" type="noConversion"/>
  </si>
  <si>
    <t>JV24</t>
    <phoneticPr fontId="4" type="noConversion"/>
  </si>
  <si>
    <t>锐珂亚太投资管理（上海）有限公司</t>
    <phoneticPr fontId="4" type="noConversion"/>
  </si>
  <si>
    <t>CU0145</t>
    <phoneticPr fontId="4" type="noConversion"/>
  </si>
  <si>
    <t>CU0182</t>
    <phoneticPr fontId="4" type="noConversion"/>
  </si>
  <si>
    <t>阿姆斯壮世界工业（中国）有限公司</t>
    <phoneticPr fontId="4" type="noConversion"/>
  </si>
  <si>
    <t>阿姆斯壮世界工业（中国）有限公司</t>
    <phoneticPr fontId="4" type="noConversion"/>
  </si>
  <si>
    <t>恩思恩时尚（中国）商贸有限公司</t>
    <phoneticPr fontId="4" type="noConversion"/>
  </si>
  <si>
    <t>CU0636</t>
    <phoneticPr fontId="4" type="noConversion"/>
  </si>
  <si>
    <t>巴丽（上海）商业有限公司</t>
    <phoneticPr fontId="4" type="noConversion"/>
  </si>
  <si>
    <t>CU0667</t>
    <phoneticPr fontId="4" type="noConversion"/>
  </si>
  <si>
    <t>北京杰迪安尔科技有限公司</t>
    <phoneticPr fontId="4" type="noConversion"/>
  </si>
  <si>
    <t>CU0812</t>
    <phoneticPr fontId="4" type="noConversion"/>
  </si>
  <si>
    <t>恩派</t>
    <phoneticPr fontId="4" type="noConversion"/>
  </si>
  <si>
    <t>CU0823</t>
    <phoneticPr fontId="4" type="noConversion"/>
  </si>
  <si>
    <t>凯杰生物工程（深圳）有限公司</t>
    <phoneticPr fontId="4" type="noConversion"/>
  </si>
  <si>
    <t>CU0824</t>
    <phoneticPr fontId="4" type="noConversion"/>
  </si>
  <si>
    <t>CU1345</t>
    <phoneticPr fontId="4" type="noConversion"/>
  </si>
  <si>
    <t>上海创米科技有限公司</t>
    <phoneticPr fontId="4" type="noConversion"/>
  </si>
  <si>
    <t>CU1161</t>
    <phoneticPr fontId="4" type="noConversion"/>
  </si>
  <si>
    <t>北京身边惠国际旅行社有限公司</t>
    <phoneticPr fontId="4" type="noConversion"/>
  </si>
  <si>
    <t>CU1809</t>
    <phoneticPr fontId="4" type="noConversion"/>
  </si>
  <si>
    <t>CU1815</t>
    <phoneticPr fontId="4" type="noConversion"/>
  </si>
  <si>
    <t>道达尔</t>
    <phoneticPr fontId="4" type="noConversion"/>
  </si>
  <si>
    <t>伟亚安医疗器械（上海）有限公司</t>
    <phoneticPr fontId="4" type="noConversion"/>
  </si>
  <si>
    <t>JV32</t>
    <phoneticPr fontId="4" type="noConversion"/>
  </si>
  <si>
    <t>JV107</t>
    <phoneticPr fontId="4" type="noConversion"/>
  </si>
  <si>
    <t>JV33</t>
  </si>
  <si>
    <t>巴丽（上海）商业有限公司</t>
    <phoneticPr fontId="4" type="noConversion"/>
  </si>
  <si>
    <t>北京杰迪安尔科技有限公司</t>
    <phoneticPr fontId="4" type="noConversion"/>
  </si>
  <si>
    <t>凯杰生物工程（深圳）有限公司</t>
    <phoneticPr fontId="4" type="noConversion"/>
  </si>
  <si>
    <t>锐珂亚太投资管理（上海）有限公司</t>
    <phoneticPr fontId="4" type="noConversion"/>
  </si>
  <si>
    <t>2月支付</t>
    <phoneticPr fontId="4" type="noConversion"/>
  </si>
  <si>
    <t>2月剩余</t>
    <phoneticPr fontId="4" type="noConversion"/>
  </si>
  <si>
    <t>3月支付</t>
    <phoneticPr fontId="4" type="noConversion"/>
  </si>
  <si>
    <t>2月支付</t>
    <phoneticPr fontId="4" type="noConversion"/>
  </si>
  <si>
    <t>2月剩余</t>
    <phoneticPr fontId="4" type="noConversion"/>
  </si>
  <si>
    <t>3月支付</t>
    <phoneticPr fontId="4" type="noConversion"/>
  </si>
  <si>
    <t>3月剩余</t>
    <phoneticPr fontId="4" type="noConversion"/>
  </si>
  <si>
    <t>CU0669</t>
    <phoneticPr fontId="4" type="noConversion"/>
  </si>
  <si>
    <t>CU0669</t>
    <phoneticPr fontId="4" type="noConversion"/>
  </si>
  <si>
    <t>凯易讯网络技术开发（南京）有限公司</t>
    <phoneticPr fontId="4" type="noConversion"/>
  </si>
  <si>
    <t>达信（中国）保险经纪有限公司</t>
    <phoneticPr fontId="4" type="noConversion"/>
  </si>
  <si>
    <t>泰利福医疗器械商贸（上海）有限公司</t>
    <phoneticPr fontId="4" type="noConversion"/>
  </si>
  <si>
    <t>汉庭星空（上海）酒店管理有限公司</t>
    <phoneticPr fontId="4" type="noConversion"/>
  </si>
  <si>
    <t>3月支付</t>
    <phoneticPr fontId="4" type="noConversion"/>
  </si>
  <si>
    <t>3月剩余</t>
    <phoneticPr fontId="4" type="noConversion"/>
  </si>
  <si>
    <t>凭证号</t>
    <phoneticPr fontId="4" type="noConversion"/>
  </si>
  <si>
    <t>恩思恩</t>
  </si>
  <si>
    <t>聚思鸿</t>
  </si>
  <si>
    <t>智睿企业咨询（深圳）有限公司</t>
  </si>
  <si>
    <t>JV23</t>
    <phoneticPr fontId="4" type="noConversion"/>
  </si>
  <si>
    <t>健是医疗科技（上海）有限公司</t>
    <phoneticPr fontId="4" type="noConversion"/>
  </si>
  <si>
    <t>达信（中国）保险经纪有限公司</t>
    <phoneticPr fontId="4" type="noConversion"/>
  </si>
  <si>
    <t>泰利福医疗器械商贸（上海）有限公司</t>
    <phoneticPr fontId="4" type="noConversion"/>
  </si>
  <si>
    <t>JV92</t>
    <phoneticPr fontId="4" type="noConversion"/>
  </si>
  <si>
    <t>CU1853</t>
  </si>
  <si>
    <t>CU1861</t>
  </si>
  <si>
    <t>CU1861</t>
    <phoneticPr fontId="48" type="noConversion"/>
  </si>
  <si>
    <t>CU1853</t>
    <phoneticPr fontId="48" type="noConversion"/>
  </si>
  <si>
    <t>北京易车互联信息技术有限公司</t>
  </si>
  <si>
    <t>丞家（上海）投资有限公司</t>
  </si>
  <si>
    <t>CU0669</t>
    <phoneticPr fontId="4" type="noConversion"/>
  </si>
  <si>
    <t>CU0898</t>
    <phoneticPr fontId="4" type="noConversion"/>
  </si>
  <si>
    <t>北京博禹国际顾问有限公司</t>
    <phoneticPr fontId="4" type="noConversion"/>
  </si>
  <si>
    <t>凯易讯网络技术开发（南京）有限公司</t>
    <phoneticPr fontId="4" type="noConversion"/>
  </si>
  <si>
    <t>JV22</t>
    <phoneticPr fontId="4" type="noConversion"/>
  </si>
  <si>
    <t>JV21</t>
    <phoneticPr fontId="4" type="noConversion"/>
  </si>
  <si>
    <t>JV35</t>
    <phoneticPr fontId="4" type="noConversion"/>
  </si>
  <si>
    <t>杭州康晟健康管理咨询有限公司</t>
    <phoneticPr fontId="48" type="noConversion"/>
  </si>
  <si>
    <t>CU0562</t>
    <phoneticPr fontId="4" type="noConversion"/>
  </si>
  <si>
    <t>JV36</t>
    <phoneticPr fontId="4" type="noConversion"/>
  </si>
  <si>
    <t>JV17</t>
    <phoneticPr fontId="4" type="noConversion"/>
  </si>
  <si>
    <t>常熟才烁</t>
    <phoneticPr fontId="4" type="noConversion"/>
  </si>
  <si>
    <t>JV45</t>
    <phoneticPr fontId="4" type="noConversion"/>
  </si>
  <si>
    <t>CU1053</t>
    <phoneticPr fontId="4" type="noConversion"/>
  </si>
  <si>
    <t>相宜本草</t>
    <phoneticPr fontId="4" type="noConversion"/>
  </si>
  <si>
    <t>CU1724</t>
    <phoneticPr fontId="4" type="noConversion"/>
  </si>
  <si>
    <t>索菲玛</t>
    <phoneticPr fontId="4" type="noConversion"/>
  </si>
  <si>
    <t>JV29</t>
    <phoneticPr fontId="4" type="noConversion"/>
  </si>
  <si>
    <t>常熟才烁</t>
    <phoneticPr fontId="4" type="noConversion"/>
  </si>
  <si>
    <t>JV35</t>
    <phoneticPr fontId="4" type="noConversion"/>
  </si>
  <si>
    <t>JV23</t>
    <phoneticPr fontId="4" type="noConversion"/>
  </si>
  <si>
    <t>JV36</t>
    <phoneticPr fontId="4" type="noConversion"/>
  </si>
  <si>
    <t>JV35</t>
    <phoneticPr fontId="4" type="noConversion"/>
  </si>
  <si>
    <t>JV36</t>
    <phoneticPr fontId="4" type="noConversion"/>
  </si>
  <si>
    <t>CU1075</t>
    <phoneticPr fontId="4" type="noConversion"/>
  </si>
  <si>
    <t>4月支付</t>
    <phoneticPr fontId="4" type="noConversion"/>
  </si>
  <si>
    <t>4月剩余</t>
    <phoneticPr fontId="4" type="noConversion"/>
  </si>
  <si>
    <t>阿姆斯壮</t>
  </si>
  <si>
    <t>普拉达</t>
  </si>
  <si>
    <t>JV6</t>
    <phoneticPr fontId="4" type="noConversion"/>
  </si>
  <si>
    <t>JV7</t>
    <phoneticPr fontId="4" type="noConversion"/>
  </si>
  <si>
    <t>JV8</t>
    <phoneticPr fontId="4" type="noConversion"/>
  </si>
  <si>
    <t>JV5</t>
    <phoneticPr fontId="4" type="noConversion"/>
  </si>
  <si>
    <t>JV7</t>
    <phoneticPr fontId="4" type="noConversion"/>
  </si>
  <si>
    <t>达信Marsh</t>
  </si>
  <si>
    <t>CU1610</t>
  </si>
  <si>
    <t>4月支付</t>
    <phoneticPr fontId="4" type="noConversion"/>
  </si>
  <si>
    <t>CU1500</t>
    <phoneticPr fontId="4" type="noConversion"/>
  </si>
  <si>
    <t>森马</t>
    <phoneticPr fontId="4" type="noConversion"/>
  </si>
  <si>
    <t>CU0804</t>
  </si>
  <si>
    <t>CU1874</t>
  </si>
  <si>
    <t>CU0944</t>
  </si>
  <si>
    <t>CU1877</t>
  </si>
  <si>
    <t>CU0990</t>
  </si>
  <si>
    <t>易趋宏挤压研磨机械</t>
  </si>
  <si>
    <t>锐珂亚太投资管理</t>
  </si>
  <si>
    <t>丘奇鞋业</t>
  </si>
  <si>
    <t>克鲁勃润滑产品</t>
  </si>
  <si>
    <t>北京蓝色印象品牌顾问</t>
  </si>
  <si>
    <t>杭州康晟健康管理咨询</t>
  </si>
  <si>
    <t>华院数据技术</t>
  </si>
  <si>
    <t>巴丽商业</t>
  </si>
  <si>
    <t>北京杰迪安尔科技</t>
  </si>
  <si>
    <t>众安</t>
  </si>
  <si>
    <t>凯杰生物工程</t>
  </si>
  <si>
    <t>苏州舒尔贸易</t>
  </si>
  <si>
    <t>爱德觅尔</t>
  </si>
  <si>
    <t>智睿企业咨询</t>
  </si>
  <si>
    <t>紫光电子商务</t>
  </si>
  <si>
    <t>鑫车投资</t>
  </si>
  <si>
    <t>乔治阿玛尼商贸</t>
  </si>
  <si>
    <t>艾蒙斯特朗流体系统</t>
  </si>
  <si>
    <t>北京万国长安科技</t>
  </si>
  <si>
    <t>通用公正技术</t>
  </si>
  <si>
    <t>固特异轮胎管理</t>
  </si>
  <si>
    <t>上海品盛化工</t>
  </si>
  <si>
    <t>连云港锐巴化工</t>
  </si>
  <si>
    <t>上海创米科技</t>
  </si>
  <si>
    <t>通标标准技术服务</t>
  </si>
  <si>
    <t>博泽汽车技术企业管理</t>
  </si>
  <si>
    <t>富祥塑胶制品</t>
  </si>
  <si>
    <t>帕克环保技术</t>
  </si>
  <si>
    <t>海伦尔赛咨询</t>
  </si>
  <si>
    <t>依工玳纳特胶粘设备</t>
  </si>
  <si>
    <t>健适医疗科技（上海）有限公司</t>
  </si>
  <si>
    <t>湖北长江蔚来新能源投资管理</t>
    <phoneticPr fontId="4" type="noConversion"/>
  </si>
  <si>
    <t>CU0990</t>
    <phoneticPr fontId="4" type="noConversion"/>
  </si>
  <si>
    <t>CU1854</t>
    <phoneticPr fontId="4" type="noConversion"/>
  </si>
  <si>
    <t>CU0886</t>
    <phoneticPr fontId="4" type="noConversion"/>
  </si>
  <si>
    <t>德利富信息系统</t>
    <phoneticPr fontId="4" type="noConversion"/>
  </si>
  <si>
    <t>JV62</t>
    <phoneticPr fontId="4" type="noConversion"/>
  </si>
  <si>
    <t>JV9</t>
    <phoneticPr fontId="4" type="noConversion"/>
  </si>
  <si>
    <t>JV15</t>
    <phoneticPr fontId="4" type="noConversion"/>
  </si>
  <si>
    <t>CU0558</t>
    <phoneticPr fontId="4" type="noConversion"/>
  </si>
  <si>
    <t>CU1858</t>
    <phoneticPr fontId="4" type="noConversion"/>
  </si>
  <si>
    <t>CU1854</t>
    <phoneticPr fontId="4" type="noConversion"/>
  </si>
  <si>
    <t>广汽菲亚特</t>
    <phoneticPr fontId="4" type="noConversion"/>
  </si>
  <si>
    <t>CU0886</t>
    <phoneticPr fontId="4" type="noConversion"/>
  </si>
  <si>
    <t>CU1858</t>
    <phoneticPr fontId="4" type="noConversion"/>
  </si>
  <si>
    <t>东海岸(上海)股权投资管理有限公司</t>
    <phoneticPr fontId="4" type="noConversion"/>
  </si>
  <si>
    <t>昆山才烁</t>
    <phoneticPr fontId="22" type="noConversion"/>
  </si>
  <si>
    <t>酩悦轩尼诗</t>
    <phoneticPr fontId="4" type="noConversion"/>
  </si>
  <si>
    <t>JV21</t>
    <phoneticPr fontId="4" type="noConversion"/>
  </si>
  <si>
    <t>JV6</t>
    <phoneticPr fontId="4" type="noConversion"/>
  </si>
  <si>
    <t>CU1809</t>
  </si>
  <si>
    <t>CU0448</t>
    <phoneticPr fontId="4" type="noConversion"/>
  </si>
  <si>
    <t>CU1874</t>
    <phoneticPr fontId="4" type="noConversion"/>
  </si>
  <si>
    <t>通用公正技术服务（中国）有限公司</t>
    <phoneticPr fontId="4" type="noConversion"/>
  </si>
  <si>
    <t>CU1352</t>
    <phoneticPr fontId="4" type="noConversion"/>
  </si>
  <si>
    <t>CU1500</t>
    <phoneticPr fontId="4" type="noConversion"/>
  </si>
  <si>
    <t>盖璞集团</t>
    <phoneticPr fontId="4" type="noConversion"/>
  </si>
  <si>
    <t>上海森马服饰有限公司</t>
    <phoneticPr fontId="4" type="noConversion"/>
  </si>
  <si>
    <t>JV6</t>
    <phoneticPr fontId="4" type="noConversion"/>
  </si>
  <si>
    <t>JV7</t>
    <phoneticPr fontId="4" type="noConversion"/>
  </si>
  <si>
    <t>JV8</t>
    <phoneticPr fontId="4" type="noConversion"/>
  </si>
  <si>
    <t>JV9</t>
    <phoneticPr fontId="4" type="noConversion"/>
  </si>
  <si>
    <t>JV10</t>
    <phoneticPr fontId="4" type="noConversion"/>
  </si>
  <si>
    <t>CU1844</t>
  </si>
  <si>
    <t>深圳市顺荣通讯技术有限公司</t>
  </si>
  <si>
    <t>格林机床（上海）有限公司</t>
  </si>
  <si>
    <t>伟亚安医疗器械（上海）有限公司</t>
  </si>
  <si>
    <t>上海仙豆智能机器人有限公司</t>
  </si>
  <si>
    <t>富祥塑胶制品（上海）有限公司</t>
  </si>
  <si>
    <t>北京杰迪安尔科技有限公司</t>
    <phoneticPr fontId="48" type="noConversion"/>
  </si>
  <si>
    <t>众安在线财产保险股份有限公司</t>
    <phoneticPr fontId="48" type="noConversion"/>
  </si>
  <si>
    <t>JV7</t>
    <phoneticPr fontId="4" type="noConversion"/>
  </si>
  <si>
    <t xml:space="preserve">JV8 </t>
    <phoneticPr fontId="4" type="noConversion"/>
  </si>
  <si>
    <t>JV10</t>
    <phoneticPr fontId="4" type="noConversion"/>
  </si>
  <si>
    <t>CU1858</t>
  </si>
  <si>
    <t>东海岸(上海)股权投资管理有限公司</t>
  </si>
  <si>
    <t>CU0669</t>
    <phoneticPr fontId="4" type="noConversion"/>
  </si>
  <si>
    <t>北京博禹国际顾问有限公司</t>
    <phoneticPr fontId="4" type="noConversion"/>
  </si>
  <si>
    <t>CU1230</t>
    <phoneticPr fontId="4" type="noConversion"/>
  </si>
  <si>
    <t>汉庭星空（上海）酒店管理有限公司</t>
    <phoneticPr fontId="4" type="noConversion"/>
  </si>
  <si>
    <t>JV7</t>
    <phoneticPr fontId="4" type="noConversion"/>
  </si>
  <si>
    <t>JV8</t>
    <phoneticPr fontId="4" type="noConversion"/>
  </si>
  <si>
    <t>JV9</t>
    <phoneticPr fontId="4" type="noConversion"/>
  </si>
  <si>
    <t>JV10</t>
    <phoneticPr fontId="4" type="noConversion"/>
  </si>
  <si>
    <t>JV48</t>
    <phoneticPr fontId="4" type="noConversion"/>
  </si>
  <si>
    <t>5月支付</t>
    <phoneticPr fontId="4" type="noConversion"/>
  </si>
  <si>
    <t>5月剩余</t>
    <phoneticPr fontId="4" type="noConversion"/>
  </si>
  <si>
    <t>6月支付</t>
    <phoneticPr fontId="4" type="noConversion"/>
  </si>
  <si>
    <t>6月剩余</t>
    <phoneticPr fontId="4" type="noConversion"/>
  </si>
  <si>
    <t>5月剩余</t>
    <phoneticPr fontId="4" type="noConversion"/>
  </si>
  <si>
    <t>6月支付</t>
    <phoneticPr fontId="4" type="noConversion"/>
  </si>
  <si>
    <t>JV7</t>
    <phoneticPr fontId="4" type="noConversion"/>
  </si>
  <si>
    <t>JV8</t>
    <phoneticPr fontId="4" type="noConversion"/>
  </si>
  <si>
    <t>JV9</t>
    <phoneticPr fontId="4" type="noConversion"/>
  </si>
  <si>
    <t>JV10</t>
    <phoneticPr fontId="4" type="noConversion"/>
  </si>
  <si>
    <t>JV11</t>
    <phoneticPr fontId="4" type="noConversion"/>
  </si>
  <si>
    <t>JV15</t>
    <phoneticPr fontId="4" type="noConversion"/>
  </si>
  <si>
    <t>JV16</t>
    <phoneticPr fontId="4" type="noConversion"/>
  </si>
  <si>
    <t>JV17</t>
    <phoneticPr fontId="4" type="noConversion"/>
  </si>
  <si>
    <t>JV18</t>
    <phoneticPr fontId="4" type="noConversion"/>
  </si>
  <si>
    <t>JV19</t>
    <phoneticPr fontId="4" type="noConversion"/>
  </si>
  <si>
    <t>CU1500</t>
    <phoneticPr fontId="4" type="noConversion"/>
  </si>
  <si>
    <t>CU0813</t>
  </si>
  <si>
    <t>CU1926</t>
  </si>
  <si>
    <t>奥森多医疗器械贸易（中国）有限公司</t>
  </si>
  <si>
    <t>CU0207</t>
    <phoneticPr fontId="4" type="noConversion"/>
  </si>
  <si>
    <t>上海相宜本草化妆品股份有限公司</t>
    <phoneticPr fontId="4" type="noConversion"/>
  </si>
  <si>
    <t>CU0720</t>
    <phoneticPr fontId="4" type="noConversion"/>
  </si>
  <si>
    <t>CU1053</t>
    <phoneticPr fontId="4" type="noConversion"/>
  </si>
  <si>
    <t>依工玳纳特胶粘设备（苏州）有限公司</t>
    <phoneticPr fontId="4" type="noConversion"/>
  </si>
  <si>
    <t>格林机床（上海）有限公司</t>
    <phoneticPr fontId="4" type="noConversion"/>
  </si>
  <si>
    <t>爱德觅尔（深圳）科技有限公司</t>
    <phoneticPr fontId="4" type="noConversion"/>
  </si>
  <si>
    <t>CU0848</t>
    <phoneticPr fontId="4" type="noConversion"/>
  </si>
  <si>
    <t>JV12</t>
    <phoneticPr fontId="4" type="noConversion"/>
  </si>
  <si>
    <t>JV24</t>
    <phoneticPr fontId="4" type="noConversion"/>
  </si>
  <si>
    <t>JV32</t>
    <phoneticPr fontId="4" type="noConversion"/>
  </si>
  <si>
    <t>JV33</t>
    <phoneticPr fontId="4" type="noConversion"/>
  </si>
  <si>
    <t>JV34</t>
    <phoneticPr fontId="4" type="noConversion"/>
  </si>
  <si>
    <t>JV35</t>
    <phoneticPr fontId="4" type="noConversion"/>
  </si>
  <si>
    <t>JV36</t>
    <phoneticPr fontId="4" type="noConversion"/>
  </si>
  <si>
    <t>JV49</t>
    <phoneticPr fontId="4" type="noConversion"/>
  </si>
  <si>
    <t>JV36</t>
    <phoneticPr fontId="4" type="noConversion"/>
  </si>
  <si>
    <t>JV5</t>
    <phoneticPr fontId="4" type="noConversion"/>
  </si>
  <si>
    <t>JV6</t>
    <phoneticPr fontId="4" type="noConversion"/>
  </si>
  <si>
    <t>JV15</t>
    <phoneticPr fontId="4" type="noConversion"/>
  </si>
  <si>
    <t>常熟才烁</t>
    <phoneticPr fontId="4" type="noConversion"/>
  </si>
  <si>
    <t>CU0340</t>
    <phoneticPr fontId="4" type="noConversion"/>
  </si>
  <si>
    <t>CU0720</t>
    <phoneticPr fontId="4" type="noConversion"/>
  </si>
  <si>
    <t>上海卫展医院管理有限公司</t>
    <phoneticPr fontId="4" type="noConversion"/>
  </si>
  <si>
    <t>CU0979</t>
    <phoneticPr fontId="4" type="noConversion"/>
  </si>
  <si>
    <t>斯必克（上海）流体技术有限公司</t>
    <phoneticPr fontId="4" type="noConversion"/>
  </si>
  <si>
    <t>富祥塑胶制品（上海）有限公司</t>
    <phoneticPr fontId="4" type="noConversion"/>
  </si>
  <si>
    <t>上海森马服饰有限公司</t>
  </si>
  <si>
    <t>CU0340</t>
    <phoneticPr fontId="4" type="noConversion"/>
  </si>
  <si>
    <t>CU1500</t>
    <phoneticPr fontId="4" type="noConversion"/>
  </si>
  <si>
    <t>CU0542</t>
  </si>
  <si>
    <t>CU1954</t>
  </si>
  <si>
    <t>CU1961</t>
  </si>
  <si>
    <t>上海伏达半导体有限公司</t>
  </si>
  <si>
    <t>贵阳聚盟科技发展有限公司</t>
  </si>
  <si>
    <t>恩德斯豪斯</t>
  </si>
  <si>
    <t>江苏锐巴新材料科技有限公司</t>
  </si>
  <si>
    <t>辉正（上海）医药科技有限公司工会委员会</t>
  </si>
  <si>
    <t>澳龙信息科技（上海）有限公司</t>
  </si>
  <si>
    <t>依工玳纳特胶粘设备（苏州）有限公司</t>
  </si>
  <si>
    <t>盖璞集团</t>
    <phoneticPr fontId="4" type="noConversion"/>
  </si>
  <si>
    <t>JV7</t>
    <phoneticPr fontId="4" type="noConversion"/>
  </si>
  <si>
    <t>JV8</t>
    <phoneticPr fontId="4" type="noConversion"/>
  </si>
  <si>
    <t>JV9</t>
    <phoneticPr fontId="4" type="noConversion"/>
  </si>
  <si>
    <t>JV10</t>
    <phoneticPr fontId="4" type="noConversion"/>
  </si>
  <si>
    <t>JV11</t>
    <phoneticPr fontId="4" type="noConversion"/>
  </si>
  <si>
    <t>JV12</t>
    <phoneticPr fontId="4" type="noConversion"/>
  </si>
  <si>
    <t>JV15</t>
    <phoneticPr fontId="4" type="noConversion"/>
  </si>
  <si>
    <t>JV16</t>
    <phoneticPr fontId="4" type="noConversion"/>
  </si>
  <si>
    <t>JV17</t>
    <phoneticPr fontId="4" type="noConversion"/>
  </si>
  <si>
    <t>JV18</t>
    <phoneticPr fontId="4" type="noConversion"/>
  </si>
  <si>
    <t>JV19</t>
    <phoneticPr fontId="4" type="noConversion"/>
  </si>
  <si>
    <t>JV20</t>
    <phoneticPr fontId="4" type="noConversion"/>
  </si>
  <si>
    <t>JV21</t>
    <phoneticPr fontId="4" type="noConversion"/>
  </si>
  <si>
    <t>JV26</t>
    <phoneticPr fontId="4" type="noConversion"/>
  </si>
  <si>
    <t>JV35</t>
    <phoneticPr fontId="4" type="noConversion"/>
  </si>
  <si>
    <t>JV36</t>
    <phoneticPr fontId="4" type="noConversion"/>
  </si>
  <si>
    <t>JV37</t>
    <phoneticPr fontId="4" type="noConversion"/>
  </si>
  <si>
    <t>JV38</t>
    <phoneticPr fontId="4" type="noConversion"/>
  </si>
  <si>
    <t>JV39</t>
    <phoneticPr fontId="4" type="noConversion"/>
  </si>
  <si>
    <t>JV40</t>
    <phoneticPr fontId="4" type="noConversion"/>
  </si>
  <si>
    <t>JV101</t>
    <phoneticPr fontId="4" type="noConversion"/>
  </si>
  <si>
    <t>7月支付</t>
  </si>
  <si>
    <t>7月剩余</t>
  </si>
  <si>
    <t>凭证号</t>
  </si>
  <si>
    <r>
      <t>8</t>
    </r>
    <r>
      <rPr>
        <sz val="10"/>
        <rFont val="宋体"/>
        <family val="3"/>
        <charset val="134"/>
      </rPr>
      <t>月支付</t>
    </r>
    <phoneticPr fontId="4" type="noConversion"/>
  </si>
  <si>
    <r>
      <t>8</t>
    </r>
    <r>
      <rPr>
        <sz val="10"/>
        <rFont val="宋体"/>
        <family val="3"/>
        <charset val="134"/>
      </rPr>
      <t>月剩余</t>
    </r>
    <phoneticPr fontId="4" type="noConversion"/>
  </si>
  <si>
    <t>凯易讯网络技术开发（南京）有限公司</t>
    <phoneticPr fontId="4" type="noConversion"/>
  </si>
  <si>
    <t>CU0898001</t>
    <phoneticPr fontId="4" type="noConversion"/>
  </si>
  <si>
    <t>泰利福医疗器械商贸（上海）有限公司</t>
    <phoneticPr fontId="4" type="noConversion"/>
  </si>
  <si>
    <t>CU1163</t>
    <phoneticPr fontId="4" type="noConversion"/>
  </si>
  <si>
    <t>001</t>
    <phoneticPr fontId="4" type="noConversion"/>
  </si>
  <si>
    <t>clife服务费暂估</t>
    <phoneticPr fontId="4" type="noConversion"/>
  </si>
  <si>
    <t>001</t>
    <phoneticPr fontId="4" type="noConversion"/>
  </si>
  <si>
    <t>CU0531</t>
    <phoneticPr fontId="4" type="noConversion"/>
  </si>
  <si>
    <t>CU0669</t>
    <phoneticPr fontId="4" type="noConversion"/>
  </si>
  <si>
    <t>广汽菲亚特克莱斯勒汽车销售有限公司</t>
  </si>
  <si>
    <t>达索析统（上海）信息技术有限公司</t>
  </si>
  <si>
    <t>CU1854</t>
  </si>
  <si>
    <t>CU1910</t>
  </si>
  <si>
    <t>CU1500</t>
  </si>
  <si>
    <t>众安在线财产保险股份有限公司</t>
  </si>
  <si>
    <t>道达尔</t>
  </si>
  <si>
    <t>浙江正泰新能源开发有限公司</t>
  </si>
  <si>
    <t>其他保险客户</t>
  </si>
  <si>
    <t>CU1815</t>
  </si>
  <si>
    <t>CU1863</t>
  </si>
  <si>
    <t>JV80</t>
    <phoneticPr fontId="4" type="noConversion"/>
  </si>
  <si>
    <t>JV10</t>
    <phoneticPr fontId="4" type="noConversion"/>
  </si>
  <si>
    <t>JV81</t>
    <phoneticPr fontId="4" type="noConversion"/>
  </si>
  <si>
    <t>JV11</t>
    <phoneticPr fontId="4" type="noConversion"/>
  </si>
  <si>
    <t>JV23</t>
    <phoneticPr fontId="4" type="noConversion"/>
  </si>
  <si>
    <t>JV22</t>
    <phoneticPr fontId="4" type="noConversion"/>
  </si>
  <si>
    <t>JV80</t>
    <phoneticPr fontId="4" type="noConversion"/>
  </si>
  <si>
    <t>CU9999998</t>
    <phoneticPr fontId="4" type="noConversion"/>
  </si>
  <si>
    <r>
      <t>9</t>
    </r>
    <r>
      <rPr>
        <sz val="10"/>
        <rFont val="宋体"/>
        <family val="3"/>
        <charset val="134"/>
      </rPr>
      <t>月支付</t>
    </r>
    <phoneticPr fontId="4" type="noConversion"/>
  </si>
  <si>
    <r>
      <t>9</t>
    </r>
    <r>
      <rPr>
        <sz val="10"/>
        <rFont val="宋体"/>
        <family val="3"/>
        <charset val="134"/>
      </rPr>
      <t>月剩余</t>
    </r>
    <phoneticPr fontId="4" type="noConversion"/>
  </si>
  <si>
    <r>
      <t>9</t>
    </r>
    <r>
      <rPr>
        <sz val="10"/>
        <rFont val="宋体"/>
        <family val="3"/>
        <charset val="134"/>
      </rPr>
      <t>月剩余</t>
    </r>
    <phoneticPr fontId="4" type="noConversion"/>
  </si>
  <si>
    <t>CU0340</t>
    <phoneticPr fontId="4" type="noConversion"/>
  </si>
  <si>
    <t>碧涌达科技（北京）有限公司</t>
  </si>
  <si>
    <t>宁波公牛国际贸易有限公司</t>
  </si>
  <si>
    <t>迈康尼电子设备（上海）有限公司</t>
  </si>
  <si>
    <t>CU0860</t>
  </si>
  <si>
    <t>CU1900</t>
  </si>
  <si>
    <t>CU2010</t>
  </si>
  <si>
    <t>达信评（北京）风险管理咨询有限公司</t>
  </si>
  <si>
    <t>CU2014</t>
  </si>
  <si>
    <r>
      <t>9</t>
    </r>
    <r>
      <rPr>
        <sz val="10"/>
        <rFont val="宋体"/>
        <family val="3"/>
        <charset val="134"/>
      </rPr>
      <t>月支付</t>
    </r>
    <phoneticPr fontId="4" type="noConversion"/>
  </si>
  <si>
    <r>
      <t>9</t>
    </r>
    <r>
      <rPr>
        <sz val="10"/>
        <rFont val="宋体"/>
        <family val="3"/>
        <charset val="134"/>
      </rPr>
      <t>月剩余</t>
    </r>
    <phoneticPr fontId="4" type="noConversion"/>
  </si>
  <si>
    <t>JV14</t>
    <phoneticPr fontId="4" type="noConversion"/>
  </si>
  <si>
    <t>JV15</t>
    <phoneticPr fontId="4" type="noConversion"/>
  </si>
  <si>
    <t>JV22</t>
    <phoneticPr fontId="4" type="noConversion"/>
  </si>
  <si>
    <t>JV11</t>
    <phoneticPr fontId="4" type="noConversion"/>
  </si>
  <si>
    <t>JV9</t>
    <phoneticPr fontId="4" type="noConversion"/>
  </si>
  <si>
    <t>JV8</t>
    <phoneticPr fontId="4" type="noConversion"/>
  </si>
  <si>
    <t>JV51</t>
    <phoneticPr fontId="4" type="noConversion"/>
  </si>
  <si>
    <t>JV52</t>
    <phoneticPr fontId="4" type="noConversion"/>
  </si>
  <si>
    <t>JV97</t>
    <phoneticPr fontId="4" type="noConversion"/>
  </si>
  <si>
    <r>
      <t>10</t>
    </r>
    <r>
      <rPr>
        <sz val="10"/>
        <rFont val="宋体"/>
        <family val="3"/>
        <charset val="134"/>
      </rPr>
      <t>月支付</t>
    </r>
    <phoneticPr fontId="4" type="noConversion"/>
  </si>
  <si>
    <r>
      <t>10</t>
    </r>
    <r>
      <rPr>
        <sz val="10"/>
        <rFont val="宋体"/>
        <family val="3"/>
        <charset val="134"/>
      </rPr>
      <t>月剩余</t>
    </r>
    <phoneticPr fontId="4" type="noConversion"/>
  </si>
  <si>
    <r>
      <t>10</t>
    </r>
    <r>
      <rPr>
        <sz val="10"/>
        <rFont val="宋体"/>
        <family val="3"/>
        <charset val="134"/>
      </rPr>
      <t>月剩余</t>
    </r>
    <phoneticPr fontId="4" type="noConversion"/>
  </si>
  <si>
    <r>
      <t>10月支付</t>
    </r>
    <r>
      <rPr>
        <sz val="10"/>
        <rFont val="宋体"/>
        <family val="3"/>
        <charset val="134"/>
      </rPr>
      <t/>
    </r>
  </si>
  <si>
    <r>
      <t>10月剩余</t>
    </r>
    <r>
      <rPr>
        <sz val="10"/>
        <rFont val="宋体"/>
        <family val="3"/>
        <charset val="134"/>
      </rPr>
      <t/>
    </r>
  </si>
  <si>
    <t>JV5</t>
    <phoneticPr fontId="4" type="noConversion"/>
  </si>
  <si>
    <t>9月剩余暂估</t>
    <phoneticPr fontId="4" type="noConversion"/>
  </si>
  <si>
    <t>闵行科技</t>
    <phoneticPr fontId="4" type="noConversion"/>
  </si>
  <si>
    <t>CU2023</t>
    <phoneticPr fontId="4" type="noConversion"/>
  </si>
  <si>
    <t>力克系统（上海）有限公司</t>
  </si>
  <si>
    <t>浙江森马服饰股份有限公司</t>
  </si>
  <si>
    <t>邱博投资（中国）有限公司</t>
  </si>
  <si>
    <t>上海孚创实业发展有限公司</t>
  </si>
  <si>
    <t>南京源堡科技研究院有限公司</t>
  </si>
  <si>
    <t>海虹老人（中国）管理有限公司</t>
  </si>
  <si>
    <t>易格斯（上海）拖链系统有限公司</t>
  </si>
  <si>
    <t>宿迁孚晟信息科技有限公司</t>
  </si>
  <si>
    <t>CU0097</t>
  </si>
  <si>
    <t>CU1875</t>
  </si>
  <si>
    <t>CU1914</t>
  </si>
  <si>
    <t>CU2031</t>
  </si>
  <si>
    <t>CU2054</t>
  </si>
  <si>
    <t>CU2092</t>
  </si>
  <si>
    <t>上海依视路光学有限公司</t>
  </si>
  <si>
    <t>CU1070</t>
  </si>
  <si>
    <r>
      <t>11月支付</t>
    </r>
    <r>
      <rPr>
        <sz val="10"/>
        <rFont val="宋体"/>
        <family val="3"/>
        <charset val="134"/>
      </rPr>
      <t/>
    </r>
  </si>
  <si>
    <r>
      <t>11月剩余</t>
    </r>
    <r>
      <rPr>
        <sz val="10"/>
        <rFont val="宋体"/>
        <family val="3"/>
        <charset val="134"/>
      </rPr>
      <t/>
    </r>
  </si>
  <si>
    <t>上海瑞慈门诊部有限公司</t>
  </si>
  <si>
    <t>CU0963</t>
  </si>
  <si>
    <t>上海相宜本草化妆品股份有限公司</t>
  </si>
  <si>
    <t>索菲玛</t>
  </si>
  <si>
    <t>CU1053</t>
  </si>
  <si>
    <t>CU1724</t>
  </si>
  <si>
    <t>柯莱恩（上海）管理咨询有限公司</t>
  </si>
  <si>
    <t>CU2090</t>
  </si>
  <si>
    <t>JV108</t>
    <phoneticPr fontId="4" type="noConversion"/>
  </si>
  <si>
    <t>JV32</t>
    <phoneticPr fontId="4" type="noConversion"/>
  </si>
  <si>
    <t>JV6</t>
    <phoneticPr fontId="4" type="noConversion"/>
  </si>
  <si>
    <t>JV5</t>
    <phoneticPr fontId="4" type="noConversion"/>
  </si>
  <si>
    <t>JV10</t>
    <phoneticPr fontId="4" type="noConversion"/>
  </si>
  <si>
    <r>
      <t>12月支付</t>
    </r>
    <r>
      <rPr>
        <sz val="10"/>
        <rFont val="宋体"/>
        <family val="3"/>
        <charset val="134"/>
      </rPr>
      <t/>
    </r>
  </si>
  <si>
    <r>
      <t>12月剩余</t>
    </r>
    <r>
      <rPr>
        <sz val="10"/>
        <rFont val="宋体"/>
        <family val="3"/>
        <charset val="134"/>
      </rPr>
      <t/>
    </r>
  </si>
  <si>
    <t>CU0340</t>
    <phoneticPr fontId="4" type="noConversion"/>
  </si>
  <si>
    <t>CU1736</t>
    <phoneticPr fontId="4" type="noConversion"/>
  </si>
  <si>
    <t>上海酩悦轩尼诗国际贸易有限公司</t>
  </si>
  <si>
    <t>欧立腾（北京）技术咨询有限公司上海分公司</t>
  </si>
  <si>
    <t>捷博轴承技术（苏州）有限公司</t>
  </si>
  <si>
    <t>上海尚标互联网科技有限公司</t>
  </si>
  <si>
    <t>个人采购客户</t>
  </si>
  <si>
    <t>CU1983</t>
  </si>
  <si>
    <t>CU1986</t>
  </si>
  <si>
    <t>CU2087</t>
  </si>
  <si>
    <t>CU9999996</t>
    <phoneticPr fontId="4" type="noConversion"/>
  </si>
  <si>
    <t>珠海市华翔信息服务有限公司</t>
  </si>
  <si>
    <t>CU2021</t>
    <phoneticPr fontId="4" type="noConversion"/>
  </si>
  <si>
    <t>CU2023</t>
    <phoneticPr fontId="4" type="noConversion"/>
  </si>
</sst>
</file>

<file path=xl/styles.xml><?xml version="1.0" encoding="utf-8"?>
<styleSheet xmlns="http://schemas.openxmlformats.org/spreadsheetml/2006/main">
  <numFmts count="12"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_(* #,##0.00_);_(* \(#,##0.00\);_(* &quot;-&quot;??_);_(@_)"/>
    <numFmt numFmtId="177" formatCode="#,##0.00_ "/>
    <numFmt numFmtId="178" formatCode="#,##0.00_ ;[Red]\-#,##0.00\ "/>
    <numFmt numFmtId="179" formatCode="0_ ;[Red]\-0\ "/>
    <numFmt numFmtId="180" formatCode="0.00_ "/>
    <numFmt numFmtId="181" formatCode="yyyy&quot;年&quot;m&quot;月&quot;;@"/>
    <numFmt numFmtId="182" formatCode="#,##0.0000_ ;[Red]\-#,##0.0000\ "/>
    <numFmt numFmtId="183" formatCode="_ [$¥-804]* #,##0.00_ ;_ [$¥-804]* \-#,##0.00_ ;_ [$¥-804]* &quot;-&quot;??_ ;_ @_ "/>
    <numFmt numFmtId="184" formatCode="#,##0.00_);[Red]\(#,##0.00\)"/>
    <numFmt numFmtId="185" formatCode="0.00_);[Red]\(0.00\)"/>
  </numFmts>
  <fonts count="59">
    <font>
      <sz val="10"/>
      <name val="Arial"/>
      <family val="2"/>
    </font>
    <font>
      <sz val="10"/>
      <name val="Arial"/>
      <family val="2"/>
    </font>
    <font>
      <sz val="10"/>
      <color indexed="8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16.45"/>
      <color indexed="0"/>
      <name val="宋体"/>
      <family val="3"/>
      <charset val="134"/>
    </font>
    <font>
      <sz val="8.85"/>
      <color indexed="0"/>
      <name val="宋体"/>
      <family val="3"/>
      <charset val="134"/>
    </font>
    <font>
      <sz val="7.55"/>
      <color indexed="0"/>
      <name val="宋体"/>
      <family val="3"/>
      <charset val="134"/>
    </font>
    <font>
      <sz val="7.55"/>
      <color indexed="8"/>
      <name val="Times New Roman"/>
      <family val="1"/>
    </font>
    <font>
      <sz val="9"/>
      <name val="宋体"/>
      <family val="3"/>
      <charset val="134"/>
    </font>
    <font>
      <b/>
      <sz val="7.55"/>
      <color indexed="0"/>
      <name val="宋体"/>
      <family val="3"/>
      <charset val="134"/>
    </font>
    <font>
      <b/>
      <sz val="10.1"/>
      <color indexed="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name val="Arial"/>
      <family val="2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indexed="8"/>
      <name val="宋体"/>
      <family val="3"/>
      <charset val="134"/>
      <scheme val="minor"/>
    </font>
    <font>
      <sz val="12"/>
      <color theme="1"/>
      <name val="等线"/>
      <family val="3"/>
      <charset val="134"/>
    </font>
    <font>
      <sz val="10"/>
      <color theme="1"/>
      <name val="微软雅黑"/>
      <family val="2"/>
      <charset val="134"/>
    </font>
    <font>
      <sz val="10"/>
      <color rgb="FF000000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10"/>
      <color rgb="FFFF0000"/>
      <name val="Arial"/>
      <family val="2"/>
    </font>
    <font>
      <sz val="9"/>
      <name val="宋体"/>
      <family val="2"/>
      <charset val="134"/>
      <scheme val="minor"/>
    </font>
    <font>
      <b/>
      <sz val="10"/>
      <color rgb="FFFF0000"/>
      <name val="Arial"/>
      <family val="2"/>
    </font>
    <font>
      <sz val="10"/>
      <name val="微软雅黑"/>
      <family val="2"/>
      <charset val="134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0"/>
      <color rgb="FF000000"/>
      <name val="Arial"/>
      <family val="2"/>
    </font>
    <font>
      <sz val="10"/>
      <color rgb="FF000000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sz val="10"/>
      <color rgb="FF002060"/>
      <name val="Arial"/>
      <family val="2"/>
    </font>
    <font>
      <sz val="10"/>
      <color rgb="FF002060"/>
      <name val="宋体"/>
      <family val="3"/>
      <charset val="134"/>
    </font>
    <font>
      <sz val="11"/>
      <color rgb="FFFF0000"/>
      <name val="宋体"/>
      <family val="2"/>
      <charset val="134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39"/>
      </left>
      <right style="thin">
        <color indexed="39"/>
      </right>
      <top style="thin">
        <color indexed="39"/>
      </top>
      <bottom style="thin">
        <color indexed="39"/>
      </bottom>
      <diagonal/>
    </border>
    <border>
      <left style="thin">
        <color indexed="39"/>
      </left>
      <right/>
      <top style="thin">
        <color indexed="39"/>
      </top>
      <bottom style="thin">
        <color indexed="3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76" fontId="1" fillId="0" borderId="0" applyFont="0" applyFill="0" applyBorder="0" applyAlignment="0" applyProtection="0"/>
    <xf numFmtId="176" fontId="3" fillId="0" borderId="0" applyFont="0" applyFill="0" applyBorder="0" applyAlignment="0" applyProtection="0"/>
    <xf numFmtId="44" fontId="1" fillId="0" borderId="0" applyFont="0" applyFill="0" applyBorder="0" applyAlignment="0" applyProtection="0">
      <alignment vertical="center"/>
    </xf>
  </cellStyleXfs>
  <cellXfs count="611">
    <xf numFmtId="0" fontId="0" fillId="0" borderId="0" xfId="0"/>
    <xf numFmtId="49" fontId="2" fillId="0" borderId="0" xfId="0" applyNumberFormat="1" applyFont="1" applyBorder="1" applyAlignment="1" applyProtection="1">
      <alignment horizontal="center" vertical="center" wrapText="1"/>
      <protection locked="0"/>
    </xf>
    <xf numFmtId="49" fontId="2" fillId="0" borderId="1" xfId="0" applyNumberFormat="1" applyFont="1" applyBorder="1" applyAlignment="1" applyProtection="1">
      <alignment horizontal="center" vertical="center" wrapText="1"/>
      <protection locked="0"/>
    </xf>
    <xf numFmtId="49" fontId="2" fillId="0" borderId="1" xfId="0" applyNumberFormat="1" applyFont="1" applyBorder="1" applyAlignment="1" applyProtection="1">
      <alignment horizontal="left" vertical="center" wrapText="1"/>
      <protection locked="0"/>
    </xf>
    <xf numFmtId="1" fontId="2" fillId="0" borderId="1" xfId="0" applyNumberFormat="1" applyFont="1" applyBorder="1" applyAlignment="1" applyProtection="1">
      <alignment horizontal="left" vertical="center" wrapText="1"/>
      <protection locked="0"/>
    </xf>
    <xf numFmtId="49" fontId="2" fillId="0" borderId="1" xfId="0" applyNumberFormat="1" applyFont="1" applyBorder="1" applyAlignment="1" applyProtection="1">
      <alignment horizontal="right" vertical="center" wrapText="1"/>
      <protection locked="0"/>
    </xf>
    <xf numFmtId="4" fontId="2" fillId="0" borderId="1" xfId="0" applyNumberFormat="1" applyFont="1" applyBorder="1" applyAlignment="1" applyProtection="1">
      <alignment horizontal="right" vertical="center" wrapText="1"/>
      <protection locked="0"/>
    </xf>
    <xf numFmtId="2" fontId="2" fillId="0" borderId="1" xfId="0" applyNumberFormat="1" applyFont="1" applyBorder="1" applyAlignment="1" applyProtection="1">
      <alignment horizontal="right" vertical="center" wrapText="1"/>
      <protection locked="0"/>
    </xf>
    <xf numFmtId="49" fontId="2" fillId="0" borderId="2" xfId="0" applyNumberFormat="1" applyFont="1" applyBorder="1" applyAlignment="1" applyProtection="1">
      <alignment horizontal="center" vertical="center" wrapText="1"/>
      <protection locked="0"/>
    </xf>
    <xf numFmtId="49" fontId="2" fillId="0" borderId="2" xfId="0" applyNumberFormat="1" applyFont="1" applyBorder="1" applyAlignment="1" applyProtection="1">
      <alignment horizontal="left" vertical="center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" fontId="35" fillId="0" borderId="1" xfId="0" applyNumberFormat="1" applyFont="1" applyBorder="1" applyAlignment="1" applyProtection="1">
      <alignment horizontal="right" vertical="center" wrapText="1"/>
      <protection locked="0"/>
    </xf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2" fillId="0" borderId="3" xfId="0" applyNumberFormat="1" applyFont="1" applyBorder="1" applyAlignment="1" applyProtection="1">
      <alignment horizontal="center" vertical="center" wrapText="1"/>
      <protection locked="0"/>
    </xf>
    <xf numFmtId="49" fontId="2" fillId="0" borderId="4" xfId="0" applyNumberFormat="1" applyFont="1" applyBorder="1" applyAlignment="1" applyProtection="1">
      <alignment horizontal="center" vertical="center" wrapText="1"/>
      <protection locked="0"/>
    </xf>
    <xf numFmtId="49" fontId="2" fillId="5" borderId="1" xfId="0" applyNumberFormat="1" applyFont="1" applyFill="1" applyBorder="1" applyAlignment="1" applyProtection="1">
      <alignment horizontal="left" vertical="center" wrapText="1"/>
      <protection locked="0"/>
    </xf>
    <xf numFmtId="1" fontId="2" fillId="5" borderId="1" xfId="0" applyNumberFormat="1" applyFont="1" applyFill="1" applyBorder="1" applyAlignment="1" applyProtection="1">
      <alignment horizontal="left" vertical="center" wrapText="1"/>
      <protection locked="0"/>
    </xf>
    <xf numFmtId="2" fontId="2" fillId="5" borderId="1" xfId="0" applyNumberFormat="1" applyFont="1" applyFill="1" applyBorder="1" applyAlignment="1" applyProtection="1">
      <alignment horizontal="right" vertical="center" wrapText="1"/>
      <protection locked="0"/>
    </xf>
    <xf numFmtId="0" fontId="0" fillId="5" borderId="0" xfId="0" applyFill="1"/>
    <xf numFmtId="4" fontId="2" fillId="5" borderId="1" xfId="0" applyNumberFormat="1" applyFont="1" applyFill="1" applyBorder="1" applyAlignment="1" applyProtection="1">
      <alignment horizontal="right" vertical="center" wrapText="1"/>
      <protection locked="0"/>
    </xf>
    <xf numFmtId="178" fontId="0" fillId="6" borderId="5" xfId="0" applyNumberFormat="1" applyFill="1" applyBorder="1" applyAlignment="1">
      <alignment vertical="center"/>
    </xf>
    <xf numFmtId="43" fontId="0" fillId="0" borderId="5" xfId="4" applyNumberFormat="1" applyFont="1" applyBorder="1" applyAlignment="1">
      <alignment vertical="center"/>
    </xf>
    <xf numFmtId="0" fontId="36" fillId="0" borderId="5" xfId="0" applyFont="1" applyBorder="1" applyAlignment="1">
      <alignment horizontal="center" vertical="center" wrapText="1"/>
    </xf>
    <xf numFmtId="43" fontId="36" fillId="0" borderId="5" xfId="4" applyNumberFormat="1" applyFont="1" applyBorder="1" applyAlignment="1">
      <alignment horizontal="center" vertical="center" wrapText="1"/>
    </xf>
    <xf numFmtId="9" fontId="36" fillId="0" borderId="5" xfId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34" fillId="0" borderId="5" xfId="0" applyFont="1" applyBorder="1" applyAlignment="1">
      <alignment vertical="center" wrapText="1"/>
    </xf>
    <xf numFmtId="179" fontId="0" fillId="0" borderId="5" xfId="4" applyNumberFormat="1" applyFont="1" applyBorder="1" applyAlignment="1">
      <alignment vertical="center"/>
    </xf>
    <xf numFmtId="178" fontId="34" fillId="0" borderId="5" xfId="4" applyNumberFormat="1" applyFont="1" applyBorder="1" applyAlignment="1">
      <alignment vertical="center" wrapText="1"/>
    </xf>
    <xf numFmtId="43" fontId="0" fillId="0" borderId="5" xfId="0" applyNumberFormat="1" applyBorder="1" applyAlignment="1">
      <alignment vertical="center"/>
    </xf>
    <xf numFmtId="9" fontId="0" fillId="0" borderId="5" xfId="1" applyFont="1" applyBorder="1" applyAlignment="1">
      <alignment vertical="center"/>
    </xf>
    <xf numFmtId="0" fontId="0" fillId="6" borderId="5" xfId="0" applyFill="1" applyBorder="1" applyAlignment="1">
      <alignment vertical="center"/>
    </xf>
    <xf numFmtId="0" fontId="34" fillId="6" borderId="5" xfId="0" applyFont="1" applyFill="1" applyBorder="1" applyAlignment="1">
      <alignment vertical="center" wrapText="1"/>
    </xf>
    <xf numFmtId="179" fontId="3" fillId="6" borderId="5" xfId="4" applyNumberFormat="1" applyFont="1" applyFill="1" applyBorder="1" applyAlignment="1">
      <alignment vertical="center"/>
    </xf>
    <xf numFmtId="178" fontId="34" fillId="6" borderId="5" xfId="4" applyNumberFormat="1" applyFont="1" applyFill="1" applyBorder="1" applyAlignment="1">
      <alignment vertical="center" wrapText="1"/>
    </xf>
    <xf numFmtId="43" fontId="3" fillId="6" borderId="5" xfId="4" applyNumberFormat="1" applyFont="1" applyFill="1" applyBorder="1" applyAlignment="1">
      <alignment vertical="center"/>
    </xf>
    <xf numFmtId="9" fontId="3" fillId="6" borderId="5" xfId="1" applyFont="1" applyFill="1" applyBorder="1" applyAlignment="1">
      <alignment vertical="center"/>
    </xf>
    <xf numFmtId="0" fontId="0" fillId="6" borderId="0" xfId="0" applyFill="1" applyAlignment="1">
      <alignment vertical="center"/>
    </xf>
    <xf numFmtId="0" fontId="0" fillId="0" borderId="5" xfId="0" applyBorder="1" applyAlignment="1">
      <alignment vertical="center" wrapText="1"/>
    </xf>
    <xf numFmtId="0" fontId="0" fillId="5" borderId="5" xfId="0" applyFill="1" applyBorder="1" applyAlignment="1">
      <alignment vertical="center"/>
    </xf>
    <xf numFmtId="0" fontId="0" fillId="5" borderId="5" xfId="0" applyFill="1" applyBorder="1" applyAlignment="1">
      <alignment vertical="center" wrapText="1"/>
    </xf>
    <xf numFmtId="179" fontId="3" fillId="5" borderId="5" xfId="4" applyNumberFormat="1" applyFont="1" applyFill="1" applyBorder="1" applyAlignment="1">
      <alignment vertical="center"/>
    </xf>
    <xf numFmtId="43" fontId="3" fillId="5" borderId="5" xfId="4" applyNumberFormat="1" applyFont="1" applyFill="1" applyBorder="1" applyAlignment="1">
      <alignment vertical="center"/>
    </xf>
    <xf numFmtId="9" fontId="3" fillId="5" borderId="5" xfId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43" fontId="0" fillId="0" borderId="0" xfId="4" applyNumberFormat="1" applyFont="1" applyAlignment="1">
      <alignment vertical="center"/>
    </xf>
    <xf numFmtId="9" fontId="0" fillId="0" borderId="0" xfId="1" applyFont="1" applyAlignment="1">
      <alignment vertical="center"/>
    </xf>
    <xf numFmtId="0" fontId="0" fillId="0" borderId="1" xfId="0" applyBorder="1"/>
    <xf numFmtId="4" fontId="35" fillId="0" borderId="0" xfId="0" applyNumberFormat="1" applyFont="1" applyAlignment="1" applyProtection="1">
      <alignment horizontal="right" vertical="center" wrapText="1"/>
      <protection locked="0"/>
    </xf>
    <xf numFmtId="43" fontId="0" fillId="0" borderId="0" xfId="4" applyNumberFormat="1" applyFont="1" applyBorder="1" applyAlignment="1">
      <alignment vertical="center"/>
    </xf>
    <xf numFmtId="178" fontId="0" fillId="6" borderId="0" xfId="0" applyNumberFormat="1" applyFill="1" applyAlignment="1">
      <alignment vertical="center"/>
    </xf>
    <xf numFmtId="49" fontId="2" fillId="6" borderId="1" xfId="0" applyNumberFormat="1" applyFont="1" applyFill="1" applyBorder="1" applyAlignment="1" applyProtection="1">
      <alignment horizontal="left" vertical="center" wrapText="1"/>
      <protection locked="0"/>
    </xf>
    <xf numFmtId="49" fontId="2" fillId="7" borderId="1" xfId="0" applyNumberFormat="1" applyFont="1" applyFill="1" applyBorder="1" applyAlignment="1" applyProtection="1">
      <alignment horizontal="left" vertical="center" wrapText="1"/>
      <protection locked="0"/>
    </xf>
    <xf numFmtId="0" fontId="37" fillId="0" borderId="5" xfId="0" applyFont="1" applyBorder="1" applyAlignment="1">
      <alignment horizontal="center" vertical="center"/>
    </xf>
    <xf numFmtId="43" fontId="37" fillId="0" borderId="5" xfId="4" applyNumberFormat="1" applyFont="1" applyBorder="1" applyAlignment="1">
      <alignment horizontal="center" vertical="center"/>
    </xf>
    <xf numFmtId="180" fontId="37" fillId="0" borderId="5" xfId="0" applyNumberFormat="1" applyFont="1" applyBorder="1" applyAlignment="1">
      <alignment vertical="center"/>
    </xf>
    <xf numFmtId="0" fontId="37" fillId="0" borderId="5" xfId="0" applyFont="1" applyBorder="1" applyAlignment="1">
      <alignment vertical="center"/>
    </xf>
    <xf numFmtId="181" fontId="37" fillId="0" borderId="5" xfId="0" applyNumberFormat="1" applyFont="1" applyBorder="1" applyAlignment="1">
      <alignment vertical="center"/>
    </xf>
    <xf numFmtId="0" fontId="38" fillId="0" borderId="5" xfId="0" applyFont="1" applyBorder="1" applyAlignment="1">
      <alignment vertical="center"/>
    </xf>
    <xf numFmtId="0" fontId="37" fillId="0" borderId="5" xfId="0" applyFont="1" applyFill="1" applyBorder="1" applyAlignment="1">
      <alignment vertical="center"/>
    </xf>
    <xf numFmtId="0" fontId="37" fillId="0" borderId="5" xfId="0" applyFont="1" applyBorder="1" applyAlignment="1">
      <alignment horizontal="left" vertical="center"/>
    </xf>
    <xf numFmtId="49" fontId="39" fillId="0" borderId="5" xfId="0" applyNumberFormat="1" applyFont="1" applyBorder="1" applyAlignment="1" applyProtection="1">
      <alignment horizontal="left" vertical="center" wrapText="1"/>
      <protection locked="0"/>
    </xf>
    <xf numFmtId="0" fontId="37" fillId="0" borderId="5" xfId="0" applyFont="1" applyFill="1" applyBorder="1" applyAlignment="1">
      <alignment vertical="center"/>
    </xf>
    <xf numFmtId="49" fontId="2" fillId="0" borderId="5" xfId="0" applyNumberFormat="1" applyFont="1" applyBorder="1" applyAlignment="1" applyProtection="1">
      <alignment horizontal="left" vertical="center" wrapText="1"/>
      <protection locked="0"/>
    </xf>
    <xf numFmtId="49" fontId="2" fillId="0" borderId="5" xfId="0" applyNumberFormat="1" applyFont="1" applyFill="1" applyBorder="1" applyAlignment="1" applyProtection="1">
      <alignment horizontal="left" vertical="center" wrapText="1"/>
      <protection locked="0"/>
    </xf>
    <xf numFmtId="57" fontId="37" fillId="0" borderId="5" xfId="0" applyNumberFormat="1" applyFont="1" applyBorder="1" applyAlignment="1">
      <alignment vertical="center"/>
    </xf>
    <xf numFmtId="43" fontId="37" fillId="0" borderId="5" xfId="4" applyNumberFormat="1" applyFont="1" applyBorder="1" applyAlignment="1">
      <alignment vertical="center"/>
    </xf>
    <xf numFmtId="0" fontId="37" fillId="0" borderId="0" xfId="0" applyFont="1" applyAlignment="1">
      <alignment vertical="center"/>
    </xf>
    <xf numFmtId="43" fontId="37" fillId="0" borderId="0" xfId="4" applyNumberFormat="1" applyFont="1" applyAlignment="1">
      <alignment vertical="center"/>
    </xf>
    <xf numFmtId="0" fontId="0" fillId="8" borderId="0" xfId="0" applyFill="1"/>
    <xf numFmtId="9" fontId="0" fillId="0" borderId="0" xfId="1" applyFont="1"/>
    <xf numFmtId="43" fontId="37" fillId="9" borderId="5" xfId="4" applyNumberFormat="1" applyFont="1" applyFill="1" applyBorder="1" applyAlignment="1">
      <alignment vertical="center"/>
    </xf>
    <xf numFmtId="0" fontId="37" fillId="9" borderId="5" xfId="0" applyFont="1" applyFill="1" applyBorder="1" applyAlignment="1">
      <alignment vertical="center"/>
    </xf>
    <xf numFmtId="49" fontId="2" fillId="10" borderId="1" xfId="0" applyNumberFormat="1" applyFont="1" applyFill="1" applyBorder="1" applyAlignment="1" applyProtection="1">
      <alignment horizontal="left" vertical="center" wrapText="1"/>
      <protection locked="0"/>
    </xf>
    <xf numFmtId="178" fontId="0" fillId="10" borderId="5" xfId="0" applyNumberFormat="1" applyFill="1" applyBorder="1" applyAlignment="1">
      <alignment vertical="center"/>
    </xf>
    <xf numFmtId="49" fontId="2" fillId="10" borderId="6" xfId="0" applyNumberFormat="1" applyFont="1" applyFill="1" applyBorder="1" applyAlignment="1" applyProtection="1">
      <alignment horizontal="left" vertical="center" wrapText="1"/>
      <protection locked="0"/>
    </xf>
    <xf numFmtId="49" fontId="2" fillId="0" borderId="6" xfId="0" applyNumberFormat="1" applyFont="1" applyBorder="1" applyAlignment="1" applyProtection="1">
      <alignment horizontal="left" vertical="center" wrapText="1"/>
      <protection locked="0"/>
    </xf>
    <xf numFmtId="49" fontId="2" fillId="0" borderId="3" xfId="0" applyNumberFormat="1" applyFont="1" applyBorder="1" applyAlignment="1" applyProtection="1">
      <alignment horizontal="left" vertical="center" wrapText="1"/>
      <protection locked="0"/>
    </xf>
    <xf numFmtId="49" fontId="2" fillId="0" borderId="3" xfId="0" applyNumberFormat="1" applyFont="1" applyBorder="1" applyAlignment="1" applyProtection="1">
      <alignment horizontal="right" vertical="center" wrapText="1"/>
      <protection locked="0"/>
    </xf>
    <xf numFmtId="49" fontId="2" fillId="6" borderId="3" xfId="0" applyNumberFormat="1" applyFont="1" applyFill="1" applyBorder="1" applyAlignment="1" applyProtection="1">
      <alignment horizontal="left" vertical="center" wrapText="1"/>
      <protection locked="0"/>
    </xf>
    <xf numFmtId="4" fontId="2" fillId="0" borderId="3" xfId="0" applyNumberFormat="1" applyFont="1" applyBorder="1" applyAlignment="1" applyProtection="1">
      <alignment horizontal="right" vertical="center" wrapText="1"/>
      <protection locked="0"/>
    </xf>
    <xf numFmtId="49" fontId="2" fillId="7" borderId="3" xfId="0" applyNumberFormat="1" applyFont="1" applyFill="1" applyBorder="1" applyAlignment="1" applyProtection="1">
      <alignment horizontal="left" vertical="center" wrapText="1"/>
      <protection locked="0"/>
    </xf>
    <xf numFmtId="49" fontId="2" fillId="0" borderId="4" xfId="0" applyNumberFormat="1" applyFont="1" applyBorder="1" applyAlignment="1" applyProtection="1">
      <alignment horizontal="left" vertical="center" wrapText="1"/>
      <protection locked="0"/>
    </xf>
    <xf numFmtId="2" fontId="2" fillId="0" borderId="4" xfId="0" applyNumberFormat="1" applyFont="1" applyBorder="1" applyAlignment="1" applyProtection="1">
      <alignment horizontal="right" vertical="center" wrapText="1"/>
      <protection locked="0"/>
    </xf>
    <xf numFmtId="4" fontId="2" fillId="0" borderId="4" xfId="0" applyNumberFormat="1" applyFont="1" applyBorder="1" applyAlignment="1" applyProtection="1">
      <alignment horizontal="right" vertical="center" wrapText="1"/>
      <protection locked="0"/>
    </xf>
    <xf numFmtId="49" fontId="2" fillId="0" borderId="4" xfId="0" applyNumberFormat="1" applyFont="1" applyBorder="1" applyAlignment="1" applyProtection="1">
      <alignment horizontal="right" vertical="center" wrapText="1"/>
      <protection locked="0"/>
    </xf>
    <xf numFmtId="49" fontId="2" fillId="10" borderId="5" xfId="0" applyNumberFormat="1" applyFont="1" applyFill="1" applyBorder="1" applyAlignment="1" applyProtection="1">
      <alignment horizontal="left" vertical="center" wrapText="1"/>
      <protection locked="0"/>
    </xf>
    <xf numFmtId="4" fontId="2" fillId="1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10" borderId="5" xfId="0" applyFill="1" applyBorder="1"/>
    <xf numFmtId="0" fontId="0" fillId="10" borderId="5" xfId="0" applyFill="1" applyBorder="1" applyAlignment="1">
      <alignment horizontal="center"/>
    </xf>
    <xf numFmtId="0" fontId="5" fillId="10" borderId="5" xfId="0" applyFont="1" applyFill="1" applyBorder="1"/>
    <xf numFmtId="9" fontId="0" fillId="0" borderId="5" xfId="1" applyFont="1" applyBorder="1"/>
    <xf numFmtId="2" fontId="2" fillId="10" borderId="5" xfId="0" applyNumberFormat="1" applyFont="1" applyFill="1" applyBorder="1" applyAlignment="1" applyProtection="1">
      <alignment horizontal="right" vertical="center" wrapText="1"/>
      <protection locked="0"/>
    </xf>
    <xf numFmtId="43" fontId="37" fillId="10" borderId="5" xfId="4" applyNumberFormat="1" applyFont="1" applyFill="1" applyBorder="1" applyAlignment="1">
      <alignment horizontal="center" vertical="center"/>
    </xf>
    <xf numFmtId="43" fontId="37" fillId="10" borderId="5" xfId="4" applyNumberFormat="1" applyFont="1" applyFill="1" applyBorder="1" applyAlignment="1">
      <alignment vertical="center"/>
    </xf>
    <xf numFmtId="43" fontId="37" fillId="10" borderId="0" xfId="4" applyNumberFormat="1" applyFont="1" applyFill="1" applyAlignment="1">
      <alignment vertical="center"/>
    </xf>
    <xf numFmtId="43" fontId="37" fillId="11" borderId="5" xfId="4" applyNumberFormat="1" applyFont="1" applyFill="1" applyBorder="1" applyAlignment="1">
      <alignment vertical="center"/>
    </xf>
    <xf numFmtId="178" fontId="37" fillId="0" borderId="5" xfId="4" applyNumberFormat="1" applyFont="1" applyBorder="1" applyAlignment="1">
      <alignment horizontal="center" vertical="center"/>
    </xf>
    <xf numFmtId="178" fontId="37" fillId="0" borderId="5" xfId="4" applyNumberFormat="1" applyFont="1" applyBorder="1" applyAlignment="1">
      <alignment vertical="center"/>
    </xf>
    <xf numFmtId="178" fontId="37" fillId="9" borderId="5" xfId="4" applyNumberFormat="1" applyFont="1" applyFill="1" applyBorder="1" applyAlignment="1">
      <alignment vertical="center"/>
    </xf>
    <xf numFmtId="178" fontId="37" fillId="0" borderId="0" xfId="4" applyNumberFormat="1" applyFont="1" applyAlignment="1">
      <alignment vertical="center"/>
    </xf>
    <xf numFmtId="1" fontId="2" fillId="10" borderId="1" xfId="0" applyNumberFormat="1" applyFont="1" applyFill="1" applyBorder="1" applyAlignment="1" applyProtection="1">
      <alignment horizontal="left" vertical="center" wrapText="1"/>
      <protection locked="0"/>
    </xf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0" xfId="0" applyNumberFormat="1"/>
    <xf numFmtId="4" fontId="0" fillId="0" borderId="0" xfId="0" applyNumberFormat="1"/>
    <xf numFmtId="4" fontId="5" fillId="0" borderId="0" xfId="0" applyNumberFormat="1" applyFont="1" applyAlignment="1" applyProtection="1">
      <alignment horizontal="right" vertical="center" wrapText="1"/>
      <protection locked="0"/>
    </xf>
    <xf numFmtId="0" fontId="0" fillId="0" borderId="0" xfId="0" applyFont="1"/>
    <xf numFmtId="0" fontId="0" fillId="5" borderId="1" xfId="0" applyFill="1" applyBorder="1"/>
    <xf numFmtId="4" fontId="5" fillId="5" borderId="0" xfId="0" applyNumberFormat="1" applyFont="1" applyFill="1" applyAlignment="1" applyProtection="1">
      <alignment horizontal="right" vertical="center" wrapText="1"/>
      <protection locked="0"/>
    </xf>
    <xf numFmtId="9" fontId="3" fillId="5" borderId="0" xfId="1" applyFont="1" applyFill="1"/>
    <xf numFmtId="49" fontId="2" fillId="10" borderId="3" xfId="0" applyNumberFormat="1" applyFont="1" applyFill="1" applyBorder="1" applyAlignment="1" applyProtection="1">
      <alignment horizontal="left" vertical="center" wrapText="1"/>
      <protection locked="0"/>
    </xf>
    <xf numFmtId="0" fontId="0" fillId="10" borderId="1" xfId="0" applyFill="1" applyBorder="1"/>
    <xf numFmtId="49" fontId="2" fillId="12" borderId="1" xfId="0" applyNumberFormat="1" applyFont="1" applyFill="1" applyBorder="1" applyAlignment="1" applyProtection="1">
      <alignment horizontal="left" vertical="center" wrapText="1"/>
      <protection locked="0"/>
    </xf>
    <xf numFmtId="0" fontId="0" fillId="12" borderId="1" xfId="0" applyFill="1" applyBorder="1"/>
    <xf numFmtId="4" fontId="5" fillId="12" borderId="0" xfId="0" applyNumberFormat="1" applyFont="1" applyFill="1" applyAlignment="1" applyProtection="1">
      <alignment horizontal="right" vertical="center" wrapText="1"/>
      <protection locked="0"/>
    </xf>
    <xf numFmtId="0" fontId="0" fillId="12" borderId="0" xfId="0" applyFill="1"/>
    <xf numFmtId="9" fontId="3" fillId="12" borderId="0" xfId="1" applyFont="1" applyFill="1"/>
    <xf numFmtId="4" fontId="35" fillId="12" borderId="0" xfId="0" applyNumberFormat="1" applyFont="1" applyFill="1" applyAlignment="1" applyProtection="1">
      <alignment horizontal="right" vertical="center" wrapText="1"/>
      <protection locked="0"/>
    </xf>
    <xf numFmtId="49" fontId="2" fillId="12" borderId="6" xfId="0" applyNumberFormat="1" applyFont="1" applyFill="1" applyBorder="1" applyAlignment="1" applyProtection="1">
      <alignment horizontal="left" vertical="center" wrapText="1"/>
      <protection locked="0"/>
    </xf>
    <xf numFmtId="49" fontId="2" fillId="12" borderId="5" xfId="0" applyNumberFormat="1" applyFont="1" applyFill="1" applyBorder="1" applyAlignment="1" applyProtection="1">
      <alignment horizontal="left" vertical="center" wrapText="1"/>
      <protection locked="0"/>
    </xf>
    <xf numFmtId="49" fontId="2" fillId="12" borderId="4" xfId="0" applyNumberFormat="1" applyFont="1" applyFill="1" applyBorder="1" applyAlignment="1" applyProtection="1">
      <alignment horizontal="left" vertical="center" wrapText="1"/>
      <protection locked="0"/>
    </xf>
    <xf numFmtId="0" fontId="5" fillId="12" borderId="5" xfId="0" applyFont="1" applyFill="1" applyBorder="1"/>
    <xf numFmtId="9" fontId="3" fillId="12" borderId="5" xfId="1" applyFont="1" applyFill="1" applyBorder="1"/>
    <xf numFmtId="49" fontId="2" fillId="12" borderId="3" xfId="0" applyNumberFormat="1" applyFont="1" applyFill="1" applyBorder="1" applyAlignment="1" applyProtection="1">
      <alignment horizontal="left" vertical="center" wrapText="1"/>
      <protection locked="0"/>
    </xf>
    <xf numFmtId="176" fontId="3" fillId="12" borderId="5" xfId="4" applyFont="1" applyFill="1" applyBorder="1" applyAlignment="1">
      <alignment horizontal="center"/>
    </xf>
    <xf numFmtId="176" fontId="3" fillId="12" borderId="0" xfId="4" applyFont="1" applyFill="1" applyAlignment="1">
      <alignment vertical="center"/>
    </xf>
    <xf numFmtId="176" fontId="3" fillId="12" borderId="0" xfId="4" applyFont="1" applyFill="1"/>
    <xf numFmtId="176" fontId="3" fillId="12" borderId="5" xfId="4" applyFont="1" applyFill="1" applyBorder="1"/>
    <xf numFmtId="176" fontId="0" fillId="0" borderId="0" xfId="4" applyFont="1"/>
    <xf numFmtId="176" fontId="0" fillId="0" borderId="0" xfId="4" applyFont="1" applyBorder="1" applyAlignment="1">
      <alignment vertical="center"/>
    </xf>
    <xf numFmtId="176" fontId="3" fillId="10" borderId="5" xfId="4" applyFont="1" applyFill="1" applyBorder="1" applyAlignment="1">
      <alignment vertical="center"/>
    </xf>
    <xf numFmtId="0" fontId="0" fillId="0" borderId="5" xfId="0" applyBorder="1"/>
    <xf numFmtId="182" fontId="37" fillId="0" borderId="5" xfId="4" applyNumberFormat="1" applyFont="1" applyBorder="1" applyAlignment="1">
      <alignment vertical="center"/>
    </xf>
    <xf numFmtId="0" fontId="37" fillId="10" borderId="5" xfId="0" applyFont="1" applyFill="1" applyBorder="1" applyAlignment="1">
      <alignment horizontal="center" vertical="center"/>
    </xf>
    <xf numFmtId="176" fontId="3" fillId="10" borderId="5" xfId="4" applyFont="1" applyFill="1" applyBorder="1" applyAlignment="1">
      <alignment horizontal="center"/>
    </xf>
    <xf numFmtId="44" fontId="0" fillId="10" borderId="5" xfId="0" applyNumberFormat="1" applyFill="1" applyBorder="1"/>
    <xf numFmtId="176" fontId="3" fillId="10" borderId="5" xfId="4" applyFont="1" applyFill="1" applyBorder="1"/>
    <xf numFmtId="183" fontId="0" fillId="10" borderId="5" xfId="0" applyNumberFormat="1" applyFill="1" applyBorder="1" applyAlignment="1">
      <alignment vertical="center"/>
    </xf>
    <xf numFmtId="176" fontId="3" fillId="10" borderId="5" xfId="4" applyFont="1" applyFill="1" applyBorder="1" applyAlignment="1">
      <alignment vertical="center"/>
    </xf>
    <xf numFmtId="0" fontId="0" fillId="0" borderId="0" xfId="0" applyAlignment="1"/>
    <xf numFmtId="0" fontId="37" fillId="13" borderId="5" xfId="0" applyFont="1" applyFill="1" applyBorder="1" applyAlignment="1">
      <alignment vertical="center"/>
    </xf>
    <xf numFmtId="43" fontId="37" fillId="13" borderId="5" xfId="4" applyNumberFormat="1" applyFont="1" applyFill="1" applyBorder="1" applyAlignment="1">
      <alignment vertical="center"/>
    </xf>
    <xf numFmtId="43" fontId="37" fillId="13" borderId="5" xfId="4" applyNumberFormat="1" applyFont="1" applyFill="1" applyBorder="1" applyAlignment="1">
      <alignment horizontal="center" vertical="center"/>
    </xf>
    <xf numFmtId="178" fontId="37" fillId="0" borderId="5" xfId="4" applyNumberFormat="1" applyFont="1" applyFill="1" applyBorder="1" applyAlignment="1">
      <alignment horizontal="center" vertical="center"/>
    </xf>
    <xf numFmtId="178" fontId="0" fillId="0" borderId="5" xfId="0" applyNumberFormat="1" applyBorder="1"/>
    <xf numFmtId="0" fontId="5" fillId="0" borderId="5" xfId="0" applyFont="1" applyBorder="1"/>
    <xf numFmtId="0" fontId="34" fillId="0" borderId="5" xfId="0" applyFont="1" applyBorder="1" applyAlignment="1">
      <alignment vertical="center" wrapText="1"/>
    </xf>
    <xf numFmtId="184" fontId="40" fillId="0" borderId="5" xfId="0" applyNumberFormat="1" applyFont="1" applyBorder="1" applyAlignment="1">
      <alignment vertical="center"/>
    </xf>
    <xf numFmtId="178" fontId="0" fillId="0" borderId="0" xfId="0" applyNumberFormat="1" applyAlignment="1">
      <alignment vertical="center"/>
    </xf>
    <xf numFmtId="178" fontId="40" fillId="0" borderId="5" xfId="0" applyNumberFormat="1" applyFont="1" applyBorder="1" applyAlignment="1">
      <alignment horizontal="right" vertical="center"/>
    </xf>
    <xf numFmtId="0" fontId="40" fillId="0" borderId="5" xfId="0" applyFont="1" applyBorder="1" applyAlignment="1">
      <alignment vertical="center"/>
    </xf>
    <xf numFmtId="178" fontId="40" fillId="0" borderId="5" xfId="0" applyNumberFormat="1" applyFont="1" applyBorder="1" applyAlignment="1">
      <alignment vertical="center"/>
    </xf>
    <xf numFmtId="0" fontId="0" fillId="0" borderId="5" xfId="0" applyFont="1" applyBorder="1" applyAlignment="1">
      <alignment vertical="center" wrapText="1"/>
    </xf>
    <xf numFmtId="0" fontId="37" fillId="10" borderId="0" xfId="0" applyFont="1" applyFill="1" applyBorder="1" applyAlignment="1">
      <alignment horizontal="center" vertical="center"/>
    </xf>
    <xf numFmtId="184" fontId="40" fillId="5" borderId="5" xfId="0" applyNumberFormat="1" applyFont="1" applyFill="1" applyBorder="1" applyAlignment="1">
      <alignment vertical="center"/>
    </xf>
    <xf numFmtId="0" fontId="0" fillId="8" borderId="5" xfId="0" applyFill="1" applyBorder="1"/>
    <xf numFmtId="0" fontId="36" fillId="0" borderId="7" xfId="0" applyFont="1" applyFill="1" applyBorder="1" applyAlignment="1">
      <alignment horizontal="center" vertical="center" wrapText="1"/>
    </xf>
    <xf numFmtId="178" fontId="0" fillId="0" borderId="0" xfId="0" applyNumberFormat="1"/>
    <xf numFmtId="2" fontId="9" fillId="0" borderId="0" xfId="0" applyNumberFormat="1" applyFont="1" applyBorder="1" applyAlignment="1">
      <alignment horizontal="center" vertical="center"/>
    </xf>
    <xf numFmtId="2" fontId="10" fillId="0" borderId="0" xfId="0" applyNumberFormat="1" applyFont="1" applyBorder="1" applyAlignment="1">
      <alignment horizontal="left" vertical="center"/>
    </xf>
    <xf numFmtId="2" fontId="11" fillId="0" borderId="1" xfId="0" applyNumberFormat="1" applyFont="1" applyBorder="1" applyAlignment="1">
      <alignment horizontal="left" vertical="center"/>
    </xf>
    <xf numFmtId="2" fontId="12" fillId="0" borderId="1" xfId="0" applyNumberFormat="1" applyFont="1" applyBorder="1" applyAlignment="1">
      <alignment horizontal="left" vertical="center"/>
    </xf>
    <xf numFmtId="0" fontId="0" fillId="0" borderId="5" xfId="0" applyBorder="1" applyAlignment="1"/>
    <xf numFmtId="2" fontId="14" fillId="0" borderId="4" xfId="0" applyNumberFormat="1" applyFont="1" applyBorder="1" applyAlignment="1">
      <alignment vertical="center"/>
    </xf>
    <xf numFmtId="4" fontId="11" fillId="2" borderId="8" xfId="0" applyNumberFormat="1" applyFont="1" applyFill="1" applyBorder="1" applyAlignment="1">
      <alignment horizontal="left" vertical="center"/>
    </xf>
    <xf numFmtId="4" fontId="11" fillId="2" borderId="8" xfId="0" applyNumberFormat="1" applyFont="1" applyFill="1" applyBorder="1" applyAlignment="1">
      <alignment horizontal="right" vertical="center"/>
    </xf>
    <xf numFmtId="10" fontId="11" fillId="2" borderId="8" xfId="0" applyNumberFormat="1" applyFont="1" applyFill="1" applyBorder="1" applyAlignment="1">
      <alignment horizontal="right" vertical="center"/>
    </xf>
    <xf numFmtId="4" fontId="11" fillId="5" borderId="8" xfId="0" applyNumberFormat="1" applyFont="1" applyFill="1" applyBorder="1" applyAlignment="1">
      <alignment horizontal="left" vertical="center"/>
    </xf>
    <xf numFmtId="4" fontId="11" fillId="2" borderId="9" xfId="0" applyNumberFormat="1" applyFont="1" applyFill="1" applyBorder="1" applyAlignment="1">
      <alignment horizontal="right" vertical="center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2" fontId="15" fillId="3" borderId="5" xfId="0" applyNumberFormat="1" applyFont="1" applyFill="1" applyBorder="1" applyAlignment="1">
      <alignment horizontal="left" vertical="center"/>
    </xf>
    <xf numFmtId="2" fontId="11" fillId="3" borderId="5" xfId="0" applyNumberFormat="1" applyFont="1" applyFill="1" applyBorder="1" applyAlignment="1">
      <alignment horizontal="left" vertical="center"/>
    </xf>
    <xf numFmtId="4" fontId="11" fillId="3" borderId="5" xfId="0" applyNumberFormat="1" applyFont="1" applyFill="1" applyBorder="1" applyAlignment="1">
      <alignment horizontal="right" vertical="center"/>
    </xf>
    <xf numFmtId="10" fontId="11" fillId="3" borderId="5" xfId="0" applyNumberFormat="1" applyFont="1" applyFill="1" applyBorder="1" applyAlignment="1">
      <alignment horizontal="right" vertical="center"/>
    </xf>
    <xf numFmtId="0" fontId="5" fillId="0" borderId="0" xfId="0" applyFont="1" applyAlignment="1"/>
    <xf numFmtId="0" fontId="0" fillId="0" borderId="0" xfId="0" applyBorder="1"/>
    <xf numFmtId="0" fontId="0" fillId="0" borderId="5" xfId="0" applyNumberFormat="1" applyBorder="1" applyAlignment="1"/>
    <xf numFmtId="184" fontId="40" fillId="0" borderId="5" xfId="0" applyNumberFormat="1" applyFont="1" applyFill="1" applyBorder="1" applyAlignment="1">
      <alignment vertical="center"/>
    </xf>
    <xf numFmtId="0" fontId="0" fillId="0" borderId="5" xfId="0" applyFill="1" applyBorder="1" applyAlignment="1">
      <alignment vertical="center"/>
    </xf>
    <xf numFmtId="178" fontId="0" fillId="0" borderId="5" xfId="0" applyNumberFormat="1" applyBorder="1" applyAlignment="1">
      <alignment vertical="center"/>
    </xf>
    <xf numFmtId="4" fontId="11" fillId="2" borderId="5" xfId="0" applyNumberFormat="1" applyFont="1" applyFill="1" applyBorder="1" applyAlignment="1">
      <alignment horizontal="right" vertical="center"/>
    </xf>
    <xf numFmtId="0" fontId="5" fillId="0" borderId="5" xfId="0" applyFont="1" applyBorder="1" applyAlignment="1"/>
    <xf numFmtId="0" fontId="37" fillId="10" borderId="10" xfId="0" applyFont="1" applyFill="1" applyBorder="1" applyAlignment="1">
      <alignment horizontal="center" vertical="center"/>
    </xf>
    <xf numFmtId="0" fontId="5" fillId="0" borderId="5" xfId="0" applyNumberFormat="1" applyFont="1" applyBorder="1" applyAlignment="1"/>
    <xf numFmtId="2" fontId="5" fillId="0" borderId="1" xfId="0" applyNumberFormat="1" applyFont="1" applyBorder="1" applyAlignment="1">
      <alignment horizontal="left" vertical="center"/>
    </xf>
    <xf numFmtId="0" fontId="5" fillId="5" borderId="0" xfId="0" applyFont="1" applyFill="1"/>
    <xf numFmtId="0" fontId="0" fillId="5" borderId="0" xfId="0" applyFill="1" applyAlignment="1"/>
    <xf numFmtId="44" fontId="0" fillId="5" borderId="0" xfId="0" applyNumberFormat="1" applyFill="1"/>
    <xf numFmtId="0" fontId="5" fillId="0" borderId="5" xfId="0" applyFont="1" applyFill="1" applyBorder="1"/>
    <xf numFmtId="9" fontId="0" fillId="0" borderId="5" xfId="1" applyFont="1" applyFill="1" applyBorder="1" applyAlignment="1">
      <alignment vertical="center"/>
    </xf>
    <xf numFmtId="0" fontId="5" fillId="14" borderId="5" xfId="0" applyFont="1" applyFill="1" applyBorder="1"/>
    <xf numFmtId="0" fontId="0" fillId="14" borderId="5" xfId="0" applyFill="1" applyBorder="1"/>
    <xf numFmtId="43" fontId="37" fillId="14" borderId="5" xfId="4" applyNumberFormat="1" applyFont="1" applyFill="1" applyBorder="1" applyAlignment="1">
      <alignment vertical="center"/>
    </xf>
    <xf numFmtId="44" fontId="0" fillId="14" borderId="5" xfId="0" applyNumberFormat="1" applyFill="1" applyBorder="1"/>
    <xf numFmtId="0" fontId="0" fillId="14" borderId="5" xfId="0" applyFill="1" applyBorder="1" applyAlignment="1"/>
    <xf numFmtId="49" fontId="2" fillId="14" borderId="5" xfId="0" applyNumberFormat="1" applyFont="1" applyFill="1" applyBorder="1" applyAlignment="1" applyProtection="1">
      <alignment horizontal="left" vertical="center" wrapText="1"/>
      <protection locked="0"/>
    </xf>
    <xf numFmtId="176" fontId="3" fillId="14" borderId="5" xfId="4" applyFont="1" applyFill="1" applyBorder="1"/>
    <xf numFmtId="178" fontId="37" fillId="0" borderId="7" xfId="4" applyNumberFormat="1" applyFont="1" applyFill="1" applyBorder="1" applyAlignment="1">
      <alignment horizontal="center" vertical="center"/>
    </xf>
    <xf numFmtId="0" fontId="37" fillId="10" borderId="7" xfId="0" applyFont="1" applyFill="1" applyBorder="1" applyAlignment="1">
      <alignment horizontal="center" vertical="center"/>
    </xf>
    <xf numFmtId="0" fontId="36" fillId="0" borderId="5" xfId="0" applyFont="1" applyBorder="1" applyAlignment="1">
      <alignment horizontal="center" vertical="center" wrapText="1"/>
    </xf>
    <xf numFmtId="44" fontId="0" fillId="0" borderId="0" xfId="0" applyNumberFormat="1"/>
    <xf numFmtId="49" fontId="2" fillId="15" borderId="5" xfId="0" applyNumberFormat="1" applyFont="1" applyFill="1" applyBorder="1" applyAlignment="1" applyProtection="1">
      <alignment horizontal="left" vertical="center" wrapText="1"/>
      <protection locked="0"/>
    </xf>
    <xf numFmtId="181" fontId="37" fillId="15" borderId="5" xfId="0" applyNumberFormat="1" applyFont="1" applyFill="1" applyBorder="1" applyAlignment="1">
      <alignment vertical="center"/>
    </xf>
    <xf numFmtId="43" fontId="37" fillId="15" borderId="5" xfId="4" applyNumberFormat="1" applyFont="1" applyFill="1" applyBorder="1" applyAlignment="1">
      <alignment vertical="center"/>
    </xf>
    <xf numFmtId="178" fontId="37" fillId="15" borderId="5" xfId="4" applyNumberFormat="1" applyFont="1" applyFill="1" applyBorder="1" applyAlignment="1">
      <alignment vertical="center"/>
    </xf>
    <xf numFmtId="0" fontId="0" fillId="15" borderId="5" xfId="0" applyFill="1" applyBorder="1"/>
    <xf numFmtId="178" fontId="0" fillId="15" borderId="5" xfId="0" applyNumberFormat="1" applyFill="1" applyBorder="1"/>
    <xf numFmtId="0" fontId="0" fillId="15" borderId="0" xfId="0" applyFill="1"/>
    <xf numFmtId="0" fontId="37" fillId="13" borderId="5" xfId="0" applyFont="1" applyFill="1" applyBorder="1" applyAlignment="1">
      <alignment vertical="center"/>
    </xf>
    <xf numFmtId="0" fontId="16" fillId="0" borderId="5" xfId="0" applyFont="1" applyBorder="1"/>
    <xf numFmtId="0" fontId="36" fillId="0" borderId="5" xfId="0" applyFont="1" applyFill="1" applyBorder="1" applyAlignment="1">
      <alignment horizontal="center" vertical="center" wrapText="1"/>
    </xf>
    <xf numFmtId="43" fontId="37" fillId="9" borderId="5" xfId="4" applyNumberFormat="1" applyFont="1" applyFill="1" applyBorder="1" applyAlignment="1">
      <alignment vertical="center"/>
    </xf>
    <xf numFmtId="43" fontId="37" fillId="13" borderId="5" xfId="4" applyNumberFormat="1" applyFont="1" applyFill="1" applyBorder="1" applyAlignment="1">
      <alignment vertical="center"/>
    </xf>
    <xf numFmtId="0" fontId="16" fillId="0" borderId="5" xfId="0" applyFont="1" applyFill="1" applyBorder="1"/>
    <xf numFmtId="49" fontId="2" fillId="15" borderId="0" xfId="0" applyNumberFormat="1" applyFont="1" applyFill="1" applyBorder="1" applyAlignment="1" applyProtection="1">
      <alignment horizontal="left" vertical="center" wrapText="1"/>
      <protection locked="0"/>
    </xf>
    <xf numFmtId="0" fontId="40" fillId="15" borderId="0" xfId="0" applyFont="1" applyFill="1" applyBorder="1" applyAlignment="1">
      <alignment vertical="center"/>
    </xf>
    <xf numFmtId="179" fontId="3" fillId="15" borderId="0" xfId="4" applyNumberFormat="1" applyFont="1" applyFill="1" applyBorder="1" applyAlignment="1">
      <alignment vertical="center"/>
    </xf>
    <xf numFmtId="0" fontId="0" fillId="15" borderId="0" xfId="0" applyFill="1" applyBorder="1" applyAlignment="1">
      <alignment vertical="center"/>
    </xf>
    <xf numFmtId="178" fontId="40" fillId="15" borderId="0" xfId="0" applyNumberFormat="1" applyFont="1" applyFill="1" applyBorder="1" applyAlignment="1">
      <alignment horizontal="right" vertical="center"/>
    </xf>
    <xf numFmtId="184" fontId="40" fillId="15" borderId="0" xfId="0" applyNumberFormat="1" applyFont="1" applyFill="1" applyBorder="1" applyAlignment="1">
      <alignment vertical="center"/>
    </xf>
    <xf numFmtId="178" fontId="0" fillId="15" borderId="0" xfId="0" applyNumberFormat="1" applyFill="1" applyBorder="1" applyAlignment="1">
      <alignment vertical="center"/>
    </xf>
    <xf numFmtId="9" fontId="3" fillId="15" borderId="0" xfId="1" applyFont="1" applyFill="1" applyBorder="1" applyAlignment="1">
      <alignment vertical="center"/>
    </xf>
    <xf numFmtId="0" fontId="5" fillId="15" borderId="0" xfId="0" applyFont="1" applyFill="1" applyBorder="1"/>
    <xf numFmtId="0" fontId="0" fillId="15" borderId="0" xfId="0" applyFill="1" applyBorder="1"/>
    <xf numFmtId="0" fontId="0" fillId="9" borderId="0" xfId="0" applyFill="1"/>
    <xf numFmtId="49" fontId="18" fillId="0" borderId="1" xfId="0" applyNumberFormat="1" applyFont="1" applyBorder="1" applyAlignment="1" applyProtection="1">
      <alignment horizontal="left" vertical="center" wrapText="1"/>
      <protection locked="0"/>
    </xf>
    <xf numFmtId="49" fontId="2" fillId="10" borderId="0" xfId="0" applyNumberFormat="1" applyFont="1" applyFill="1" applyBorder="1" applyAlignment="1" applyProtection="1">
      <alignment horizontal="left" vertical="center" wrapText="1"/>
      <protection locked="0"/>
    </xf>
    <xf numFmtId="0" fontId="16" fillId="0" borderId="0" xfId="0" applyFont="1"/>
    <xf numFmtId="49" fontId="18" fillId="10" borderId="0" xfId="0" applyNumberFormat="1" applyFont="1" applyFill="1" applyBorder="1" applyAlignment="1" applyProtection="1">
      <alignment horizontal="left" vertical="center" wrapText="1"/>
      <protection locked="0"/>
    </xf>
    <xf numFmtId="49" fontId="18" fillId="9" borderId="0" xfId="0" applyNumberFormat="1" applyFont="1" applyFill="1" applyBorder="1" applyAlignment="1" applyProtection="1">
      <alignment horizontal="left" vertical="center" wrapText="1"/>
      <protection locked="0"/>
    </xf>
    <xf numFmtId="177" fontId="16" fillId="0" borderId="0" xfId="0" applyNumberFormat="1" applyFont="1"/>
    <xf numFmtId="177" fontId="0" fillId="0" borderId="0" xfId="0" applyNumberFormat="1"/>
    <xf numFmtId="177" fontId="0" fillId="9" borderId="0" xfId="0" applyNumberFormat="1" applyFill="1"/>
    <xf numFmtId="185" fontId="0" fillId="0" borderId="0" xfId="0" applyNumberFormat="1"/>
    <xf numFmtId="49" fontId="18" fillId="0" borderId="1" xfId="0" applyNumberFormat="1" applyFont="1" applyBorder="1" applyAlignment="1" applyProtection="1">
      <alignment horizontal="center" vertical="center" wrapText="1"/>
      <protection locked="0"/>
    </xf>
    <xf numFmtId="185" fontId="18" fillId="0" borderId="1" xfId="0" applyNumberFormat="1" applyFont="1" applyBorder="1" applyAlignment="1" applyProtection="1">
      <alignment horizontal="center" vertical="center" wrapText="1"/>
      <protection locked="0"/>
    </xf>
    <xf numFmtId="0" fontId="16" fillId="0" borderId="0" xfId="0" applyFont="1" applyBorder="1" applyAlignment="1">
      <alignment horizontal="center"/>
    </xf>
    <xf numFmtId="49" fontId="18" fillId="0" borderId="1" xfId="0" applyNumberFormat="1" applyFont="1" applyBorder="1" applyAlignment="1" applyProtection="1">
      <alignment horizontal="right" vertical="center" wrapText="1"/>
      <protection locked="0"/>
    </xf>
    <xf numFmtId="185" fontId="18" fillId="0" borderId="1" xfId="0" applyNumberFormat="1" applyFont="1" applyBorder="1" applyAlignment="1" applyProtection="1">
      <alignment horizontal="right" vertical="center" wrapText="1"/>
      <protection locked="0"/>
    </xf>
    <xf numFmtId="4" fontId="18" fillId="0" borderId="1" xfId="0" applyNumberFormat="1" applyFont="1" applyBorder="1" applyAlignment="1" applyProtection="1">
      <alignment horizontal="right" vertical="center" wrapText="1"/>
      <protection locked="0"/>
    </xf>
    <xf numFmtId="9" fontId="0" fillId="0" borderId="0" xfId="2" applyFont="1"/>
    <xf numFmtId="4" fontId="18" fillId="15" borderId="1" xfId="0" applyNumberFormat="1" applyFont="1" applyFill="1" applyBorder="1" applyAlignment="1" applyProtection="1">
      <alignment horizontal="right" vertical="center" wrapText="1"/>
      <protection locked="0"/>
    </xf>
    <xf numFmtId="178" fontId="3" fillId="9" borderId="0" xfId="3" applyNumberFormat="1" applyFill="1" applyAlignment="1"/>
    <xf numFmtId="2" fontId="18" fillId="0" borderId="1" xfId="0" applyNumberFormat="1" applyFont="1" applyBorder="1" applyAlignment="1" applyProtection="1">
      <alignment horizontal="right" vertical="center" wrapText="1"/>
      <protection locked="0"/>
    </xf>
    <xf numFmtId="49" fontId="18" fillId="15" borderId="1" xfId="0" applyNumberFormat="1" applyFont="1" applyFill="1" applyBorder="1" applyAlignment="1" applyProtection="1">
      <alignment horizontal="left" vertical="center" wrapText="1"/>
      <protection locked="0"/>
    </xf>
    <xf numFmtId="49" fontId="18" fillId="15" borderId="1" xfId="0" applyNumberFormat="1" applyFont="1" applyFill="1" applyBorder="1" applyAlignment="1" applyProtection="1">
      <alignment horizontal="center" vertical="center" wrapText="1"/>
      <protection locked="0"/>
    </xf>
    <xf numFmtId="49" fontId="18" fillId="15" borderId="1" xfId="0" applyNumberFormat="1" applyFont="1" applyFill="1" applyBorder="1" applyAlignment="1" applyProtection="1">
      <alignment horizontal="right" vertical="center" wrapText="1"/>
      <protection locked="0"/>
    </xf>
    <xf numFmtId="185" fontId="18" fillId="15" borderId="1" xfId="0" applyNumberFormat="1" applyFont="1" applyFill="1" applyBorder="1" applyAlignment="1" applyProtection="1">
      <alignment horizontal="right" vertical="center" wrapText="1"/>
      <protection locked="0"/>
    </xf>
    <xf numFmtId="178" fontId="3" fillId="0" borderId="0" xfId="3" applyNumberFormat="1" applyAlignment="1"/>
    <xf numFmtId="178" fontId="3" fillId="0" borderId="0" xfId="3" applyNumberFormat="1"/>
    <xf numFmtId="10" fontId="0" fillId="0" borderId="0" xfId="2" applyNumberFormat="1" applyFont="1"/>
    <xf numFmtId="0" fontId="18" fillId="0" borderId="1" xfId="0" applyNumberFormat="1" applyFont="1" applyBorder="1" applyAlignment="1" applyProtection="1">
      <alignment horizontal="right" vertical="center" wrapText="1"/>
      <protection locked="0"/>
    </xf>
    <xf numFmtId="4" fontId="18" fillId="0" borderId="12" xfId="0" applyNumberFormat="1" applyFont="1" applyFill="1" applyBorder="1" applyAlignment="1" applyProtection="1">
      <alignment horizontal="right" vertical="center" wrapText="1"/>
      <protection locked="0"/>
    </xf>
    <xf numFmtId="180" fontId="41" fillId="0" borderId="5" xfId="0" applyNumberFormat="1" applyFont="1" applyBorder="1" applyAlignment="1">
      <alignment horizontal="left" vertical="center"/>
    </xf>
    <xf numFmtId="49" fontId="20" fillId="0" borderId="5" xfId="0" applyNumberFormat="1" applyFont="1" applyFill="1" applyBorder="1" applyAlignment="1" applyProtection="1">
      <alignment horizontal="left" vertical="center"/>
      <protection locked="0"/>
    </xf>
    <xf numFmtId="57" fontId="41" fillId="0" borderId="5" xfId="0" applyNumberFormat="1" applyFont="1" applyBorder="1" applyAlignment="1">
      <alignment horizontal="left" vertical="center"/>
    </xf>
    <xf numFmtId="178" fontId="41" fillId="0" borderId="5" xfId="0" applyNumberFormat="1" applyFont="1" applyBorder="1" applyAlignment="1">
      <alignment horizontal="right" vertical="center"/>
    </xf>
    <xf numFmtId="49" fontId="20" fillId="10" borderId="5" xfId="0" applyNumberFormat="1" applyFont="1" applyFill="1" applyBorder="1" applyAlignment="1" applyProtection="1">
      <alignment horizontal="left" vertical="center"/>
      <protection locked="0"/>
    </xf>
    <xf numFmtId="49" fontId="20" fillId="0" borderId="5" xfId="0" applyNumberFormat="1" applyFont="1" applyBorder="1" applyAlignment="1" applyProtection="1">
      <alignment horizontal="left" vertical="center"/>
      <protection locked="0"/>
    </xf>
    <xf numFmtId="176" fontId="0" fillId="0" borderId="5" xfId="4" applyFont="1" applyBorder="1"/>
    <xf numFmtId="0" fontId="41" fillId="0" borderId="5" xfId="0" applyFont="1" applyBorder="1" applyAlignment="1"/>
    <xf numFmtId="176" fontId="0" fillId="0" borderId="0" xfId="4" applyFont="1" applyBorder="1"/>
    <xf numFmtId="57" fontId="41" fillId="10" borderId="5" xfId="0" applyNumberFormat="1" applyFont="1" applyFill="1" applyBorder="1" applyAlignment="1">
      <alignment horizontal="left" vertical="center"/>
    </xf>
    <xf numFmtId="0" fontId="41" fillId="10" borderId="5" xfId="0" applyFont="1" applyFill="1" applyBorder="1" applyAlignment="1">
      <alignment horizontal="left" vertical="center"/>
    </xf>
    <xf numFmtId="178" fontId="41" fillId="10" borderId="5" xfId="0" applyNumberFormat="1" applyFont="1" applyFill="1" applyBorder="1" applyAlignment="1">
      <alignment horizontal="right" vertical="center"/>
    </xf>
    <xf numFmtId="0" fontId="0" fillId="16" borderId="5" xfId="0" applyFill="1" applyBorder="1"/>
    <xf numFmtId="176" fontId="3" fillId="16" borderId="5" xfId="4" applyFont="1" applyFill="1" applyBorder="1"/>
    <xf numFmtId="0" fontId="41" fillId="7" borderId="5" xfId="0" applyFont="1" applyFill="1" applyBorder="1" applyAlignment="1">
      <alignment horizontal="left" vertical="center" wrapText="1"/>
    </xf>
    <xf numFmtId="176" fontId="41" fillId="7" borderId="5" xfId="4" applyFont="1" applyFill="1" applyBorder="1" applyAlignment="1">
      <alignment horizontal="right" vertical="center" wrapText="1"/>
    </xf>
    <xf numFmtId="0" fontId="0" fillId="0" borderId="0" xfId="0" applyAlignment="1">
      <alignment wrapText="1"/>
    </xf>
    <xf numFmtId="0" fontId="41" fillId="7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16" borderId="5" xfId="0" applyFill="1" applyBorder="1" applyAlignment="1">
      <alignment horizontal="center"/>
    </xf>
    <xf numFmtId="176" fontId="41" fillId="7" borderId="5" xfId="5" applyFont="1" applyFill="1" applyBorder="1" applyAlignment="1">
      <alignment horizontal="right" vertical="center" wrapText="1"/>
    </xf>
    <xf numFmtId="176" fontId="41" fillId="7" borderId="5" xfId="5" applyFont="1" applyFill="1" applyBorder="1" applyAlignment="1">
      <alignment horizontal="center" vertical="center" wrapText="1"/>
    </xf>
    <xf numFmtId="49" fontId="23" fillId="0" borderId="1" xfId="0" applyNumberFormat="1" applyFont="1" applyBorder="1" applyAlignment="1" applyProtection="1">
      <alignment horizontal="left" vertical="center" wrapText="1"/>
      <protection locked="0"/>
    </xf>
    <xf numFmtId="176" fontId="0" fillId="0" borderId="5" xfId="5" applyFont="1" applyBorder="1"/>
    <xf numFmtId="176" fontId="0" fillId="0" borderId="5" xfId="5" applyFont="1" applyBorder="1" applyAlignment="1">
      <alignment horizontal="center"/>
    </xf>
    <xf numFmtId="176" fontId="0" fillId="16" borderId="5" xfId="0" applyNumberFormat="1" applyFill="1" applyBorder="1"/>
    <xf numFmtId="176" fontId="0" fillId="16" borderId="5" xfId="0" applyNumberFormat="1" applyFill="1" applyBorder="1" applyAlignment="1">
      <alignment horizontal="center"/>
    </xf>
    <xf numFmtId="178" fontId="41" fillId="5" borderId="5" xfId="0" applyNumberFormat="1" applyFont="1" applyFill="1" applyBorder="1" applyAlignment="1">
      <alignment horizontal="right" vertical="center"/>
    </xf>
    <xf numFmtId="176" fontId="0" fillId="0" borderId="0" xfId="0" applyNumberFormat="1"/>
    <xf numFmtId="176" fontId="3" fillId="17" borderId="5" xfId="5" applyFont="1" applyFill="1" applyBorder="1"/>
    <xf numFmtId="49" fontId="25" fillId="0" borderId="5" xfId="0" applyNumberFormat="1" applyFont="1" applyBorder="1" applyAlignment="1" applyProtection="1">
      <alignment horizontal="left" vertical="center" wrapText="1"/>
      <protection locked="0"/>
    </xf>
    <xf numFmtId="0" fontId="24" fillId="0" borderId="5" xfId="0" applyFont="1" applyBorder="1"/>
    <xf numFmtId="176" fontId="3" fillId="18" borderId="5" xfId="5" applyFont="1" applyFill="1" applyBorder="1"/>
    <xf numFmtId="44" fontId="0" fillId="0" borderId="5" xfId="0" applyNumberFormat="1" applyBorder="1"/>
    <xf numFmtId="176" fontId="0" fillId="0" borderId="5" xfId="0" applyNumberFormat="1" applyBorder="1" applyAlignment="1">
      <alignment horizontal="center"/>
    </xf>
    <xf numFmtId="176" fontId="0" fillId="0" borderId="5" xfId="0" applyNumberFormat="1" applyBorder="1"/>
    <xf numFmtId="176" fontId="0" fillId="16" borderId="13" xfId="0" applyNumberFormat="1" applyFill="1" applyBorder="1"/>
    <xf numFmtId="49" fontId="2" fillId="0" borderId="1" xfId="0" applyNumberFormat="1" applyFont="1" applyBorder="1" applyAlignment="1" applyProtection="1">
      <alignment horizontal="left" vertical="center"/>
      <protection locked="0"/>
    </xf>
    <xf numFmtId="176" fontId="3" fillId="10" borderId="5" xfId="4" applyFont="1" applyFill="1" applyBorder="1"/>
    <xf numFmtId="176" fontId="41" fillId="7" borderId="13" xfId="4" applyFont="1" applyFill="1" applyBorder="1" applyAlignment="1">
      <alignment horizontal="right" vertical="center" wrapText="1"/>
    </xf>
    <xf numFmtId="176" fontId="0" fillId="5" borderId="5" xfId="0" applyNumberFormat="1" applyFill="1" applyBorder="1"/>
    <xf numFmtId="176" fontId="0" fillId="5" borderId="11" xfId="0" applyNumberFormat="1" applyFill="1" applyBorder="1"/>
    <xf numFmtId="176" fontId="0" fillId="10" borderId="5" xfId="0" applyNumberFormat="1" applyFill="1" applyBorder="1"/>
    <xf numFmtId="176" fontId="41" fillId="7" borderId="13" xfId="5" applyFont="1" applyFill="1" applyBorder="1" applyAlignment="1">
      <alignment horizontal="center" vertical="center" wrapText="1"/>
    </xf>
    <xf numFmtId="44" fontId="0" fillId="0" borderId="5" xfId="0" applyNumberFormat="1" applyBorder="1" applyAlignment="1">
      <alignment horizontal="center"/>
    </xf>
    <xf numFmtId="57" fontId="41" fillId="0" borderId="5" xfId="0" applyNumberFormat="1" applyFont="1" applyBorder="1" applyAlignment="1">
      <alignment horizontal="center" vertical="center"/>
    </xf>
    <xf numFmtId="44" fontId="0" fillId="0" borderId="0" xfId="0" applyNumberFormat="1" applyAlignment="1">
      <alignment horizontal="center"/>
    </xf>
    <xf numFmtId="49" fontId="2" fillId="0" borderId="5" xfId="0" applyNumberFormat="1" applyFont="1" applyBorder="1" applyAlignment="1" applyProtection="1">
      <alignment horizontal="left" vertical="center"/>
      <protection locked="0"/>
    </xf>
    <xf numFmtId="180" fontId="0" fillId="0" borderId="0" xfId="0" applyNumberFormat="1"/>
    <xf numFmtId="49" fontId="2" fillId="10" borderId="1" xfId="0" applyNumberFormat="1" applyFont="1" applyFill="1" applyBorder="1" applyAlignment="1" applyProtection="1">
      <alignment horizontal="left" vertical="center"/>
      <protection locked="0"/>
    </xf>
    <xf numFmtId="178" fontId="0" fillId="0" borderId="5" xfId="0" applyNumberFormat="1" applyBorder="1" applyAlignment="1">
      <alignment horizontal="center"/>
    </xf>
    <xf numFmtId="0" fontId="42" fillId="19" borderId="16" xfId="0" applyFont="1" applyFill="1" applyBorder="1" applyAlignment="1">
      <alignment horizontal="left" wrapText="1"/>
    </xf>
    <xf numFmtId="4" fontId="42" fillId="5" borderId="17" xfId="0" applyNumberFormat="1" applyFont="1" applyFill="1" applyBorder="1" applyAlignment="1">
      <alignment horizontal="right" wrapText="1"/>
    </xf>
    <xf numFmtId="0" fontId="5" fillId="19" borderId="16" xfId="0" applyFont="1" applyFill="1" applyBorder="1" applyAlignment="1">
      <alignment horizontal="left" wrapText="1"/>
    </xf>
    <xf numFmtId="4" fontId="5" fillId="5" borderId="17" xfId="0" applyNumberFormat="1" applyFont="1" applyFill="1" applyBorder="1" applyAlignment="1">
      <alignment horizontal="right" wrapText="1"/>
    </xf>
    <xf numFmtId="0" fontId="42" fillId="5" borderId="5" xfId="0" applyFont="1" applyFill="1" applyBorder="1" applyAlignment="1">
      <alignment horizontal="right" wrapText="1"/>
    </xf>
    <xf numFmtId="4" fontId="42" fillId="5" borderId="5" xfId="0" applyNumberFormat="1" applyFont="1" applyFill="1" applyBorder="1" applyAlignment="1">
      <alignment horizontal="right" wrapText="1"/>
    </xf>
    <xf numFmtId="0" fontId="41" fillId="7" borderId="13" xfId="0" applyFont="1" applyFill="1" applyBorder="1" applyAlignment="1">
      <alignment horizontal="left" vertical="center" wrapText="1"/>
    </xf>
    <xf numFmtId="49" fontId="23" fillId="0" borderId="5" xfId="0" applyNumberFormat="1" applyFont="1" applyBorder="1" applyAlignment="1" applyProtection="1">
      <alignment horizontal="left" vertical="center" wrapText="1"/>
      <protection locked="0"/>
    </xf>
    <xf numFmtId="49" fontId="23" fillId="10" borderId="5" xfId="0" applyNumberFormat="1" applyFont="1" applyFill="1" applyBorder="1" applyAlignment="1" applyProtection="1">
      <alignment horizontal="left" vertical="center" wrapText="1"/>
      <protection locked="0"/>
    </xf>
    <xf numFmtId="44" fontId="0" fillId="16" borderId="5" xfId="0" applyNumberFormat="1" applyFill="1" applyBorder="1"/>
    <xf numFmtId="176" fontId="41" fillId="7" borderId="5" xfId="4" applyFont="1" applyFill="1" applyBorder="1" applyAlignment="1">
      <alignment horizontal="left" vertical="center" wrapText="1"/>
    </xf>
    <xf numFmtId="176" fontId="3" fillId="16" borderId="5" xfId="4" applyFont="1" applyFill="1" applyBorder="1"/>
    <xf numFmtId="176" fontId="41" fillId="7" borderId="5" xfId="4" applyFont="1" applyFill="1" applyBorder="1" applyAlignment="1">
      <alignment horizontal="center" vertical="center" wrapText="1"/>
    </xf>
    <xf numFmtId="0" fontId="0" fillId="5" borderId="5" xfId="0" applyFill="1" applyBorder="1"/>
    <xf numFmtId="176" fontId="3" fillId="5" borderId="5" xfId="4" applyFont="1" applyFill="1" applyBorder="1"/>
    <xf numFmtId="44" fontId="0" fillId="0" borderId="0" xfId="0" applyNumberFormat="1" applyBorder="1"/>
    <xf numFmtId="176" fontId="0" fillId="16" borderId="0" xfId="0" applyNumberFormat="1" applyFill="1" applyBorder="1"/>
    <xf numFmtId="176" fontId="3" fillId="5" borderId="5" xfId="4" applyFont="1" applyFill="1" applyBorder="1"/>
    <xf numFmtId="0" fontId="41" fillId="7" borderId="5" xfId="0" applyFont="1" applyFill="1" applyBorder="1" applyAlignment="1">
      <alignment horizontal="left" vertical="center"/>
    </xf>
    <xf numFmtId="0" fontId="0" fillId="16" borderId="5" xfId="0" applyFill="1" applyBorder="1" applyAlignment="1"/>
    <xf numFmtId="57" fontId="0" fillId="0" borderId="5" xfId="0" applyNumberFormat="1" applyBorder="1"/>
    <xf numFmtId="0" fontId="42" fillId="0" borderId="5" xfId="0" applyFont="1" applyFill="1" applyBorder="1" applyAlignment="1">
      <alignment horizontal="left" wrapText="1"/>
    </xf>
    <xf numFmtId="0" fontId="42" fillId="0" borderId="5" xfId="0" applyFont="1" applyFill="1" applyBorder="1" applyAlignment="1">
      <alignment horizontal="left"/>
    </xf>
    <xf numFmtId="49" fontId="2" fillId="10" borderId="5" xfId="0" applyNumberFormat="1" applyFont="1" applyFill="1" applyBorder="1" applyAlignment="1" applyProtection="1">
      <alignment horizontal="left" vertical="center"/>
      <protection locked="0"/>
    </xf>
    <xf numFmtId="0" fontId="5" fillId="19" borderId="5" xfId="0" applyFont="1" applyFill="1" applyBorder="1" applyAlignment="1">
      <alignment horizontal="left" wrapText="1"/>
    </xf>
    <xf numFmtId="0" fontId="5" fillId="19" borderId="5" xfId="0" applyFont="1" applyFill="1" applyBorder="1" applyAlignment="1">
      <alignment horizontal="left"/>
    </xf>
    <xf numFmtId="176" fontId="3" fillId="5" borderId="5" xfId="4" applyFont="1" applyFill="1" applyBorder="1"/>
    <xf numFmtId="176" fontId="3" fillId="5" borderId="5" xfId="4" applyFont="1" applyFill="1" applyBorder="1"/>
    <xf numFmtId="176" fontId="3" fillId="16" borderId="5" xfId="4" applyFont="1" applyFill="1" applyBorder="1"/>
    <xf numFmtId="176" fontId="3" fillId="5" borderId="0" xfId="4" applyFont="1" applyFill="1"/>
    <xf numFmtId="49" fontId="29" fillId="0" borderId="1" xfId="0" applyNumberFormat="1" applyFont="1" applyBorder="1" applyAlignment="1" applyProtection="1">
      <alignment horizontal="left" vertical="center"/>
      <protection locked="0"/>
    </xf>
    <xf numFmtId="176" fontId="0" fillId="0" borderId="5" xfId="4" applyFont="1" applyFill="1" applyBorder="1"/>
    <xf numFmtId="176" fontId="3" fillId="0" borderId="5" xfId="4" applyFont="1" applyFill="1" applyBorder="1"/>
    <xf numFmtId="49" fontId="31" fillId="0" borderId="1" xfId="0" applyNumberFormat="1" applyFont="1" applyBorder="1" applyAlignment="1" applyProtection="1">
      <alignment horizontal="left" vertical="center"/>
      <protection locked="0"/>
    </xf>
    <xf numFmtId="49" fontId="31" fillId="0" borderId="4" xfId="0" applyNumberFormat="1" applyFont="1" applyBorder="1" applyAlignment="1" applyProtection="1">
      <alignment horizontal="left" vertical="center"/>
      <protection locked="0"/>
    </xf>
    <xf numFmtId="49" fontId="31" fillId="0" borderId="5" xfId="0" applyNumberFormat="1" applyFont="1" applyBorder="1" applyAlignment="1" applyProtection="1">
      <alignment horizontal="left" vertical="center"/>
      <protection locked="0"/>
    </xf>
    <xf numFmtId="176" fontId="32" fillId="0" borderId="5" xfId="4" applyFont="1" applyFill="1" applyBorder="1"/>
    <xf numFmtId="176" fontId="3" fillId="16" borderId="5" xfId="4" applyFont="1" applyFill="1" applyBorder="1"/>
    <xf numFmtId="176" fontId="3" fillId="5" borderId="0" xfId="4" applyFont="1" applyFill="1"/>
    <xf numFmtId="176" fontId="3" fillId="0" borderId="5" xfId="4" applyFont="1" applyBorder="1"/>
    <xf numFmtId="176" fontId="3" fillId="0" borderId="0" xfId="4" applyFont="1"/>
    <xf numFmtId="176" fontId="3" fillId="5" borderId="0" xfId="4" applyFont="1" applyFill="1"/>
    <xf numFmtId="176" fontId="3" fillId="16" borderId="5" xfId="4" applyFont="1" applyFill="1" applyBorder="1"/>
    <xf numFmtId="0" fontId="5" fillId="0" borderId="5" xfId="0" applyFont="1" applyFill="1" applyBorder="1" applyAlignment="1">
      <alignment horizontal="left" wrapText="1"/>
    </xf>
    <xf numFmtId="0" fontId="5" fillId="0" borderId="5" xfId="0" applyFont="1" applyFill="1" applyBorder="1" applyAlignment="1">
      <alignment horizontal="left"/>
    </xf>
    <xf numFmtId="176" fontId="3" fillId="16" borderId="13" xfId="4" applyFont="1" applyFill="1" applyBorder="1"/>
    <xf numFmtId="0" fontId="0" fillId="0" borderId="0" xfId="0"/>
    <xf numFmtId="49" fontId="2" fillId="0" borderId="13" xfId="0" applyNumberFormat="1" applyFont="1" applyBorder="1" applyAlignment="1" applyProtection="1">
      <alignment horizontal="left" vertical="center" wrapText="1"/>
      <protection locked="0"/>
    </xf>
    <xf numFmtId="49" fontId="43" fillId="0" borderId="6" xfId="0" applyNumberFormat="1" applyFont="1" applyBorder="1" applyAlignment="1" applyProtection="1">
      <alignment horizontal="left" vertical="center"/>
      <protection locked="0"/>
    </xf>
    <xf numFmtId="49" fontId="43" fillId="0" borderId="5" xfId="0" applyNumberFormat="1" applyFont="1" applyBorder="1" applyAlignment="1" applyProtection="1">
      <alignment horizontal="left" vertical="center"/>
      <protection locked="0"/>
    </xf>
    <xf numFmtId="49" fontId="4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/>
    <xf numFmtId="49" fontId="4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Fill="1" applyBorder="1"/>
    <xf numFmtId="176" fontId="0" fillId="5" borderId="0" xfId="4" applyFont="1" applyFill="1"/>
    <xf numFmtId="0" fontId="47" fillId="5" borderId="0" xfId="0" applyFont="1" applyFill="1"/>
    <xf numFmtId="178" fontId="0" fillId="5" borderId="0" xfId="0" applyNumberFormat="1" applyFill="1"/>
    <xf numFmtId="49" fontId="2" fillId="0" borderId="1" xfId="0" applyNumberFormat="1" applyFont="1" applyFill="1" applyBorder="1" applyAlignment="1" applyProtection="1">
      <alignment horizontal="left" vertical="center" wrapText="1"/>
      <protection locked="0"/>
    </xf>
    <xf numFmtId="178" fontId="47" fillId="5" borderId="5" xfId="0" applyNumberFormat="1" applyFont="1" applyFill="1" applyBorder="1" applyAlignment="1">
      <alignment vertical="center"/>
    </xf>
    <xf numFmtId="0" fontId="47" fillId="5" borderId="5" xfId="0" applyFont="1" applyFill="1" applyBorder="1" applyAlignment="1">
      <alignment vertical="center"/>
    </xf>
    <xf numFmtId="49" fontId="2" fillId="5" borderId="5" xfId="0" applyNumberFormat="1" applyFont="1" applyFill="1" applyBorder="1" applyAlignment="1" applyProtection="1">
      <alignment horizontal="left" vertical="center" wrapText="1"/>
      <protection locked="0"/>
    </xf>
    <xf numFmtId="176" fontId="0" fillId="0" borderId="5" xfId="4" applyFont="1" applyBorder="1" applyAlignment="1"/>
    <xf numFmtId="176" fontId="0" fillId="0" borderId="5" xfId="4" applyFont="1" applyBorder="1" applyAlignment="1"/>
    <xf numFmtId="0" fontId="0" fillId="0" borderId="0" xfId="0"/>
    <xf numFmtId="176" fontId="0" fillId="0" borderId="5" xfId="4" applyFont="1" applyBorder="1" applyAlignment="1"/>
    <xf numFmtId="49" fontId="2" fillId="0" borderId="5" xfId="0" applyNumberFormat="1" applyFont="1" applyBorder="1" applyAlignment="1" applyProtection="1">
      <alignment horizontal="left" vertical="center" wrapText="1"/>
      <protection locked="0"/>
    </xf>
    <xf numFmtId="0" fontId="0" fillId="0" borderId="5" xfId="0" applyBorder="1"/>
    <xf numFmtId="0" fontId="0" fillId="0" borderId="0" xfId="0"/>
    <xf numFmtId="49" fontId="2" fillId="0" borderId="5" xfId="0" applyNumberFormat="1" applyFont="1" applyBorder="1" applyAlignment="1" applyProtection="1">
      <alignment horizontal="left" vertical="center" wrapText="1"/>
      <protection locked="0"/>
    </xf>
    <xf numFmtId="0" fontId="0" fillId="0" borderId="0" xfId="0"/>
    <xf numFmtId="49" fontId="2" fillId="0" borderId="1" xfId="0" applyNumberFormat="1" applyFont="1" applyBorder="1" applyAlignment="1" applyProtection="1">
      <alignment horizontal="left" vertical="center" wrapText="1"/>
      <protection locked="0"/>
    </xf>
    <xf numFmtId="0" fontId="0" fillId="0" borderId="5" xfId="0" applyBorder="1"/>
    <xf numFmtId="0" fontId="0" fillId="16" borderId="5" xfId="0" applyFill="1" applyBorder="1"/>
    <xf numFmtId="49" fontId="2" fillId="0" borderId="5" xfId="0" applyNumberFormat="1" applyFont="1" applyBorder="1" applyAlignment="1" applyProtection="1">
      <alignment horizontal="left" vertical="center" wrapText="1"/>
      <protection locked="0"/>
    </xf>
    <xf numFmtId="176" fontId="0" fillId="0" borderId="5" xfId="4" applyFont="1" applyBorder="1"/>
    <xf numFmtId="49" fontId="2" fillId="0" borderId="5" xfId="0" applyNumberFormat="1" applyFont="1" applyBorder="1" applyAlignment="1" applyProtection="1">
      <alignment horizontal="left" vertical="center" wrapText="1"/>
      <protection locked="0"/>
    </xf>
    <xf numFmtId="49" fontId="2" fillId="20" borderId="5" xfId="0" applyNumberFormat="1" applyFont="1" applyFill="1" applyBorder="1" applyAlignment="1" applyProtection="1">
      <alignment horizontal="left" vertical="center" wrapText="1"/>
      <protection locked="0"/>
    </xf>
    <xf numFmtId="178" fontId="1" fillId="20" borderId="5" xfId="4" applyNumberFormat="1" applyFont="1" applyFill="1" applyBorder="1" applyAlignment="1"/>
    <xf numFmtId="49" fontId="2" fillId="0" borderId="5" xfId="0" applyNumberFormat="1" applyFont="1" applyBorder="1" applyAlignment="1" applyProtection="1">
      <alignment horizontal="left" vertical="center" wrapText="1"/>
      <protection locked="0"/>
    </xf>
    <xf numFmtId="49" fontId="2" fillId="20" borderId="5" xfId="0" applyNumberFormat="1" applyFont="1" applyFill="1" applyBorder="1" applyAlignment="1" applyProtection="1">
      <alignment horizontal="left" vertical="center" wrapText="1"/>
      <protection locked="0"/>
    </xf>
    <xf numFmtId="178" fontId="1" fillId="20" borderId="5" xfId="4" applyNumberFormat="1" applyFont="1" applyFill="1" applyBorder="1" applyAlignment="1"/>
    <xf numFmtId="49" fontId="2" fillId="0" borderId="5" xfId="0" applyNumberFormat="1" applyFont="1" applyBorder="1" applyAlignment="1" applyProtection="1">
      <alignment horizontal="left" vertical="center" wrapText="1"/>
      <protection locked="0"/>
    </xf>
    <xf numFmtId="49" fontId="2" fillId="20" borderId="5" xfId="0" applyNumberFormat="1" applyFont="1" applyFill="1" applyBorder="1" applyAlignment="1" applyProtection="1">
      <alignment horizontal="left" vertical="center" wrapText="1"/>
      <protection locked="0"/>
    </xf>
    <xf numFmtId="178" fontId="1" fillId="20" borderId="5" xfId="4" applyNumberFormat="1" applyFont="1" applyFill="1" applyBorder="1" applyAlignment="1"/>
    <xf numFmtId="49" fontId="2" fillId="0" borderId="5" xfId="0" applyNumberFormat="1" applyFont="1" applyBorder="1" applyAlignment="1" applyProtection="1">
      <alignment horizontal="left" vertical="center" wrapText="1"/>
      <protection locked="0"/>
    </xf>
    <xf numFmtId="49" fontId="2" fillId="20" borderId="5" xfId="0" applyNumberFormat="1" applyFont="1" applyFill="1" applyBorder="1" applyAlignment="1" applyProtection="1">
      <alignment horizontal="left" vertical="center" wrapText="1"/>
      <protection locked="0"/>
    </xf>
    <xf numFmtId="178" fontId="1" fillId="20" borderId="5" xfId="4" applyNumberFormat="1" applyFont="1" applyFill="1" applyBorder="1" applyAlignment="1"/>
    <xf numFmtId="0" fontId="0" fillId="16" borderId="11" xfId="0" applyFill="1" applyBorder="1"/>
    <xf numFmtId="0" fontId="0" fillId="16" borderId="11" xfId="0" applyFill="1" applyBorder="1" applyAlignment="1">
      <alignment horizontal="center"/>
    </xf>
    <xf numFmtId="176" fontId="0" fillId="16" borderId="11" xfId="0" applyNumberFormat="1" applyFill="1" applyBorder="1"/>
    <xf numFmtId="176" fontId="0" fillId="16" borderId="11" xfId="0" applyNumberFormat="1" applyFill="1" applyBorder="1" applyAlignment="1">
      <alignment horizontal="center"/>
    </xf>
    <xf numFmtId="178" fontId="0" fillId="16" borderId="5" xfId="0" applyNumberFormat="1" applyFill="1" applyBorder="1"/>
    <xf numFmtId="49" fontId="2" fillId="0" borderId="5" xfId="0" applyNumberFormat="1" applyFont="1" applyBorder="1" applyAlignment="1" applyProtection="1">
      <alignment horizontal="left" vertical="center" wrapText="1"/>
      <protection locked="0"/>
    </xf>
    <xf numFmtId="0" fontId="0" fillId="16" borderId="5" xfId="0" applyFill="1" applyBorder="1"/>
    <xf numFmtId="0" fontId="0" fillId="16" borderId="0" xfId="0" applyFill="1"/>
    <xf numFmtId="49" fontId="2" fillId="0" borderId="1" xfId="0" applyNumberFormat="1" applyFont="1" applyBorder="1" applyAlignment="1" applyProtection="1">
      <alignment horizontal="left" vertical="center" wrapText="1"/>
      <protection locked="0"/>
    </xf>
    <xf numFmtId="49" fontId="2" fillId="8" borderId="1" xfId="0" applyNumberFormat="1" applyFont="1" applyFill="1" applyBorder="1" applyAlignment="1" applyProtection="1">
      <alignment horizontal="left" vertical="center" wrapText="1"/>
      <protection locked="0"/>
    </xf>
    <xf numFmtId="49" fontId="2" fillId="0" borderId="5" xfId="0" applyNumberFormat="1" applyFont="1" applyBorder="1" applyAlignment="1" applyProtection="1">
      <alignment horizontal="left" vertical="center" wrapText="1"/>
      <protection locked="0"/>
    </xf>
    <xf numFmtId="0" fontId="0" fillId="0" borderId="0" xfId="0"/>
    <xf numFmtId="49" fontId="2" fillId="0" borderId="1" xfId="0" applyNumberFormat="1" applyFont="1" applyBorder="1" applyAlignment="1" applyProtection="1">
      <alignment horizontal="left" vertical="center" wrapText="1"/>
      <protection locked="0"/>
    </xf>
    <xf numFmtId="49" fontId="2" fillId="0" borderId="5" xfId="0" applyNumberFormat="1" applyFont="1" applyBorder="1" applyAlignment="1" applyProtection="1">
      <alignment horizontal="left" vertical="center" wrapText="1"/>
      <protection locked="0"/>
    </xf>
    <xf numFmtId="0" fontId="0" fillId="0" borderId="5" xfId="0" applyBorder="1"/>
    <xf numFmtId="0" fontId="0" fillId="16" borderId="5" xfId="0" applyFill="1" applyBorder="1"/>
    <xf numFmtId="176" fontId="0" fillId="16" borderId="5" xfId="4" applyFont="1" applyFill="1" applyBorder="1"/>
    <xf numFmtId="176" fontId="0" fillId="16" borderId="0" xfId="4" applyFont="1" applyFill="1"/>
    <xf numFmtId="176" fontId="0" fillId="16" borderId="0" xfId="4" applyFont="1" applyFill="1" applyBorder="1"/>
    <xf numFmtId="49" fontId="2" fillId="5" borderId="1" xfId="0" applyNumberFormat="1" applyFont="1" applyFill="1" applyBorder="1" applyAlignment="1" applyProtection="1">
      <alignment horizontal="left" vertical="center" wrapText="1"/>
      <protection locked="0"/>
    </xf>
    <xf numFmtId="49" fontId="2" fillId="5" borderId="1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/>
    <xf numFmtId="0" fontId="0" fillId="5" borderId="5" xfId="0" applyFill="1" applyBorder="1"/>
    <xf numFmtId="44" fontId="0" fillId="0" borderId="5" xfId="6" applyFont="1" applyBorder="1" applyAlignment="1"/>
    <xf numFmtId="44" fontId="0" fillId="0" borderId="0" xfId="6" applyFont="1" applyAlignment="1"/>
    <xf numFmtId="44" fontId="0" fillId="0" borderId="5" xfId="6" applyFont="1" applyFill="1" applyBorder="1" applyAlignment="1"/>
    <xf numFmtId="44" fontId="0" fillId="16" borderId="0" xfId="6" applyFont="1" applyFill="1" applyAlignment="1"/>
    <xf numFmtId="183" fontId="0" fillId="0" borderId="0" xfId="4" applyNumberFormat="1" applyFont="1" applyFill="1" applyBorder="1"/>
    <xf numFmtId="44" fontId="0" fillId="21" borderId="0" xfId="6" applyFont="1" applyFill="1" applyAlignment="1"/>
    <xf numFmtId="44" fontId="0" fillId="22" borderId="0" xfId="6" applyFont="1" applyFill="1" applyAlignment="1"/>
    <xf numFmtId="44" fontId="0" fillId="0" borderId="0" xfId="6" applyFont="1" applyFill="1" applyAlignment="1"/>
    <xf numFmtId="0" fontId="41" fillId="0" borderId="5" xfId="0" applyFont="1" applyFill="1" applyBorder="1" applyAlignment="1"/>
    <xf numFmtId="57" fontId="41" fillId="0" borderId="5" xfId="0" applyNumberFormat="1" applyFont="1" applyFill="1" applyBorder="1" applyAlignment="1">
      <alignment horizontal="center" vertical="center"/>
    </xf>
    <xf numFmtId="183" fontId="0" fillId="0" borderId="5" xfId="4" applyNumberFormat="1" applyFont="1" applyFill="1" applyBorder="1"/>
    <xf numFmtId="180" fontId="41" fillId="0" borderId="5" xfId="0" applyNumberFormat="1" applyFont="1" applyFill="1" applyBorder="1" applyAlignment="1">
      <alignment horizontal="left" vertical="center"/>
    </xf>
    <xf numFmtId="49" fontId="23" fillId="0" borderId="5" xfId="0" applyNumberFormat="1" applyFont="1" applyFill="1" applyBorder="1" applyAlignment="1" applyProtection="1">
      <alignment horizontal="left" vertical="center" wrapText="1"/>
      <protection locked="0"/>
    </xf>
    <xf numFmtId="57" fontId="0" fillId="0" borderId="5" xfId="0" applyNumberFormat="1" applyFill="1" applyBorder="1" applyAlignment="1">
      <alignment horizontal="center"/>
    </xf>
    <xf numFmtId="0" fontId="0" fillId="0" borderId="5" xfId="0" applyFill="1" applyBorder="1"/>
    <xf numFmtId="49" fontId="2" fillId="0" borderId="5" xfId="0" applyNumberFormat="1" applyFont="1" applyFill="1" applyBorder="1" applyAlignment="1" applyProtection="1">
      <alignment horizontal="left" vertical="center"/>
      <protection locked="0"/>
    </xf>
    <xf numFmtId="49" fontId="43" fillId="0" borderId="5" xfId="0" applyNumberFormat="1" applyFont="1" applyFill="1" applyBorder="1" applyAlignment="1" applyProtection="1">
      <alignment horizontal="left" vertical="center"/>
      <protection locked="0"/>
    </xf>
    <xf numFmtId="0" fontId="24" fillId="0" borderId="5" xfId="0" applyFont="1" applyFill="1" applyBorder="1"/>
    <xf numFmtId="57" fontId="41" fillId="0" borderId="5" xfId="0" applyNumberFormat="1" applyFont="1" applyFill="1" applyBorder="1" applyAlignment="1">
      <alignment horizontal="left" vertical="center"/>
    </xf>
    <xf numFmtId="57" fontId="0" fillId="0" borderId="5" xfId="0" applyNumberFormat="1" applyFill="1" applyBorder="1"/>
    <xf numFmtId="183" fontId="0" fillId="0" borderId="0" xfId="4" applyNumberFormat="1" applyFont="1" applyFill="1"/>
    <xf numFmtId="176" fontId="0" fillId="0" borderId="0" xfId="4" applyFont="1" applyFill="1" applyBorder="1"/>
    <xf numFmtId="0" fontId="0" fillId="0" borderId="0" xfId="0" applyNumberFormat="1"/>
    <xf numFmtId="183" fontId="47" fillId="0" borderId="5" xfId="4" applyNumberFormat="1" applyFont="1" applyFill="1" applyBorder="1"/>
    <xf numFmtId="176" fontId="0" fillId="0" borderId="0" xfId="4" applyFont="1" applyFill="1"/>
    <xf numFmtId="44" fontId="0" fillId="5" borderId="5" xfId="6" applyFont="1" applyFill="1" applyBorder="1" applyAlignment="1"/>
    <xf numFmtId="44" fontId="0" fillId="0" borderId="11" xfId="6" applyFont="1" applyBorder="1" applyAlignment="1"/>
    <xf numFmtId="0" fontId="0" fillId="0" borderId="0" xfId="0" applyFill="1"/>
    <xf numFmtId="183" fontId="32" fillId="0" borderId="5" xfId="4" applyNumberFormat="1" applyFont="1" applyFill="1" applyBorder="1"/>
    <xf numFmtId="44" fontId="32" fillId="0" borderId="5" xfId="6" applyFont="1" applyFill="1" applyBorder="1" applyAlignment="1"/>
    <xf numFmtId="0" fontId="0" fillId="0" borderId="0" xfId="0" applyNumberFormat="1" applyFill="1" applyAlignment="1">
      <alignment horizontal="left" vertical="center"/>
    </xf>
    <xf numFmtId="44" fontId="0" fillId="0" borderId="0" xfId="6" applyFont="1" applyFill="1" applyBorder="1" applyAlignment="1"/>
    <xf numFmtId="0" fontId="0" fillId="0" borderId="5" xfId="0" applyNumberFormat="1" applyFill="1" applyBorder="1" applyAlignment="1">
      <alignment horizontal="left" vertical="center"/>
    </xf>
    <xf numFmtId="49" fontId="35" fillId="0" borderId="1" xfId="0" applyNumberFormat="1" applyFont="1" applyFill="1" applyBorder="1" applyAlignment="1" applyProtection="1">
      <alignment horizontal="left" vertical="center" wrapText="1"/>
      <protection locked="0"/>
    </xf>
    <xf numFmtId="57" fontId="47" fillId="0" borderId="5" xfId="0" applyNumberFormat="1" applyFont="1" applyFill="1" applyBorder="1"/>
    <xf numFmtId="183" fontId="49" fillId="0" borderId="5" xfId="4" applyNumberFormat="1" applyFont="1" applyFill="1" applyBorder="1"/>
    <xf numFmtId="49" fontId="5" fillId="0" borderId="1" xfId="0" applyNumberFormat="1" applyFont="1" applyFill="1" applyBorder="1" applyAlignment="1" applyProtection="1">
      <alignment horizontal="left" vertical="center" wrapText="1"/>
      <protection locked="0"/>
    </xf>
    <xf numFmtId="57" fontId="0" fillId="0" borderId="5" xfId="0" applyNumberFormat="1" applyFont="1" applyFill="1" applyBorder="1"/>
    <xf numFmtId="0" fontId="5" fillId="0" borderId="5" xfId="0" applyFont="1" applyFill="1" applyBorder="1" applyAlignment="1">
      <alignment vertical="center"/>
    </xf>
    <xf numFmtId="183" fontId="0" fillId="0" borderId="0" xfId="0" applyNumberFormat="1" applyFont="1" applyFill="1"/>
    <xf numFmtId="0" fontId="0" fillId="0" borderId="0" xfId="0" applyFont="1" applyFill="1"/>
    <xf numFmtId="183" fontId="47" fillId="0" borderId="0" xfId="0" applyNumberFormat="1" applyFont="1" applyFill="1"/>
    <xf numFmtId="183" fontId="0" fillId="0" borderId="0" xfId="0" applyNumberFormat="1" applyFill="1"/>
    <xf numFmtId="0" fontId="51" fillId="0" borderId="5" xfId="0" applyFont="1" applyFill="1" applyBorder="1" applyAlignment="1">
      <alignment vertical="center"/>
    </xf>
    <xf numFmtId="44" fontId="0" fillId="0" borderId="0" xfId="0" applyNumberFormat="1" applyFont="1" applyFill="1"/>
    <xf numFmtId="49" fontId="5" fillId="0" borderId="3" xfId="0" applyNumberFormat="1" applyFont="1" applyFill="1" applyBorder="1" applyAlignment="1" applyProtection="1">
      <alignment horizontal="left" vertical="center" wrapText="1"/>
      <protection locked="0"/>
    </xf>
    <xf numFmtId="0" fontId="0" fillId="0" borderId="5" xfId="0" applyNumberFormat="1" applyFont="1" applyFill="1" applyBorder="1" applyAlignment="1">
      <alignment horizontal="left" vertical="center"/>
    </xf>
    <xf numFmtId="0" fontId="0" fillId="0" borderId="5" xfId="0" applyFont="1" applyFill="1" applyBorder="1" applyAlignment="1">
      <alignment vertical="center"/>
    </xf>
    <xf numFmtId="49" fontId="5" fillId="0" borderId="4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11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Font="1" applyFill="1" applyBorder="1"/>
    <xf numFmtId="49" fontId="5" fillId="0" borderId="5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5" xfId="0" applyNumberFormat="1" applyFont="1" applyFill="1" applyBorder="1" applyAlignment="1" applyProtection="1">
      <alignment horizontal="left" vertical="center"/>
      <protection locked="0"/>
    </xf>
    <xf numFmtId="44" fontId="0" fillId="0" borderId="0" xfId="0" applyNumberFormat="1" applyFont="1" applyFill="1" applyBorder="1"/>
    <xf numFmtId="43" fontId="52" fillId="0" borderId="5" xfId="4" applyNumberFormat="1" applyFont="1" applyFill="1" applyBorder="1" applyAlignment="1">
      <alignment vertical="center"/>
    </xf>
    <xf numFmtId="180" fontId="54" fillId="0" borderId="5" xfId="0" applyNumberFormat="1" applyFont="1" applyFill="1" applyBorder="1" applyAlignment="1">
      <alignment horizontal="left" vertical="center"/>
    </xf>
    <xf numFmtId="49" fontId="42" fillId="0" borderId="1" xfId="0" applyNumberFormat="1" applyFont="1" applyFill="1" applyBorder="1" applyAlignment="1" applyProtection="1">
      <alignment horizontal="left" vertical="center" wrapText="1"/>
      <protection locked="0"/>
    </xf>
    <xf numFmtId="57" fontId="53" fillId="0" borderId="5" xfId="0" applyNumberFormat="1" applyFont="1" applyFill="1" applyBorder="1"/>
    <xf numFmtId="183" fontId="53" fillId="0" borderId="5" xfId="4" applyNumberFormat="1" applyFont="1" applyFill="1" applyBorder="1"/>
    <xf numFmtId="0" fontId="5" fillId="23" borderId="0" xfId="0" applyFont="1" applyFill="1"/>
    <xf numFmtId="0" fontId="41" fillId="23" borderId="5" xfId="0" applyFont="1" applyFill="1" applyBorder="1" applyAlignment="1">
      <alignment horizontal="left" vertical="center" wrapText="1"/>
    </xf>
    <xf numFmtId="0" fontId="41" fillId="23" borderId="5" xfId="0" applyFont="1" applyFill="1" applyBorder="1" applyAlignment="1">
      <alignment horizontal="center" vertical="center" wrapText="1"/>
    </xf>
    <xf numFmtId="44" fontId="41" fillId="23" borderId="5" xfId="6" applyFont="1" applyFill="1" applyBorder="1" applyAlignment="1">
      <alignment horizontal="left" vertical="center" wrapText="1"/>
    </xf>
    <xf numFmtId="44" fontId="41" fillId="23" borderId="5" xfId="6" applyFont="1" applyFill="1" applyBorder="1" applyAlignment="1">
      <alignment horizontal="right" vertical="center" wrapText="1"/>
    </xf>
    <xf numFmtId="183" fontId="41" fillId="23" borderId="7" xfId="4" applyNumberFormat="1" applyFont="1" applyFill="1" applyBorder="1" applyAlignment="1">
      <alignment horizontal="left" vertical="center" wrapText="1"/>
    </xf>
    <xf numFmtId="176" fontId="41" fillId="23" borderId="7" xfId="4" applyFont="1" applyFill="1" applyBorder="1" applyAlignment="1">
      <alignment horizontal="left" vertical="center" wrapText="1"/>
    </xf>
    <xf numFmtId="0" fontId="0" fillId="23" borderId="0" xfId="0" applyFill="1"/>
    <xf numFmtId="0" fontId="52" fillId="0" borderId="0" xfId="0" applyFont="1" applyFill="1" applyAlignment="1">
      <alignment vertical="center"/>
    </xf>
    <xf numFmtId="0" fontId="51" fillId="0" borderId="5" xfId="0" applyNumberFormat="1" applyFont="1" applyFill="1" applyBorder="1" applyAlignment="1">
      <alignment horizontal="left" vertical="center"/>
    </xf>
    <xf numFmtId="0" fontId="52" fillId="0" borderId="5" xfId="0" applyNumberFormat="1" applyFont="1" applyFill="1" applyBorder="1" applyAlignment="1">
      <alignment horizontal="left" vertical="center"/>
    </xf>
    <xf numFmtId="0" fontId="52" fillId="0" borderId="5" xfId="0" applyFont="1" applyFill="1" applyBorder="1" applyAlignment="1">
      <alignment vertical="center"/>
    </xf>
    <xf numFmtId="44" fontId="0" fillId="0" borderId="0" xfId="0" applyNumberFormat="1" applyFill="1"/>
    <xf numFmtId="180" fontId="50" fillId="0" borderId="5" xfId="0" applyNumberFormat="1" applyFont="1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0" fontId="0" fillId="5" borderId="0" xfId="0" applyFont="1" applyFill="1"/>
    <xf numFmtId="0" fontId="5" fillId="5" borderId="5" xfId="0" applyFont="1" applyFill="1" applyBorder="1"/>
    <xf numFmtId="49" fontId="5" fillId="5" borderId="5" xfId="0" applyNumberFormat="1" applyFont="1" applyFill="1" applyBorder="1" applyAlignment="1" applyProtection="1">
      <alignment horizontal="left" vertical="center"/>
      <protection locked="0"/>
    </xf>
    <xf numFmtId="57" fontId="0" fillId="5" borderId="5" xfId="0" applyNumberFormat="1" applyFont="1" applyFill="1" applyBorder="1"/>
    <xf numFmtId="0" fontId="0" fillId="5" borderId="0" xfId="0" applyFont="1" applyFill="1" applyBorder="1"/>
    <xf numFmtId="44" fontId="0" fillId="5" borderId="0" xfId="0" applyNumberFormat="1" applyFont="1" applyFill="1"/>
    <xf numFmtId="0" fontId="0" fillId="5" borderId="0" xfId="0" applyFill="1" applyBorder="1"/>
    <xf numFmtId="43" fontId="52" fillId="0" borderId="0" xfId="4" applyNumberFormat="1" applyFont="1" applyFill="1" applyBorder="1" applyAlignment="1">
      <alignment vertical="center"/>
    </xf>
    <xf numFmtId="44" fontId="1" fillId="0" borderId="5" xfId="6" applyFont="1" applyBorder="1" applyAlignment="1"/>
    <xf numFmtId="44" fontId="1" fillId="0" borderId="5" xfId="6" applyFont="1" applyFill="1" applyBorder="1" applyAlignment="1"/>
    <xf numFmtId="44" fontId="1" fillId="5" borderId="5" xfId="6" applyFont="1" applyFill="1" applyBorder="1" applyAlignment="1"/>
    <xf numFmtId="44" fontId="1" fillId="16" borderId="0" xfId="6" applyFont="1" applyFill="1" applyAlignment="1"/>
    <xf numFmtId="44" fontId="1" fillId="0" borderId="0" xfId="6" applyFont="1" applyAlignment="1"/>
    <xf numFmtId="0" fontId="55" fillId="0" borderId="0" xfId="0" applyNumberFormat="1" applyFont="1" applyFill="1" applyAlignment="1">
      <alignment horizontal="left" vertical="center"/>
    </xf>
    <xf numFmtId="0" fontId="55" fillId="0" borderId="0" xfId="0" applyFont="1" applyFill="1" applyAlignment="1">
      <alignment vertical="center"/>
    </xf>
    <xf numFmtId="44" fontId="56" fillId="0" borderId="0" xfId="0" applyNumberFormat="1" applyFont="1" applyFill="1"/>
    <xf numFmtId="0" fontId="0" fillId="6" borderId="0" xfId="0" applyFill="1"/>
    <xf numFmtId="0" fontId="5" fillId="6" borderId="5" xfId="0" applyFont="1" applyFill="1" applyBorder="1"/>
    <xf numFmtId="57" fontId="0" fillId="6" borderId="5" xfId="0" applyNumberFormat="1" applyFill="1" applyBorder="1"/>
    <xf numFmtId="44" fontId="0" fillId="6" borderId="5" xfId="6" applyFont="1" applyFill="1" applyBorder="1" applyAlignment="1"/>
    <xf numFmtId="44" fontId="0" fillId="6" borderId="0" xfId="0" applyNumberFormat="1" applyFill="1"/>
    <xf numFmtId="0" fontId="56" fillId="0" borderId="0" xfId="0" applyFont="1" applyFill="1"/>
    <xf numFmtId="0" fontId="57" fillId="0" borderId="5" xfId="0" applyFont="1" applyFill="1" applyBorder="1"/>
    <xf numFmtId="49" fontId="57" fillId="0" borderId="1" xfId="0" applyNumberFormat="1" applyFont="1" applyFill="1" applyBorder="1" applyAlignment="1" applyProtection="1">
      <alignment horizontal="left" vertical="center" wrapText="1"/>
      <protection locked="0"/>
    </xf>
    <xf numFmtId="57" fontId="56" fillId="0" borderId="5" xfId="0" applyNumberFormat="1" applyFont="1" applyFill="1" applyBorder="1"/>
    <xf numFmtId="44" fontId="56" fillId="0" borderId="5" xfId="6" applyFont="1" applyFill="1" applyBorder="1" applyAlignment="1"/>
    <xf numFmtId="0" fontId="56" fillId="0" borderId="5" xfId="0" applyNumberFormat="1" applyFont="1" applyFill="1" applyBorder="1" applyAlignment="1">
      <alignment horizontal="left" vertical="center"/>
    </xf>
    <xf numFmtId="0" fontId="56" fillId="0" borderId="5" xfId="0" applyFont="1" applyFill="1" applyBorder="1" applyAlignment="1">
      <alignment vertical="center"/>
    </xf>
    <xf numFmtId="49" fontId="57" fillId="0" borderId="3" xfId="0" applyNumberFormat="1" applyFont="1" applyFill="1" applyBorder="1" applyAlignment="1" applyProtection="1">
      <alignment horizontal="left" vertical="center" wrapText="1"/>
      <protection locked="0"/>
    </xf>
    <xf numFmtId="49" fontId="57" fillId="0" borderId="10" xfId="0" applyNumberFormat="1" applyFont="1" applyFill="1" applyBorder="1" applyAlignment="1" applyProtection="1">
      <alignment horizontal="left" vertical="center"/>
      <protection locked="0"/>
    </xf>
    <xf numFmtId="57" fontId="56" fillId="0" borderId="10" xfId="0" applyNumberFormat="1" applyFont="1" applyFill="1" applyBorder="1"/>
    <xf numFmtId="44" fontId="56" fillId="0" borderId="10" xfId="6" applyFont="1" applyFill="1" applyBorder="1" applyAlignment="1"/>
    <xf numFmtId="49" fontId="57" fillId="0" borderId="5" xfId="0" applyNumberFormat="1" applyFont="1" applyFill="1" applyBorder="1" applyAlignment="1" applyProtection="1">
      <alignment horizontal="left" vertical="center" wrapText="1"/>
      <protection locked="0"/>
    </xf>
    <xf numFmtId="49" fontId="57" fillId="0" borderId="5" xfId="0" applyNumberFormat="1" applyFont="1" applyFill="1" applyBorder="1" applyAlignment="1" applyProtection="1">
      <alignment horizontal="left" vertical="center"/>
      <protection locked="0"/>
    </xf>
    <xf numFmtId="0" fontId="56" fillId="0" borderId="0" xfId="0" applyFont="1" applyFill="1" applyBorder="1"/>
    <xf numFmtId="0" fontId="5" fillId="0" borderId="0" xfId="0" applyFont="1" applyFill="1"/>
    <xf numFmtId="0" fontId="0" fillId="0" borderId="0" xfId="0" applyFill="1" applyAlignment="1">
      <alignment horizontal="center"/>
    </xf>
    <xf numFmtId="0" fontId="41" fillId="0" borderId="5" xfId="0" applyFont="1" applyFill="1" applyBorder="1" applyAlignment="1">
      <alignment horizontal="left" vertical="center" wrapText="1"/>
    </xf>
    <xf numFmtId="0" fontId="41" fillId="0" borderId="5" xfId="0" applyFont="1" applyFill="1" applyBorder="1" applyAlignment="1">
      <alignment horizontal="center" vertical="center" wrapText="1"/>
    </xf>
    <xf numFmtId="183" fontId="41" fillId="0" borderId="5" xfId="4" applyNumberFormat="1" applyFont="1" applyFill="1" applyBorder="1" applyAlignment="1">
      <alignment horizontal="left" vertical="center" wrapText="1"/>
    </xf>
    <xf numFmtId="176" fontId="41" fillId="0" borderId="7" xfId="4" applyFont="1" applyFill="1" applyBorder="1" applyAlignment="1">
      <alignment horizontal="left" vertical="center" wrapText="1"/>
    </xf>
    <xf numFmtId="183" fontId="50" fillId="0" borderId="7" xfId="4" applyNumberFormat="1" applyFont="1" applyFill="1" applyBorder="1" applyAlignment="1">
      <alignment horizontal="left" vertical="center" wrapText="1"/>
    </xf>
    <xf numFmtId="183" fontId="41" fillId="0" borderId="7" xfId="4" applyNumberFormat="1" applyFont="1" applyFill="1" applyBorder="1" applyAlignment="1">
      <alignment horizontal="left" vertical="center" wrapText="1"/>
    </xf>
    <xf numFmtId="57" fontId="0" fillId="0" borderId="0" xfId="0" applyNumberFormat="1" applyFont="1" applyFill="1" applyBorder="1"/>
    <xf numFmtId="43" fontId="52" fillId="0" borderId="0" xfId="4" applyNumberFormat="1" applyFont="1" applyFill="1" applyAlignment="1">
      <alignment vertical="center"/>
    </xf>
    <xf numFmtId="0" fontId="51" fillId="0" borderId="0" xfId="0" applyFont="1" applyFill="1" applyAlignment="1">
      <alignment vertical="center"/>
    </xf>
    <xf numFmtId="57" fontId="0" fillId="0" borderId="0" xfId="0" applyNumberFormat="1" applyFill="1" applyBorder="1"/>
    <xf numFmtId="0" fontId="51" fillId="0" borderId="0" xfId="0" applyFont="1" applyFill="1" applyBorder="1" applyAlignment="1">
      <alignment vertical="center"/>
    </xf>
    <xf numFmtId="180" fontId="41" fillId="0" borderId="0" xfId="0" applyNumberFormat="1" applyFont="1" applyFill="1" applyBorder="1" applyAlignment="1">
      <alignment horizontal="left" vertical="center"/>
    </xf>
    <xf numFmtId="0" fontId="52" fillId="0" borderId="0" xfId="0" applyFont="1" applyFill="1" applyBorder="1" applyAlignment="1">
      <alignment vertical="center"/>
    </xf>
    <xf numFmtId="57" fontId="47" fillId="0" borderId="0" xfId="0" applyNumberFormat="1" applyFont="1" applyFill="1" applyBorder="1"/>
    <xf numFmtId="0" fontId="58" fillId="0" borderId="0" xfId="0" applyFont="1" applyFill="1" applyAlignment="1">
      <alignment vertical="center"/>
    </xf>
    <xf numFmtId="183" fontId="47" fillId="0" borderId="0" xfId="4" applyNumberFormat="1" applyFont="1" applyFill="1"/>
    <xf numFmtId="176" fontId="47" fillId="0" borderId="0" xfId="4" applyFont="1" applyFill="1"/>
    <xf numFmtId="0" fontId="47" fillId="0" borderId="0" xfId="0" applyFont="1" applyFill="1"/>
    <xf numFmtId="0" fontId="49" fillId="0" borderId="0" xfId="0" applyFont="1" applyFill="1"/>
    <xf numFmtId="0" fontId="53" fillId="0" borderId="0" xfId="0" applyFont="1" applyFill="1"/>
    <xf numFmtId="183" fontId="53" fillId="0" borderId="0" xfId="0" applyNumberFormat="1" applyFont="1" applyFill="1"/>
    <xf numFmtId="49" fontId="2" fillId="0" borderId="3" xfId="0" applyNumberFormat="1" applyFont="1" applyFill="1" applyBorder="1" applyAlignment="1" applyProtection="1">
      <alignment horizontal="left" vertical="center" wrapText="1"/>
      <protection locked="0"/>
    </xf>
    <xf numFmtId="57" fontId="0" fillId="0" borderId="10" xfId="0" applyNumberFormat="1" applyFill="1" applyBorder="1"/>
    <xf numFmtId="183" fontId="0" fillId="0" borderId="10" xfId="4" applyNumberFormat="1" applyFont="1" applyFill="1" applyBorder="1"/>
    <xf numFmtId="43" fontId="55" fillId="0" borderId="0" xfId="4" applyNumberFormat="1" applyFont="1" applyFill="1" applyAlignment="1">
      <alignment vertical="center"/>
    </xf>
    <xf numFmtId="0" fontId="5" fillId="9" borderId="0" xfId="0" applyFont="1" applyFill="1"/>
    <xf numFmtId="0" fontId="41" fillId="9" borderId="5" xfId="0" applyFont="1" applyFill="1" applyBorder="1" applyAlignment="1">
      <alignment horizontal="left" vertical="center" wrapText="1"/>
    </xf>
    <xf numFmtId="0" fontId="41" fillId="9" borderId="5" xfId="0" applyFont="1" applyFill="1" applyBorder="1" applyAlignment="1">
      <alignment horizontal="center" vertical="center" wrapText="1"/>
    </xf>
    <xf numFmtId="44" fontId="50" fillId="9" borderId="5" xfId="6" applyFont="1" applyFill="1" applyBorder="1" applyAlignment="1">
      <alignment horizontal="left" vertical="center" wrapText="1"/>
    </xf>
    <xf numFmtId="44" fontId="41" fillId="9" borderId="7" xfId="6" applyFont="1" applyFill="1" applyBorder="1" applyAlignment="1">
      <alignment horizontal="left" vertical="center" wrapText="1"/>
    </xf>
    <xf numFmtId="49" fontId="0" fillId="0" borderId="0" xfId="0" applyNumberFormat="1" applyFill="1"/>
    <xf numFmtId="0" fontId="5" fillId="0" borderId="0" xfId="0" applyFont="1" applyFill="1" applyBorder="1"/>
    <xf numFmtId="0" fontId="0" fillId="0" borderId="0" xfId="0" applyNumberFormat="1" applyFill="1" applyBorder="1" applyAlignment="1">
      <alignment horizontal="left" vertical="center"/>
    </xf>
    <xf numFmtId="180" fontId="41" fillId="0" borderId="10" xfId="0" applyNumberFormat="1" applyFont="1" applyFill="1" applyBorder="1" applyAlignment="1">
      <alignment horizontal="left" vertical="center"/>
    </xf>
    <xf numFmtId="183" fontId="0" fillId="0" borderId="0" xfId="0" applyNumberFormat="1" applyFill="1" applyBorder="1"/>
    <xf numFmtId="0" fontId="0" fillId="0" borderId="0" xfId="0" applyNumberFormat="1" applyBorder="1"/>
    <xf numFmtId="0" fontId="0" fillId="16" borderId="0" xfId="0" applyFill="1" applyBorder="1"/>
    <xf numFmtId="180" fontId="41" fillId="16" borderId="0" xfId="0" applyNumberFormat="1" applyFont="1" applyFill="1" applyBorder="1" applyAlignment="1">
      <alignment horizontal="left" vertical="center"/>
    </xf>
    <xf numFmtId="0" fontId="0" fillId="16" borderId="0" xfId="0" applyFill="1" applyBorder="1" applyAlignment="1">
      <alignment horizontal="center"/>
    </xf>
    <xf numFmtId="183" fontId="0" fillId="16" borderId="0" xfId="4" applyNumberFormat="1" applyFont="1" applyFill="1" applyBorder="1"/>
    <xf numFmtId="0" fontId="0" fillId="0" borderId="0" xfId="0" applyFill="1" applyBorder="1" applyAlignment="1">
      <alignment horizontal="center"/>
    </xf>
    <xf numFmtId="43" fontId="0" fillId="0" borderId="0" xfId="0" applyNumberFormat="1" applyFont="1" applyFill="1"/>
    <xf numFmtId="44" fontId="0" fillId="0" borderId="0" xfId="0" applyNumberFormat="1" applyFill="1" applyBorder="1"/>
    <xf numFmtId="49" fontId="2" fillId="0" borderId="2" xfId="0" applyNumberFormat="1" applyFont="1" applyBorder="1" applyAlignment="1" applyProtection="1">
      <alignment horizontal="left" vertical="center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2" fillId="0" borderId="1" xfId="0" applyNumberFormat="1" applyFont="1" applyBorder="1" applyAlignment="1" applyProtection="1">
      <alignment horizontal="center" vertical="center" wrapText="1"/>
      <protection locked="0"/>
    </xf>
    <xf numFmtId="49" fontId="2" fillId="0" borderId="3" xfId="0" applyNumberFormat="1" applyFont="1" applyBorder="1" applyAlignment="1" applyProtection="1">
      <alignment horizontal="center" vertical="center" wrapText="1"/>
      <protection locked="0"/>
    </xf>
    <xf numFmtId="49" fontId="2" fillId="0" borderId="4" xfId="0" applyNumberFormat="1" applyFont="1" applyBorder="1" applyAlignment="1" applyProtection="1">
      <alignment horizontal="center" vertical="center" wrapText="1"/>
      <protection locked="0"/>
    </xf>
    <xf numFmtId="0" fontId="5" fillId="0" borderId="1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80" fontId="37" fillId="15" borderId="5" xfId="0" applyNumberFormat="1" applyFont="1" applyFill="1" applyBorder="1" applyAlignment="1">
      <alignment horizontal="center" vertical="center"/>
    </xf>
    <xf numFmtId="0" fontId="37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78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178" fontId="0" fillId="0" borderId="5" xfId="4" applyNumberFormat="1" applyFont="1" applyBorder="1" applyAlignment="1">
      <alignment horizontal="right" vertical="center" wrapText="1"/>
    </xf>
    <xf numFmtId="43" fontId="0" fillId="0" borderId="5" xfId="4" applyNumberFormat="1" applyFont="1" applyBorder="1" applyAlignment="1">
      <alignment horizontal="center" vertical="center"/>
    </xf>
    <xf numFmtId="178" fontId="0" fillId="6" borderId="5" xfId="0" applyNumberFormat="1" applyFill="1" applyBorder="1" applyAlignment="1">
      <alignment horizontal="right" vertical="center"/>
    </xf>
    <xf numFmtId="0" fontId="0" fillId="0" borderId="5" xfId="0" applyBorder="1" applyAlignment="1">
      <alignment horizontal="center" vertical="center" wrapText="1"/>
    </xf>
    <xf numFmtId="0" fontId="0" fillId="0" borderId="12" xfId="0" applyFont="1" applyBorder="1" applyAlignment="1">
      <alignment horizontal="center"/>
    </xf>
    <xf numFmtId="176" fontId="3" fillId="0" borderId="0" xfId="4" applyFont="1" applyAlignment="1">
      <alignment horizontal="center"/>
    </xf>
    <xf numFmtId="176" fontId="0" fillId="0" borderId="0" xfId="4" applyFont="1" applyAlignment="1">
      <alignment horizontal="center"/>
    </xf>
    <xf numFmtId="0" fontId="0" fillId="0" borderId="10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5" fillId="0" borderId="14" xfId="0" applyFont="1" applyBorder="1" applyAlignment="1">
      <alignment horizontal="left"/>
    </xf>
    <xf numFmtId="0" fontId="0" fillId="0" borderId="14" xfId="0" applyBorder="1" applyAlignment="1">
      <alignment horizontal="left"/>
    </xf>
    <xf numFmtId="2" fontId="14" fillId="0" borderId="1" xfId="0" applyNumberFormat="1" applyFont="1" applyBorder="1" applyAlignment="1">
      <alignment horizontal="left" vertical="center"/>
    </xf>
    <xf numFmtId="2" fontId="14" fillId="0" borderId="3" xfId="0" applyNumberFormat="1" applyFont="1" applyBorder="1" applyAlignment="1">
      <alignment horizontal="center" vertical="center"/>
    </xf>
    <xf numFmtId="2" fontId="14" fillId="0" borderId="15" xfId="0" applyNumberFormat="1" applyFont="1" applyBorder="1" applyAlignment="1">
      <alignment horizontal="center" vertical="center"/>
    </xf>
    <xf numFmtId="2" fontId="15" fillId="0" borderId="1" xfId="0" applyNumberFormat="1" applyFont="1" applyBorder="1" applyAlignment="1">
      <alignment horizontal="center" vertical="center"/>
    </xf>
    <xf numFmtId="2" fontId="15" fillId="0" borderId="6" xfId="0" applyNumberFormat="1" applyFont="1" applyBorder="1" applyAlignment="1">
      <alignment horizontal="center" vertical="center"/>
    </xf>
    <xf numFmtId="2" fontId="14" fillId="4" borderId="1" xfId="0" applyNumberFormat="1" applyFont="1" applyFill="1" applyBorder="1" applyAlignment="1">
      <alignment horizontal="center" vertical="center"/>
    </xf>
    <xf numFmtId="2" fontId="14" fillId="3" borderId="1" xfId="0" applyNumberFormat="1" applyFont="1" applyFill="1" applyBorder="1" applyAlignment="1">
      <alignment horizontal="center" vertical="center"/>
    </xf>
    <xf numFmtId="49" fontId="18" fillId="0" borderId="0" xfId="0" applyNumberFormat="1" applyFont="1" applyBorder="1" applyAlignment="1" applyProtection="1">
      <alignment horizontal="left" vertical="top" wrapText="1"/>
      <protection locked="0"/>
    </xf>
    <xf numFmtId="49" fontId="18" fillId="0" borderId="1" xfId="0" applyNumberFormat="1" applyFont="1" applyBorder="1" applyAlignment="1" applyProtection="1">
      <alignment horizontal="center" vertical="center" wrapText="1"/>
      <protection locked="0"/>
    </xf>
    <xf numFmtId="0" fontId="16" fillId="0" borderId="12" xfId="0" applyFont="1" applyBorder="1" applyAlignment="1">
      <alignment horizontal="center"/>
    </xf>
    <xf numFmtId="49" fontId="19" fillId="0" borderId="0" xfId="0" applyNumberFormat="1" applyFont="1" applyBorder="1" applyAlignment="1" applyProtection="1">
      <alignment horizontal="center" vertical="center" wrapText="1"/>
      <protection locked="0"/>
    </xf>
  </cellXfs>
  <cellStyles count="7">
    <cellStyle name="百分比" xfId="1" builtinId="5"/>
    <cellStyle name="百分比 2" xfId="2"/>
    <cellStyle name="常规" xfId="0" builtinId="0"/>
    <cellStyle name="常规 2" xfId="3"/>
    <cellStyle name="货币" xfId="6" builtinId="4"/>
    <cellStyle name="千位分隔" xfId="4" builtinId="3"/>
    <cellStyle name="千位分隔 2" xfId="5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9" defaultPivotStyle="PivotStyleLight16"/>
  <colors>
    <mruColors>
      <color rgb="FF00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eden.wang\AppData\Local\Microsoft\Windows\Temporary%20Internet%20Files\Content.Outlook\V5Q4C4N2\Clife&#25910;&#20837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新的工作表"/>
      <sheetName val="Sheet1"/>
    </sheetNames>
    <sheetDataSet>
      <sheetData sheetId="0"/>
      <sheetData sheetId="1">
        <row r="11">
          <cell r="D11" t="str">
            <v>CU0207000</v>
          </cell>
          <cell r="E11" t="str">
            <v>达信 Marsh</v>
          </cell>
          <cell r="F11" t="str">
            <v>3704</v>
          </cell>
          <cell r="G11" t="str">
            <v>弹性福利产品</v>
          </cell>
          <cell r="H11" t="str">
            <v>平</v>
          </cell>
        </row>
        <row r="12">
          <cell r="D12" t="str">
            <v>CU0207001</v>
          </cell>
          <cell r="E12" t="str">
            <v>达信（中国）保险经纪有限公司</v>
          </cell>
          <cell r="F12" t="str">
            <v>3704</v>
          </cell>
          <cell r="G12" t="str">
            <v>弹性福利产品</v>
          </cell>
          <cell r="H12" t="str">
            <v>平</v>
          </cell>
          <cell r="J12">
            <v>92500</v>
          </cell>
        </row>
        <row r="13">
          <cell r="D13" t="str">
            <v>CU0207002</v>
          </cell>
          <cell r="E13" t="str">
            <v>达信（中国）保险经纪有限公司上海分公司</v>
          </cell>
          <cell r="F13" t="str">
            <v>3704</v>
          </cell>
          <cell r="G13" t="str">
            <v>弹性福利产品</v>
          </cell>
          <cell r="H13" t="str">
            <v>平</v>
          </cell>
          <cell r="J13">
            <v>-92500</v>
          </cell>
        </row>
        <row r="14">
          <cell r="D14" t="str">
            <v>CU0285004</v>
          </cell>
          <cell r="E14" t="str">
            <v>文思海辉技术有限公司</v>
          </cell>
          <cell r="F14" t="str">
            <v>3704</v>
          </cell>
          <cell r="G14" t="str">
            <v>弹性福利产品</v>
          </cell>
          <cell r="H14" t="str">
            <v>平</v>
          </cell>
        </row>
        <row r="15">
          <cell r="D15" t="str">
            <v>CU0289001</v>
          </cell>
          <cell r="E15" t="str">
            <v>拉格代尔商业（上海）有限公司</v>
          </cell>
          <cell r="F15" t="str">
            <v>3704</v>
          </cell>
          <cell r="G15" t="str">
            <v>弹性福利产品</v>
          </cell>
          <cell r="H15" t="str">
            <v>平</v>
          </cell>
          <cell r="J15">
            <v>-265</v>
          </cell>
        </row>
        <row r="16">
          <cell r="D16" t="str">
            <v>CU0401004</v>
          </cell>
          <cell r="E16" t="str">
            <v>美集物流运输（中国）有限公司</v>
          </cell>
          <cell r="F16" t="str">
            <v>3704</v>
          </cell>
          <cell r="G16" t="str">
            <v>弹性福利产品</v>
          </cell>
          <cell r="H16" t="str">
            <v>平</v>
          </cell>
        </row>
        <row r="17">
          <cell r="D17" t="str">
            <v>CU0468001</v>
          </cell>
          <cell r="E17" t="str">
            <v>包商银行股份有限公司</v>
          </cell>
          <cell r="F17" t="str">
            <v>3704</v>
          </cell>
          <cell r="G17" t="str">
            <v>弹性福利产品</v>
          </cell>
          <cell r="H17" t="str">
            <v>平</v>
          </cell>
        </row>
        <row r="18">
          <cell r="D18" t="str">
            <v>CU0636001</v>
          </cell>
          <cell r="E18" t="str">
            <v>巴丽（上海）商业有限公司</v>
          </cell>
          <cell r="F18" t="str">
            <v>3704</v>
          </cell>
          <cell r="G18" t="str">
            <v>弹性福利产品</v>
          </cell>
          <cell r="H18" t="str">
            <v>平</v>
          </cell>
        </row>
        <row r="19">
          <cell r="D19" t="str">
            <v>CU0669000</v>
          </cell>
          <cell r="E19" t="str">
            <v>博禹</v>
          </cell>
          <cell r="F19" t="str">
            <v>3704</v>
          </cell>
          <cell r="G19" t="str">
            <v>弹性福利产品</v>
          </cell>
          <cell r="H19" t="str">
            <v>平</v>
          </cell>
        </row>
        <row r="20">
          <cell r="D20" t="str">
            <v>CU0669001</v>
          </cell>
          <cell r="E20" t="str">
            <v>北京博禹国际顾问有限公司</v>
          </cell>
          <cell r="F20" t="str">
            <v>3704</v>
          </cell>
          <cell r="G20" t="str">
            <v>弹性福利产品</v>
          </cell>
          <cell r="H20" t="str">
            <v>平</v>
          </cell>
        </row>
        <row r="21">
          <cell r="D21" t="str">
            <v>CU0669002</v>
          </cell>
          <cell r="E21" t="str">
            <v>上海博禹人力资源管理有限公司</v>
          </cell>
          <cell r="F21" t="str">
            <v>3704</v>
          </cell>
          <cell r="G21" t="str">
            <v>弹性福利产品</v>
          </cell>
          <cell r="H21" t="str">
            <v>平</v>
          </cell>
        </row>
        <row r="22">
          <cell r="D22" t="str">
            <v>CU0669003</v>
          </cell>
          <cell r="E22" t="str">
            <v>广州博禹人力资源服务有限公司</v>
          </cell>
          <cell r="F22" t="str">
            <v>3704</v>
          </cell>
          <cell r="G22" t="str">
            <v>弹性福利产品</v>
          </cell>
          <cell r="H22" t="str">
            <v>平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J104"/>
  <sheetViews>
    <sheetView workbookViewId="0">
      <pane xSplit="8" ySplit="2" topLeftCell="I3" activePane="bottomRight" state="frozen"/>
      <selection activeCell="H34" sqref="H34"/>
      <selection pane="topRight" activeCell="H34" sqref="H34"/>
      <selection pane="bottomLeft" activeCell="H34" sqref="H34"/>
      <selection pane="bottomRight" activeCell="H34" sqref="H34"/>
    </sheetView>
  </sheetViews>
  <sheetFormatPr defaultRowHeight="12.75"/>
  <cols>
    <col min="1" max="1" width="16.28515625" customWidth="1"/>
    <col min="2" max="2" width="9.85546875" customWidth="1"/>
    <col min="3" max="3" width="24.140625" customWidth="1"/>
    <col min="4" max="6" width="15.5703125" customWidth="1"/>
    <col min="7" max="7" width="28.85546875" customWidth="1"/>
    <col min="8" max="8" width="15.5703125" customWidth="1"/>
    <col min="9" max="9" width="16.140625" style="14" customWidth="1"/>
    <col min="10" max="10" width="25.140625" customWidth="1"/>
  </cols>
  <sheetData>
    <row r="1" spans="1:10" ht="20.100000000000001" customHeight="1">
      <c r="A1" s="576" t="s">
        <v>0</v>
      </c>
      <c r="B1" s="576" t="s">
        <v>1</v>
      </c>
      <c r="C1" s="576" t="s">
        <v>2</v>
      </c>
      <c r="D1" s="576" t="s">
        <v>3</v>
      </c>
      <c r="E1" s="576" t="s">
        <v>4</v>
      </c>
      <c r="F1" s="576" t="s">
        <v>5</v>
      </c>
      <c r="G1" s="576" t="s">
        <v>6</v>
      </c>
      <c r="H1" s="2" t="s">
        <v>240</v>
      </c>
      <c r="I1" s="13" t="s">
        <v>241</v>
      </c>
    </row>
    <row r="2" spans="1:10" ht="20.100000000000001" customHeight="1">
      <c r="A2" s="576" t="s">
        <v>0</v>
      </c>
      <c r="B2" s="576" t="s">
        <v>1</v>
      </c>
      <c r="C2" s="576" t="s">
        <v>2</v>
      </c>
      <c r="D2" s="576" t="s">
        <v>3</v>
      </c>
      <c r="E2" s="576" t="s">
        <v>4</v>
      </c>
      <c r="F2" s="576" t="s">
        <v>5</v>
      </c>
      <c r="G2" s="576" t="s">
        <v>6</v>
      </c>
      <c r="H2" s="2" t="s">
        <v>7</v>
      </c>
      <c r="I2" s="2" t="s">
        <v>7</v>
      </c>
    </row>
    <row r="3" spans="1:10" ht="20.100000000000001" hidden="1" customHeight="1">
      <c r="A3" s="3" t="s">
        <v>209</v>
      </c>
      <c r="B3" s="4">
        <v>6401</v>
      </c>
      <c r="C3" s="3" t="s">
        <v>8</v>
      </c>
      <c r="D3" s="4">
        <v>3704</v>
      </c>
      <c r="E3" s="3" t="s">
        <v>9</v>
      </c>
      <c r="F3" s="3" t="s">
        <v>29</v>
      </c>
      <c r="G3" s="3" t="s">
        <v>30</v>
      </c>
      <c r="H3" s="5"/>
      <c r="I3" s="14" t="e">
        <f>VLOOKUP(F3,收入!F:H,3,0)</f>
        <v>#N/A</v>
      </c>
    </row>
    <row r="4" spans="1:10" ht="20.100000000000001" hidden="1" customHeight="1">
      <c r="A4" s="3" t="s">
        <v>209</v>
      </c>
      <c r="B4" s="4">
        <v>6401</v>
      </c>
      <c r="C4" s="3" t="s">
        <v>8</v>
      </c>
      <c r="D4" s="4">
        <v>3704</v>
      </c>
      <c r="E4" s="3" t="s">
        <v>9</v>
      </c>
      <c r="F4" s="3" t="s">
        <v>31</v>
      </c>
      <c r="G4" s="3" t="s">
        <v>32</v>
      </c>
      <c r="H4" s="5"/>
      <c r="I4" s="14">
        <f>VLOOKUP(F4,收入!F:H,3,0)</f>
        <v>0</v>
      </c>
    </row>
    <row r="5" spans="1:10" ht="20.100000000000001" hidden="1" customHeight="1">
      <c r="A5" s="3" t="s">
        <v>209</v>
      </c>
      <c r="B5" s="4">
        <v>6401</v>
      </c>
      <c r="C5" s="3" t="s">
        <v>8</v>
      </c>
      <c r="D5" s="4">
        <v>3704</v>
      </c>
      <c r="E5" s="3" t="s">
        <v>9</v>
      </c>
      <c r="F5" s="3" t="s">
        <v>33</v>
      </c>
      <c r="G5" s="3" t="s">
        <v>34</v>
      </c>
      <c r="H5" s="5"/>
      <c r="I5" s="14">
        <f>VLOOKUP(F5,收入!F:H,3,0)</f>
        <v>0</v>
      </c>
    </row>
    <row r="6" spans="1:10" ht="20.100000000000001" hidden="1" customHeight="1">
      <c r="A6" s="3" t="s">
        <v>209</v>
      </c>
      <c r="B6" s="4">
        <v>6401</v>
      </c>
      <c r="C6" s="3" t="s">
        <v>8</v>
      </c>
      <c r="D6" s="4">
        <v>3704</v>
      </c>
      <c r="E6" s="3" t="s">
        <v>9</v>
      </c>
      <c r="F6" s="3" t="s">
        <v>35</v>
      </c>
      <c r="G6" s="3" t="s">
        <v>36</v>
      </c>
      <c r="H6" s="5"/>
      <c r="I6" s="14" t="e">
        <f>VLOOKUP(F6,收入!F:H,3,0)</f>
        <v>#N/A</v>
      </c>
    </row>
    <row r="7" spans="1:10" ht="20.100000000000001" hidden="1" customHeight="1">
      <c r="A7" s="3" t="s">
        <v>209</v>
      </c>
      <c r="B7" s="4">
        <v>6401</v>
      </c>
      <c r="C7" s="3" t="s">
        <v>8</v>
      </c>
      <c r="D7" s="4">
        <v>3704</v>
      </c>
      <c r="E7" s="3" t="s">
        <v>9</v>
      </c>
      <c r="F7" s="3" t="s">
        <v>37</v>
      </c>
      <c r="G7" s="3" t="s">
        <v>38</v>
      </c>
      <c r="H7" s="5"/>
      <c r="I7" s="14">
        <f>VLOOKUP(F7,收入!F:H,3,0)</f>
        <v>0</v>
      </c>
    </row>
    <row r="8" spans="1:10" ht="20.100000000000001" hidden="1" customHeight="1">
      <c r="A8" s="3" t="s">
        <v>209</v>
      </c>
      <c r="B8" s="4">
        <v>6401</v>
      </c>
      <c r="C8" s="3" t="s">
        <v>8</v>
      </c>
      <c r="D8" s="4">
        <v>3704</v>
      </c>
      <c r="E8" s="3" t="s">
        <v>9</v>
      </c>
      <c r="F8" s="3" t="s">
        <v>405</v>
      </c>
      <c r="G8" s="3" t="s">
        <v>40</v>
      </c>
      <c r="H8" s="11">
        <v>-14529.92</v>
      </c>
      <c r="I8" s="14">
        <f>VLOOKUP(F8,收入!F:H,3,0)</f>
        <v>0</v>
      </c>
      <c r="J8" s="12" t="s">
        <v>243</v>
      </c>
    </row>
    <row r="9" spans="1:10" ht="20.100000000000001" hidden="1" customHeight="1">
      <c r="A9" s="3" t="s">
        <v>209</v>
      </c>
      <c r="B9" s="4">
        <v>6401</v>
      </c>
      <c r="C9" s="3" t="s">
        <v>8</v>
      </c>
      <c r="D9" s="4">
        <v>3704</v>
      </c>
      <c r="E9" s="3" t="s">
        <v>9</v>
      </c>
      <c r="F9" s="3" t="s">
        <v>41</v>
      </c>
      <c r="G9" s="3" t="s">
        <v>42</v>
      </c>
      <c r="H9" s="5"/>
      <c r="I9" s="14" t="e">
        <f>VLOOKUP(F9,收入!F:H,3,0)</f>
        <v>#N/A</v>
      </c>
    </row>
    <row r="10" spans="1:10" ht="20.100000000000001" hidden="1" customHeight="1">
      <c r="A10" s="3" t="s">
        <v>209</v>
      </c>
      <c r="B10" s="4">
        <v>6401</v>
      </c>
      <c r="C10" s="3" t="s">
        <v>8</v>
      </c>
      <c r="D10" s="4">
        <v>3704</v>
      </c>
      <c r="E10" s="3" t="s">
        <v>9</v>
      </c>
      <c r="F10" s="3" t="s">
        <v>43</v>
      </c>
      <c r="G10" s="3" t="s">
        <v>44</v>
      </c>
      <c r="H10" s="5"/>
      <c r="I10" s="14" t="e">
        <f>VLOOKUP(F10,收入!F:H,3,0)</f>
        <v>#N/A</v>
      </c>
    </row>
    <row r="11" spans="1:10" ht="20.100000000000001" hidden="1" customHeight="1">
      <c r="A11" s="3" t="s">
        <v>209</v>
      </c>
      <c r="B11" s="4">
        <v>6401</v>
      </c>
      <c r="C11" s="3" t="s">
        <v>8</v>
      </c>
      <c r="D11" s="4">
        <v>3704</v>
      </c>
      <c r="E11" s="3" t="s">
        <v>9</v>
      </c>
      <c r="F11" s="3" t="s">
        <v>45</v>
      </c>
      <c r="G11" s="3" t="s">
        <v>46</v>
      </c>
      <c r="H11" s="5"/>
      <c r="I11" s="14" t="e">
        <f>VLOOKUP(F11,收入!F:H,3,0)</f>
        <v>#N/A</v>
      </c>
    </row>
    <row r="12" spans="1:10" ht="20.100000000000001" hidden="1" customHeight="1">
      <c r="A12" s="3" t="s">
        <v>209</v>
      </c>
      <c r="B12" s="4">
        <v>6401</v>
      </c>
      <c r="C12" s="3" t="s">
        <v>8</v>
      </c>
      <c r="D12" s="4">
        <v>3704</v>
      </c>
      <c r="E12" s="3" t="s">
        <v>9</v>
      </c>
      <c r="F12" s="3" t="s">
        <v>47</v>
      </c>
      <c r="G12" s="3" t="s">
        <v>48</v>
      </c>
      <c r="H12" s="5"/>
      <c r="I12" s="14" t="e">
        <f>VLOOKUP(F12,收入!F:H,3,0)</f>
        <v>#N/A</v>
      </c>
    </row>
    <row r="13" spans="1:10" ht="20.100000000000001" hidden="1" customHeight="1">
      <c r="A13" s="3" t="s">
        <v>209</v>
      </c>
      <c r="B13" s="4">
        <v>6401</v>
      </c>
      <c r="C13" s="3" t="s">
        <v>8</v>
      </c>
      <c r="D13" s="4">
        <v>3704</v>
      </c>
      <c r="E13" s="3" t="s">
        <v>9</v>
      </c>
      <c r="F13" s="3" t="s">
        <v>244</v>
      </c>
      <c r="G13" s="3" t="s">
        <v>245</v>
      </c>
      <c r="H13" s="5"/>
      <c r="I13" s="14">
        <f>VLOOKUP(F13,收入!F:H,3,0)</f>
        <v>285855.39</v>
      </c>
    </row>
    <row r="14" spans="1:10" ht="20.100000000000001" hidden="1" customHeight="1">
      <c r="A14" s="3" t="s">
        <v>209</v>
      </c>
      <c r="B14" s="4">
        <v>6401</v>
      </c>
      <c r="C14" s="3" t="s">
        <v>8</v>
      </c>
      <c r="D14" s="4">
        <v>3704</v>
      </c>
      <c r="E14" s="3" t="s">
        <v>9</v>
      </c>
      <c r="F14" s="3" t="s">
        <v>51</v>
      </c>
      <c r="G14" s="3" t="s">
        <v>52</v>
      </c>
      <c r="H14" s="5"/>
      <c r="I14" s="14" t="e">
        <f>VLOOKUP(F14,收入!F:H,3,0)</f>
        <v>#N/A</v>
      </c>
    </row>
    <row r="15" spans="1:10" ht="20.100000000000001" hidden="1" customHeight="1">
      <c r="A15" s="3" t="s">
        <v>208</v>
      </c>
      <c r="B15" s="4">
        <v>6401</v>
      </c>
      <c r="C15" s="3" t="s">
        <v>8</v>
      </c>
      <c r="D15" s="4">
        <v>3704</v>
      </c>
      <c r="E15" s="3" t="s">
        <v>9</v>
      </c>
      <c r="F15" s="3" t="s">
        <v>10</v>
      </c>
      <c r="G15" s="3" t="s">
        <v>11</v>
      </c>
      <c r="H15" s="5"/>
      <c r="I15" s="14">
        <f>VLOOKUP(F15,收入!F:H,3,0)</f>
        <v>0</v>
      </c>
    </row>
    <row r="16" spans="1:10" ht="20.100000000000001" hidden="1" customHeight="1">
      <c r="A16" s="3" t="s">
        <v>209</v>
      </c>
      <c r="B16" s="4">
        <v>6401</v>
      </c>
      <c r="C16" s="3" t="s">
        <v>8</v>
      </c>
      <c r="D16" s="4">
        <v>3704</v>
      </c>
      <c r="E16" s="3" t="s">
        <v>9</v>
      </c>
      <c r="F16" s="3" t="s">
        <v>10</v>
      </c>
      <c r="G16" s="3" t="s">
        <v>11</v>
      </c>
      <c r="H16" s="5"/>
      <c r="I16" s="14">
        <f>VLOOKUP(F16,收入!F:H,3,0)</f>
        <v>0</v>
      </c>
    </row>
    <row r="17" spans="1:9" ht="20.100000000000001" hidden="1" customHeight="1">
      <c r="A17" s="3" t="s">
        <v>208</v>
      </c>
      <c r="B17" s="4">
        <v>6401</v>
      </c>
      <c r="C17" s="3" t="s">
        <v>8</v>
      </c>
      <c r="D17" s="4">
        <v>3704</v>
      </c>
      <c r="E17" s="3" t="s">
        <v>9</v>
      </c>
      <c r="F17" s="3" t="s">
        <v>12</v>
      </c>
      <c r="G17" s="3" t="s">
        <v>13</v>
      </c>
      <c r="H17" s="6">
        <v>105943.4</v>
      </c>
      <c r="I17" s="14">
        <f>VLOOKUP(F17,收入!F:H,3,0)</f>
        <v>103673.3</v>
      </c>
    </row>
    <row r="18" spans="1:9" ht="20.100000000000001" hidden="1" customHeight="1">
      <c r="A18" s="3" t="s">
        <v>208</v>
      </c>
      <c r="B18" s="4">
        <v>6401</v>
      </c>
      <c r="C18" s="3" t="s">
        <v>8</v>
      </c>
      <c r="D18" s="4">
        <v>3704</v>
      </c>
      <c r="E18" s="3" t="s">
        <v>9</v>
      </c>
      <c r="F18" s="3" t="s">
        <v>14</v>
      </c>
      <c r="G18" s="3" t="s">
        <v>15</v>
      </c>
      <c r="H18" s="5"/>
      <c r="I18" s="14">
        <f>VLOOKUP(F18,收入!F:H,3,0)</f>
        <v>128633.64</v>
      </c>
    </row>
    <row r="19" spans="1:9" ht="20.100000000000001" hidden="1" customHeight="1">
      <c r="A19" s="3" t="s">
        <v>209</v>
      </c>
      <c r="B19" s="4">
        <v>6401</v>
      </c>
      <c r="C19" s="3" t="s">
        <v>8</v>
      </c>
      <c r="D19" s="4">
        <v>3704</v>
      </c>
      <c r="E19" s="3" t="s">
        <v>9</v>
      </c>
      <c r="F19" s="3" t="s">
        <v>53</v>
      </c>
      <c r="G19" s="3" t="s">
        <v>54</v>
      </c>
      <c r="H19" s="5"/>
      <c r="I19" s="14">
        <f>VLOOKUP(F19,收入!F:H,3,0)</f>
        <v>0</v>
      </c>
    </row>
    <row r="20" spans="1:9" ht="20.100000000000001" hidden="1" customHeight="1">
      <c r="A20" s="3" t="s">
        <v>209</v>
      </c>
      <c r="B20" s="4">
        <v>6401</v>
      </c>
      <c r="C20" s="3" t="s">
        <v>8</v>
      </c>
      <c r="D20" s="4">
        <v>3704</v>
      </c>
      <c r="E20" s="3" t="s">
        <v>9</v>
      </c>
      <c r="F20" s="3" t="s">
        <v>55</v>
      </c>
      <c r="G20" s="3" t="s">
        <v>56</v>
      </c>
      <c r="H20" s="5"/>
      <c r="I20" s="14">
        <f>VLOOKUP(F20,收入!F:H,3,0)</f>
        <v>0</v>
      </c>
    </row>
    <row r="21" spans="1:9" ht="20.100000000000001" hidden="1" customHeight="1">
      <c r="A21" s="3" t="s">
        <v>208</v>
      </c>
      <c r="B21" s="4">
        <v>6401</v>
      </c>
      <c r="C21" s="3" t="s">
        <v>8</v>
      </c>
      <c r="D21" s="4">
        <v>3704</v>
      </c>
      <c r="E21" s="3" t="s">
        <v>9</v>
      </c>
      <c r="F21" s="3" t="s">
        <v>16</v>
      </c>
      <c r="G21" s="3" t="s">
        <v>17</v>
      </c>
      <c r="H21" s="5"/>
      <c r="I21" s="14">
        <f>VLOOKUP(F21,收入!F:H,3,0)</f>
        <v>0</v>
      </c>
    </row>
    <row r="22" spans="1:9" ht="20.100000000000001" hidden="1" customHeight="1">
      <c r="A22" s="3" t="s">
        <v>209</v>
      </c>
      <c r="B22" s="4">
        <v>6401</v>
      </c>
      <c r="C22" s="3" t="s">
        <v>8</v>
      </c>
      <c r="D22" s="4">
        <v>3704</v>
      </c>
      <c r="E22" s="3" t="s">
        <v>9</v>
      </c>
      <c r="F22" s="3" t="s">
        <v>16</v>
      </c>
      <c r="G22" s="3" t="s">
        <v>17</v>
      </c>
      <c r="H22" s="5"/>
      <c r="I22" s="14">
        <f>VLOOKUP(F22,收入!F:H,3,0)</f>
        <v>0</v>
      </c>
    </row>
    <row r="23" spans="1:9" ht="20.100000000000001" hidden="1" customHeight="1">
      <c r="A23" s="3" t="s">
        <v>209</v>
      </c>
      <c r="B23" s="4">
        <v>6401</v>
      </c>
      <c r="C23" s="3" t="s">
        <v>8</v>
      </c>
      <c r="D23" s="4">
        <v>3704</v>
      </c>
      <c r="E23" s="3" t="s">
        <v>9</v>
      </c>
      <c r="F23" s="3" t="s">
        <v>57</v>
      </c>
      <c r="G23" s="3" t="s">
        <v>58</v>
      </c>
      <c r="H23" s="5"/>
      <c r="I23" s="14">
        <f>VLOOKUP(F23,收入!F:H,3,0)</f>
        <v>0</v>
      </c>
    </row>
    <row r="24" spans="1:9" ht="20.100000000000001" hidden="1" customHeight="1">
      <c r="A24" s="3" t="s">
        <v>209</v>
      </c>
      <c r="B24" s="4">
        <v>6401</v>
      </c>
      <c r="C24" s="3" t="s">
        <v>8</v>
      </c>
      <c r="D24" s="4">
        <v>3704</v>
      </c>
      <c r="E24" s="3" t="s">
        <v>9</v>
      </c>
      <c r="F24" s="3" t="s">
        <v>59</v>
      </c>
      <c r="G24" s="3" t="s">
        <v>60</v>
      </c>
      <c r="H24" s="6">
        <v>212264.15</v>
      </c>
      <c r="I24" s="14">
        <f>VLOOKUP(F24,收入!F:H,3,0)</f>
        <v>0</v>
      </c>
    </row>
    <row r="25" spans="1:9" ht="20.100000000000001" hidden="1" customHeight="1">
      <c r="A25" s="3" t="s">
        <v>209</v>
      </c>
      <c r="B25" s="4">
        <v>6401</v>
      </c>
      <c r="C25" s="3" t="s">
        <v>8</v>
      </c>
      <c r="D25" s="4">
        <v>3704</v>
      </c>
      <c r="E25" s="3" t="s">
        <v>9</v>
      </c>
      <c r="F25" s="3" t="s">
        <v>61</v>
      </c>
      <c r="G25" s="3" t="s">
        <v>62</v>
      </c>
      <c r="H25" s="5"/>
      <c r="I25" s="14" t="e">
        <f>VLOOKUP(F25,收入!F:H,3,0)</f>
        <v>#N/A</v>
      </c>
    </row>
    <row r="26" spans="1:9" ht="20.100000000000001" hidden="1" customHeight="1">
      <c r="A26" s="3" t="s">
        <v>209</v>
      </c>
      <c r="B26" s="4">
        <v>6401</v>
      </c>
      <c r="C26" s="3" t="s">
        <v>8</v>
      </c>
      <c r="D26" s="4">
        <v>3704</v>
      </c>
      <c r="E26" s="3" t="s">
        <v>9</v>
      </c>
      <c r="F26" s="3" t="s">
        <v>63</v>
      </c>
      <c r="G26" s="3" t="s">
        <v>64</v>
      </c>
      <c r="H26" s="5"/>
      <c r="I26" s="14">
        <f>VLOOKUP(F26,收入!F:H,3,0)</f>
        <v>0</v>
      </c>
    </row>
    <row r="27" spans="1:9" ht="20.100000000000001" hidden="1" customHeight="1">
      <c r="A27" s="3" t="s">
        <v>209</v>
      </c>
      <c r="B27" s="4">
        <v>6401</v>
      </c>
      <c r="C27" s="3" t="s">
        <v>8</v>
      </c>
      <c r="D27" s="4">
        <v>3704</v>
      </c>
      <c r="E27" s="3" t="s">
        <v>9</v>
      </c>
      <c r="F27" s="3" t="s">
        <v>65</v>
      </c>
      <c r="G27" s="3" t="s">
        <v>66</v>
      </c>
      <c r="H27" s="5"/>
      <c r="I27" s="14">
        <f>VLOOKUP(F27,收入!F:H,3,0)</f>
        <v>0</v>
      </c>
    </row>
    <row r="28" spans="1:9" ht="20.100000000000001" hidden="1" customHeight="1">
      <c r="A28" s="3" t="s">
        <v>209</v>
      </c>
      <c r="B28" s="4">
        <v>6401</v>
      </c>
      <c r="C28" s="3" t="s">
        <v>8</v>
      </c>
      <c r="D28" s="4">
        <v>3704</v>
      </c>
      <c r="E28" s="3" t="s">
        <v>9</v>
      </c>
      <c r="F28" s="3" t="s">
        <v>67</v>
      </c>
      <c r="G28" s="3" t="s">
        <v>68</v>
      </c>
      <c r="H28" s="6">
        <v>84706.240000000005</v>
      </c>
      <c r="I28" s="14">
        <f>VLOOKUP(F28,收入!F:H,3,0)</f>
        <v>0</v>
      </c>
    </row>
    <row r="29" spans="1:9" ht="20.100000000000001" hidden="1" customHeight="1">
      <c r="A29" s="3" t="s">
        <v>209</v>
      </c>
      <c r="B29" s="4">
        <v>6401</v>
      </c>
      <c r="C29" s="3" t="s">
        <v>8</v>
      </c>
      <c r="D29" s="4">
        <v>3704</v>
      </c>
      <c r="E29" s="3" t="s">
        <v>9</v>
      </c>
      <c r="F29" s="3" t="s">
        <v>69</v>
      </c>
      <c r="G29" s="3" t="s">
        <v>70</v>
      </c>
      <c r="H29" s="11">
        <v>-3029.4</v>
      </c>
      <c r="I29" s="14">
        <f>VLOOKUP(F29,收入!F:H,3,0)</f>
        <v>0</v>
      </c>
    </row>
    <row r="30" spans="1:9" ht="20.100000000000001" hidden="1" customHeight="1">
      <c r="A30" s="3" t="s">
        <v>208</v>
      </c>
      <c r="B30" s="4">
        <v>6401</v>
      </c>
      <c r="C30" s="3" t="s">
        <v>8</v>
      </c>
      <c r="D30" s="4">
        <v>3704</v>
      </c>
      <c r="E30" s="3" t="s">
        <v>9</v>
      </c>
      <c r="F30" s="3" t="s">
        <v>18</v>
      </c>
      <c r="G30" s="3" t="s">
        <v>19</v>
      </c>
      <c r="H30" s="5"/>
      <c r="I30" s="14">
        <f>VLOOKUP(F30,收入!F:H,3,0)</f>
        <v>0</v>
      </c>
    </row>
    <row r="31" spans="1:9" ht="20.100000000000001" hidden="1" customHeight="1">
      <c r="A31" s="3" t="s">
        <v>209</v>
      </c>
      <c r="B31" s="4">
        <v>6401</v>
      </c>
      <c r="C31" s="3" t="s">
        <v>8</v>
      </c>
      <c r="D31" s="4">
        <v>3704</v>
      </c>
      <c r="E31" s="3" t="s">
        <v>9</v>
      </c>
      <c r="F31" s="3" t="s">
        <v>18</v>
      </c>
      <c r="G31" s="3" t="s">
        <v>19</v>
      </c>
      <c r="H31" s="5"/>
      <c r="I31" s="14">
        <f>VLOOKUP(F31,收入!F:H,3,0)</f>
        <v>0</v>
      </c>
    </row>
    <row r="32" spans="1:9" ht="20.100000000000001" hidden="1" customHeight="1">
      <c r="A32" s="3" t="s">
        <v>209</v>
      </c>
      <c r="B32" s="4">
        <v>6401</v>
      </c>
      <c r="C32" s="3" t="s">
        <v>8</v>
      </c>
      <c r="D32" s="4">
        <v>3704</v>
      </c>
      <c r="E32" s="3" t="s">
        <v>9</v>
      </c>
      <c r="F32" s="3" t="s">
        <v>71</v>
      </c>
      <c r="G32" s="3" t="s">
        <v>72</v>
      </c>
      <c r="H32" s="5"/>
      <c r="I32" s="14" t="e">
        <f>VLOOKUP(F32,收入!F:H,3,0)</f>
        <v>#N/A</v>
      </c>
    </row>
    <row r="33" spans="1:9" ht="20.100000000000001" customHeight="1">
      <c r="A33" s="3" t="s">
        <v>209</v>
      </c>
      <c r="B33" s="4">
        <v>6401</v>
      </c>
      <c r="C33" s="3" t="s">
        <v>8</v>
      </c>
      <c r="D33" s="4">
        <v>3704</v>
      </c>
      <c r="E33" s="3" t="s">
        <v>9</v>
      </c>
      <c r="F33" s="3" t="s">
        <v>73</v>
      </c>
      <c r="G33" s="3" t="s">
        <v>74</v>
      </c>
      <c r="H33" s="5"/>
      <c r="I33" s="14">
        <f>VLOOKUP(F33,收入!F:H,3,0)</f>
        <v>0</v>
      </c>
    </row>
    <row r="34" spans="1:9" ht="20.100000000000001" customHeight="1">
      <c r="A34" s="3" t="s">
        <v>209</v>
      </c>
      <c r="B34" s="4">
        <v>6401</v>
      </c>
      <c r="C34" s="3" t="s">
        <v>8</v>
      </c>
      <c r="D34" s="4">
        <v>3704</v>
      </c>
      <c r="E34" s="3" t="s">
        <v>9</v>
      </c>
      <c r="F34" s="3" t="s">
        <v>75</v>
      </c>
      <c r="G34" s="3" t="s">
        <v>76</v>
      </c>
      <c r="H34" s="6">
        <v>26300</v>
      </c>
      <c r="I34" s="14">
        <f>VLOOKUP(F34,收入!F:H,3,0)</f>
        <v>86060.13</v>
      </c>
    </row>
    <row r="35" spans="1:9" ht="20.100000000000001" customHeight="1">
      <c r="A35" s="3" t="s">
        <v>209</v>
      </c>
      <c r="B35" s="4">
        <v>6401</v>
      </c>
      <c r="C35" s="3" t="s">
        <v>8</v>
      </c>
      <c r="D35" s="4">
        <v>3704</v>
      </c>
      <c r="E35" s="3" t="s">
        <v>9</v>
      </c>
      <c r="F35" s="3" t="s">
        <v>77</v>
      </c>
      <c r="G35" s="3" t="s">
        <v>78</v>
      </c>
      <c r="H35" s="5"/>
      <c r="I35" s="14">
        <f>VLOOKUP(F35,收入!F:H,3,0)</f>
        <v>4982.49</v>
      </c>
    </row>
    <row r="36" spans="1:9" ht="20.100000000000001" hidden="1" customHeight="1">
      <c r="A36" s="3" t="s">
        <v>209</v>
      </c>
      <c r="B36" s="4">
        <v>6401</v>
      </c>
      <c r="C36" s="3" t="s">
        <v>8</v>
      </c>
      <c r="D36" s="4">
        <v>3704</v>
      </c>
      <c r="E36" s="3" t="s">
        <v>9</v>
      </c>
      <c r="F36" s="3" t="s">
        <v>79</v>
      </c>
      <c r="G36" s="3" t="s">
        <v>80</v>
      </c>
      <c r="H36" s="5"/>
      <c r="I36" s="14" t="e">
        <f>VLOOKUP(F36,收入!F:H,3,0)</f>
        <v>#N/A</v>
      </c>
    </row>
    <row r="37" spans="1:9" ht="20.100000000000001" hidden="1" customHeight="1">
      <c r="A37" s="3" t="s">
        <v>209</v>
      </c>
      <c r="B37" s="4">
        <v>6401</v>
      </c>
      <c r="C37" s="3" t="s">
        <v>8</v>
      </c>
      <c r="D37" s="4">
        <v>3704</v>
      </c>
      <c r="E37" s="3" t="s">
        <v>9</v>
      </c>
      <c r="F37" s="3" t="s">
        <v>81</v>
      </c>
      <c r="G37" s="3" t="s">
        <v>82</v>
      </c>
      <c r="H37" s="5"/>
      <c r="I37" s="14">
        <f>VLOOKUP(F37,收入!F:H,3,0)</f>
        <v>1890</v>
      </c>
    </row>
    <row r="38" spans="1:9" ht="20.100000000000001" hidden="1" customHeight="1">
      <c r="A38" s="3" t="s">
        <v>209</v>
      </c>
      <c r="B38" s="4">
        <v>6401</v>
      </c>
      <c r="C38" s="3" t="s">
        <v>8</v>
      </c>
      <c r="D38" s="4">
        <v>3704</v>
      </c>
      <c r="E38" s="3" t="s">
        <v>9</v>
      </c>
      <c r="F38" s="3" t="s">
        <v>83</v>
      </c>
      <c r="G38" s="3" t="s">
        <v>84</v>
      </c>
      <c r="H38" s="5"/>
      <c r="I38" s="14">
        <f>VLOOKUP(F38,收入!F:H,3,0)</f>
        <v>23100</v>
      </c>
    </row>
    <row r="39" spans="1:9" ht="20.100000000000001" hidden="1" customHeight="1">
      <c r="A39" s="3" t="s">
        <v>209</v>
      </c>
      <c r="B39" s="4">
        <v>6401</v>
      </c>
      <c r="C39" s="3" t="s">
        <v>8</v>
      </c>
      <c r="D39" s="4">
        <v>3704</v>
      </c>
      <c r="E39" s="3" t="s">
        <v>9</v>
      </c>
      <c r="F39" s="3" t="s">
        <v>85</v>
      </c>
      <c r="G39" s="3" t="s">
        <v>86</v>
      </c>
      <c r="H39" s="5"/>
      <c r="I39" s="14">
        <f>VLOOKUP(F39,收入!F:H,3,0)</f>
        <v>0</v>
      </c>
    </row>
    <row r="40" spans="1:9" ht="20.100000000000001" hidden="1" customHeight="1">
      <c r="A40" s="3" t="s">
        <v>209</v>
      </c>
      <c r="B40" s="4">
        <v>6401</v>
      </c>
      <c r="C40" s="3" t="s">
        <v>8</v>
      </c>
      <c r="D40" s="4">
        <v>3704</v>
      </c>
      <c r="E40" s="3" t="s">
        <v>9</v>
      </c>
      <c r="F40" s="3" t="s">
        <v>87</v>
      </c>
      <c r="G40" s="3" t="s">
        <v>88</v>
      </c>
      <c r="H40" s="5"/>
      <c r="I40" s="14">
        <f>VLOOKUP(F40,收入!F:H,3,0)</f>
        <v>0</v>
      </c>
    </row>
    <row r="41" spans="1:9" ht="20.100000000000001" hidden="1" customHeight="1">
      <c r="A41" s="3" t="s">
        <v>208</v>
      </c>
      <c r="B41" s="4">
        <v>6401</v>
      </c>
      <c r="C41" s="3" t="s">
        <v>8</v>
      </c>
      <c r="D41" s="4">
        <v>3704</v>
      </c>
      <c r="E41" s="3" t="s">
        <v>9</v>
      </c>
      <c r="F41" s="3" t="s">
        <v>20</v>
      </c>
      <c r="G41" s="3" t="s">
        <v>21</v>
      </c>
      <c r="H41" s="5"/>
      <c r="I41" s="14" t="e">
        <f>VLOOKUP(F41,收入!F:H,3,0)</f>
        <v>#N/A</v>
      </c>
    </row>
    <row r="42" spans="1:9" ht="20.100000000000001" hidden="1" customHeight="1">
      <c r="A42" s="3" t="s">
        <v>209</v>
      </c>
      <c r="B42" s="4">
        <v>6401</v>
      </c>
      <c r="C42" s="3" t="s">
        <v>8</v>
      </c>
      <c r="D42" s="4">
        <v>3704</v>
      </c>
      <c r="E42" s="3" t="s">
        <v>9</v>
      </c>
      <c r="F42" s="3" t="s">
        <v>89</v>
      </c>
      <c r="G42" s="3" t="s">
        <v>90</v>
      </c>
      <c r="H42" s="5"/>
      <c r="I42" s="14" t="e">
        <f>VLOOKUP(F42,收入!F:H,3,0)</f>
        <v>#N/A</v>
      </c>
    </row>
    <row r="43" spans="1:9" ht="20.100000000000001" hidden="1" customHeight="1">
      <c r="A43" s="3" t="s">
        <v>209</v>
      </c>
      <c r="B43" s="4">
        <v>6401</v>
      </c>
      <c r="C43" s="3" t="s">
        <v>8</v>
      </c>
      <c r="D43" s="4">
        <v>3704</v>
      </c>
      <c r="E43" s="3" t="s">
        <v>9</v>
      </c>
      <c r="F43" s="3" t="s">
        <v>91</v>
      </c>
      <c r="G43" s="3" t="s">
        <v>92</v>
      </c>
      <c r="H43" s="5"/>
      <c r="I43" s="14">
        <f>VLOOKUP(F43,收入!F:H,3,0)</f>
        <v>0</v>
      </c>
    </row>
    <row r="44" spans="1:9" ht="20.100000000000001" hidden="1" customHeight="1">
      <c r="A44" s="3" t="s">
        <v>209</v>
      </c>
      <c r="B44" s="4">
        <v>6401</v>
      </c>
      <c r="C44" s="3" t="s">
        <v>8</v>
      </c>
      <c r="D44" s="4">
        <v>3704</v>
      </c>
      <c r="E44" s="3" t="s">
        <v>9</v>
      </c>
      <c r="F44" s="3" t="s">
        <v>93</v>
      </c>
      <c r="G44" s="3" t="s">
        <v>94</v>
      </c>
      <c r="H44" s="5"/>
      <c r="I44" s="14">
        <f>VLOOKUP(F44,收入!F:H,3,0)</f>
        <v>0</v>
      </c>
    </row>
    <row r="45" spans="1:9" ht="20.100000000000001" hidden="1" customHeight="1">
      <c r="A45" s="3" t="s">
        <v>209</v>
      </c>
      <c r="B45" s="4">
        <v>6401</v>
      </c>
      <c r="C45" s="3" t="s">
        <v>8</v>
      </c>
      <c r="D45" s="4">
        <v>3704</v>
      </c>
      <c r="E45" s="3" t="s">
        <v>9</v>
      </c>
      <c r="F45" s="3" t="s">
        <v>95</v>
      </c>
      <c r="G45" s="3" t="s">
        <v>96</v>
      </c>
      <c r="H45" s="5"/>
      <c r="I45" s="14">
        <f>VLOOKUP(F45,收入!F:H,3,0)</f>
        <v>0</v>
      </c>
    </row>
    <row r="46" spans="1:9" ht="20.100000000000001" hidden="1" customHeight="1">
      <c r="A46" s="3" t="s">
        <v>209</v>
      </c>
      <c r="B46" s="4">
        <v>6401</v>
      </c>
      <c r="C46" s="3" t="s">
        <v>8</v>
      </c>
      <c r="D46" s="4">
        <v>3704</v>
      </c>
      <c r="E46" s="3" t="s">
        <v>9</v>
      </c>
      <c r="F46" s="3" t="s">
        <v>97</v>
      </c>
      <c r="G46" s="3" t="s">
        <v>98</v>
      </c>
      <c r="H46" s="6">
        <v>387169.77</v>
      </c>
      <c r="I46" s="14">
        <f>VLOOKUP(F46,收入!F:H,3,0)</f>
        <v>401936.03</v>
      </c>
    </row>
    <row r="47" spans="1:9" ht="20.100000000000001" hidden="1" customHeight="1">
      <c r="A47" s="3" t="s">
        <v>209</v>
      </c>
      <c r="B47" s="4">
        <v>6401</v>
      </c>
      <c r="C47" s="3" t="s">
        <v>8</v>
      </c>
      <c r="D47" s="4">
        <v>3704</v>
      </c>
      <c r="E47" s="3" t="s">
        <v>9</v>
      </c>
      <c r="F47" s="3" t="s">
        <v>99</v>
      </c>
      <c r="G47" s="3" t="s">
        <v>100</v>
      </c>
      <c r="H47" s="5"/>
      <c r="I47" s="14">
        <f>VLOOKUP(F47,收入!F:H,3,0)</f>
        <v>0</v>
      </c>
    </row>
    <row r="48" spans="1:9" ht="20.100000000000001" hidden="1" customHeight="1">
      <c r="A48" s="3" t="s">
        <v>209</v>
      </c>
      <c r="B48" s="4">
        <v>6401</v>
      </c>
      <c r="C48" s="3" t="s">
        <v>8</v>
      </c>
      <c r="D48" s="4">
        <v>3704</v>
      </c>
      <c r="E48" s="3" t="s">
        <v>9</v>
      </c>
      <c r="F48" s="3" t="s">
        <v>101</v>
      </c>
      <c r="G48" s="3" t="s">
        <v>102</v>
      </c>
      <c r="H48" s="5"/>
      <c r="I48" s="14">
        <f>VLOOKUP(F48,收入!F:H,3,0)</f>
        <v>0</v>
      </c>
    </row>
    <row r="49" spans="1:9" ht="20.100000000000001" hidden="1" customHeight="1">
      <c r="A49" s="3" t="s">
        <v>209</v>
      </c>
      <c r="B49" s="4">
        <v>6401</v>
      </c>
      <c r="C49" s="3" t="s">
        <v>8</v>
      </c>
      <c r="D49" s="4">
        <v>3704</v>
      </c>
      <c r="E49" s="3" t="s">
        <v>9</v>
      </c>
      <c r="F49" s="3" t="s">
        <v>103</v>
      </c>
      <c r="G49" s="3" t="s">
        <v>104</v>
      </c>
      <c r="H49" s="5"/>
      <c r="I49" s="14">
        <f>VLOOKUP(F49,收入!F:H,3,0)</f>
        <v>0</v>
      </c>
    </row>
    <row r="50" spans="1:9" ht="20.100000000000001" hidden="1" customHeight="1">
      <c r="A50" s="3" t="s">
        <v>209</v>
      </c>
      <c r="B50" s="4">
        <v>6401</v>
      </c>
      <c r="C50" s="3" t="s">
        <v>8</v>
      </c>
      <c r="D50" s="4">
        <v>3704</v>
      </c>
      <c r="E50" s="3" t="s">
        <v>9</v>
      </c>
      <c r="F50" s="3" t="s">
        <v>105</v>
      </c>
      <c r="G50" s="3" t="s">
        <v>106</v>
      </c>
      <c r="H50" s="5"/>
      <c r="I50" s="14">
        <f>VLOOKUP(F50,收入!F:H,3,0)</f>
        <v>0</v>
      </c>
    </row>
    <row r="51" spans="1:9" ht="20.100000000000001" hidden="1" customHeight="1">
      <c r="A51" s="3" t="s">
        <v>209</v>
      </c>
      <c r="B51" s="4">
        <v>6401</v>
      </c>
      <c r="C51" s="3" t="s">
        <v>8</v>
      </c>
      <c r="D51" s="4">
        <v>3704</v>
      </c>
      <c r="E51" s="3" t="s">
        <v>9</v>
      </c>
      <c r="F51" s="3" t="s">
        <v>107</v>
      </c>
      <c r="G51" s="3" t="s">
        <v>108</v>
      </c>
      <c r="H51" s="5"/>
      <c r="I51" s="14">
        <f>VLOOKUP(F51,收入!F:H,3,0)</f>
        <v>0</v>
      </c>
    </row>
    <row r="52" spans="1:9" ht="20.100000000000001" hidden="1" customHeight="1">
      <c r="A52" s="3" t="s">
        <v>209</v>
      </c>
      <c r="B52" s="4">
        <v>6401</v>
      </c>
      <c r="C52" s="3" t="s">
        <v>8</v>
      </c>
      <c r="D52" s="4">
        <v>3704</v>
      </c>
      <c r="E52" s="3" t="s">
        <v>9</v>
      </c>
      <c r="F52" s="3" t="s">
        <v>109</v>
      </c>
      <c r="G52" s="3" t="s">
        <v>110</v>
      </c>
      <c r="H52" s="5"/>
      <c r="I52" s="14">
        <f>VLOOKUP(F52,收入!F:H,3,0)</f>
        <v>0</v>
      </c>
    </row>
    <row r="53" spans="1:9" ht="20.100000000000001" hidden="1" customHeight="1">
      <c r="A53" s="3" t="s">
        <v>209</v>
      </c>
      <c r="B53" s="4">
        <v>6401</v>
      </c>
      <c r="C53" s="3" t="s">
        <v>8</v>
      </c>
      <c r="D53" s="4">
        <v>3704</v>
      </c>
      <c r="E53" s="3" t="s">
        <v>9</v>
      </c>
      <c r="F53" s="3" t="s">
        <v>111</v>
      </c>
      <c r="G53" s="3" t="s">
        <v>112</v>
      </c>
      <c r="H53" s="5"/>
      <c r="I53" s="14">
        <f>VLOOKUP(F53,收入!F:H,3,0)</f>
        <v>0</v>
      </c>
    </row>
    <row r="54" spans="1:9" ht="20.100000000000001" hidden="1" customHeight="1">
      <c r="A54" s="3" t="s">
        <v>209</v>
      </c>
      <c r="B54" s="4">
        <v>6401</v>
      </c>
      <c r="C54" s="3" t="s">
        <v>8</v>
      </c>
      <c r="D54" s="4">
        <v>3704</v>
      </c>
      <c r="E54" s="3" t="s">
        <v>9</v>
      </c>
      <c r="F54" s="3" t="s">
        <v>113</v>
      </c>
      <c r="G54" s="3" t="s">
        <v>114</v>
      </c>
      <c r="H54" s="6">
        <v>386354.7</v>
      </c>
      <c r="I54" s="14">
        <f>VLOOKUP(F54,收入!F:H,3,0)</f>
        <v>401089.85</v>
      </c>
    </row>
    <row r="55" spans="1:9" ht="20.100000000000001" hidden="1" customHeight="1">
      <c r="A55" s="3" t="s">
        <v>209</v>
      </c>
      <c r="B55" s="4">
        <v>6401</v>
      </c>
      <c r="C55" s="3" t="s">
        <v>8</v>
      </c>
      <c r="D55" s="4">
        <v>3704</v>
      </c>
      <c r="E55" s="3" t="s">
        <v>9</v>
      </c>
      <c r="F55" s="3" t="s">
        <v>115</v>
      </c>
      <c r="G55" s="3" t="s">
        <v>116</v>
      </c>
      <c r="H55" s="5"/>
      <c r="I55" s="14" t="e">
        <f>VLOOKUP(F55,收入!F:H,3,0)</f>
        <v>#N/A</v>
      </c>
    </row>
    <row r="56" spans="1:9" ht="20.100000000000001" hidden="1" customHeight="1">
      <c r="A56" s="3" t="s">
        <v>209</v>
      </c>
      <c r="B56" s="4">
        <v>6401</v>
      </c>
      <c r="C56" s="3" t="s">
        <v>8</v>
      </c>
      <c r="D56" s="4">
        <v>3704</v>
      </c>
      <c r="E56" s="3" t="s">
        <v>9</v>
      </c>
      <c r="F56" s="3" t="s">
        <v>117</v>
      </c>
      <c r="G56" s="3" t="s">
        <v>118</v>
      </c>
      <c r="H56" s="5"/>
      <c r="I56" s="14">
        <f>VLOOKUP(F56,收入!F:H,3,0)</f>
        <v>0</v>
      </c>
    </row>
    <row r="57" spans="1:9" ht="20.100000000000001" hidden="1" customHeight="1">
      <c r="A57" s="3" t="s">
        <v>209</v>
      </c>
      <c r="B57" s="4">
        <v>6401</v>
      </c>
      <c r="C57" s="3" t="s">
        <v>8</v>
      </c>
      <c r="D57" s="4">
        <v>3704</v>
      </c>
      <c r="E57" s="3" t="s">
        <v>9</v>
      </c>
      <c r="F57" s="3" t="s">
        <v>119</v>
      </c>
      <c r="G57" s="3" t="s">
        <v>120</v>
      </c>
      <c r="H57" s="5"/>
      <c r="I57" s="14">
        <f>VLOOKUP(F57,收入!F:H,3,0)</f>
        <v>0</v>
      </c>
    </row>
    <row r="58" spans="1:9" ht="20.100000000000001" hidden="1" customHeight="1">
      <c r="A58" s="3" t="s">
        <v>209</v>
      </c>
      <c r="B58" s="4">
        <v>6401</v>
      </c>
      <c r="C58" s="3" t="s">
        <v>8</v>
      </c>
      <c r="D58" s="4">
        <v>3704</v>
      </c>
      <c r="E58" s="3" t="s">
        <v>9</v>
      </c>
      <c r="F58" s="3" t="s">
        <v>121</v>
      </c>
      <c r="G58" s="3" t="s">
        <v>122</v>
      </c>
      <c r="H58" s="5"/>
      <c r="I58" s="14">
        <f>VLOOKUP(F58,收入!F:H,3,0)</f>
        <v>0</v>
      </c>
    </row>
    <row r="59" spans="1:9" ht="20.100000000000001" hidden="1" customHeight="1">
      <c r="A59" s="3" t="s">
        <v>209</v>
      </c>
      <c r="B59" s="4">
        <v>6401</v>
      </c>
      <c r="C59" s="3" t="s">
        <v>8</v>
      </c>
      <c r="D59" s="4">
        <v>3704</v>
      </c>
      <c r="E59" s="3" t="s">
        <v>9</v>
      </c>
      <c r="F59" s="3" t="s">
        <v>123</v>
      </c>
      <c r="G59" s="3" t="s">
        <v>124</v>
      </c>
      <c r="H59" s="5"/>
      <c r="I59" s="14">
        <f>VLOOKUP(F59,收入!F:H,3,0)</f>
        <v>0</v>
      </c>
    </row>
    <row r="60" spans="1:9" ht="20.100000000000001" hidden="1" customHeight="1">
      <c r="A60" s="3" t="s">
        <v>209</v>
      </c>
      <c r="B60" s="4">
        <v>6401</v>
      </c>
      <c r="C60" s="3" t="s">
        <v>8</v>
      </c>
      <c r="D60" s="4">
        <v>3704</v>
      </c>
      <c r="E60" s="3" t="s">
        <v>9</v>
      </c>
      <c r="F60" s="3" t="s">
        <v>125</v>
      </c>
      <c r="G60" s="3" t="s">
        <v>126</v>
      </c>
      <c r="H60" s="5"/>
      <c r="I60" s="14" t="e">
        <f>VLOOKUP(F60,收入!F:H,3,0)</f>
        <v>#N/A</v>
      </c>
    </row>
    <row r="61" spans="1:9" ht="20.100000000000001" hidden="1" customHeight="1">
      <c r="A61" s="3" t="s">
        <v>209</v>
      </c>
      <c r="B61" s="4">
        <v>6401</v>
      </c>
      <c r="C61" s="3" t="s">
        <v>8</v>
      </c>
      <c r="D61" s="4">
        <v>3704</v>
      </c>
      <c r="E61" s="3" t="s">
        <v>9</v>
      </c>
      <c r="F61" s="3" t="s">
        <v>127</v>
      </c>
      <c r="G61" s="3" t="s">
        <v>128</v>
      </c>
      <c r="H61" s="6">
        <v>341880.35</v>
      </c>
      <c r="I61" s="14">
        <f>VLOOKUP(F61,收入!F:H,3,0)</f>
        <v>0</v>
      </c>
    </row>
    <row r="62" spans="1:9" ht="20.100000000000001" hidden="1" customHeight="1">
      <c r="A62" s="3" t="s">
        <v>209</v>
      </c>
      <c r="B62" s="4">
        <v>6401</v>
      </c>
      <c r="C62" s="3" t="s">
        <v>8</v>
      </c>
      <c r="D62" s="4">
        <v>3704</v>
      </c>
      <c r="E62" s="3" t="s">
        <v>9</v>
      </c>
      <c r="F62" s="3" t="s">
        <v>129</v>
      </c>
      <c r="G62" s="3" t="s">
        <v>130</v>
      </c>
      <c r="H62" s="5"/>
      <c r="I62" s="14">
        <f>VLOOKUP(F62,收入!F:H,3,0)</f>
        <v>0</v>
      </c>
    </row>
    <row r="63" spans="1:9" ht="20.100000000000001" hidden="1" customHeight="1">
      <c r="A63" s="3" t="s">
        <v>209</v>
      </c>
      <c r="B63" s="4">
        <v>6401</v>
      </c>
      <c r="C63" s="3" t="s">
        <v>8</v>
      </c>
      <c r="D63" s="4">
        <v>3704</v>
      </c>
      <c r="E63" s="3" t="s">
        <v>9</v>
      </c>
      <c r="F63" s="3" t="s">
        <v>131</v>
      </c>
      <c r="G63" s="3" t="s">
        <v>132</v>
      </c>
      <c r="H63" s="6">
        <v>61738.04</v>
      </c>
      <c r="I63" s="14">
        <f>VLOOKUP(F63,收入!F:H,3,0)</f>
        <v>64943.59</v>
      </c>
    </row>
    <row r="64" spans="1:9" ht="20.100000000000001" hidden="1" customHeight="1">
      <c r="A64" s="3" t="s">
        <v>209</v>
      </c>
      <c r="B64" s="4">
        <v>6401</v>
      </c>
      <c r="C64" s="3" t="s">
        <v>8</v>
      </c>
      <c r="D64" s="4">
        <v>3704</v>
      </c>
      <c r="E64" s="3" t="s">
        <v>9</v>
      </c>
      <c r="F64" s="3" t="s">
        <v>133</v>
      </c>
      <c r="G64" s="3" t="s">
        <v>134</v>
      </c>
      <c r="H64" s="5"/>
      <c r="I64" s="14">
        <f>VLOOKUP(F64,收入!F:H,3,0)</f>
        <v>18567.47</v>
      </c>
    </row>
    <row r="65" spans="1:9" ht="20.100000000000001" hidden="1" customHeight="1">
      <c r="A65" s="3" t="s">
        <v>209</v>
      </c>
      <c r="B65" s="4">
        <v>6401</v>
      </c>
      <c r="C65" s="3" t="s">
        <v>8</v>
      </c>
      <c r="D65" s="4">
        <v>3704</v>
      </c>
      <c r="E65" s="3" t="s">
        <v>9</v>
      </c>
      <c r="F65" s="3" t="s">
        <v>135</v>
      </c>
      <c r="G65" s="3" t="s">
        <v>136</v>
      </c>
      <c r="H65" s="5"/>
      <c r="I65" s="14">
        <f>VLOOKUP(F65,收入!F:H,3,0)</f>
        <v>5676.68</v>
      </c>
    </row>
    <row r="66" spans="1:9" ht="20.100000000000001" hidden="1" customHeight="1">
      <c r="A66" s="3" t="s">
        <v>209</v>
      </c>
      <c r="B66" s="4">
        <v>6401</v>
      </c>
      <c r="C66" s="3" t="s">
        <v>8</v>
      </c>
      <c r="D66" s="4">
        <v>3704</v>
      </c>
      <c r="E66" s="3" t="s">
        <v>9</v>
      </c>
      <c r="F66" s="3" t="s">
        <v>137</v>
      </c>
      <c r="G66" s="3" t="s">
        <v>138</v>
      </c>
      <c r="H66" s="5"/>
      <c r="I66" s="14">
        <f>VLOOKUP(F66,收入!F:H,3,0)</f>
        <v>-946.11</v>
      </c>
    </row>
    <row r="67" spans="1:9" ht="20.100000000000001" hidden="1" customHeight="1">
      <c r="A67" s="3" t="s">
        <v>209</v>
      </c>
      <c r="B67" s="4">
        <v>6401</v>
      </c>
      <c r="C67" s="3" t="s">
        <v>8</v>
      </c>
      <c r="D67" s="4">
        <v>3704</v>
      </c>
      <c r="E67" s="3" t="s">
        <v>9</v>
      </c>
      <c r="F67" s="3" t="s">
        <v>139</v>
      </c>
      <c r="G67" s="3" t="s">
        <v>140</v>
      </c>
      <c r="H67" s="6">
        <v>103415.09</v>
      </c>
      <c r="I67" s="14">
        <f>VLOOKUP(F67,收入!F:H,3,0)</f>
        <v>110426.64</v>
      </c>
    </row>
    <row r="68" spans="1:9" ht="20.100000000000001" hidden="1" customHeight="1">
      <c r="A68" s="3" t="s">
        <v>209</v>
      </c>
      <c r="B68" s="4">
        <v>6401</v>
      </c>
      <c r="C68" s="3" t="s">
        <v>8</v>
      </c>
      <c r="D68" s="4">
        <v>3704</v>
      </c>
      <c r="E68" s="3" t="s">
        <v>9</v>
      </c>
      <c r="F68" s="3" t="s">
        <v>141</v>
      </c>
      <c r="G68" s="3" t="s">
        <v>142</v>
      </c>
      <c r="H68" s="5"/>
      <c r="I68" s="14" t="e">
        <f>VLOOKUP(F68,收入!F:H,3,0)</f>
        <v>#N/A</v>
      </c>
    </row>
    <row r="69" spans="1:9" ht="20.100000000000001" hidden="1" customHeight="1">
      <c r="A69" s="3" t="s">
        <v>209</v>
      </c>
      <c r="B69" s="4">
        <v>6401</v>
      </c>
      <c r="C69" s="3" t="s">
        <v>8</v>
      </c>
      <c r="D69" s="4">
        <v>3704</v>
      </c>
      <c r="E69" s="3" t="s">
        <v>9</v>
      </c>
      <c r="F69" s="3" t="s">
        <v>143</v>
      </c>
      <c r="G69" s="3" t="s">
        <v>144</v>
      </c>
      <c r="H69" s="5"/>
      <c r="I69" s="14">
        <f>VLOOKUP(F69,收入!F:H,3,0)</f>
        <v>0</v>
      </c>
    </row>
    <row r="70" spans="1:9" ht="20.100000000000001" hidden="1" customHeight="1">
      <c r="A70" s="3" t="s">
        <v>209</v>
      </c>
      <c r="B70" s="4">
        <v>6401</v>
      </c>
      <c r="C70" s="3" t="s">
        <v>8</v>
      </c>
      <c r="D70" s="4">
        <v>3704</v>
      </c>
      <c r="E70" s="3" t="s">
        <v>9</v>
      </c>
      <c r="F70" s="3" t="s">
        <v>145</v>
      </c>
      <c r="G70" s="3" t="s">
        <v>146</v>
      </c>
      <c r="H70" s="5"/>
      <c r="I70" s="14" t="e">
        <f>VLOOKUP(F70,收入!F:H,3,0)</f>
        <v>#N/A</v>
      </c>
    </row>
    <row r="71" spans="1:9" ht="20.100000000000001" hidden="1" customHeight="1">
      <c r="A71" s="3" t="s">
        <v>209</v>
      </c>
      <c r="B71" s="4">
        <v>6401</v>
      </c>
      <c r="C71" s="3" t="s">
        <v>8</v>
      </c>
      <c r="D71" s="4">
        <v>3704</v>
      </c>
      <c r="E71" s="3" t="s">
        <v>9</v>
      </c>
      <c r="F71" s="3" t="s">
        <v>147</v>
      </c>
      <c r="G71" s="3" t="s">
        <v>148</v>
      </c>
      <c r="H71" s="5"/>
      <c r="I71" s="14">
        <f>VLOOKUP(F71,收入!F:H,3,0)</f>
        <v>0</v>
      </c>
    </row>
    <row r="72" spans="1:9" ht="20.100000000000001" hidden="1" customHeight="1">
      <c r="A72" s="3" t="s">
        <v>209</v>
      </c>
      <c r="B72" s="4">
        <v>6401</v>
      </c>
      <c r="C72" s="3" t="s">
        <v>8</v>
      </c>
      <c r="D72" s="4">
        <v>3704</v>
      </c>
      <c r="E72" s="3" t="s">
        <v>9</v>
      </c>
      <c r="F72" s="3" t="s">
        <v>149</v>
      </c>
      <c r="G72" s="3" t="s">
        <v>150</v>
      </c>
      <c r="H72" s="5"/>
      <c r="I72" s="14">
        <f>VLOOKUP(F72,收入!F:H,3,0)</f>
        <v>0</v>
      </c>
    </row>
    <row r="73" spans="1:9" ht="20.100000000000001" hidden="1" customHeight="1">
      <c r="A73" s="3" t="s">
        <v>209</v>
      </c>
      <c r="B73" s="4">
        <v>6401</v>
      </c>
      <c r="C73" s="3" t="s">
        <v>8</v>
      </c>
      <c r="D73" s="4">
        <v>3704</v>
      </c>
      <c r="E73" s="3" t="s">
        <v>9</v>
      </c>
      <c r="F73" s="3" t="s">
        <v>151</v>
      </c>
      <c r="G73" s="3" t="s">
        <v>152</v>
      </c>
      <c r="H73" s="5"/>
      <c r="I73" s="14">
        <f>VLOOKUP(F73,收入!F:H,3,0)</f>
        <v>0</v>
      </c>
    </row>
    <row r="74" spans="1:9" ht="20.100000000000001" hidden="1" customHeight="1">
      <c r="A74" s="3" t="s">
        <v>209</v>
      </c>
      <c r="B74" s="4">
        <v>6401</v>
      </c>
      <c r="C74" s="3" t="s">
        <v>8</v>
      </c>
      <c r="D74" s="4">
        <v>3704</v>
      </c>
      <c r="E74" s="3" t="s">
        <v>9</v>
      </c>
      <c r="F74" s="3" t="s">
        <v>153</v>
      </c>
      <c r="G74" s="3" t="s">
        <v>154</v>
      </c>
      <c r="H74" s="5"/>
      <c r="I74" s="14" t="e">
        <f>VLOOKUP(F74,收入!F:H,3,0)</f>
        <v>#N/A</v>
      </c>
    </row>
    <row r="75" spans="1:9" ht="20.100000000000001" hidden="1" customHeight="1">
      <c r="A75" s="3" t="s">
        <v>209</v>
      </c>
      <c r="B75" s="4">
        <v>6401</v>
      </c>
      <c r="C75" s="3" t="s">
        <v>8</v>
      </c>
      <c r="D75" s="4">
        <v>3704</v>
      </c>
      <c r="E75" s="3" t="s">
        <v>9</v>
      </c>
      <c r="F75" s="3" t="s">
        <v>155</v>
      </c>
      <c r="G75" s="3" t="s">
        <v>156</v>
      </c>
      <c r="H75" s="5"/>
      <c r="I75" s="14">
        <f>VLOOKUP(F75,收入!F:H,3,0)</f>
        <v>0</v>
      </c>
    </row>
    <row r="76" spans="1:9" ht="20.100000000000001" hidden="1" customHeight="1">
      <c r="A76" s="3" t="s">
        <v>208</v>
      </c>
      <c r="B76" s="4">
        <v>6401</v>
      </c>
      <c r="C76" s="3" t="s">
        <v>8</v>
      </c>
      <c r="D76" s="4">
        <v>3704</v>
      </c>
      <c r="E76" s="3" t="s">
        <v>9</v>
      </c>
      <c r="F76" s="3" t="s">
        <v>22</v>
      </c>
      <c r="G76" s="3" t="s">
        <v>23</v>
      </c>
      <c r="H76" s="5"/>
      <c r="I76" s="14" t="e">
        <f>VLOOKUP(F76,收入!F:H,3,0)</f>
        <v>#N/A</v>
      </c>
    </row>
    <row r="77" spans="1:9" ht="20.100000000000001" hidden="1" customHeight="1">
      <c r="A77" s="3" t="s">
        <v>209</v>
      </c>
      <c r="B77" s="4">
        <v>6401</v>
      </c>
      <c r="C77" s="3" t="s">
        <v>8</v>
      </c>
      <c r="D77" s="4">
        <v>3704</v>
      </c>
      <c r="E77" s="3" t="s">
        <v>9</v>
      </c>
      <c r="F77" s="3" t="s">
        <v>157</v>
      </c>
      <c r="G77" s="3" t="s">
        <v>158</v>
      </c>
      <c r="H77" s="5"/>
      <c r="I77" s="14">
        <f>VLOOKUP(F77,收入!F:H,3,0)</f>
        <v>0</v>
      </c>
    </row>
    <row r="78" spans="1:9" ht="20.100000000000001" hidden="1" customHeight="1">
      <c r="A78" s="3" t="s">
        <v>209</v>
      </c>
      <c r="B78" s="4">
        <v>6401</v>
      </c>
      <c r="C78" s="3" t="s">
        <v>8</v>
      </c>
      <c r="D78" s="4">
        <v>3704</v>
      </c>
      <c r="E78" s="3" t="s">
        <v>9</v>
      </c>
      <c r="F78" s="3" t="s">
        <v>159</v>
      </c>
      <c r="G78" s="3" t="s">
        <v>160</v>
      </c>
      <c r="H78" s="6">
        <v>774902.68</v>
      </c>
      <c r="I78" s="14">
        <f>VLOOKUP(F78,收入!F:H,3,0)</f>
        <v>835948.79</v>
      </c>
    </row>
    <row r="79" spans="1:9" ht="20.100000000000001" hidden="1" customHeight="1">
      <c r="A79" s="3" t="s">
        <v>209</v>
      </c>
      <c r="B79" s="4">
        <v>6401</v>
      </c>
      <c r="C79" s="3" t="s">
        <v>8</v>
      </c>
      <c r="D79" s="4">
        <v>3704</v>
      </c>
      <c r="E79" s="3" t="s">
        <v>9</v>
      </c>
      <c r="F79" s="3" t="s">
        <v>161</v>
      </c>
      <c r="G79" s="3" t="s">
        <v>162</v>
      </c>
      <c r="H79" s="6">
        <v>79583.399999999994</v>
      </c>
      <c r="I79" s="14">
        <f>VLOOKUP(F79,收入!F:H,3,0)</f>
        <v>81144</v>
      </c>
    </row>
    <row r="80" spans="1:9" ht="20.100000000000001" hidden="1" customHeight="1">
      <c r="A80" s="3" t="s">
        <v>209</v>
      </c>
      <c r="B80" s="4">
        <v>6401</v>
      </c>
      <c r="C80" s="3" t="s">
        <v>8</v>
      </c>
      <c r="D80" s="4">
        <v>3704</v>
      </c>
      <c r="E80" s="3" t="s">
        <v>9</v>
      </c>
      <c r="F80" s="3" t="s">
        <v>163</v>
      </c>
      <c r="G80" s="3" t="s">
        <v>164</v>
      </c>
      <c r="H80" s="6">
        <v>67257.100000000006</v>
      </c>
      <c r="I80" s="14">
        <f>VLOOKUP(F80,收入!F:H,3,0)</f>
        <v>73979.509999999995</v>
      </c>
    </row>
    <row r="81" spans="1:9" ht="20.100000000000001" hidden="1" customHeight="1">
      <c r="A81" s="3" t="s">
        <v>209</v>
      </c>
      <c r="B81" s="4">
        <v>6401</v>
      </c>
      <c r="C81" s="3" t="s">
        <v>8</v>
      </c>
      <c r="D81" s="4">
        <v>3704</v>
      </c>
      <c r="E81" s="3" t="s">
        <v>9</v>
      </c>
      <c r="F81" s="3" t="s">
        <v>165</v>
      </c>
      <c r="G81" s="3" t="s">
        <v>166</v>
      </c>
      <c r="H81" s="5"/>
      <c r="I81" s="14">
        <f>VLOOKUP(F81,收入!F:H,3,0)</f>
        <v>0</v>
      </c>
    </row>
    <row r="82" spans="1:9" ht="20.100000000000001" hidden="1" customHeight="1">
      <c r="A82" s="3" t="s">
        <v>209</v>
      </c>
      <c r="B82" s="4">
        <v>6401</v>
      </c>
      <c r="C82" s="3" t="s">
        <v>8</v>
      </c>
      <c r="D82" s="4">
        <v>3704</v>
      </c>
      <c r="E82" s="3" t="s">
        <v>9</v>
      </c>
      <c r="F82" s="3" t="s">
        <v>167</v>
      </c>
      <c r="G82" s="3" t="s">
        <v>168</v>
      </c>
      <c r="H82" s="5"/>
      <c r="I82" s="14">
        <f>VLOOKUP(F82,收入!F:H,3,0)</f>
        <v>882.45</v>
      </c>
    </row>
    <row r="83" spans="1:9" ht="20.100000000000001" hidden="1" customHeight="1">
      <c r="A83" s="3" t="s">
        <v>208</v>
      </c>
      <c r="B83" s="4">
        <v>6401</v>
      </c>
      <c r="C83" s="3" t="s">
        <v>8</v>
      </c>
      <c r="D83" s="4">
        <v>3704</v>
      </c>
      <c r="E83" s="3" t="s">
        <v>9</v>
      </c>
      <c r="F83" s="3" t="s">
        <v>24</v>
      </c>
      <c r="G83" s="3" t="s">
        <v>25</v>
      </c>
      <c r="H83" s="5"/>
      <c r="I83" s="14" t="e">
        <f>VLOOKUP(F83,收入!F:H,3,0)</f>
        <v>#N/A</v>
      </c>
    </row>
    <row r="84" spans="1:9" ht="20.100000000000001" hidden="1" customHeight="1">
      <c r="A84" s="3" t="s">
        <v>208</v>
      </c>
      <c r="B84" s="4">
        <v>6401</v>
      </c>
      <c r="C84" s="3" t="s">
        <v>8</v>
      </c>
      <c r="D84" s="4">
        <v>3704</v>
      </c>
      <c r="E84" s="3" t="s">
        <v>9</v>
      </c>
      <c r="F84" s="3" t="s">
        <v>26</v>
      </c>
      <c r="G84" s="3" t="s">
        <v>27</v>
      </c>
      <c r="H84" s="5"/>
      <c r="I84" s="14">
        <f>VLOOKUP(F84,收入!F:H,3,0)</f>
        <v>16375.62</v>
      </c>
    </row>
    <row r="85" spans="1:9" ht="20.100000000000001" hidden="1" customHeight="1">
      <c r="A85" s="3" t="s">
        <v>209</v>
      </c>
      <c r="B85" s="4">
        <v>6401</v>
      </c>
      <c r="C85" s="3" t="s">
        <v>8</v>
      </c>
      <c r="D85" s="4">
        <v>3704</v>
      </c>
      <c r="E85" s="3" t="s">
        <v>9</v>
      </c>
      <c r="F85" s="3" t="s">
        <v>169</v>
      </c>
      <c r="G85" s="3" t="s">
        <v>170</v>
      </c>
      <c r="H85" s="6">
        <v>19591.32</v>
      </c>
      <c r="I85" s="14">
        <f>VLOOKUP(F85,收入!F:H,3,0)</f>
        <v>0</v>
      </c>
    </row>
    <row r="86" spans="1:9" ht="20.100000000000001" hidden="1" customHeight="1">
      <c r="A86" s="3" t="s">
        <v>209</v>
      </c>
      <c r="B86" s="4">
        <v>6401</v>
      </c>
      <c r="C86" s="3" t="s">
        <v>8</v>
      </c>
      <c r="D86" s="4">
        <v>3704</v>
      </c>
      <c r="E86" s="3" t="s">
        <v>9</v>
      </c>
      <c r="F86" s="3" t="s">
        <v>171</v>
      </c>
      <c r="G86" s="3" t="s">
        <v>172</v>
      </c>
      <c r="H86" s="5"/>
      <c r="I86" s="14">
        <f>VLOOKUP(F86,收入!F:H,3,0)</f>
        <v>0</v>
      </c>
    </row>
    <row r="87" spans="1:9" ht="20.100000000000001" hidden="1" customHeight="1">
      <c r="A87" s="3" t="s">
        <v>209</v>
      </c>
      <c r="B87" s="4">
        <v>6401</v>
      </c>
      <c r="C87" s="3" t="s">
        <v>8</v>
      </c>
      <c r="D87" s="4">
        <v>3704</v>
      </c>
      <c r="E87" s="3" t="s">
        <v>9</v>
      </c>
      <c r="F87" s="3" t="s">
        <v>173</v>
      </c>
      <c r="G87" s="3" t="s">
        <v>174</v>
      </c>
      <c r="H87" s="5"/>
      <c r="I87" s="14">
        <f>VLOOKUP(F87,收入!F:H,3,0)</f>
        <v>436895.74</v>
      </c>
    </row>
    <row r="88" spans="1:9" ht="20.100000000000001" hidden="1" customHeight="1">
      <c r="A88" s="3" t="s">
        <v>209</v>
      </c>
      <c r="B88" s="4">
        <v>6401</v>
      </c>
      <c r="C88" s="3" t="s">
        <v>8</v>
      </c>
      <c r="D88" s="4">
        <v>3704</v>
      </c>
      <c r="E88" s="3" t="s">
        <v>9</v>
      </c>
      <c r="F88" s="3" t="s">
        <v>175</v>
      </c>
      <c r="G88" s="3" t="s">
        <v>176</v>
      </c>
      <c r="H88" s="6">
        <v>90523.07</v>
      </c>
      <c r="I88" s="14">
        <f>VLOOKUP(F88,收入!F:H,3,0)</f>
        <v>150079.07</v>
      </c>
    </row>
    <row r="89" spans="1:9" ht="20.100000000000001" hidden="1" customHeight="1">
      <c r="A89" s="3" t="s">
        <v>209</v>
      </c>
      <c r="B89" s="4">
        <v>6401</v>
      </c>
      <c r="C89" s="3" t="s">
        <v>8</v>
      </c>
      <c r="D89" s="4">
        <v>3704</v>
      </c>
      <c r="E89" s="3" t="s">
        <v>9</v>
      </c>
      <c r="F89" s="3" t="s">
        <v>177</v>
      </c>
      <c r="G89" s="3" t="s">
        <v>178</v>
      </c>
      <c r="H89" s="6">
        <v>96433.95</v>
      </c>
      <c r="I89" s="14">
        <f>VLOOKUP(F89,收入!F:H,3,0)</f>
        <v>156985.57</v>
      </c>
    </row>
    <row r="90" spans="1:9" ht="20.100000000000001" hidden="1" customHeight="1">
      <c r="A90" s="3" t="s">
        <v>209</v>
      </c>
      <c r="B90" s="4">
        <v>6401</v>
      </c>
      <c r="C90" s="3" t="s">
        <v>8</v>
      </c>
      <c r="D90" s="4">
        <v>3704</v>
      </c>
      <c r="E90" s="3" t="s">
        <v>9</v>
      </c>
      <c r="F90" s="3" t="s">
        <v>179</v>
      </c>
      <c r="G90" s="3" t="s">
        <v>180</v>
      </c>
      <c r="H90" s="5"/>
      <c r="I90" s="14">
        <f>VLOOKUP(F90,收入!F:H,3,0)</f>
        <v>0</v>
      </c>
    </row>
    <row r="91" spans="1:9" ht="20.100000000000001" hidden="1" customHeight="1">
      <c r="A91" s="3" t="s">
        <v>209</v>
      </c>
      <c r="B91" s="4">
        <v>6401</v>
      </c>
      <c r="C91" s="3" t="s">
        <v>8</v>
      </c>
      <c r="D91" s="4">
        <v>3704</v>
      </c>
      <c r="E91" s="3" t="s">
        <v>9</v>
      </c>
      <c r="F91" s="3" t="s">
        <v>181</v>
      </c>
      <c r="G91" s="3" t="s">
        <v>182</v>
      </c>
      <c r="H91" s="6">
        <v>1138324.55</v>
      </c>
      <c r="I91" s="14">
        <f>VLOOKUP(F91,收入!F:H,3,0)</f>
        <v>1163838.6499999999</v>
      </c>
    </row>
    <row r="92" spans="1:9" ht="20.100000000000001" hidden="1" customHeight="1">
      <c r="A92" s="3" t="s">
        <v>209</v>
      </c>
      <c r="B92" s="4">
        <v>6401</v>
      </c>
      <c r="C92" s="3" t="s">
        <v>8</v>
      </c>
      <c r="D92" s="4">
        <v>3704</v>
      </c>
      <c r="E92" s="3" t="s">
        <v>9</v>
      </c>
      <c r="F92" s="3" t="s">
        <v>183</v>
      </c>
      <c r="G92" s="3" t="s">
        <v>184</v>
      </c>
      <c r="H92" s="6">
        <v>18870.599999999999</v>
      </c>
      <c r="I92" s="14">
        <f>VLOOKUP(F92,收入!F:H,3,0)</f>
        <v>19663.13</v>
      </c>
    </row>
    <row r="93" spans="1:9" ht="20.100000000000001" hidden="1" customHeight="1">
      <c r="A93" s="3" t="s">
        <v>209</v>
      </c>
      <c r="B93" s="4">
        <v>6401</v>
      </c>
      <c r="C93" s="3" t="s">
        <v>8</v>
      </c>
      <c r="D93" s="4">
        <v>3704</v>
      </c>
      <c r="E93" s="3" t="s">
        <v>9</v>
      </c>
      <c r="F93" s="3" t="s">
        <v>185</v>
      </c>
      <c r="G93" s="3" t="s">
        <v>186</v>
      </c>
      <c r="H93" s="6">
        <v>20377.36</v>
      </c>
      <c r="I93" s="14">
        <f>VLOOKUP(F93,收入!F:H,3,0)</f>
        <v>21356</v>
      </c>
    </row>
    <row r="94" spans="1:9" ht="20.100000000000001" hidden="1" customHeight="1">
      <c r="A94" s="3" t="s">
        <v>209</v>
      </c>
      <c r="B94" s="4">
        <v>6401</v>
      </c>
      <c r="C94" s="3" t="s">
        <v>8</v>
      </c>
      <c r="D94" s="4">
        <v>3704</v>
      </c>
      <c r="E94" s="3" t="s">
        <v>9</v>
      </c>
      <c r="F94" s="3" t="s">
        <v>187</v>
      </c>
      <c r="G94" s="3" t="s">
        <v>188</v>
      </c>
      <c r="H94" s="5"/>
      <c r="I94" s="14">
        <f>VLOOKUP(F94,收入!F:H,3,0)</f>
        <v>0</v>
      </c>
    </row>
    <row r="95" spans="1:9" ht="20.100000000000001" hidden="1" customHeight="1">
      <c r="A95" s="3" t="s">
        <v>209</v>
      </c>
      <c r="B95" s="4">
        <v>6401</v>
      </c>
      <c r="C95" s="3" t="s">
        <v>8</v>
      </c>
      <c r="D95" s="4">
        <v>3704</v>
      </c>
      <c r="E95" s="3" t="s">
        <v>9</v>
      </c>
      <c r="F95" s="3" t="s">
        <v>189</v>
      </c>
      <c r="G95" s="3" t="s">
        <v>190</v>
      </c>
      <c r="H95" s="6">
        <v>19151.78</v>
      </c>
      <c r="I95" s="14">
        <f>VLOOKUP(F95,收入!F:H,3,0)</f>
        <v>20147.169999999998</v>
      </c>
    </row>
    <row r="96" spans="1:9" ht="20.100000000000001" hidden="1" customHeight="1">
      <c r="A96" s="3" t="s">
        <v>209</v>
      </c>
      <c r="B96" s="4">
        <v>6401</v>
      </c>
      <c r="C96" s="3" t="s">
        <v>8</v>
      </c>
      <c r="D96" s="4">
        <v>3704</v>
      </c>
      <c r="E96" s="3" t="s">
        <v>9</v>
      </c>
      <c r="F96" s="3" t="s">
        <v>191</v>
      </c>
      <c r="G96" s="3" t="s">
        <v>192</v>
      </c>
      <c r="H96" s="6">
        <v>13406.35</v>
      </c>
      <c r="I96" s="14">
        <f>VLOOKUP(F96,收入!F:H,3,0)</f>
        <v>14103.02</v>
      </c>
    </row>
    <row r="97" spans="1:9" ht="20.100000000000001" hidden="1" customHeight="1">
      <c r="A97" s="3" t="s">
        <v>209</v>
      </c>
      <c r="B97" s="4">
        <v>6401</v>
      </c>
      <c r="C97" s="3" t="s">
        <v>8</v>
      </c>
      <c r="D97" s="4">
        <v>3704</v>
      </c>
      <c r="E97" s="3" t="s">
        <v>9</v>
      </c>
      <c r="F97" s="3" t="s">
        <v>193</v>
      </c>
      <c r="G97" s="3" t="s">
        <v>194</v>
      </c>
      <c r="H97" s="5"/>
      <c r="I97" s="14">
        <f>VLOOKUP(F97,收入!F:H,3,0)</f>
        <v>0</v>
      </c>
    </row>
    <row r="98" spans="1:9" ht="20.100000000000001" hidden="1" customHeight="1">
      <c r="A98" s="3" t="s">
        <v>209</v>
      </c>
      <c r="B98" s="4">
        <v>6401</v>
      </c>
      <c r="C98" s="3" t="s">
        <v>8</v>
      </c>
      <c r="D98" s="4">
        <v>3704</v>
      </c>
      <c r="E98" s="3" t="s">
        <v>9</v>
      </c>
      <c r="F98" s="3" t="s">
        <v>195</v>
      </c>
      <c r="G98" s="3" t="s">
        <v>196</v>
      </c>
      <c r="H98" s="6">
        <v>92364.15</v>
      </c>
      <c r="I98" s="14">
        <f>VLOOKUP(F98,收入!F:H,3,0)</f>
        <v>63594.43</v>
      </c>
    </row>
    <row r="99" spans="1:9" ht="20.100000000000001" hidden="1" customHeight="1">
      <c r="A99" s="3" t="s">
        <v>209</v>
      </c>
      <c r="B99" s="4">
        <v>6401</v>
      </c>
      <c r="C99" s="3" t="s">
        <v>8</v>
      </c>
      <c r="D99" s="4">
        <v>3704</v>
      </c>
      <c r="E99" s="3" t="s">
        <v>9</v>
      </c>
      <c r="F99" s="3" t="s">
        <v>197</v>
      </c>
      <c r="G99" s="3" t="s">
        <v>198</v>
      </c>
      <c r="H99" s="6">
        <v>250000</v>
      </c>
      <c r="I99" s="14">
        <f>VLOOKUP(F99,收入!F:H,3,0)</f>
        <v>734529.02</v>
      </c>
    </row>
    <row r="100" spans="1:9" ht="20.100000000000001" hidden="1" customHeight="1">
      <c r="A100" s="3" t="s">
        <v>209</v>
      </c>
      <c r="B100" s="4">
        <v>6401</v>
      </c>
      <c r="C100" s="3" t="s">
        <v>8</v>
      </c>
      <c r="D100" s="4">
        <v>3704</v>
      </c>
      <c r="E100" s="3" t="s">
        <v>9</v>
      </c>
      <c r="F100" s="3" t="s">
        <v>199</v>
      </c>
      <c r="G100" s="3" t="s">
        <v>200</v>
      </c>
      <c r="H100" s="6">
        <v>59415.58</v>
      </c>
      <c r="I100" s="14">
        <f>VLOOKUP(F100,收入!F:H,3,0)</f>
        <v>68480.23</v>
      </c>
    </row>
    <row r="101" spans="1:9" ht="20.100000000000001" hidden="1" customHeight="1">
      <c r="A101" s="3" t="s">
        <v>209</v>
      </c>
      <c r="B101" s="4">
        <v>6401</v>
      </c>
      <c r="C101" s="3" t="s">
        <v>8</v>
      </c>
      <c r="D101" s="4">
        <v>3704</v>
      </c>
      <c r="E101" s="3" t="s">
        <v>9</v>
      </c>
      <c r="F101" s="3" t="s">
        <v>201</v>
      </c>
      <c r="G101" s="3" t="s">
        <v>202</v>
      </c>
      <c r="H101" s="5"/>
      <c r="I101" s="14" t="e">
        <f>VLOOKUP(F101,收入!F:H,3,0)</f>
        <v>#N/A</v>
      </c>
    </row>
    <row r="102" spans="1:9" ht="20.100000000000001" hidden="1" customHeight="1">
      <c r="A102" s="3" t="s">
        <v>203</v>
      </c>
      <c r="B102" s="3"/>
      <c r="C102" s="3"/>
      <c r="D102" s="3"/>
      <c r="E102" s="3"/>
      <c r="F102" s="3"/>
      <c r="G102" s="3"/>
      <c r="H102" s="6">
        <f>SUM(H3:H101)</f>
        <v>4432414.3100000005</v>
      </c>
    </row>
    <row r="103" spans="1:9" ht="20.100000000000001" hidden="1" customHeight="1">
      <c r="A103" s="8" t="s">
        <v>204</v>
      </c>
      <c r="B103" s="574" t="s">
        <v>205</v>
      </c>
      <c r="C103" s="574" t="s">
        <v>205</v>
      </c>
      <c r="D103" s="574" t="s">
        <v>205</v>
      </c>
      <c r="E103" s="574" t="s">
        <v>205</v>
      </c>
      <c r="F103" s="574" t="s">
        <v>205</v>
      </c>
      <c r="G103" s="574" t="s">
        <v>205</v>
      </c>
      <c r="H103" s="8"/>
    </row>
    <row r="104" spans="1:9" ht="20.100000000000001" hidden="1" customHeight="1">
      <c r="A104" s="1" t="s">
        <v>206</v>
      </c>
      <c r="B104" s="575" t="s">
        <v>207</v>
      </c>
      <c r="C104" s="575" t="s">
        <v>207</v>
      </c>
      <c r="D104" s="575" t="s">
        <v>207</v>
      </c>
      <c r="E104" s="575" t="s">
        <v>207</v>
      </c>
      <c r="F104" s="575" t="s">
        <v>207</v>
      </c>
      <c r="G104" s="575" t="s">
        <v>207</v>
      </c>
      <c r="H104" s="1"/>
    </row>
  </sheetData>
  <autoFilter ref="A2:J104">
    <filterColumn colId="6">
      <customFilters and="1">
        <customFilter val="*盖*"/>
      </customFilters>
    </filterColumn>
  </autoFilter>
  <mergeCells count="9">
    <mergeCell ref="B103:G103"/>
    <mergeCell ref="B104:G104"/>
    <mergeCell ref="A1:A2"/>
    <mergeCell ref="B1:B2"/>
    <mergeCell ref="C1:C2"/>
    <mergeCell ref="D1:D2"/>
    <mergeCell ref="E1:E2"/>
    <mergeCell ref="F1:F2"/>
    <mergeCell ref="G1:G2"/>
  </mergeCells>
  <phoneticPr fontId="4" type="noConversion"/>
  <pageMargins left="0.75" right="0.75" top="1" bottom="1" header="0.5" footer="0.5"/>
  <pageSetup orientation="portrait" horizontalDpi="300" verticalDpi="300" copies="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96"/>
  <sheetViews>
    <sheetView topLeftCell="A82" workbookViewId="0">
      <selection activeCell="M10" sqref="M10"/>
    </sheetView>
  </sheetViews>
  <sheetFormatPr defaultRowHeight="12.75"/>
  <cols>
    <col min="1" max="1" width="11.85546875" customWidth="1"/>
    <col min="2" max="3" width="12.85546875" customWidth="1"/>
    <col min="4" max="4" width="22.140625" customWidth="1"/>
    <col min="5" max="5" width="41.140625" customWidth="1"/>
    <col min="6" max="6" width="15.7109375" customWidth="1"/>
    <col min="7" max="7" width="16.28515625" customWidth="1"/>
    <col min="8" max="8" width="12.85546875" customWidth="1"/>
    <col min="9" max="9" width="9.85546875" bestFit="1" customWidth="1"/>
  </cols>
  <sheetData>
    <row r="1" spans="1:9" ht="20.100000000000001" customHeight="1">
      <c r="A1" s="576" t="s">
        <v>0</v>
      </c>
      <c r="B1" s="576" t="s">
        <v>1</v>
      </c>
      <c r="C1" s="576" t="s">
        <v>2</v>
      </c>
      <c r="D1" s="576" t="s">
        <v>5</v>
      </c>
      <c r="E1" s="576" t="s">
        <v>6</v>
      </c>
      <c r="F1" s="576" t="s">
        <v>210</v>
      </c>
      <c r="G1" s="576" t="s">
        <v>211</v>
      </c>
      <c r="H1" s="2" t="s">
        <v>400</v>
      </c>
    </row>
    <row r="2" spans="1:9" ht="20.100000000000001" customHeight="1">
      <c r="A2" s="576" t="s">
        <v>0</v>
      </c>
      <c r="B2" s="576" t="s">
        <v>1</v>
      </c>
      <c r="C2" s="576" t="s">
        <v>2</v>
      </c>
      <c r="D2" s="576" t="s">
        <v>5</v>
      </c>
      <c r="E2" s="576" t="s">
        <v>6</v>
      </c>
      <c r="F2" s="576" t="s">
        <v>210</v>
      </c>
      <c r="G2" s="576" t="s">
        <v>211</v>
      </c>
      <c r="H2" s="2" t="s">
        <v>7</v>
      </c>
    </row>
    <row r="3" spans="1:9" ht="20.100000000000001" customHeight="1">
      <c r="A3" s="3" t="s">
        <v>208</v>
      </c>
      <c r="B3" s="4">
        <v>6001</v>
      </c>
      <c r="C3" s="3" t="s">
        <v>212</v>
      </c>
      <c r="D3" s="3" t="s">
        <v>10</v>
      </c>
      <c r="E3" s="3" t="s">
        <v>11</v>
      </c>
      <c r="F3" s="4">
        <v>71</v>
      </c>
      <c r="G3" s="3" t="s">
        <v>213</v>
      </c>
      <c r="H3" s="6">
        <v>-160335</v>
      </c>
      <c r="I3">
        <f>VLOOKUP(D3,收入!F:H,3,0)</f>
        <v>0</v>
      </c>
    </row>
    <row r="4" spans="1:9" ht="20.100000000000001" customHeight="1">
      <c r="A4" s="3" t="s">
        <v>208</v>
      </c>
      <c r="B4" s="4">
        <v>6001</v>
      </c>
      <c r="C4" s="3" t="s">
        <v>212</v>
      </c>
      <c r="D4" s="3" t="s">
        <v>12</v>
      </c>
      <c r="E4" s="3" t="s">
        <v>13</v>
      </c>
      <c r="F4" s="4">
        <v>71</v>
      </c>
      <c r="G4" s="3" t="s">
        <v>213</v>
      </c>
      <c r="H4" s="6">
        <v>103673.3</v>
      </c>
      <c r="I4">
        <f>VLOOKUP(D4,收入!F:H,3,0)</f>
        <v>103673.3</v>
      </c>
    </row>
    <row r="5" spans="1:9" ht="20.100000000000001" customHeight="1">
      <c r="A5" s="3" t="s">
        <v>208</v>
      </c>
      <c r="B5" s="4">
        <v>6001</v>
      </c>
      <c r="C5" s="3" t="s">
        <v>212</v>
      </c>
      <c r="D5" s="3" t="s">
        <v>14</v>
      </c>
      <c r="E5" s="3" t="s">
        <v>15</v>
      </c>
      <c r="F5" s="4">
        <v>71</v>
      </c>
      <c r="G5" s="3" t="s">
        <v>213</v>
      </c>
      <c r="H5" s="6">
        <v>128633.64</v>
      </c>
      <c r="I5">
        <f>VLOOKUP(D5,收入!F:H,3,0)</f>
        <v>128633.64</v>
      </c>
    </row>
    <row r="6" spans="1:9" ht="20.100000000000001" customHeight="1">
      <c r="A6" s="3" t="s">
        <v>208</v>
      </c>
      <c r="B6" s="4">
        <v>6001</v>
      </c>
      <c r="C6" s="3" t="s">
        <v>212</v>
      </c>
      <c r="D6" s="3" t="s">
        <v>214</v>
      </c>
      <c r="E6" s="3" t="s">
        <v>215</v>
      </c>
      <c r="F6" s="4">
        <v>71</v>
      </c>
      <c r="G6" s="3" t="s">
        <v>213</v>
      </c>
      <c r="H6" s="6">
        <v>67241.179999999993</v>
      </c>
      <c r="I6">
        <f>VLOOKUP(D6,收入!F:H,3,0)</f>
        <v>67241.179999999993</v>
      </c>
    </row>
    <row r="7" spans="1:9" ht="20.100000000000001" customHeight="1">
      <c r="A7" s="3" t="s">
        <v>208</v>
      </c>
      <c r="B7" s="4">
        <v>6001</v>
      </c>
      <c r="C7" s="3" t="s">
        <v>212</v>
      </c>
      <c r="D7" s="3" t="s">
        <v>216</v>
      </c>
      <c r="E7" s="3" t="s">
        <v>217</v>
      </c>
      <c r="F7" s="4">
        <v>71</v>
      </c>
      <c r="G7" s="3" t="s">
        <v>213</v>
      </c>
      <c r="H7" s="6">
        <v>4533.12</v>
      </c>
      <c r="I7">
        <f>VLOOKUP(D7,收入!F:H,3,0)</f>
        <v>4533.12</v>
      </c>
    </row>
    <row r="8" spans="1:9" ht="20.100000000000001" customHeight="1">
      <c r="A8" s="3" t="s">
        <v>208</v>
      </c>
      <c r="B8" s="4">
        <v>6001</v>
      </c>
      <c r="C8" s="3" t="s">
        <v>212</v>
      </c>
      <c r="D8" s="3" t="s">
        <v>218</v>
      </c>
      <c r="E8" s="3" t="s">
        <v>219</v>
      </c>
      <c r="F8" s="4">
        <v>71</v>
      </c>
      <c r="G8" s="3" t="s">
        <v>213</v>
      </c>
      <c r="H8" s="6">
        <v>6044.16</v>
      </c>
      <c r="I8">
        <f>VLOOKUP(D8,收入!F:H,3,0)</f>
        <v>6044.16</v>
      </c>
    </row>
    <row r="9" spans="1:9" ht="20.100000000000001" customHeight="1">
      <c r="A9" s="3" t="s">
        <v>208</v>
      </c>
      <c r="B9" s="4">
        <v>6001</v>
      </c>
      <c r="C9" s="3" t="s">
        <v>212</v>
      </c>
      <c r="D9" s="3" t="s">
        <v>220</v>
      </c>
      <c r="E9" s="3" t="s">
        <v>221</v>
      </c>
      <c r="F9" s="4">
        <v>71</v>
      </c>
      <c r="G9" s="3" t="s">
        <v>213</v>
      </c>
      <c r="H9" s="6">
        <v>5036.8</v>
      </c>
      <c r="I9">
        <f>VLOOKUP(D9,收入!F:H,3,0)</f>
        <v>5036.8</v>
      </c>
    </row>
    <row r="10" spans="1:9" ht="20.100000000000001" customHeight="1">
      <c r="A10" s="3" t="s">
        <v>208</v>
      </c>
      <c r="B10" s="4">
        <v>6001</v>
      </c>
      <c r="C10" s="3" t="s">
        <v>212</v>
      </c>
      <c r="D10" s="3" t="s">
        <v>222</v>
      </c>
      <c r="E10" s="3" t="s">
        <v>223</v>
      </c>
      <c r="F10" s="4">
        <v>71</v>
      </c>
      <c r="G10" s="3" t="s">
        <v>213</v>
      </c>
      <c r="H10" s="6">
        <v>4029.44</v>
      </c>
      <c r="I10">
        <f>VLOOKUP(D10,收入!F:H,3,0)</f>
        <v>4029.44</v>
      </c>
    </row>
    <row r="11" spans="1:9" ht="20.100000000000001" customHeight="1">
      <c r="A11" s="3" t="s">
        <v>208</v>
      </c>
      <c r="B11" s="4">
        <v>6001</v>
      </c>
      <c r="C11" s="3" t="s">
        <v>212</v>
      </c>
      <c r="D11" s="3" t="s">
        <v>224</v>
      </c>
      <c r="E11" s="3" t="s">
        <v>225</v>
      </c>
      <c r="F11" s="4">
        <v>71</v>
      </c>
      <c r="G11" s="3" t="s">
        <v>213</v>
      </c>
      <c r="H11" s="6">
        <v>3022.08</v>
      </c>
      <c r="I11">
        <f>VLOOKUP(D11,收入!F:H,3,0)</f>
        <v>3022.08</v>
      </c>
    </row>
    <row r="12" spans="1:9" ht="20.100000000000001" customHeight="1">
      <c r="A12" s="3" t="s">
        <v>208</v>
      </c>
      <c r="B12" s="4">
        <v>6001</v>
      </c>
      <c r="C12" s="3" t="s">
        <v>212</v>
      </c>
      <c r="D12" s="3" t="s">
        <v>226</v>
      </c>
      <c r="E12" s="3" t="s">
        <v>227</v>
      </c>
      <c r="F12" s="4">
        <v>71</v>
      </c>
      <c r="G12" s="3" t="s">
        <v>213</v>
      </c>
      <c r="H12" s="6">
        <v>1511.04</v>
      </c>
      <c r="I12">
        <f>VLOOKUP(D12,收入!F:H,3,0)</f>
        <v>1511.04</v>
      </c>
    </row>
    <row r="13" spans="1:9" ht="20.100000000000001" customHeight="1">
      <c r="A13" s="3" t="s">
        <v>208</v>
      </c>
      <c r="B13" s="4">
        <v>6001</v>
      </c>
      <c r="C13" s="3" t="s">
        <v>212</v>
      </c>
      <c r="D13" s="3" t="s">
        <v>16</v>
      </c>
      <c r="E13" s="3" t="s">
        <v>17</v>
      </c>
      <c r="F13" s="4">
        <v>71</v>
      </c>
      <c r="G13" s="3" t="s">
        <v>213</v>
      </c>
      <c r="H13" s="5"/>
      <c r="I13">
        <f>VLOOKUP(D13,收入!F:H,3,0)</f>
        <v>0</v>
      </c>
    </row>
    <row r="14" spans="1:9" ht="20.100000000000001" customHeight="1">
      <c r="A14" s="3" t="s">
        <v>208</v>
      </c>
      <c r="B14" s="4">
        <v>6001</v>
      </c>
      <c r="C14" s="3" t="s">
        <v>212</v>
      </c>
      <c r="D14" s="3" t="s">
        <v>407</v>
      </c>
      <c r="E14" s="3" t="s">
        <v>23</v>
      </c>
      <c r="F14" s="4">
        <v>71</v>
      </c>
      <c r="G14" s="3" t="s">
        <v>213</v>
      </c>
      <c r="H14" s="7">
        <v>423.09</v>
      </c>
      <c r="I14">
        <f>VLOOKUP(D14,收入!F:H,3,0)</f>
        <v>423.09</v>
      </c>
    </row>
    <row r="15" spans="1:9" ht="20.100000000000001" customHeight="1">
      <c r="A15" s="3" t="s">
        <v>208</v>
      </c>
      <c r="B15" s="4">
        <v>6001</v>
      </c>
      <c r="C15" s="3" t="s">
        <v>212</v>
      </c>
      <c r="D15" s="3" t="s">
        <v>228</v>
      </c>
      <c r="E15" s="3" t="s">
        <v>229</v>
      </c>
      <c r="F15" s="4">
        <v>71</v>
      </c>
      <c r="G15" s="3" t="s">
        <v>213</v>
      </c>
      <c r="H15" s="6">
        <v>10879.47</v>
      </c>
      <c r="I15">
        <f>VLOOKUP(D15,收入!F:H,3,0)</f>
        <v>10879.47</v>
      </c>
    </row>
    <row r="16" spans="1:9" ht="20.100000000000001" customHeight="1">
      <c r="A16" s="3" t="s">
        <v>208</v>
      </c>
      <c r="B16" s="4">
        <v>6001</v>
      </c>
      <c r="C16" s="3" t="s">
        <v>212</v>
      </c>
      <c r="D16" s="3" t="s">
        <v>26</v>
      </c>
      <c r="E16" s="3" t="s">
        <v>27</v>
      </c>
      <c r="F16" s="4">
        <v>71</v>
      </c>
      <c r="G16" s="3" t="s">
        <v>213</v>
      </c>
      <c r="H16" s="6">
        <v>16375.62</v>
      </c>
      <c r="I16">
        <f>VLOOKUP(D16,收入!F:H,3,0)</f>
        <v>16375.62</v>
      </c>
    </row>
    <row r="17" spans="1:9" ht="20.100000000000001" customHeight="1">
      <c r="A17" s="3" t="s">
        <v>208</v>
      </c>
      <c r="B17" s="4">
        <v>6001</v>
      </c>
      <c r="C17" s="3" t="s">
        <v>212</v>
      </c>
      <c r="D17" s="3" t="s">
        <v>230</v>
      </c>
      <c r="E17" s="3" t="s">
        <v>231</v>
      </c>
      <c r="F17" s="4">
        <v>71</v>
      </c>
      <c r="G17" s="3" t="s">
        <v>213</v>
      </c>
      <c r="H17" s="6">
        <v>19039.07</v>
      </c>
      <c r="I17">
        <f>VLOOKUP(D17,收入!F:H,3,0)</f>
        <v>19039.07</v>
      </c>
    </row>
    <row r="18" spans="1:9" ht="20.100000000000001" customHeight="1">
      <c r="A18" s="3" t="s">
        <v>209</v>
      </c>
      <c r="B18" s="4">
        <v>6001</v>
      </c>
      <c r="C18" s="3" t="s">
        <v>212</v>
      </c>
      <c r="D18" s="3" t="s">
        <v>31</v>
      </c>
      <c r="E18" s="3" t="s">
        <v>32</v>
      </c>
      <c r="F18" s="4">
        <v>71</v>
      </c>
      <c r="G18" s="3" t="s">
        <v>213</v>
      </c>
      <c r="H18" s="5"/>
      <c r="I18">
        <f>VLOOKUP(D18,收入!F:H,3,0)</f>
        <v>0</v>
      </c>
    </row>
    <row r="19" spans="1:9" ht="20.100000000000001" customHeight="1">
      <c r="A19" s="3" t="s">
        <v>209</v>
      </c>
      <c r="B19" s="4">
        <v>6001</v>
      </c>
      <c r="C19" s="3" t="s">
        <v>212</v>
      </c>
      <c r="D19" s="3" t="s">
        <v>33</v>
      </c>
      <c r="E19" s="3" t="s">
        <v>34</v>
      </c>
      <c r="F19" s="4">
        <v>71</v>
      </c>
      <c r="G19" s="3" t="s">
        <v>213</v>
      </c>
      <c r="H19" s="5"/>
      <c r="I19">
        <f>VLOOKUP(D19,收入!F:H,3,0)</f>
        <v>0</v>
      </c>
    </row>
    <row r="20" spans="1:9" ht="20.100000000000001" customHeight="1">
      <c r="A20" s="3" t="s">
        <v>209</v>
      </c>
      <c r="B20" s="4">
        <v>6001</v>
      </c>
      <c r="C20" s="3" t="s">
        <v>212</v>
      </c>
      <c r="D20" s="3" t="s">
        <v>37</v>
      </c>
      <c r="E20" s="3" t="s">
        <v>38</v>
      </c>
      <c r="F20" s="4">
        <v>71</v>
      </c>
      <c r="G20" s="3" t="s">
        <v>213</v>
      </c>
      <c r="H20" s="5"/>
      <c r="I20">
        <f>VLOOKUP(D20,收入!F:H,3,0)</f>
        <v>0</v>
      </c>
    </row>
    <row r="21" spans="1:9" ht="20.100000000000001" customHeight="1">
      <c r="A21" s="3" t="s">
        <v>209</v>
      </c>
      <c r="B21" s="4">
        <v>6001</v>
      </c>
      <c r="C21" s="3" t="s">
        <v>212</v>
      </c>
      <c r="D21" s="3" t="s">
        <v>49</v>
      </c>
      <c r="E21" s="3" t="s">
        <v>50</v>
      </c>
      <c r="F21" s="4">
        <v>71</v>
      </c>
      <c r="G21" s="3" t="s">
        <v>213</v>
      </c>
      <c r="H21" s="6">
        <v>285855.39</v>
      </c>
      <c r="I21">
        <f>VLOOKUP(D21,收入!F:H,3,0)</f>
        <v>285855.39</v>
      </c>
    </row>
    <row r="22" spans="1:9" ht="20.100000000000001" customHeight="1">
      <c r="A22" s="3" t="s">
        <v>209</v>
      </c>
      <c r="B22" s="4">
        <v>6001</v>
      </c>
      <c r="C22" s="3" t="s">
        <v>212</v>
      </c>
      <c r="D22" s="3" t="s">
        <v>232</v>
      </c>
      <c r="E22" s="3" t="s">
        <v>233</v>
      </c>
      <c r="F22" s="4">
        <v>71</v>
      </c>
      <c r="G22" s="3" t="s">
        <v>213</v>
      </c>
      <c r="H22" s="6">
        <v>17620.580000000002</v>
      </c>
      <c r="I22">
        <f>VLOOKUP(D22,收入!F:H,3,0)</f>
        <v>17620.580000000002</v>
      </c>
    </row>
    <row r="23" spans="1:9" ht="20.100000000000001" customHeight="1">
      <c r="A23" s="3" t="s">
        <v>209</v>
      </c>
      <c r="B23" s="4">
        <v>6001</v>
      </c>
      <c r="C23" s="3" t="s">
        <v>212</v>
      </c>
      <c r="D23" s="3" t="s">
        <v>53</v>
      </c>
      <c r="E23" s="3" t="s">
        <v>54</v>
      </c>
      <c r="F23" s="4">
        <v>71</v>
      </c>
      <c r="G23" s="3" t="s">
        <v>213</v>
      </c>
      <c r="H23" s="5"/>
      <c r="I23">
        <f>VLOOKUP(D23,收入!F:H,3,0)</f>
        <v>0</v>
      </c>
    </row>
    <row r="24" spans="1:9" ht="20.100000000000001" customHeight="1">
      <c r="A24" s="3" t="s">
        <v>209</v>
      </c>
      <c r="B24" s="4">
        <v>6001</v>
      </c>
      <c r="C24" s="3" t="s">
        <v>212</v>
      </c>
      <c r="D24" s="3" t="s">
        <v>55</v>
      </c>
      <c r="E24" s="3" t="s">
        <v>56</v>
      </c>
      <c r="F24" s="4">
        <v>71</v>
      </c>
      <c r="G24" s="3" t="s">
        <v>213</v>
      </c>
      <c r="H24" s="5"/>
      <c r="I24">
        <f>VLOOKUP(D24,收入!F:H,3,0)</f>
        <v>0</v>
      </c>
    </row>
    <row r="25" spans="1:9" ht="20.100000000000001" customHeight="1">
      <c r="A25" s="3" t="s">
        <v>209</v>
      </c>
      <c r="B25" s="4">
        <v>6001</v>
      </c>
      <c r="C25" s="3" t="s">
        <v>212</v>
      </c>
      <c r="D25" s="3" t="s">
        <v>16</v>
      </c>
      <c r="E25" s="3" t="s">
        <v>17</v>
      </c>
      <c r="F25" s="4">
        <v>71</v>
      </c>
      <c r="G25" s="3" t="s">
        <v>213</v>
      </c>
      <c r="H25" s="5"/>
      <c r="I25">
        <f>VLOOKUP(D25,收入!F:H,3,0)</f>
        <v>0</v>
      </c>
    </row>
    <row r="26" spans="1:9" ht="20.100000000000001" customHeight="1">
      <c r="A26" s="3" t="s">
        <v>209</v>
      </c>
      <c r="B26" s="4">
        <v>6001</v>
      </c>
      <c r="C26" s="3" t="s">
        <v>212</v>
      </c>
      <c r="D26" s="3" t="s">
        <v>57</v>
      </c>
      <c r="E26" s="3" t="s">
        <v>58</v>
      </c>
      <c r="F26" s="4">
        <v>71</v>
      </c>
      <c r="G26" s="3" t="s">
        <v>213</v>
      </c>
      <c r="H26" s="5"/>
      <c r="I26">
        <f>VLOOKUP(D26,收入!F:H,3,0)</f>
        <v>0</v>
      </c>
    </row>
    <row r="27" spans="1:9" ht="20.100000000000001" customHeight="1">
      <c r="A27" s="3" t="s">
        <v>209</v>
      </c>
      <c r="B27" s="4">
        <v>6001</v>
      </c>
      <c r="C27" s="3" t="s">
        <v>212</v>
      </c>
      <c r="D27" s="3" t="s">
        <v>59</v>
      </c>
      <c r="E27" s="3" t="s">
        <v>60</v>
      </c>
      <c r="F27" s="4">
        <v>71</v>
      </c>
      <c r="G27" s="3" t="s">
        <v>213</v>
      </c>
      <c r="H27" s="5"/>
      <c r="I27">
        <f>VLOOKUP(D27,收入!F:H,3,0)</f>
        <v>0</v>
      </c>
    </row>
    <row r="28" spans="1:9" ht="20.100000000000001" customHeight="1">
      <c r="A28" s="3" t="s">
        <v>209</v>
      </c>
      <c r="B28" s="4">
        <v>6001</v>
      </c>
      <c r="C28" s="3" t="s">
        <v>212</v>
      </c>
      <c r="D28" s="3" t="s">
        <v>234</v>
      </c>
      <c r="E28" s="3" t="s">
        <v>235</v>
      </c>
      <c r="F28" s="4">
        <v>71</v>
      </c>
      <c r="G28" s="3" t="s">
        <v>213</v>
      </c>
      <c r="H28" s="5"/>
      <c r="I28">
        <f>VLOOKUP(D28,收入!F:H,3,0)</f>
        <v>0</v>
      </c>
    </row>
    <row r="29" spans="1:9" ht="20.100000000000001" customHeight="1">
      <c r="A29" s="3" t="s">
        <v>209</v>
      </c>
      <c r="B29" s="4">
        <v>6001</v>
      </c>
      <c r="C29" s="3" t="s">
        <v>212</v>
      </c>
      <c r="D29" s="3" t="s">
        <v>63</v>
      </c>
      <c r="E29" s="3" t="s">
        <v>64</v>
      </c>
      <c r="F29" s="4">
        <v>71</v>
      </c>
      <c r="G29" s="3" t="s">
        <v>213</v>
      </c>
      <c r="H29" s="5"/>
      <c r="I29">
        <f>VLOOKUP(D29,收入!F:H,3,0)</f>
        <v>0</v>
      </c>
    </row>
    <row r="30" spans="1:9" ht="20.100000000000001" customHeight="1">
      <c r="A30" s="3" t="s">
        <v>209</v>
      </c>
      <c r="B30" s="4">
        <v>6001</v>
      </c>
      <c r="C30" s="3" t="s">
        <v>212</v>
      </c>
      <c r="D30" s="3" t="s">
        <v>65</v>
      </c>
      <c r="E30" s="3" t="s">
        <v>66</v>
      </c>
      <c r="F30" s="4">
        <v>71</v>
      </c>
      <c r="G30" s="3" t="s">
        <v>213</v>
      </c>
      <c r="H30" s="5"/>
      <c r="I30">
        <f>VLOOKUP(D30,收入!F:H,3,0)</f>
        <v>0</v>
      </c>
    </row>
    <row r="31" spans="1:9" ht="20.100000000000001" customHeight="1">
      <c r="A31" s="3" t="s">
        <v>209</v>
      </c>
      <c r="B31" s="4">
        <v>6001</v>
      </c>
      <c r="C31" s="3" t="s">
        <v>212</v>
      </c>
      <c r="D31" s="3" t="s">
        <v>67</v>
      </c>
      <c r="E31" s="3" t="s">
        <v>68</v>
      </c>
      <c r="F31" s="4">
        <v>71</v>
      </c>
      <c r="G31" s="3" t="s">
        <v>213</v>
      </c>
      <c r="H31" s="5"/>
      <c r="I31">
        <f>VLOOKUP(D31,收入!F:H,3,0)</f>
        <v>0</v>
      </c>
    </row>
    <row r="32" spans="1:9" ht="20.100000000000001" customHeight="1">
      <c r="A32" s="3" t="s">
        <v>209</v>
      </c>
      <c r="B32" s="4">
        <v>6001</v>
      </c>
      <c r="C32" s="3" t="s">
        <v>212</v>
      </c>
      <c r="D32" s="3" t="s">
        <v>69</v>
      </c>
      <c r="E32" s="3" t="s">
        <v>70</v>
      </c>
      <c r="F32" s="4">
        <v>71</v>
      </c>
      <c r="G32" s="3" t="s">
        <v>213</v>
      </c>
      <c r="H32" s="5"/>
      <c r="I32">
        <f>VLOOKUP(D32,收入!F:H,3,0)</f>
        <v>0</v>
      </c>
    </row>
    <row r="33" spans="1:9" ht="20.100000000000001" customHeight="1">
      <c r="A33" s="3" t="s">
        <v>209</v>
      </c>
      <c r="B33" s="4">
        <v>6001</v>
      </c>
      <c r="C33" s="3" t="s">
        <v>212</v>
      </c>
      <c r="D33" s="3" t="s">
        <v>18</v>
      </c>
      <c r="E33" s="3" t="s">
        <v>19</v>
      </c>
      <c r="F33" s="4">
        <v>71</v>
      </c>
      <c r="G33" s="3" t="s">
        <v>213</v>
      </c>
      <c r="H33" s="5"/>
      <c r="I33">
        <f>VLOOKUP(D33,收入!F:H,3,0)</f>
        <v>0</v>
      </c>
    </row>
    <row r="34" spans="1:9" ht="20.100000000000001" customHeight="1">
      <c r="A34" s="3" t="s">
        <v>209</v>
      </c>
      <c r="B34" s="4">
        <v>6001</v>
      </c>
      <c r="C34" s="3" t="s">
        <v>212</v>
      </c>
      <c r="D34" s="3" t="s">
        <v>73</v>
      </c>
      <c r="E34" s="3" t="s">
        <v>74</v>
      </c>
      <c r="F34" s="4">
        <v>71</v>
      </c>
      <c r="G34" s="3" t="s">
        <v>213</v>
      </c>
      <c r="H34" s="5"/>
      <c r="I34">
        <f>VLOOKUP(D34,收入!F:H,3,0)</f>
        <v>0</v>
      </c>
    </row>
    <row r="35" spans="1:9" ht="20.100000000000001" customHeight="1">
      <c r="A35" s="3" t="s">
        <v>209</v>
      </c>
      <c r="B35" s="4">
        <v>6001</v>
      </c>
      <c r="C35" s="3" t="s">
        <v>212</v>
      </c>
      <c r="D35" s="3" t="s">
        <v>75</v>
      </c>
      <c r="E35" s="3" t="s">
        <v>76</v>
      </c>
      <c r="F35" s="4">
        <v>71</v>
      </c>
      <c r="G35" s="3" t="s">
        <v>213</v>
      </c>
      <c r="H35" s="6">
        <v>86060.13</v>
      </c>
      <c r="I35">
        <f>VLOOKUP(D35,收入!F:H,3,0)</f>
        <v>86060.13</v>
      </c>
    </row>
    <row r="36" spans="1:9" ht="20.100000000000001" customHeight="1">
      <c r="A36" s="3" t="s">
        <v>209</v>
      </c>
      <c r="B36" s="4">
        <v>6001</v>
      </c>
      <c r="C36" s="3" t="s">
        <v>212</v>
      </c>
      <c r="D36" s="3" t="s">
        <v>77</v>
      </c>
      <c r="E36" s="3" t="s">
        <v>78</v>
      </c>
      <c r="F36" s="4">
        <v>71</v>
      </c>
      <c r="G36" s="3" t="s">
        <v>213</v>
      </c>
      <c r="H36" s="6">
        <v>4982.49</v>
      </c>
      <c r="I36">
        <f>VLOOKUP(D36,收入!F:H,3,0)</f>
        <v>4982.49</v>
      </c>
    </row>
    <row r="37" spans="1:9" ht="20.100000000000001" customHeight="1">
      <c r="A37" s="3" t="s">
        <v>209</v>
      </c>
      <c r="B37" s="4">
        <v>6001</v>
      </c>
      <c r="C37" s="3" t="s">
        <v>212</v>
      </c>
      <c r="D37" s="3" t="s">
        <v>81</v>
      </c>
      <c r="E37" s="3" t="s">
        <v>82</v>
      </c>
      <c r="F37" s="4">
        <v>71</v>
      </c>
      <c r="G37" s="3" t="s">
        <v>213</v>
      </c>
      <c r="H37" s="6">
        <v>1890</v>
      </c>
      <c r="I37">
        <f>VLOOKUP(D37,收入!F:H,3,0)</f>
        <v>1890</v>
      </c>
    </row>
    <row r="38" spans="1:9" ht="20.100000000000001" customHeight="1">
      <c r="A38" s="3" t="s">
        <v>209</v>
      </c>
      <c r="B38" s="4">
        <v>6001</v>
      </c>
      <c r="C38" s="3" t="s">
        <v>212</v>
      </c>
      <c r="D38" s="3" t="s">
        <v>83</v>
      </c>
      <c r="E38" s="3" t="s">
        <v>84</v>
      </c>
      <c r="F38" s="4">
        <v>71</v>
      </c>
      <c r="G38" s="3" t="s">
        <v>213</v>
      </c>
      <c r="H38" s="6">
        <v>23100</v>
      </c>
      <c r="I38">
        <f>VLOOKUP(D38,收入!F:H,3,0)</f>
        <v>23100</v>
      </c>
    </row>
    <row r="39" spans="1:9" ht="20.100000000000001" customHeight="1">
      <c r="A39" s="3" t="s">
        <v>209</v>
      </c>
      <c r="B39" s="4">
        <v>6001</v>
      </c>
      <c r="C39" s="3" t="s">
        <v>212</v>
      </c>
      <c r="D39" s="3" t="s">
        <v>85</v>
      </c>
      <c r="E39" s="3" t="s">
        <v>86</v>
      </c>
      <c r="F39" s="4">
        <v>71</v>
      </c>
      <c r="G39" s="3" t="s">
        <v>213</v>
      </c>
      <c r="H39" s="5"/>
      <c r="I39">
        <f>VLOOKUP(D39,收入!F:H,3,0)</f>
        <v>0</v>
      </c>
    </row>
    <row r="40" spans="1:9" ht="20.100000000000001" customHeight="1">
      <c r="A40" s="3" t="s">
        <v>209</v>
      </c>
      <c r="B40" s="4">
        <v>6001</v>
      </c>
      <c r="C40" s="3" t="s">
        <v>212</v>
      </c>
      <c r="D40" s="3" t="s">
        <v>87</v>
      </c>
      <c r="E40" s="3" t="s">
        <v>88</v>
      </c>
      <c r="F40" s="4">
        <v>71</v>
      </c>
      <c r="G40" s="3" t="s">
        <v>213</v>
      </c>
      <c r="H40" s="5"/>
      <c r="I40">
        <f>VLOOKUP(D40,收入!F:H,3,0)</f>
        <v>0</v>
      </c>
    </row>
    <row r="41" spans="1:9" ht="20.100000000000001" customHeight="1">
      <c r="A41" s="3" t="s">
        <v>209</v>
      </c>
      <c r="B41" s="4">
        <v>6001</v>
      </c>
      <c r="C41" s="3" t="s">
        <v>212</v>
      </c>
      <c r="D41" s="3" t="s">
        <v>91</v>
      </c>
      <c r="E41" s="3" t="s">
        <v>92</v>
      </c>
      <c r="F41" s="4">
        <v>71</v>
      </c>
      <c r="G41" s="3" t="s">
        <v>213</v>
      </c>
      <c r="H41" s="5"/>
      <c r="I41">
        <f>VLOOKUP(D41,收入!F:H,3,0)</f>
        <v>0</v>
      </c>
    </row>
    <row r="42" spans="1:9" ht="20.100000000000001" customHeight="1">
      <c r="A42" s="3" t="s">
        <v>209</v>
      </c>
      <c r="B42" s="4">
        <v>6001</v>
      </c>
      <c r="C42" s="3" t="s">
        <v>212</v>
      </c>
      <c r="D42" s="3" t="s">
        <v>93</v>
      </c>
      <c r="E42" s="3" t="s">
        <v>94</v>
      </c>
      <c r="F42" s="4">
        <v>71</v>
      </c>
      <c r="G42" s="3" t="s">
        <v>213</v>
      </c>
      <c r="H42" s="5"/>
      <c r="I42">
        <f>VLOOKUP(D42,收入!F:H,3,0)</f>
        <v>0</v>
      </c>
    </row>
    <row r="43" spans="1:9" ht="20.100000000000001" customHeight="1">
      <c r="A43" s="3" t="s">
        <v>209</v>
      </c>
      <c r="B43" s="4">
        <v>6001</v>
      </c>
      <c r="C43" s="3" t="s">
        <v>212</v>
      </c>
      <c r="D43" s="3" t="s">
        <v>95</v>
      </c>
      <c r="E43" s="3" t="s">
        <v>96</v>
      </c>
      <c r="F43" s="4">
        <v>71</v>
      </c>
      <c r="G43" s="3" t="s">
        <v>213</v>
      </c>
      <c r="H43" s="5"/>
      <c r="I43">
        <f>VLOOKUP(D43,收入!F:H,3,0)</f>
        <v>0</v>
      </c>
    </row>
    <row r="44" spans="1:9" ht="20.100000000000001" customHeight="1">
      <c r="A44" s="3" t="s">
        <v>209</v>
      </c>
      <c r="B44" s="4">
        <v>6001</v>
      </c>
      <c r="C44" s="3" t="s">
        <v>212</v>
      </c>
      <c r="D44" s="3" t="s">
        <v>97</v>
      </c>
      <c r="E44" s="3" t="s">
        <v>98</v>
      </c>
      <c r="F44" s="4">
        <v>71</v>
      </c>
      <c r="G44" s="3" t="s">
        <v>213</v>
      </c>
      <c r="H44" s="6">
        <v>401936.03</v>
      </c>
      <c r="I44">
        <f>VLOOKUP(D44,收入!F:H,3,0)</f>
        <v>401936.03</v>
      </c>
    </row>
    <row r="45" spans="1:9" ht="20.100000000000001" customHeight="1">
      <c r="A45" s="3" t="s">
        <v>209</v>
      </c>
      <c r="B45" s="4">
        <v>6001</v>
      </c>
      <c r="C45" s="3" t="s">
        <v>212</v>
      </c>
      <c r="D45" s="3" t="s">
        <v>99</v>
      </c>
      <c r="E45" s="3" t="s">
        <v>100</v>
      </c>
      <c r="F45" s="4">
        <v>71</v>
      </c>
      <c r="G45" s="3" t="s">
        <v>213</v>
      </c>
      <c r="H45" s="5"/>
      <c r="I45">
        <f>VLOOKUP(D45,收入!F:H,3,0)</f>
        <v>0</v>
      </c>
    </row>
    <row r="46" spans="1:9" ht="20.100000000000001" customHeight="1">
      <c r="A46" s="3" t="s">
        <v>209</v>
      </c>
      <c r="B46" s="4">
        <v>6001</v>
      </c>
      <c r="C46" s="3" t="s">
        <v>212</v>
      </c>
      <c r="D46" s="3" t="s">
        <v>101</v>
      </c>
      <c r="E46" s="3" t="s">
        <v>102</v>
      </c>
      <c r="F46" s="4">
        <v>71</v>
      </c>
      <c r="G46" s="3" t="s">
        <v>213</v>
      </c>
      <c r="H46" s="5"/>
      <c r="I46">
        <f>VLOOKUP(D46,收入!F:H,3,0)</f>
        <v>0</v>
      </c>
    </row>
    <row r="47" spans="1:9" ht="20.100000000000001" customHeight="1">
      <c r="A47" s="3" t="s">
        <v>209</v>
      </c>
      <c r="B47" s="4">
        <v>6001</v>
      </c>
      <c r="C47" s="3" t="s">
        <v>212</v>
      </c>
      <c r="D47" s="3" t="s">
        <v>103</v>
      </c>
      <c r="E47" s="3" t="s">
        <v>104</v>
      </c>
      <c r="F47" s="4">
        <v>71</v>
      </c>
      <c r="G47" s="3" t="s">
        <v>213</v>
      </c>
      <c r="H47" s="5"/>
      <c r="I47">
        <f>VLOOKUP(D47,收入!F:H,3,0)</f>
        <v>0</v>
      </c>
    </row>
    <row r="48" spans="1:9" ht="20.100000000000001" customHeight="1">
      <c r="A48" s="3" t="s">
        <v>209</v>
      </c>
      <c r="B48" s="4">
        <v>6001</v>
      </c>
      <c r="C48" s="3" t="s">
        <v>212</v>
      </c>
      <c r="D48" s="3" t="s">
        <v>105</v>
      </c>
      <c r="E48" s="3" t="s">
        <v>106</v>
      </c>
      <c r="F48" s="4">
        <v>71</v>
      </c>
      <c r="G48" s="3" t="s">
        <v>213</v>
      </c>
      <c r="H48" s="5"/>
      <c r="I48">
        <f>VLOOKUP(D48,收入!F:H,3,0)</f>
        <v>0</v>
      </c>
    </row>
    <row r="49" spans="1:9" ht="20.100000000000001" customHeight="1">
      <c r="A49" s="3" t="s">
        <v>209</v>
      </c>
      <c r="B49" s="4">
        <v>6001</v>
      </c>
      <c r="C49" s="3" t="s">
        <v>212</v>
      </c>
      <c r="D49" s="3" t="s">
        <v>107</v>
      </c>
      <c r="E49" s="3" t="s">
        <v>108</v>
      </c>
      <c r="F49" s="4">
        <v>71</v>
      </c>
      <c r="G49" s="3" t="s">
        <v>213</v>
      </c>
      <c r="H49" s="5"/>
      <c r="I49">
        <f>VLOOKUP(D49,收入!F:H,3,0)</f>
        <v>0</v>
      </c>
    </row>
    <row r="50" spans="1:9" ht="20.100000000000001" customHeight="1">
      <c r="A50" s="3" t="s">
        <v>209</v>
      </c>
      <c r="B50" s="4">
        <v>6001</v>
      </c>
      <c r="C50" s="3" t="s">
        <v>212</v>
      </c>
      <c r="D50" s="3" t="s">
        <v>109</v>
      </c>
      <c r="E50" s="3" t="s">
        <v>110</v>
      </c>
      <c r="F50" s="4">
        <v>71</v>
      </c>
      <c r="G50" s="3" t="s">
        <v>213</v>
      </c>
      <c r="H50" s="5"/>
      <c r="I50">
        <f>VLOOKUP(D50,收入!F:H,3,0)</f>
        <v>0</v>
      </c>
    </row>
    <row r="51" spans="1:9" ht="20.100000000000001" customHeight="1">
      <c r="A51" s="3" t="s">
        <v>209</v>
      </c>
      <c r="B51" s="4">
        <v>6001</v>
      </c>
      <c r="C51" s="3" t="s">
        <v>212</v>
      </c>
      <c r="D51" s="3" t="s">
        <v>111</v>
      </c>
      <c r="E51" s="3" t="s">
        <v>112</v>
      </c>
      <c r="F51" s="4">
        <v>71</v>
      </c>
      <c r="G51" s="3" t="s">
        <v>213</v>
      </c>
      <c r="H51" s="5"/>
      <c r="I51">
        <f>VLOOKUP(D51,收入!F:H,3,0)</f>
        <v>0</v>
      </c>
    </row>
    <row r="52" spans="1:9" ht="20.100000000000001" customHeight="1">
      <c r="A52" s="3" t="s">
        <v>209</v>
      </c>
      <c r="B52" s="4">
        <v>6001</v>
      </c>
      <c r="C52" s="3" t="s">
        <v>212</v>
      </c>
      <c r="D52" s="3" t="s">
        <v>113</v>
      </c>
      <c r="E52" s="3" t="s">
        <v>114</v>
      </c>
      <c r="F52" s="4">
        <v>71</v>
      </c>
      <c r="G52" s="3" t="s">
        <v>213</v>
      </c>
      <c r="H52" s="6">
        <v>401089.85</v>
      </c>
      <c r="I52">
        <f>VLOOKUP(D52,收入!F:H,3,0)</f>
        <v>401089.85</v>
      </c>
    </row>
    <row r="53" spans="1:9" ht="20.100000000000001" customHeight="1">
      <c r="A53" s="3" t="s">
        <v>209</v>
      </c>
      <c r="B53" s="4">
        <v>6001</v>
      </c>
      <c r="C53" s="3" t="s">
        <v>212</v>
      </c>
      <c r="D53" s="3" t="s">
        <v>117</v>
      </c>
      <c r="E53" s="3" t="s">
        <v>118</v>
      </c>
      <c r="F53" s="4">
        <v>71</v>
      </c>
      <c r="G53" s="3" t="s">
        <v>213</v>
      </c>
      <c r="H53" s="5"/>
      <c r="I53">
        <f>VLOOKUP(D53,收入!F:H,3,0)</f>
        <v>0</v>
      </c>
    </row>
    <row r="54" spans="1:9" ht="20.100000000000001" customHeight="1">
      <c r="A54" s="3" t="s">
        <v>209</v>
      </c>
      <c r="B54" s="4">
        <v>6001</v>
      </c>
      <c r="C54" s="3" t="s">
        <v>212</v>
      </c>
      <c r="D54" s="3" t="s">
        <v>119</v>
      </c>
      <c r="E54" s="3" t="s">
        <v>120</v>
      </c>
      <c r="F54" s="4">
        <v>71</v>
      </c>
      <c r="G54" s="3" t="s">
        <v>213</v>
      </c>
      <c r="H54" s="5"/>
      <c r="I54">
        <f>VLOOKUP(D54,收入!F:H,3,0)</f>
        <v>0</v>
      </c>
    </row>
    <row r="55" spans="1:9" ht="20.100000000000001" customHeight="1">
      <c r="A55" s="3" t="s">
        <v>209</v>
      </c>
      <c r="B55" s="4">
        <v>6001</v>
      </c>
      <c r="C55" s="3" t="s">
        <v>212</v>
      </c>
      <c r="D55" s="3" t="s">
        <v>121</v>
      </c>
      <c r="E55" s="3" t="s">
        <v>122</v>
      </c>
      <c r="F55" s="4">
        <v>71</v>
      </c>
      <c r="G55" s="3" t="s">
        <v>213</v>
      </c>
      <c r="H55" s="5"/>
      <c r="I55">
        <f>VLOOKUP(D55,收入!F:H,3,0)</f>
        <v>0</v>
      </c>
    </row>
    <row r="56" spans="1:9" ht="20.100000000000001" customHeight="1">
      <c r="A56" s="3" t="s">
        <v>209</v>
      </c>
      <c r="B56" s="4">
        <v>6001</v>
      </c>
      <c r="C56" s="3" t="s">
        <v>212</v>
      </c>
      <c r="D56" s="3" t="s">
        <v>236</v>
      </c>
      <c r="E56" s="3" t="s">
        <v>237</v>
      </c>
      <c r="F56" s="4">
        <v>71</v>
      </c>
      <c r="G56" s="3" t="s">
        <v>213</v>
      </c>
      <c r="H56" s="5"/>
      <c r="I56">
        <f>VLOOKUP(D56,收入!F:H,3,0)</f>
        <v>0</v>
      </c>
    </row>
    <row r="57" spans="1:9" ht="20.100000000000001" customHeight="1">
      <c r="A57" s="3" t="s">
        <v>209</v>
      </c>
      <c r="B57" s="4">
        <v>6001</v>
      </c>
      <c r="C57" s="3" t="s">
        <v>212</v>
      </c>
      <c r="D57" s="3" t="s">
        <v>123</v>
      </c>
      <c r="E57" s="3" t="s">
        <v>124</v>
      </c>
      <c r="F57" s="4">
        <v>71</v>
      </c>
      <c r="G57" s="3" t="s">
        <v>213</v>
      </c>
      <c r="H57" s="5"/>
      <c r="I57">
        <f>VLOOKUP(D57,收入!F:H,3,0)</f>
        <v>0</v>
      </c>
    </row>
    <row r="58" spans="1:9" ht="20.100000000000001" customHeight="1">
      <c r="A58" s="3" t="s">
        <v>209</v>
      </c>
      <c r="B58" s="4">
        <v>6001</v>
      </c>
      <c r="C58" s="3" t="s">
        <v>212</v>
      </c>
      <c r="D58" s="3" t="s">
        <v>127</v>
      </c>
      <c r="E58" s="3" t="s">
        <v>128</v>
      </c>
      <c r="F58" s="4">
        <v>71</v>
      </c>
      <c r="G58" s="3" t="s">
        <v>213</v>
      </c>
      <c r="H58" s="5"/>
      <c r="I58">
        <f>VLOOKUP(D58,收入!F:H,3,0)</f>
        <v>0</v>
      </c>
    </row>
    <row r="59" spans="1:9" ht="20.100000000000001" customHeight="1">
      <c r="A59" s="3" t="s">
        <v>209</v>
      </c>
      <c r="B59" s="4">
        <v>6001</v>
      </c>
      <c r="C59" s="3" t="s">
        <v>212</v>
      </c>
      <c r="D59" s="3" t="s">
        <v>129</v>
      </c>
      <c r="E59" s="3" t="s">
        <v>130</v>
      </c>
      <c r="F59" s="4">
        <v>71</v>
      </c>
      <c r="G59" s="3" t="s">
        <v>213</v>
      </c>
      <c r="H59" s="5"/>
      <c r="I59">
        <f>VLOOKUP(D59,收入!F:H,3,0)</f>
        <v>0</v>
      </c>
    </row>
    <row r="60" spans="1:9" ht="20.100000000000001" customHeight="1">
      <c r="A60" s="3" t="s">
        <v>209</v>
      </c>
      <c r="B60" s="4">
        <v>6001</v>
      </c>
      <c r="C60" s="3" t="s">
        <v>212</v>
      </c>
      <c r="D60" s="3" t="s">
        <v>131</v>
      </c>
      <c r="E60" s="3" t="s">
        <v>132</v>
      </c>
      <c r="F60" s="4">
        <v>71</v>
      </c>
      <c r="G60" s="3" t="s">
        <v>213</v>
      </c>
      <c r="H60" s="6">
        <v>64943.59</v>
      </c>
      <c r="I60">
        <f>VLOOKUP(D60,收入!F:H,3,0)</f>
        <v>64943.59</v>
      </c>
    </row>
    <row r="61" spans="1:9" ht="20.100000000000001" customHeight="1">
      <c r="A61" s="3" t="s">
        <v>209</v>
      </c>
      <c r="B61" s="4">
        <v>6001</v>
      </c>
      <c r="C61" s="3" t="s">
        <v>212</v>
      </c>
      <c r="D61" s="3" t="s">
        <v>133</v>
      </c>
      <c r="E61" s="3" t="s">
        <v>134</v>
      </c>
      <c r="F61" s="4">
        <v>71</v>
      </c>
      <c r="G61" s="3" t="s">
        <v>213</v>
      </c>
      <c r="H61" s="6">
        <v>18567.47</v>
      </c>
      <c r="I61">
        <f>VLOOKUP(D61,收入!F:H,3,0)</f>
        <v>18567.47</v>
      </c>
    </row>
    <row r="62" spans="1:9" ht="20.100000000000001" customHeight="1">
      <c r="A62" s="3" t="s">
        <v>209</v>
      </c>
      <c r="B62" s="4">
        <v>6001</v>
      </c>
      <c r="C62" s="3" t="s">
        <v>212</v>
      </c>
      <c r="D62" s="3" t="s">
        <v>135</v>
      </c>
      <c r="E62" s="3" t="s">
        <v>136</v>
      </c>
      <c r="F62" s="4">
        <v>71</v>
      </c>
      <c r="G62" s="3" t="s">
        <v>213</v>
      </c>
      <c r="H62" s="6">
        <v>5676.68</v>
      </c>
      <c r="I62">
        <f>VLOOKUP(D62,收入!F:H,3,0)</f>
        <v>5676.68</v>
      </c>
    </row>
    <row r="63" spans="1:9" ht="20.100000000000001" customHeight="1">
      <c r="A63" s="3" t="s">
        <v>209</v>
      </c>
      <c r="B63" s="4">
        <v>6001</v>
      </c>
      <c r="C63" s="3" t="s">
        <v>212</v>
      </c>
      <c r="D63" s="3" t="s">
        <v>137</v>
      </c>
      <c r="E63" s="3" t="s">
        <v>138</v>
      </c>
      <c r="F63" s="4">
        <v>71</v>
      </c>
      <c r="G63" s="3" t="s">
        <v>213</v>
      </c>
      <c r="H63" s="7">
        <v>-946.11</v>
      </c>
      <c r="I63">
        <f>VLOOKUP(D63,收入!F:H,3,0)</f>
        <v>-946.11</v>
      </c>
    </row>
    <row r="64" spans="1:9" ht="20.100000000000001" customHeight="1">
      <c r="A64" s="3" t="s">
        <v>209</v>
      </c>
      <c r="B64" s="4">
        <v>6001</v>
      </c>
      <c r="C64" s="3" t="s">
        <v>212</v>
      </c>
      <c r="D64" s="3" t="s">
        <v>139</v>
      </c>
      <c r="E64" s="3" t="s">
        <v>140</v>
      </c>
      <c r="F64" s="4">
        <v>71</v>
      </c>
      <c r="G64" s="3" t="s">
        <v>213</v>
      </c>
      <c r="H64" s="6">
        <v>110426.64</v>
      </c>
      <c r="I64">
        <f>VLOOKUP(D64,收入!F:H,3,0)</f>
        <v>110426.64</v>
      </c>
    </row>
    <row r="65" spans="1:9" ht="20.100000000000001" customHeight="1">
      <c r="A65" s="3" t="s">
        <v>209</v>
      </c>
      <c r="B65" s="4">
        <v>6001</v>
      </c>
      <c r="C65" s="3" t="s">
        <v>212</v>
      </c>
      <c r="D65" s="3" t="s">
        <v>143</v>
      </c>
      <c r="E65" s="3" t="s">
        <v>144</v>
      </c>
      <c r="F65" s="4">
        <v>71</v>
      </c>
      <c r="G65" s="3" t="s">
        <v>213</v>
      </c>
      <c r="H65" s="5"/>
      <c r="I65">
        <f>VLOOKUP(D65,收入!F:H,3,0)</f>
        <v>0</v>
      </c>
    </row>
    <row r="66" spans="1:9" ht="20.100000000000001" customHeight="1">
      <c r="A66" s="3" t="s">
        <v>209</v>
      </c>
      <c r="B66" s="4">
        <v>6001</v>
      </c>
      <c r="C66" s="3" t="s">
        <v>212</v>
      </c>
      <c r="D66" s="3" t="s">
        <v>147</v>
      </c>
      <c r="E66" s="3" t="s">
        <v>148</v>
      </c>
      <c r="F66" s="4">
        <v>71</v>
      </c>
      <c r="G66" s="3" t="s">
        <v>213</v>
      </c>
      <c r="H66" s="5"/>
      <c r="I66">
        <f>VLOOKUP(D66,收入!F:H,3,0)</f>
        <v>0</v>
      </c>
    </row>
    <row r="67" spans="1:9" ht="20.100000000000001" customHeight="1">
      <c r="A67" s="3" t="s">
        <v>209</v>
      </c>
      <c r="B67" s="4">
        <v>6001</v>
      </c>
      <c r="C67" s="3" t="s">
        <v>212</v>
      </c>
      <c r="D67" s="3" t="s">
        <v>149</v>
      </c>
      <c r="E67" s="3" t="s">
        <v>150</v>
      </c>
      <c r="F67" s="4">
        <v>71</v>
      </c>
      <c r="G67" s="3" t="s">
        <v>213</v>
      </c>
      <c r="H67" s="5"/>
      <c r="I67">
        <f>VLOOKUP(D67,收入!F:H,3,0)</f>
        <v>0</v>
      </c>
    </row>
    <row r="68" spans="1:9" ht="20.100000000000001" customHeight="1">
      <c r="A68" s="3" t="s">
        <v>209</v>
      </c>
      <c r="B68" s="4">
        <v>6001</v>
      </c>
      <c r="C68" s="3" t="s">
        <v>212</v>
      </c>
      <c r="D68" s="3" t="s">
        <v>151</v>
      </c>
      <c r="E68" s="3" t="s">
        <v>152</v>
      </c>
      <c r="F68" s="4">
        <v>71</v>
      </c>
      <c r="G68" s="3" t="s">
        <v>213</v>
      </c>
      <c r="H68" s="5"/>
      <c r="I68">
        <f>VLOOKUP(D68,收入!F:H,3,0)</f>
        <v>0</v>
      </c>
    </row>
    <row r="69" spans="1:9" ht="20.100000000000001" customHeight="1">
      <c r="A69" s="3" t="s">
        <v>209</v>
      </c>
      <c r="B69" s="4">
        <v>6001</v>
      </c>
      <c r="C69" s="3" t="s">
        <v>212</v>
      </c>
      <c r="D69" s="3" t="s">
        <v>155</v>
      </c>
      <c r="E69" s="3" t="s">
        <v>156</v>
      </c>
      <c r="F69" s="4">
        <v>71</v>
      </c>
      <c r="G69" s="3" t="s">
        <v>213</v>
      </c>
      <c r="H69" s="5"/>
      <c r="I69">
        <f>VLOOKUP(D69,收入!F:H,3,0)</f>
        <v>0</v>
      </c>
    </row>
    <row r="70" spans="1:9" ht="20.100000000000001" customHeight="1">
      <c r="A70" s="3" t="s">
        <v>209</v>
      </c>
      <c r="B70" s="4">
        <v>6001</v>
      </c>
      <c r="C70" s="3" t="s">
        <v>212</v>
      </c>
      <c r="D70" s="3" t="s">
        <v>406</v>
      </c>
      <c r="E70" s="3" t="s">
        <v>23</v>
      </c>
      <c r="F70" s="4">
        <v>71</v>
      </c>
      <c r="G70" s="3" t="s">
        <v>213</v>
      </c>
      <c r="H70" s="6">
        <v>10657.85</v>
      </c>
      <c r="I70" s="108">
        <f>H70</f>
        <v>10657.85</v>
      </c>
    </row>
    <row r="71" spans="1:9" ht="20.100000000000001" customHeight="1">
      <c r="A71" s="3" t="s">
        <v>209</v>
      </c>
      <c r="B71" s="4">
        <v>6001</v>
      </c>
      <c r="C71" s="3" t="s">
        <v>212</v>
      </c>
      <c r="D71" s="3" t="s">
        <v>157</v>
      </c>
      <c r="E71" s="3" t="s">
        <v>158</v>
      </c>
      <c r="F71" s="4">
        <v>71</v>
      </c>
      <c r="G71" s="3" t="s">
        <v>213</v>
      </c>
      <c r="H71" s="5"/>
      <c r="I71">
        <f>VLOOKUP(D71,收入!F:H,3,0)</f>
        <v>0</v>
      </c>
    </row>
    <row r="72" spans="1:9" ht="20.100000000000001" customHeight="1">
      <c r="A72" s="3" t="s">
        <v>209</v>
      </c>
      <c r="B72" s="4">
        <v>6001</v>
      </c>
      <c r="C72" s="3" t="s">
        <v>212</v>
      </c>
      <c r="D72" s="3" t="s">
        <v>159</v>
      </c>
      <c r="E72" s="3" t="s">
        <v>160</v>
      </c>
      <c r="F72" s="4">
        <v>71</v>
      </c>
      <c r="G72" s="3" t="s">
        <v>213</v>
      </c>
      <c r="H72" s="6">
        <v>835948.79</v>
      </c>
      <c r="I72">
        <f>VLOOKUP(D72,收入!F:H,3,0)</f>
        <v>835948.79</v>
      </c>
    </row>
    <row r="73" spans="1:9" ht="20.100000000000001" customHeight="1">
      <c r="A73" s="3" t="s">
        <v>209</v>
      </c>
      <c r="B73" s="4">
        <v>6001</v>
      </c>
      <c r="C73" s="3" t="s">
        <v>212</v>
      </c>
      <c r="D73" s="3" t="s">
        <v>161</v>
      </c>
      <c r="E73" s="3" t="s">
        <v>162</v>
      </c>
      <c r="F73" s="4">
        <v>71</v>
      </c>
      <c r="G73" s="3" t="s">
        <v>213</v>
      </c>
      <c r="H73" s="6">
        <v>81144</v>
      </c>
      <c r="I73">
        <f>VLOOKUP(D73,收入!F:H,3,0)</f>
        <v>81144</v>
      </c>
    </row>
    <row r="74" spans="1:9" ht="20.100000000000001" customHeight="1">
      <c r="A74" s="3" t="s">
        <v>209</v>
      </c>
      <c r="B74" s="4">
        <v>6001</v>
      </c>
      <c r="C74" s="3" t="s">
        <v>212</v>
      </c>
      <c r="D74" s="3" t="s">
        <v>163</v>
      </c>
      <c r="E74" s="3" t="s">
        <v>164</v>
      </c>
      <c r="F74" s="4">
        <v>71</v>
      </c>
      <c r="G74" s="3" t="s">
        <v>213</v>
      </c>
      <c r="H74" s="6">
        <v>70748.509999999995</v>
      </c>
      <c r="I74">
        <f>VLOOKUP(D74,收入!F:H,3,0)</f>
        <v>73979.509999999995</v>
      </c>
    </row>
    <row r="75" spans="1:9" ht="20.100000000000001" customHeight="1">
      <c r="A75" s="3" t="s">
        <v>209</v>
      </c>
      <c r="B75" s="4">
        <v>6001</v>
      </c>
      <c r="C75" s="3" t="s">
        <v>212</v>
      </c>
      <c r="D75" s="3" t="s">
        <v>165</v>
      </c>
      <c r="E75" s="3" t="s">
        <v>166</v>
      </c>
      <c r="F75" s="4">
        <v>71</v>
      </c>
      <c r="G75" s="3" t="s">
        <v>213</v>
      </c>
      <c r="H75" s="5"/>
      <c r="I75">
        <f>VLOOKUP(D75,收入!F:H,3,0)</f>
        <v>0</v>
      </c>
    </row>
    <row r="76" spans="1:9" ht="20.100000000000001" customHeight="1">
      <c r="A76" s="3" t="s">
        <v>209</v>
      </c>
      <c r="B76" s="4">
        <v>6001</v>
      </c>
      <c r="C76" s="3" t="s">
        <v>212</v>
      </c>
      <c r="D76" s="3" t="s">
        <v>167</v>
      </c>
      <c r="E76" s="3" t="s">
        <v>168</v>
      </c>
      <c r="F76" s="4">
        <v>71</v>
      </c>
      <c r="G76" s="3" t="s">
        <v>213</v>
      </c>
      <c r="H76" s="7">
        <v>882.45</v>
      </c>
      <c r="I76">
        <f>VLOOKUP(D76,收入!F:H,3,0)</f>
        <v>882.45</v>
      </c>
    </row>
    <row r="77" spans="1:9" ht="20.100000000000001" customHeight="1">
      <c r="A77" s="3" t="s">
        <v>209</v>
      </c>
      <c r="B77" s="4">
        <v>6001</v>
      </c>
      <c r="C77" s="3" t="s">
        <v>212</v>
      </c>
      <c r="D77" s="3" t="s">
        <v>169</v>
      </c>
      <c r="E77" s="3" t="s">
        <v>170</v>
      </c>
      <c r="F77" s="4">
        <v>71</v>
      </c>
      <c r="G77" s="3" t="s">
        <v>213</v>
      </c>
      <c r="H77" s="5"/>
      <c r="I77">
        <f>VLOOKUP(D77,收入!F:H,3,0)</f>
        <v>0</v>
      </c>
    </row>
    <row r="78" spans="1:9" ht="20.100000000000001" customHeight="1">
      <c r="A78" s="3" t="s">
        <v>209</v>
      </c>
      <c r="B78" s="4">
        <v>6001</v>
      </c>
      <c r="C78" s="3" t="s">
        <v>212</v>
      </c>
      <c r="D78" s="3" t="s">
        <v>171</v>
      </c>
      <c r="E78" s="3" t="s">
        <v>172</v>
      </c>
      <c r="F78" s="4">
        <v>71</v>
      </c>
      <c r="G78" s="3" t="s">
        <v>213</v>
      </c>
      <c r="H78" s="5"/>
      <c r="I78">
        <f>VLOOKUP(D78,收入!F:H,3,0)</f>
        <v>0</v>
      </c>
    </row>
    <row r="79" spans="1:9" ht="20.100000000000001" customHeight="1">
      <c r="A79" s="3" t="s">
        <v>209</v>
      </c>
      <c r="B79" s="4">
        <v>6001</v>
      </c>
      <c r="C79" s="3" t="s">
        <v>212</v>
      </c>
      <c r="D79" s="3" t="s">
        <v>173</v>
      </c>
      <c r="E79" s="3" t="s">
        <v>174</v>
      </c>
      <c r="F79" s="4">
        <v>71</v>
      </c>
      <c r="G79" s="3" t="s">
        <v>213</v>
      </c>
      <c r="H79" s="7">
        <v>-0.26</v>
      </c>
      <c r="I79">
        <f>VLOOKUP(D79,收入!F:H,3,0)</f>
        <v>436895.74</v>
      </c>
    </row>
    <row r="80" spans="1:9" ht="20.100000000000001" customHeight="1">
      <c r="A80" s="3" t="s">
        <v>209</v>
      </c>
      <c r="B80" s="4">
        <v>6001</v>
      </c>
      <c r="C80" s="3" t="s">
        <v>212</v>
      </c>
      <c r="D80" s="3" t="s">
        <v>175</v>
      </c>
      <c r="E80" s="3" t="s">
        <v>176</v>
      </c>
      <c r="F80" s="4">
        <v>71</v>
      </c>
      <c r="G80" s="3" t="s">
        <v>213</v>
      </c>
      <c r="H80" s="6">
        <v>53854.07</v>
      </c>
      <c r="I80">
        <f>VLOOKUP(D80,收入!F:H,3,0)</f>
        <v>150079.07</v>
      </c>
    </row>
    <row r="81" spans="1:9" ht="20.100000000000001" customHeight="1">
      <c r="A81" s="3" t="s">
        <v>209</v>
      </c>
      <c r="B81" s="4">
        <v>6001</v>
      </c>
      <c r="C81" s="3" t="s">
        <v>212</v>
      </c>
      <c r="D81" s="3" t="s">
        <v>177</v>
      </c>
      <c r="E81" s="3" t="s">
        <v>178</v>
      </c>
      <c r="F81" s="4">
        <v>71</v>
      </c>
      <c r="G81" s="3" t="s">
        <v>213</v>
      </c>
      <c r="H81" s="6">
        <v>54718.03</v>
      </c>
      <c r="I81">
        <f>VLOOKUP(D81,收入!F:H,3,0)</f>
        <v>156985.57</v>
      </c>
    </row>
    <row r="82" spans="1:9" ht="20.100000000000001" customHeight="1">
      <c r="A82" s="3" t="s">
        <v>209</v>
      </c>
      <c r="B82" s="4">
        <v>6001</v>
      </c>
      <c r="C82" s="3" t="s">
        <v>212</v>
      </c>
      <c r="D82" s="3" t="s">
        <v>179</v>
      </c>
      <c r="E82" s="3" t="s">
        <v>180</v>
      </c>
      <c r="F82" s="4">
        <v>71</v>
      </c>
      <c r="G82" s="3" t="s">
        <v>213</v>
      </c>
      <c r="H82" s="5"/>
      <c r="I82">
        <f>VLOOKUP(D82,收入!F:H,3,0)</f>
        <v>0</v>
      </c>
    </row>
    <row r="83" spans="1:9" ht="20.100000000000001" customHeight="1">
      <c r="A83" s="3" t="s">
        <v>209</v>
      </c>
      <c r="B83" s="4">
        <v>6001</v>
      </c>
      <c r="C83" s="3" t="s">
        <v>212</v>
      </c>
      <c r="D83" s="3" t="s">
        <v>181</v>
      </c>
      <c r="E83" s="3" t="s">
        <v>182</v>
      </c>
      <c r="F83" s="4">
        <v>71</v>
      </c>
      <c r="G83" s="3" t="s">
        <v>213</v>
      </c>
      <c r="H83" s="6">
        <v>1163838.6499999999</v>
      </c>
      <c r="I83">
        <f>VLOOKUP(D83,收入!F:H,3,0)</f>
        <v>1163838.6499999999</v>
      </c>
    </row>
    <row r="84" spans="1:9" ht="20.100000000000001" customHeight="1">
      <c r="A84" s="3" t="s">
        <v>209</v>
      </c>
      <c r="B84" s="4">
        <v>6001</v>
      </c>
      <c r="C84" s="3" t="s">
        <v>212</v>
      </c>
      <c r="D84" s="3" t="s">
        <v>183</v>
      </c>
      <c r="E84" s="3" t="s">
        <v>184</v>
      </c>
      <c r="F84" s="4">
        <v>71</v>
      </c>
      <c r="G84" s="3" t="s">
        <v>213</v>
      </c>
      <c r="H84" s="6">
        <v>19663.13</v>
      </c>
      <c r="I84">
        <f>VLOOKUP(D84,收入!F:H,3,0)</f>
        <v>19663.13</v>
      </c>
    </row>
    <row r="85" spans="1:9" ht="20.100000000000001" customHeight="1">
      <c r="A85" s="3" t="s">
        <v>209</v>
      </c>
      <c r="B85" s="4">
        <v>6001</v>
      </c>
      <c r="C85" s="3" t="s">
        <v>212</v>
      </c>
      <c r="D85" s="3" t="s">
        <v>185</v>
      </c>
      <c r="E85" s="3" t="s">
        <v>186</v>
      </c>
      <c r="F85" s="4">
        <v>71</v>
      </c>
      <c r="G85" s="3" t="s">
        <v>213</v>
      </c>
      <c r="H85" s="5"/>
      <c r="I85">
        <f>VLOOKUP(D85,收入!F:H,3,0)</f>
        <v>21356</v>
      </c>
    </row>
    <row r="86" spans="1:9" ht="20.100000000000001" customHeight="1">
      <c r="A86" s="3" t="s">
        <v>209</v>
      </c>
      <c r="B86" s="4">
        <v>6001</v>
      </c>
      <c r="C86" s="3" t="s">
        <v>212</v>
      </c>
      <c r="D86" s="3" t="s">
        <v>187</v>
      </c>
      <c r="E86" s="3" t="s">
        <v>188</v>
      </c>
      <c r="F86" s="4">
        <v>71</v>
      </c>
      <c r="G86" s="3" t="s">
        <v>213</v>
      </c>
      <c r="H86" s="5"/>
      <c r="I86">
        <f>VLOOKUP(D86,收入!F:H,3,0)</f>
        <v>0</v>
      </c>
    </row>
    <row r="87" spans="1:9" ht="20.100000000000001" customHeight="1">
      <c r="A87" s="3" t="s">
        <v>209</v>
      </c>
      <c r="B87" s="4">
        <v>6001</v>
      </c>
      <c r="C87" s="3" t="s">
        <v>212</v>
      </c>
      <c r="D87" s="3" t="s">
        <v>189</v>
      </c>
      <c r="E87" s="3" t="s">
        <v>190</v>
      </c>
      <c r="F87" s="4">
        <v>71</v>
      </c>
      <c r="G87" s="3" t="s">
        <v>213</v>
      </c>
      <c r="H87" s="6">
        <v>20147.169999999998</v>
      </c>
      <c r="I87">
        <f>VLOOKUP(D87,收入!F:H,3,0)</f>
        <v>20147.169999999998</v>
      </c>
    </row>
    <row r="88" spans="1:9" ht="20.100000000000001" customHeight="1">
      <c r="A88" s="3" t="s">
        <v>209</v>
      </c>
      <c r="B88" s="4">
        <v>6001</v>
      </c>
      <c r="C88" s="3" t="s">
        <v>212</v>
      </c>
      <c r="D88" s="3" t="s">
        <v>191</v>
      </c>
      <c r="E88" s="3" t="s">
        <v>192</v>
      </c>
      <c r="F88" s="4">
        <v>71</v>
      </c>
      <c r="G88" s="3" t="s">
        <v>213</v>
      </c>
      <c r="H88" s="6">
        <v>14103.02</v>
      </c>
      <c r="I88">
        <f>VLOOKUP(D88,收入!F:H,3,0)</f>
        <v>14103.02</v>
      </c>
    </row>
    <row r="89" spans="1:9" ht="20.100000000000001" customHeight="1">
      <c r="A89" s="3" t="s">
        <v>209</v>
      </c>
      <c r="B89" s="4">
        <v>6001</v>
      </c>
      <c r="C89" s="3" t="s">
        <v>212</v>
      </c>
      <c r="D89" s="3" t="s">
        <v>193</v>
      </c>
      <c r="E89" s="3" t="s">
        <v>194</v>
      </c>
      <c r="F89" s="4">
        <v>71</v>
      </c>
      <c r="G89" s="3" t="s">
        <v>213</v>
      </c>
      <c r="H89" s="6">
        <v>-798123</v>
      </c>
      <c r="I89">
        <f>VLOOKUP(D89,收入!F:H,3,0)</f>
        <v>0</v>
      </c>
    </row>
    <row r="90" spans="1:9" ht="20.100000000000001" customHeight="1">
      <c r="A90" s="3" t="s">
        <v>209</v>
      </c>
      <c r="B90" s="4">
        <v>6001</v>
      </c>
      <c r="C90" s="3" t="s">
        <v>212</v>
      </c>
      <c r="D90" s="3" t="s">
        <v>195</v>
      </c>
      <c r="E90" s="3" t="s">
        <v>196</v>
      </c>
      <c r="F90" s="4">
        <v>71</v>
      </c>
      <c r="G90" s="3" t="s">
        <v>213</v>
      </c>
      <c r="H90" s="6">
        <v>63594.43</v>
      </c>
      <c r="I90">
        <f>VLOOKUP(D90,收入!F:H,3,0)</f>
        <v>63594.43</v>
      </c>
    </row>
    <row r="91" spans="1:9" ht="20.100000000000001" customHeight="1">
      <c r="A91" s="3" t="s">
        <v>209</v>
      </c>
      <c r="B91" s="4">
        <v>6001</v>
      </c>
      <c r="C91" s="3" t="s">
        <v>212</v>
      </c>
      <c r="D91" s="3" t="s">
        <v>197</v>
      </c>
      <c r="E91" s="3" t="s">
        <v>198</v>
      </c>
      <c r="F91" s="4">
        <v>71</v>
      </c>
      <c r="G91" s="3" t="s">
        <v>213</v>
      </c>
      <c r="H91" s="6">
        <v>734529.02</v>
      </c>
      <c r="I91">
        <f>VLOOKUP(D91,收入!F:H,3,0)</f>
        <v>734529.02</v>
      </c>
    </row>
    <row r="92" spans="1:9" ht="20.100000000000001" customHeight="1">
      <c r="A92" s="3" t="s">
        <v>209</v>
      </c>
      <c r="B92" s="4">
        <v>6001</v>
      </c>
      <c r="C92" s="3" t="s">
        <v>212</v>
      </c>
      <c r="D92" s="3" t="s">
        <v>199</v>
      </c>
      <c r="E92" s="3" t="s">
        <v>200</v>
      </c>
      <c r="F92" s="4">
        <v>71</v>
      </c>
      <c r="G92" s="3" t="s">
        <v>213</v>
      </c>
      <c r="H92" s="6">
        <v>68480.23</v>
      </c>
      <c r="I92">
        <f>VLOOKUP(D92,收入!F:H,3,0)</f>
        <v>68480.23</v>
      </c>
    </row>
    <row r="93" spans="1:9" ht="20.100000000000001" customHeight="1">
      <c r="A93" s="3" t="s">
        <v>209</v>
      </c>
      <c r="B93" s="4">
        <v>6001</v>
      </c>
      <c r="C93" s="3" t="s">
        <v>212</v>
      </c>
      <c r="D93" s="3" t="s">
        <v>238</v>
      </c>
      <c r="E93" s="3" t="s">
        <v>239</v>
      </c>
      <c r="F93" s="4">
        <v>71</v>
      </c>
      <c r="G93" s="3" t="s">
        <v>213</v>
      </c>
      <c r="H93" s="6">
        <v>41424.300000000003</v>
      </c>
      <c r="I93">
        <f>VLOOKUP(D93,收入!F:H,3,0)</f>
        <v>41424.300000000003</v>
      </c>
    </row>
    <row r="94" spans="1:9" ht="20.100000000000001" customHeight="1">
      <c r="A94" s="3" t="s">
        <v>203</v>
      </c>
      <c r="B94" s="3"/>
      <c r="C94" s="3"/>
      <c r="D94" s="3"/>
      <c r="E94" s="3"/>
      <c r="F94" s="3"/>
      <c r="G94" s="3"/>
      <c r="H94" s="6">
        <v>4066920.14</v>
      </c>
      <c r="I94" t="e">
        <f>VLOOKUP(D94,收入!F:H,3,0)</f>
        <v>#N/A</v>
      </c>
    </row>
    <row r="95" spans="1:9" ht="20.100000000000001" customHeight="1">
      <c r="A95" s="8" t="s">
        <v>204</v>
      </c>
      <c r="B95" s="574" t="s">
        <v>401</v>
      </c>
      <c r="C95" s="574" t="s">
        <v>401</v>
      </c>
      <c r="D95" s="574" t="s">
        <v>401</v>
      </c>
      <c r="E95" s="574" t="s">
        <v>401</v>
      </c>
      <c r="F95" s="574" t="s">
        <v>401</v>
      </c>
      <c r="G95" s="574" t="s">
        <v>401</v>
      </c>
      <c r="H95" s="8"/>
    </row>
    <row r="96" spans="1:9" ht="20.100000000000001" customHeight="1">
      <c r="A96" s="1" t="s">
        <v>206</v>
      </c>
      <c r="B96" s="575" t="s">
        <v>207</v>
      </c>
      <c r="C96" s="575" t="s">
        <v>207</v>
      </c>
      <c r="D96" s="575" t="s">
        <v>207</v>
      </c>
      <c r="E96" s="575" t="s">
        <v>207</v>
      </c>
      <c r="F96" s="575" t="s">
        <v>207</v>
      </c>
      <c r="G96" s="575" t="s">
        <v>207</v>
      </c>
      <c r="H96" s="1"/>
    </row>
  </sheetData>
  <autoFilter ref="A2:AB96"/>
  <mergeCells count="9">
    <mergeCell ref="G1:G2"/>
    <mergeCell ref="B95:G95"/>
    <mergeCell ref="B96:G96"/>
    <mergeCell ref="A1:A2"/>
    <mergeCell ref="B1:B2"/>
    <mergeCell ref="C1:C2"/>
    <mergeCell ref="D1:D2"/>
    <mergeCell ref="E1:E2"/>
    <mergeCell ref="F1:F2"/>
  </mergeCells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104"/>
  <sheetViews>
    <sheetView topLeftCell="A100" workbookViewId="0">
      <selection activeCell="M10" sqref="M10"/>
    </sheetView>
  </sheetViews>
  <sheetFormatPr defaultRowHeight="12.75"/>
  <cols>
    <col min="1" max="2" width="13.7109375" customWidth="1"/>
    <col min="3" max="7" width="20.28515625" customWidth="1"/>
    <col min="8" max="8" width="15" customWidth="1"/>
    <col min="10" max="10" width="12.7109375" customWidth="1"/>
  </cols>
  <sheetData>
    <row r="1" spans="1:10" ht="20.100000000000001" customHeight="1">
      <c r="A1" s="576" t="s">
        <v>0</v>
      </c>
      <c r="B1" s="576" t="s">
        <v>1</v>
      </c>
      <c r="C1" s="576" t="s">
        <v>2</v>
      </c>
      <c r="D1" s="576" t="s">
        <v>5</v>
      </c>
      <c r="E1" s="576" t="s">
        <v>6</v>
      </c>
      <c r="F1" s="576" t="s">
        <v>3</v>
      </c>
      <c r="G1" s="576" t="s">
        <v>4</v>
      </c>
      <c r="H1" s="2" t="s">
        <v>402</v>
      </c>
      <c r="I1" s="580"/>
    </row>
    <row r="2" spans="1:10" ht="20.100000000000001" customHeight="1">
      <c r="A2" s="576" t="s">
        <v>0</v>
      </c>
      <c r="B2" s="576" t="s">
        <v>1</v>
      </c>
      <c r="C2" s="576" t="s">
        <v>2</v>
      </c>
      <c r="D2" s="576" t="s">
        <v>5</v>
      </c>
      <c r="E2" s="576" t="s">
        <v>6</v>
      </c>
      <c r="F2" s="576" t="s">
        <v>3</v>
      </c>
      <c r="G2" s="576" t="s">
        <v>4</v>
      </c>
      <c r="H2" s="2" t="s">
        <v>7</v>
      </c>
      <c r="I2" s="580"/>
    </row>
    <row r="3" spans="1:10" ht="20.100000000000001" customHeight="1">
      <c r="A3" s="3" t="s">
        <v>403</v>
      </c>
      <c r="B3" s="4">
        <v>6401</v>
      </c>
      <c r="C3" s="3" t="s">
        <v>8</v>
      </c>
      <c r="D3" s="3" t="s">
        <v>10</v>
      </c>
      <c r="E3" s="3" t="s">
        <v>11</v>
      </c>
      <c r="F3" s="4">
        <v>3704</v>
      </c>
      <c r="G3" s="3" t="s">
        <v>9</v>
      </c>
      <c r="H3" s="5"/>
      <c r="I3">
        <f>VLOOKUP(D3,成本!$F:$H,3,0)</f>
        <v>0</v>
      </c>
      <c r="J3" s="107">
        <f>H3-I3</f>
        <v>0</v>
      </c>
    </row>
    <row r="4" spans="1:10" ht="20.100000000000001" customHeight="1">
      <c r="A4" s="3" t="s">
        <v>403</v>
      </c>
      <c r="B4" s="4">
        <v>6401</v>
      </c>
      <c r="C4" s="3" t="s">
        <v>8</v>
      </c>
      <c r="D4" s="3" t="s">
        <v>12</v>
      </c>
      <c r="E4" s="3" t="s">
        <v>13</v>
      </c>
      <c r="F4" s="4">
        <v>3704</v>
      </c>
      <c r="G4" s="3" t="s">
        <v>9</v>
      </c>
      <c r="H4" s="6">
        <v>105943.4</v>
      </c>
      <c r="I4">
        <f>VLOOKUP(D4,成本!$F:$H,3,0)</f>
        <v>105943.4</v>
      </c>
      <c r="J4" s="107">
        <f t="shared" ref="J4:J67" si="0">H4-I4</f>
        <v>0</v>
      </c>
    </row>
    <row r="5" spans="1:10" ht="20.100000000000001" customHeight="1">
      <c r="A5" s="3" t="s">
        <v>403</v>
      </c>
      <c r="B5" s="4">
        <v>6401</v>
      </c>
      <c r="C5" s="3" t="s">
        <v>8</v>
      </c>
      <c r="D5" s="3" t="s">
        <v>14</v>
      </c>
      <c r="E5" s="3" t="s">
        <v>15</v>
      </c>
      <c r="F5" s="4">
        <v>3704</v>
      </c>
      <c r="G5" s="3" t="s">
        <v>9</v>
      </c>
      <c r="H5" s="6">
        <v>-105943.4</v>
      </c>
      <c r="I5">
        <f>VLOOKUP(D5,成本!$F:$H,3,0)</f>
        <v>0</v>
      </c>
      <c r="J5" s="107">
        <f t="shared" si="0"/>
        <v>-105943.4</v>
      </c>
    </row>
    <row r="6" spans="1:10" ht="20.100000000000001" customHeight="1">
      <c r="A6" s="3" t="s">
        <v>403</v>
      </c>
      <c r="B6" s="4">
        <v>6401</v>
      </c>
      <c r="C6" s="3" t="s">
        <v>8</v>
      </c>
      <c r="D6" s="3" t="s">
        <v>16</v>
      </c>
      <c r="E6" s="3" t="s">
        <v>17</v>
      </c>
      <c r="F6" s="4">
        <v>3704</v>
      </c>
      <c r="G6" s="3" t="s">
        <v>9</v>
      </c>
      <c r="H6" s="5"/>
      <c r="I6">
        <f>VLOOKUP(D6,成本!$F:$H,3,0)</f>
        <v>0</v>
      </c>
      <c r="J6" s="107">
        <f t="shared" si="0"/>
        <v>0</v>
      </c>
    </row>
    <row r="7" spans="1:10" ht="20.100000000000001" customHeight="1">
      <c r="A7" s="3" t="s">
        <v>403</v>
      </c>
      <c r="B7" s="4">
        <v>6401</v>
      </c>
      <c r="C7" s="3" t="s">
        <v>8</v>
      </c>
      <c r="D7" s="3" t="s">
        <v>18</v>
      </c>
      <c r="E7" s="3" t="s">
        <v>19</v>
      </c>
      <c r="F7" s="4">
        <v>3704</v>
      </c>
      <c r="G7" s="3" t="s">
        <v>9</v>
      </c>
      <c r="H7" s="5"/>
      <c r="I7">
        <f>VLOOKUP(D7,成本!$F:$H,3,0)</f>
        <v>0</v>
      </c>
      <c r="J7" s="107">
        <f t="shared" si="0"/>
        <v>0</v>
      </c>
    </row>
    <row r="8" spans="1:10" ht="20.100000000000001" customHeight="1">
      <c r="A8" s="3" t="s">
        <v>403</v>
      </c>
      <c r="B8" s="4">
        <v>6401</v>
      </c>
      <c r="C8" s="3" t="s">
        <v>8</v>
      </c>
      <c r="D8" s="3" t="s">
        <v>20</v>
      </c>
      <c r="E8" s="3" t="s">
        <v>21</v>
      </c>
      <c r="F8" s="4">
        <v>3704</v>
      </c>
      <c r="G8" s="3" t="s">
        <v>9</v>
      </c>
      <c r="H8" s="5"/>
      <c r="I8">
        <f>VLOOKUP(D8,成本!$F:$H,3,0)</f>
        <v>0</v>
      </c>
      <c r="J8" s="107">
        <f t="shared" si="0"/>
        <v>0</v>
      </c>
    </row>
    <row r="9" spans="1:10" ht="20.100000000000001" customHeight="1">
      <c r="A9" s="3" t="s">
        <v>403</v>
      </c>
      <c r="B9" s="4">
        <v>6401</v>
      </c>
      <c r="C9" s="3" t="s">
        <v>8</v>
      </c>
      <c r="D9" s="3" t="s">
        <v>22</v>
      </c>
      <c r="E9" s="3" t="s">
        <v>23</v>
      </c>
      <c r="F9" s="4">
        <v>3704</v>
      </c>
      <c r="G9" s="3" t="s">
        <v>9</v>
      </c>
      <c r="H9" s="5"/>
      <c r="I9">
        <f>VLOOKUP(D9,成本!$F:$H,3,0)</f>
        <v>0</v>
      </c>
      <c r="J9" s="107">
        <f t="shared" si="0"/>
        <v>0</v>
      </c>
    </row>
    <row r="10" spans="1:10" ht="20.100000000000001" customHeight="1">
      <c r="A10" s="3" t="s">
        <v>403</v>
      </c>
      <c r="B10" s="4">
        <v>6401</v>
      </c>
      <c r="C10" s="3" t="s">
        <v>8</v>
      </c>
      <c r="D10" s="3" t="s">
        <v>24</v>
      </c>
      <c r="E10" s="3" t="s">
        <v>25</v>
      </c>
      <c r="F10" s="4">
        <v>3704</v>
      </c>
      <c r="G10" s="3" t="s">
        <v>9</v>
      </c>
      <c r="H10" s="5"/>
      <c r="I10">
        <f>VLOOKUP(D10,成本!$F:$H,3,0)</f>
        <v>0</v>
      </c>
      <c r="J10" s="107">
        <f t="shared" si="0"/>
        <v>0</v>
      </c>
    </row>
    <row r="11" spans="1:10" ht="20.100000000000001" customHeight="1">
      <c r="A11" s="3" t="s">
        <v>403</v>
      </c>
      <c r="B11" s="4">
        <v>6401</v>
      </c>
      <c r="C11" s="3" t="s">
        <v>8</v>
      </c>
      <c r="D11" s="3" t="s">
        <v>26</v>
      </c>
      <c r="E11" s="3" t="s">
        <v>27</v>
      </c>
      <c r="F11" s="4">
        <v>3704</v>
      </c>
      <c r="G11" s="3" t="s">
        <v>9</v>
      </c>
      <c r="H11" s="5"/>
      <c r="I11">
        <f>VLOOKUP(D11,成本!$F:$H,3,0)</f>
        <v>0</v>
      </c>
      <c r="J11" s="107">
        <f t="shared" si="0"/>
        <v>0</v>
      </c>
    </row>
    <row r="12" spans="1:10" ht="20.100000000000001" customHeight="1">
      <c r="A12" s="3" t="s">
        <v>404</v>
      </c>
      <c r="B12" s="4">
        <v>6401</v>
      </c>
      <c r="C12" s="3" t="s">
        <v>8</v>
      </c>
      <c r="D12" s="3" t="s">
        <v>29</v>
      </c>
      <c r="E12" s="3" t="s">
        <v>30</v>
      </c>
      <c r="F12" s="4">
        <v>3704</v>
      </c>
      <c r="G12" s="3" t="s">
        <v>9</v>
      </c>
      <c r="H12" s="5"/>
      <c r="I12">
        <f>VLOOKUP(D12,成本!$F:$H,3,0)</f>
        <v>0</v>
      </c>
      <c r="J12" s="107">
        <f t="shared" si="0"/>
        <v>0</v>
      </c>
    </row>
    <row r="13" spans="1:10" ht="20.100000000000001" customHeight="1">
      <c r="A13" s="3" t="s">
        <v>404</v>
      </c>
      <c r="B13" s="4">
        <v>6401</v>
      </c>
      <c r="C13" s="3" t="s">
        <v>8</v>
      </c>
      <c r="D13" s="3" t="s">
        <v>31</v>
      </c>
      <c r="E13" s="3" t="s">
        <v>32</v>
      </c>
      <c r="F13" s="4">
        <v>3704</v>
      </c>
      <c r="G13" s="3" t="s">
        <v>9</v>
      </c>
      <c r="H13" s="7">
        <v>1</v>
      </c>
      <c r="I13">
        <f>VLOOKUP(D13,成本!$F:$H,3,0)</f>
        <v>0</v>
      </c>
      <c r="J13" s="107">
        <f t="shared" si="0"/>
        <v>1</v>
      </c>
    </row>
    <row r="14" spans="1:10" ht="20.100000000000001" customHeight="1">
      <c r="A14" s="3" t="s">
        <v>404</v>
      </c>
      <c r="B14" s="4">
        <v>6401</v>
      </c>
      <c r="C14" s="3" t="s">
        <v>8</v>
      </c>
      <c r="D14" s="3" t="s">
        <v>33</v>
      </c>
      <c r="E14" s="3" t="s">
        <v>34</v>
      </c>
      <c r="F14" s="4">
        <v>3704</v>
      </c>
      <c r="G14" s="3" t="s">
        <v>9</v>
      </c>
      <c r="H14" s="7">
        <v>1</v>
      </c>
      <c r="I14">
        <f>VLOOKUP(D14,成本!$F:$H,3,0)</f>
        <v>0</v>
      </c>
      <c r="J14" s="107">
        <f t="shared" si="0"/>
        <v>1</v>
      </c>
    </row>
    <row r="15" spans="1:10" ht="20.100000000000001" customHeight="1">
      <c r="A15" s="3" t="s">
        <v>404</v>
      </c>
      <c r="B15" s="4">
        <v>6401</v>
      </c>
      <c r="C15" s="3" t="s">
        <v>8</v>
      </c>
      <c r="D15" s="3" t="s">
        <v>35</v>
      </c>
      <c r="E15" s="3" t="s">
        <v>36</v>
      </c>
      <c r="F15" s="4">
        <v>3704</v>
      </c>
      <c r="G15" s="3" t="s">
        <v>9</v>
      </c>
      <c r="H15" s="5"/>
      <c r="I15">
        <f>VLOOKUP(D15,成本!$F:$H,3,0)</f>
        <v>0</v>
      </c>
      <c r="J15" s="107">
        <f t="shared" si="0"/>
        <v>0</v>
      </c>
    </row>
    <row r="16" spans="1:10" ht="20.100000000000001" customHeight="1">
      <c r="A16" s="3" t="s">
        <v>404</v>
      </c>
      <c r="B16" s="4">
        <v>6401</v>
      </c>
      <c r="C16" s="3" t="s">
        <v>8</v>
      </c>
      <c r="D16" s="3" t="s">
        <v>37</v>
      </c>
      <c r="E16" s="3" t="s">
        <v>38</v>
      </c>
      <c r="F16" s="4">
        <v>3704</v>
      </c>
      <c r="G16" s="3" t="s">
        <v>9</v>
      </c>
      <c r="H16" s="5"/>
      <c r="I16">
        <f>VLOOKUP(D16,成本!$F:$H,3,0)</f>
        <v>0</v>
      </c>
      <c r="J16" s="107">
        <f t="shared" si="0"/>
        <v>0</v>
      </c>
    </row>
    <row r="17" spans="1:10" ht="20.100000000000001" customHeight="1">
      <c r="A17" s="3" t="s">
        <v>404</v>
      </c>
      <c r="B17" s="4">
        <v>6401</v>
      </c>
      <c r="C17" s="3" t="s">
        <v>8</v>
      </c>
      <c r="D17" s="3" t="s">
        <v>39</v>
      </c>
      <c r="E17" s="3" t="s">
        <v>40</v>
      </c>
      <c r="F17" s="4">
        <v>3704</v>
      </c>
      <c r="G17" s="3" t="s">
        <v>9</v>
      </c>
      <c r="H17" s="6">
        <v>-14529.92</v>
      </c>
      <c r="I17">
        <f>VLOOKUP(D17,成本!$F:$H,3,0)</f>
        <v>-14529.92</v>
      </c>
      <c r="J17" s="107">
        <f t="shared" si="0"/>
        <v>0</v>
      </c>
    </row>
    <row r="18" spans="1:10" ht="20.100000000000001" customHeight="1">
      <c r="A18" s="3" t="s">
        <v>404</v>
      </c>
      <c r="B18" s="4">
        <v>6401</v>
      </c>
      <c r="C18" s="3" t="s">
        <v>8</v>
      </c>
      <c r="D18" s="3" t="s">
        <v>41</v>
      </c>
      <c r="E18" s="3" t="s">
        <v>42</v>
      </c>
      <c r="F18" s="4">
        <v>3704</v>
      </c>
      <c r="G18" s="3" t="s">
        <v>9</v>
      </c>
      <c r="H18" s="5"/>
      <c r="I18">
        <f>VLOOKUP(D18,成本!$F:$H,3,0)</f>
        <v>0</v>
      </c>
      <c r="J18" s="107">
        <f t="shared" si="0"/>
        <v>0</v>
      </c>
    </row>
    <row r="19" spans="1:10" ht="20.100000000000001" customHeight="1">
      <c r="A19" s="3" t="s">
        <v>404</v>
      </c>
      <c r="B19" s="4">
        <v>6401</v>
      </c>
      <c r="C19" s="3" t="s">
        <v>8</v>
      </c>
      <c r="D19" s="3" t="s">
        <v>43</v>
      </c>
      <c r="E19" s="3" t="s">
        <v>44</v>
      </c>
      <c r="F19" s="4">
        <v>3704</v>
      </c>
      <c r="G19" s="3" t="s">
        <v>9</v>
      </c>
      <c r="H19" s="5"/>
      <c r="I19">
        <f>VLOOKUP(D19,成本!$F:$H,3,0)</f>
        <v>0</v>
      </c>
      <c r="J19" s="107">
        <f t="shared" si="0"/>
        <v>0</v>
      </c>
    </row>
    <row r="20" spans="1:10" ht="20.100000000000001" customHeight="1">
      <c r="A20" s="3" t="s">
        <v>404</v>
      </c>
      <c r="B20" s="4">
        <v>6401</v>
      </c>
      <c r="C20" s="3" t="s">
        <v>8</v>
      </c>
      <c r="D20" s="3" t="s">
        <v>45</v>
      </c>
      <c r="E20" s="3" t="s">
        <v>46</v>
      </c>
      <c r="F20" s="4">
        <v>3704</v>
      </c>
      <c r="G20" s="3" t="s">
        <v>9</v>
      </c>
      <c r="H20" s="5"/>
      <c r="I20">
        <f>VLOOKUP(D20,成本!$F:$H,3,0)</f>
        <v>0</v>
      </c>
      <c r="J20" s="107">
        <f t="shared" si="0"/>
        <v>0</v>
      </c>
    </row>
    <row r="21" spans="1:10" ht="20.100000000000001" customHeight="1">
      <c r="A21" s="3" t="s">
        <v>404</v>
      </c>
      <c r="B21" s="4">
        <v>6401</v>
      </c>
      <c r="C21" s="3" t="s">
        <v>8</v>
      </c>
      <c r="D21" s="3" t="s">
        <v>47</v>
      </c>
      <c r="E21" s="3" t="s">
        <v>48</v>
      </c>
      <c r="F21" s="4">
        <v>3704</v>
      </c>
      <c r="G21" s="3" t="s">
        <v>9</v>
      </c>
      <c r="H21" s="5"/>
      <c r="I21">
        <f>VLOOKUP(D21,成本!$F:$H,3,0)</f>
        <v>0</v>
      </c>
      <c r="J21" s="107">
        <f t="shared" si="0"/>
        <v>0</v>
      </c>
    </row>
    <row r="22" spans="1:10" ht="20.100000000000001" customHeight="1">
      <c r="A22" s="3" t="s">
        <v>404</v>
      </c>
      <c r="B22" s="4">
        <v>6401</v>
      </c>
      <c r="C22" s="3" t="s">
        <v>8</v>
      </c>
      <c r="D22" s="3" t="s">
        <v>49</v>
      </c>
      <c r="E22" s="3" t="s">
        <v>50</v>
      </c>
      <c r="F22" s="4">
        <v>3704</v>
      </c>
      <c r="G22" s="3" t="s">
        <v>9</v>
      </c>
      <c r="H22" s="7">
        <v>1</v>
      </c>
      <c r="I22">
        <f>VLOOKUP(D22,成本!$F:$H,3,0)</f>
        <v>0</v>
      </c>
      <c r="J22" s="107">
        <f t="shared" si="0"/>
        <v>1</v>
      </c>
    </row>
    <row r="23" spans="1:10" ht="20.100000000000001" customHeight="1">
      <c r="A23" s="3" t="s">
        <v>404</v>
      </c>
      <c r="B23" s="4">
        <v>6401</v>
      </c>
      <c r="C23" s="3" t="s">
        <v>8</v>
      </c>
      <c r="D23" s="3" t="s">
        <v>51</v>
      </c>
      <c r="E23" s="3" t="s">
        <v>52</v>
      </c>
      <c r="F23" s="4">
        <v>3704</v>
      </c>
      <c r="G23" s="3" t="s">
        <v>9</v>
      </c>
      <c r="H23" s="5"/>
      <c r="I23">
        <f>VLOOKUP(D23,成本!$F:$H,3,0)</f>
        <v>0</v>
      </c>
      <c r="J23" s="107">
        <f t="shared" si="0"/>
        <v>0</v>
      </c>
    </row>
    <row r="24" spans="1:10" ht="20.100000000000001" customHeight="1">
      <c r="A24" s="3" t="s">
        <v>404</v>
      </c>
      <c r="B24" s="4">
        <v>6401</v>
      </c>
      <c r="C24" s="3" t="s">
        <v>8</v>
      </c>
      <c r="D24" s="3" t="s">
        <v>10</v>
      </c>
      <c r="E24" s="3" t="s">
        <v>11</v>
      </c>
      <c r="F24" s="4">
        <v>3704</v>
      </c>
      <c r="G24" s="3" t="s">
        <v>9</v>
      </c>
      <c r="H24" s="5"/>
      <c r="I24">
        <f>VLOOKUP(D24,成本!$F:$H,3,0)</f>
        <v>0</v>
      </c>
      <c r="J24" s="107">
        <f t="shared" si="0"/>
        <v>0</v>
      </c>
    </row>
    <row r="25" spans="1:10" ht="20.100000000000001" customHeight="1">
      <c r="A25" s="3" t="s">
        <v>404</v>
      </c>
      <c r="B25" s="4">
        <v>6401</v>
      </c>
      <c r="C25" s="3" t="s">
        <v>8</v>
      </c>
      <c r="D25" s="3" t="s">
        <v>53</v>
      </c>
      <c r="E25" s="3" t="s">
        <v>54</v>
      </c>
      <c r="F25" s="4">
        <v>3704</v>
      </c>
      <c r="G25" s="3" t="s">
        <v>9</v>
      </c>
      <c r="H25" s="7">
        <v>1</v>
      </c>
      <c r="I25">
        <f>VLOOKUP(D25,成本!$F:$H,3,0)</f>
        <v>0</v>
      </c>
      <c r="J25" s="107">
        <f t="shared" si="0"/>
        <v>1</v>
      </c>
    </row>
    <row r="26" spans="1:10" ht="20.100000000000001" customHeight="1">
      <c r="A26" s="3" t="s">
        <v>404</v>
      </c>
      <c r="B26" s="4">
        <v>6401</v>
      </c>
      <c r="C26" s="3" t="s">
        <v>8</v>
      </c>
      <c r="D26" s="3" t="s">
        <v>55</v>
      </c>
      <c r="E26" s="3" t="s">
        <v>56</v>
      </c>
      <c r="F26" s="4">
        <v>3704</v>
      </c>
      <c r="G26" s="3" t="s">
        <v>9</v>
      </c>
      <c r="H26" s="5"/>
      <c r="I26">
        <f>VLOOKUP(D26,成本!$F:$H,3,0)</f>
        <v>0</v>
      </c>
      <c r="J26" s="107">
        <f t="shared" si="0"/>
        <v>0</v>
      </c>
    </row>
    <row r="27" spans="1:10" ht="20.100000000000001" customHeight="1">
      <c r="A27" s="3" t="s">
        <v>404</v>
      </c>
      <c r="B27" s="4">
        <v>6401</v>
      </c>
      <c r="C27" s="3" t="s">
        <v>8</v>
      </c>
      <c r="D27" s="3" t="s">
        <v>16</v>
      </c>
      <c r="E27" s="3" t="s">
        <v>17</v>
      </c>
      <c r="F27" s="4">
        <v>3704</v>
      </c>
      <c r="G27" s="3" t="s">
        <v>9</v>
      </c>
      <c r="H27" s="5"/>
      <c r="I27">
        <f>VLOOKUP(D27,成本!$F:$H,3,0)</f>
        <v>0</v>
      </c>
      <c r="J27" s="107">
        <f t="shared" si="0"/>
        <v>0</v>
      </c>
    </row>
    <row r="28" spans="1:10" ht="20.100000000000001" customHeight="1">
      <c r="A28" s="3" t="s">
        <v>404</v>
      </c>
      <c r="B28" s="4">
        <v>6401</v>
      </c>
      <c r="C28" s="3" t="s">
        <v>8</v>
      </c>
      <c r="D28" s="3" t="s">
        <v>57</v>
      </c>
      <c r="E28" s="3" t="s">
        <v>58</v>
      </c>
      <c r="F28" s="4">
        <v>3704</v>
      </c>
      <c r="G28" s="3" t="s">
        <v>9</v>
      </c>
      <c r="H28" s="5"/>
      <c r="I28">
        <f>VLOOKUP(D28,成本!$F:$H,3,0)</f>
        <v>0</v>
      </c>
      <c r="J28" s="107">
        <f t="shared" si="0"/>
        <v>0</v>
      </c>
    </row>
    <row r="29" spans="1:10" ht="20.100000000000001" customHeight="1">
      <c r="A29" s="3" t="s">
        <v>404</v>
      </c>
      <c r="B29" s="4">
        <v>6401</v>
      </c>
      <c r="C29" s="3" t="s">
        <v>8</v>
      </c>
      <c r="D29" s="3" t="s">
        <v>59</v>
      </c>
      <c r="E29" s="3" t="s">
        <v>60</v>
      </c>
      <c r="F29" s="4">
        <v>3704</v>
      </c>
      <c r="G29" s="3" t="s">
        <v>9</v>
      </c>
      <c r="H29" s="6">
        <v>212264.15</v>
      </c>
      <c r="I29">
        <f>VLOOKUP(D29,成本!$F:$H,3,0)</f>
        <v>212264.15</v>
      </c>
      <c r="J29" s="107">
        <f t="shared" si="0"/>
        <v>0</v>
      </c>
    </row>
    <row r="30" spans="1:10" ht="20.100000000000001" customHeight="1">
      <c r="A30" s="3" t="s">
        <v>404</v>
      </c>
      <c r="B30" s="4">
        <v>6401</v>
      </c>
      <c r="C30" s="3" t="s">
        <v>8</v>
      </c>
      <c r="D30" s="3" t="s">
        <v>61</v>
      </c>
      <c r="E30" s="3" t="s">
        <v>62</v>
      </c>
      <c r="F30" s="4">
        <v>3704</v>
      </c>
      <c r="G30" s="3" t="s">
        <v>9</v>
      </c>
      <c r="H30" s="5"/>
      <c r="I30">
        <f>VLOOKUP(D30,成本!$F:$H,3,0)</f>
        <v>0</v>
      </c>
      <c r="J30" s="107">
        <f t="shared" si="0"/>
        <v>0</v>
      </c>
    </row>
    <row r="31" spans="1:10" ht="20.100000000000001" customHeight="1">
      <c r="A31" s="3" t="s">
        <v>404</v>
      </c>
      <c r="B31" s="4">
        <v>6401</v>
      </c>
      <c r="C31" s="3" t="s">
        <v>8</v>
      </c>
      <c r="D31" s="3" t="s">
        <v>63</v>
      </c>
      <c r="E31" s="3" t="s">
        <v>64</v>
      </c>
      <c r="F31" s="4">
        <v>3704</v>
      </c>
      <c r="G31" s="3" t="s">
        <v>9</v>
      </c>
      <c r="H31" s="5"/>
      <c r="I31">
        <f>VLOOKUP(D31,成本!$F:$H,3,0)</f>
        <v>0</v>
      </c>
      <c r="J31" s="107">
        <f t="shared" si="0"/>
        <v>0</v>
      </c>
    </row>
    <row r="32" spans="1:10" ht="20.100000000000001" customHeight="1">
      <c r="A32" s="3" t="s">
        <v>404</v>
      </c>
      <c r="B32" s="4">
        <v>6401</v>
      </c>
      <c r="C32" s="3" t="s">
        <v>8</v>
      </c>
      <c r="D32" s="3" t="s">
        <v>65</v>
      </c>
      <c r="E32" s="3" t="s">
        <v>66</v>
      </c>
      <c r="F32" s="4">
        <v>3704</v>
      </c>
      <c r="G32" s="3" t="s">
        <v>9</v>
      </c>
      <c r="H32" s="5"/>
      <c r="I32">
        <f>VLOOKUP(D32,成本!$F:$H,3,0)</f>
        <v>0</v>
      </c>
      <c r="J32" s="107">
        <f t="shared" si="0"/>
        <v>0</v>
      </c>
    </row>
    <row r="33" spans="1:10" ht="20.100000000000001" customHeight="1">
      <c r="A33" s="3" t="s">
        <v>404</v>
      </c>
      <c r="B33" s="4">
        <v>6401</v>
      </c>
      <c r="C33" s="3" t="s">
        <v>8</v>
      </c>
      <c r="D33" s="3" t="s">
        <v>67</v>
      </c>
      <c r="E33" s="3" t="s">
        <v>68</v>
      </c>
      <c r="F33" s="4">
        <v>3704</v>
      </c>
      <c r="G33" s="3" t="s">
        <v>9</v>
      </c>
      <c r="H33" s="6">
        <v>-212264.15</v>
      </c>
      <c r="I33">
        <f>VLOOKUP(D33,成本!$F:$H,3,0)</f>
        <v>84706.240000000005</v>
      </c>
      <c r="J33" s="107">
        <f t="shared" si="0"/>
        <v>-296970.39</v>
      </c>
    </row>
    <row r="34" spans="1:10" ht="20.100000000000001" customHeight="1">
      <c r="A34" s="3" t="s">
        <v>404</v>
      </c>
      <c r="B34" s="4">
        <v>6401</v>
      </c>
      <c r="C34" s="3" t="s">
        <v>8</v>
      </c>
      <c r="D34" s="3" t="s">
        <v>69</v>
      </c>
      <c r="E34" s="3" t="s">
        <v>70</v>
      </c>
      <c r="F34" s="4">
        <v>3704</v>
      </c>
      <c r="G34" s="3" t="s">
        <v>9</v>
      </c>
      <c r="H34" s="6">
        <v>-3029.4</v>
      </c>
      <c r="I34">
        <f>VLOOKUP(D34,成本!$F:$H,3,0)</f>
        <v>-3029.4</v>
      </c>
      <c r="J34" s="107">
        <f t="shared" si="0"/>
        <v>0</v>
      </c>
    </row>
    <row r="35" spans="1:10" ht="20.100000000000001" customHeight="1">
      <c r="A35" s="3" t="s">
        <v>404</v>
      </c>
      <c r="B35" s="4">
        <v>6401</v>
      </c>
      <c r="C35" s="3" t="s">
        <v>8</v>
      </c>
      <c r="D35" s="3" t="s">
        <v>18</v>
      </c>
      <c r="E35" s="3" t="s">
        <v>19</v>
      </c>
      <c r="F35" s="4">
        <v>3704</v>
      </c>
      <c r="G35" s="3" t="s">
        <v>9</v>
      </c>
      <c r="H35" s="5"/>
      <c r="I35">
        <f>VLOOKUP(D35,成本!$F:$H,3,0)</f>
        <v>0</v>
      </c>
      <c r="J35" s="107">
        <f t="shared" si="0"/>
        <v>0</v>
      </c>
    </row>
    <row r="36" spans="1:10" ht="20.100000000000001" customHeight="1">
      <c r="A36" s="3" t="s">
        <v>404</v>
      </c>
      <c r="B36" s="4">
        <v>6401</v>
      </c>
      <c r="C36" s="3" t="s">
        <v>8</v>
      </c>
      <c r="D36" s="3" t="s">
        <v>71</v>
      </c>
      <c r="E36" s="3" t="s">
        <v>72</v>
      </c>
      <c r="F36" s="4">
        <v>3704</v>
      </c>
      <c r="G36" s="3" t="s">
        <v>9</v>
      </c>
      <c r="H36" s="5"/>
      <c r="I36">
        <f>VLOOKUP(D36,成本!$F:$H,3,0)</f>
        <v>0</v>
      </c>
      <c r="J36" s="107">
        <f t="shared" si="0"/>
        <v>0</v>
      </c>
    </row>
    <row r="37" spans="1:10" ht="20.100000000000001" customHeight="1">
      <c r="A37" s="3" t="s">
        <v>404</v>
      </c>
      <c r="B37" s="4">
        <v>6401</v>
      </c>
      <c r="C37" s="3" t="s">
        <v>8</v>
      </c>
      <c r="D37" s="3" t="s">
        <v>73</v>
      </c>
      <c r="E37" s="3" t="s">
        <v>74</v>
      </c>
      <c r="F37" s="4">
        <v>3704</v>
      </c>
      <c r="G37" s="3" t="s">
        <v>9</v>
      </c>
      <c r="H37" s="6">
        <v>-26300</v>
      </c>
      <c r="I37">
        <f>VLOOKUP(D37,成本!$F:$H,3,0)</f>
        <v>0</v>
      </c>
      <c r="J37" s="107">
        <f t="shared" si="0"/>
        <v>-26300</v>
      </c>
    </row>
    <row r="38" spans="1:10" ht="20.100000000000001" customHeight="1">
      <c r="A38" s="3" t="s">
        <v>404</v>
      </c>
      <c r="B38" s="4">
        <v>6401</v>
      </c>
      <c r="C38" s="3" t="s">
        <v>8</v>
      </c>
      <c r="D38" s="3" t="s">
        <v>75</v>
      </c>
      <c r="E38" s="3" t="s">
        <v>76</v>
      </c>
      <c r="F38" s="4">
        <v>3704</v>
      </c>
      <c r="G38" s="3" t="s">
        <v>9</v>
      </c>
      <c r="H38" s="6">
        <v>26301</v>
      </c>
      <c r="I38">
        <f>VLOOKUP(D38,成本!$F:$H,3,0)</f>
        <v>26300</v>
      </c>
      <c r="J38" s="107">
        <f t="shared" si="0"/>
        <v>1</v>
      </c>
    </row>
    <row r="39" spans="1:10" ht="20.100000000000001" customHeight="1">
      <c r="A39" s="3" t="s">
        <v>404</v>
      </c>
      <c r="B39" s="4">
        <v>6401</v>
      </c>
      <c r="C39" s="3" t="s">
        <v>8</v>
      </c>
      <c r="D39" s="3" t="s">
        <v>77</v>
      </c>
      <c r="E39" s="3" t="s">
        <v>78</v>
      </c>
      <c r="F39" s="4">
        <v>3704</v>
      </c>
      <c r="G39" s="3" t="s">
        <v>9</v>
      </c>
      <c r="H39" s="5"/>
      <c r="I39">
        <f>VLOOKUP(D39,成本!$F:$H,3,0)</f>
        <v>0</v>
      </c>
      <c r="J39" s="107">
        <f t="shared" si="0"/>
        <v>0</v>
      </c>
    </row>
    <row r="40" spans="1:10" ht="20.100000000000001" customHeight="1">
      <c r="A40" s="3" t="s">
        <v>404</v>
      </c>
      <c r="B40" s="4">
        <v>6401</v>
      </c>
      <c r="C40" s="3" t="s">
        <v>8</v>
      </c>
      <c r="D40" s="3" t="s">
        <v>79</v>
      </c>
      <c r="E40" s="3" t="s">
        <v>80</v>
      </c>
      <c r="F40" s="4">
        <v>3704</v>
      </c>
      <c r="G40" s="3" t="s">
        <v>9</v>
      </c>
      <c r="H40" s="5"/>
      <c r="I40">
        <f>VLOOKUP(D40,成本!$F:$H,3,0)</f>
        <v>0</v>
      </c>
      <c r="J40" s="107">
        <f t="shared" si="0"/>
        <v>0</v>
      </c>
    </row>
    <row r="41" spans="1:10" ht="20.100000000000001" customHeight="1">
      <c r="A41" s="3" t="s">
        <v>404</v>
      </c>
      <c r="B41" s="4">
        <v>6401</v>
      </c>
      <c r="C41" s="3" t="s">
        <v>8</v>
      </c>
      <c r="D41" s="3" t="s">
        <v>81</v>
      </c>
      <c r="E41" s="3" t="s">
        <v>82</v>
      </c>
      <c r="F41" s="4">
        <v>3704</v>
      </c>
      <c r="G41" s="3" t="s">
        <v>9</v>
      </c>
      <c r="H41" s="5"/>
      <c r="I41">
        <f>VLOOKUP(D41,成本!$F:$H,3,0)</f>
        <v>0</v>
      </c>
      <c r="J41" s="107">
        <f t="shared" si="0"/>
        <v>0</v>
      </c>
    </row>
    <row r="42" spans="1:10" ht="20.100000000000001" customHeight="1">
      <c r="A42" s="3" t="s">
        <v>404</v>
      </c>
      <c r="B42" s="4">
        <v>6401</v>
      </c>
      <c r="C42" s="3" t="s">
        <v>8</v>
      </c>
      <c r="D42" s="3" t="s">
        <v>83</v>
      </c>
      <c r="E42" s="3" t="s">
        <v>84</v>
      </c>
      <c r="F42" s="4">
        <v>3704</v>
      </c>
      <c r="G42" s="3" t="s">
        <v>9</v>
      </c>
      <c r="H42" s="5"/>
      <c r="I42">
        <f>VLOOKUP(D42,成本!$F:$H,3,0)</f>
        <v>0</v>
      </c>
      <c r="J42" s="107">
        <f t="shared" si="0"/>
        <v>0</v>
      </c>
    </row>
    <row r="43" spans="1:10" ht="20.100000000000001" customHeight="1">
      <c r="A43" s="3" t="s">
        <v>404</v>
      </c>
      <c r="B43" s="4">
        <v>6401</v>
      </c>
      <c r="C43" s="3" t="s">
        <v>8</v>
      </c>
      <c r="D43" s="3" t="s">
        <v>85</v>
      </c>
      <c r="E43" s="3" t="s">
        <v>86</v>
      </c>
      <c r="F43" s="4">
        <v>3704</v>
      </c>
      <c r="G43" s="3" t="s">
        <v>9</v>
      </c>
      <c r="H43" s="5"/>
      <c r="I43">
        <f>VLOOKUP(D43,成本!$F:$H,3,0)</f>
        <v>0</v>
      </c>
      <c r="J43" s="107">
        <f t="shared" si="0"/>
        <v>0</v>
      </c>
    </row>
    <row r="44" spans="1:10" ht="20.100000000000001" customHeight="1">
      <c r="A44" s="3" t="s">
        <v>404</v>
      </c>
      <c r="B44" s="4">
        <v>6401</v>
      </c>
      <c r="C44" s="3" t="s">
        <v>8</v>
      </c>
      <c r="D44" s="3" t="s">
        <v>87</v>
      </c>
      <c r="E44" s="3" t="s">
        <v>88</v>
      </c>
      <c r="F44" s="4">
        <v>3704</v>
      </c>
      <c r="G44" s="3" t="s">
        <v>9</v>
      </c>
      <c r="H44" s="5"/>
      <c r="I44">
        <f>VLOOKUP(D44,成本!$F:$H,3,0)</f>
        <v>0</v>
      </c>
      <c r="J44" s="107">
        <f t="shared" si="0"/>
        <v>0</v>
      </c>
    </row>
    <row r="45" spans="1:10" ht="20.100000000000001" customHeight="1">
      <c r="A45" s="3" t="s">
        <v>404</v>
      </c>
      <c r="B45" s="4">
        <v>6401</v>
      </c>
      <c r="C45" s="3" t="s">
        <v>8</v>
      </c>
      <c r="D45" s="3" t="s">
        <v>89</v>
      </c>
      <c r="E45" s="3" t="s">
        <v>90</v>
      </c>
      <c r="F45" s="4">
        <v>3704</v>
      </c>
      <c r="G45" s="3" t="s">
        <v>9</v>
      </c>
      <c r="H45" s="5"/>
      <c r="I45">
        <f>VLOOKUP(D45,成本!$F:$H,3,0)</f>
        <v>0</v>
      </c>
      <c r="J45" s="107">
        <f t="shared" si="0"/>
        <v>0</v>
      </c>
    </row>
    <row r="46" spans="1:10" ht="20.100000000000001" customHeight="1">
      <c r="A46" s="3" t="s">
        <v>404</v>
      </c>
      <c r="B46" s="4">
        <v>6401</v>
      </c>
      <c r="C46" s="3" t="s">
        <v>8</v>
      </c>
      <c r="D46" s="3" t="s">
        <v>91</v>
      </c>
      <c r="E46" s="3" t="s">
        <v>92</v>
      </c>
      <c r="F46" s="4">
        <v>3704</v>
      </c>
      <c r="G46" s="3" t="s">
        <v>9</v>
      </c>
      <c r="H46" s="5"/>
      <c r="I46">
        <f>VLOOKUP(D46,成本!$F:$H,3,0)</f>
        <v>0</v>
      </c>
      <c r="J46" s="107">
        <f t="shared" si="0"/>
        <v>0</v>
      </c>
    </row>
    <row r="47" spans="1:10" ht="20.100000000000001" customHeight="1">
      <c r="A47" s="3" t="s">
        <v>404</v>
      </c>
      <c r="B47" s="4">
        <v>6401</v>
      </c>
      <c r="C47" s="3" t="s">
        <v>8</v>
      </c>
      <c r="D47" s="3" t="s">
        <v>93</v>
      </c>
      <c r="E47" s="3" t="s">
        <v>94</v>
      </c>
      <c r="F47" s="4">
        <v>3704</v>
      </c>
      <c r="G47" s="3" t="s">
        <v>9</v>
      </c>
      <c r="H47" s="5"/>
      <c r="I47">
        <f>VLOOKUP(D47,成本!$F:$H,3,0)</f>
        <v>0</v>
      </c>
      <c r="J47" s="107">
        <f t="shared" si="0"/>
        <v>0</v>
      </c>
    </row>
    <row r="48" spans="1:10" ht="20.100000000000001" customHeight="1">
      <c r="A48" s="3" t="s">
        <v>404</v>
      </c>
      <c r="B48" s="4">
        <v>6401</v>
      </c>
      <c r="C48" s="3" t="s">
        <v>8</v>
      </c>
      <c r="D48" s="3" t="s">
        <v>95</v>
      </c>
      <c r="E48" s="3" t="s">
        <v>96</v>
      </c>
      <c r="F48" s="4">
        <v>3704</v>
      </c>
      <c r="G48" s="3" t="s">
        <v>9</v>
      </c>
      <c r="H48" s="5"/>
      <c r="I48">
        <f>VLOOKUP(D48,成本!$F:$H,3,0)</f>
        <v>0</v>
      </c>
      <c r="J48" s="107">
        <f t="shared" si="0"/>
        <v>0</v>
      </c>
    </row>
    <row r="49" spans="1:10" ht="20.100000000000001" customHeight="1">
      <c r="A49" s="3" t="s">
        <v>404</v>
      </c>
      <c r="B49" s="4">
        <v>6401</v>
      </c>
      <c r="C49" s="3" t="s">
        <v>8</v>
      </c>
      <c r="D49" s="3" t="s">
        <v>97</v>
      </c>
      <c r="E49" s="3" t="s">
        <v>98</v>
      </c>
      <c r="F49" s="4">
        <v>3704</v>
      </c>
      <c r="G49" s="3" t="s">
        <v>9</v>
      </c>
      <c r="H49" s="6">
        <v>387169.77</v>
      </c>
      <c r="I49">
        <f>VLOOKUP(D49,成本!$F:$H,3,0)</f>
        <v>387169.77</v>
      </c>
      <c r="J49" s="107">
        <f t="shared" si="0"/>
        <v>0</v>
      </c>
    </row>
    <row r="50" spans="1:10" ht="20.100000000000001" customHeight="1">
      <c r="A50" s="3" t="s">
        <v>404</v>
      </c>
      <c r="B50" s="4">
        <v>6401</v>
      </c>
      <c r="C50" s="3" t="s">
        <v>8</v>
      </c>
      <c r="D50" s="3" t="s">
        <v>99</v>
      </c>
      <c r="E50" s="3" t="s">
        <v>100</v>
      </c>
      <c r="F50" s="4">
        <v>3704</v>
      </c>
      <c r="G50" s="3" t="s">
        <v>9</v>
      </c>
      <c r="H50" s="5"/>
      <c r="I50">
        <f>VLOOKUP(D50,成本!$F:$H,3,0)</f>
        <v>0</v>
      </c>
      <c r="J50" s="107">
        <f t="shared" si="0"/>
        <v>0</v>
      </c>
    </row>
    <row r="51" spans="1:10" ht="20.100000000000001" customHeight="1">
      <c r="A51" s="3" t="s">
        <v>404</v>
      </c>
      <c r="B51" s="4">
        <v>6401</v>
      </c>
      <c r="C51" s="3" t="s">
        <v>8</v>
      </c>
      <c r="D51" s="3" t="s">
        <v>101</v>
      </c>
      <c r="E51" s="3" t="s">
        <v>102</v>
      </c>
      <c r="F51" s="4">
        <v>3704</v>
      </c>
      <c r="G51" s="3" t="s">
        <v>9</v>
      </c>
      <c r="H51" s="5"/>
      <c r="I51">
        <f>VLOOKUP(D51,成本!$F:$H,3,0)</f>
        <v>0</v>
      </c>
      <c r="J51" s="107">
        <f t="shared" si="0"/>
        <v>0</v>
      </c>
    </row>
    <row r="52" spans="1:10" ht="20.100000000000001" customHeight="1">
      <c r="A52" s="3" t="s">
        <v>404</v>
      </c>
      <c r="B52" s="4">
        <v>6401</v>
      </c>
      <c r="C52" s="3" t="s">
        <v>8</v>
      </c>
      <c r="D52" s="3" t="s">
        <v>103</v>
      </c>
      <c r="E52" s="3" t="s">
        <v>104</v>
      </c>
      <c r="F52" s="4">
        <v>3704</v>
      </c>
      <c r="G52" s="3" t="s">
        <v>9</v>
      </c>
      <c r="H52" s="5"/>
      <c r="I52">
        <f>VLOOKUP(D52,成本!$F:$H,3,0)</f>
        <v>0</v>
      </c>
      <c r="J52" s="107">
        <f t="shared" si="0"/>
        <v>0</v>
      </c>
    </row>
    <row r="53" spans="1:10" ht="20.100000000000001" customHeight="1">
      <c r="A53" s="3" t="s">
        <v>404</v>
      </c>
      <c r="B53" s="4">
        <v>6401</v>
      </c>
      <c r="C53" s="3" t="s">
        <v>8</v>
      </c>
      <c r="D53" s="3" t="s">
        <v>105</v>
      </c>
      <c r="E53" s="3" t="s">
        <v>106</v>
      </c>
      <c r="F53" s="4">
        <v>3704</v>
      </c>
      <c r="G53" s="3" t="s">
        <v>9</v>
      </c>
      <c r="H53" s="5"/>
      <c r="I53">
        <f>VLOOKUP(D53,成本!$F:$H,3,0)</f>
        <v>0</v>
      </c>
      <c r="J53" s="107">
        <f t="shared" si="0"/>
        <v>0</v>
      </c>
    </row>
    <row r="54" spans="1:10" ht="20.100000000000001" customHeight="1">
      <c r="A54" s="3" t="s">
        <v>404</v>
      </c>
      <c r="B54" s="4">
        <v>6401</v>
      </c>
      <c r="C54" s="3" t="s">
        <v>8</v>
      </c>
      <c r="D54" s="3" t="s">
        <v>107</v>
      </c>
      <c r="E54" s="3" t="s">
        <v>108</v>
      </c>
      <c r="F54" s="4">
        <v>3704</v>
      </c>
      <c r="G54" s="3" t="s">
        <v>9</v>
      </c>
      <c r="H54" s="5"/>
      <c r="I54">
        <f>VLOOKUP(D54,成本!$F:$H,3,0)</f>
        <v>0</v>
      </c>
      <c r="J54" s="107">
        <f t="shared" si="0"/>
        <v>0</v>
      </c>
    </row>
    <row r="55" spans="1:10" ht="20.100000000000001" customHeight="1">
      <c r="A55" s="3" t="s">
        <v>404</v>
      </c>
      <c r="B55" s="4">
        <v>6401</v>
      </c>
      <c r="C55" s="3" t="s">
        <v>8</v>
      </c>
      <c r="D55" s="3" t="s">
        <v>109</v>
      </c>
      <c r="E55" s="3" t="s">
        <v>110</v>
      </c>
      <c r="F55" s="4">
        <v>3704</v>
      </c>
      <c r="G55" s="3" t="s">
        <v>9</v>
      </c>
      <c r="H55" s="5"/>
      <c r="I55">
        <f>VLOOKUP(D55,成本!$F:$H,3,0)</f>
        <v>0</v>
      </c>
      <c r="J55" s="107">
        <f t="shared" si="0"/>
        <v>0</v>
      </c>
    </row>
    <row r="56" spans="1:10" ht="20.100000000000001" customHeight="1">
      <c r="A56" s="3" t="s">
        <v>404</v>
      </c>
      <c r="B56" s="4">
        <v>6401</v>
      </c>
      <c r="C56" s="3" t="s">
        <v>8</v>
      </c>
      <c r="D56" s="3" t="s">
        <v>111</v>
      </c>
      <c r="E56" s="3" t="s">
        <v>112</v>
      </c>
      <c r="F56" s="4">
        <v>3704</v>
      </c>
      <c r="G56" s="3" t="s">
        <v>9</v>
      </c>
      <c r="H56" s="5"/>
      <c r="I56">
        <f>VLOOKUP(D56,成本!$F:$H,3,0)</f>
        <v>0</v>
      </c>
      <c r="J56" s="107">
        <f t="shared" si="0"/>
        <v>0</v>
      </c>
    </row>
    <row r="57" spans="1:10" ht="20.100000000000001" customHeight="1">
      <c r="A57" s="3" t="s">
        <v>404</v>
      </c>
      <c r="B57" s="4">
        <v>6401</v>
      </c>
      <c r="C57" s="3" t="s">
        <v>8</v>
      </c>
      <c r="D57" s="3" t="s">
        <v>113</v>
      </c>
      <c r="E57" s="3" t="s">
        <v>114</v>
      </c>
      <c r="F57" s="4">
        <v>3704</v>
      </c>
      <c r="G57" s="3" t="s">
        <v>9</v>
      </c>
      <c r="H57" s="6">
        <v>386354.7</v>
      </c>
      <c r="I57">
        <f>VLOOKUP(D57,成本!$F:$H,3,0)</f>
        <v>386354.7</v>
      </c>
      <c r="J57" s="107">
        <f t="shared" si="0"/>
        <v>0</v>
      </c>
    </row>
    <row r="58" spans="1:10" ht="20.100000000000001" customHeight="1">
      <c r="A58" s="3" t="s">
        <v>404</v>
      </c>
      <c r="B58" s="4">
        <v>6401</v>
      </c>
      <c r="C58" s="3" t="s">
        <v>8</v>
      </c>
      <c r="D58" s="3" t="s">
        <v>115</v>
      </c>
      <c r="E58" s="3" t="s">
        <v>116</v>
      </c>
      <c r="F58" s="4">
        <v>3704</v>
      </c>
      <c r="G58" s="3" t="s">
        <v>9</v>
      </c>
      <c r="H58" s="5"/>
      <c r="I58">
        <f>VLOOKUP(D58,成本!$F:$H,3,0)</f>
        <v>0</v>
      </c>
      <c r="J58" s="107">
        <f t="shared" si="0"/>
        <v>0</v>
      </c>
    </row>
    <row r="59" spans="1:10" ht="20.100000000000001" customHeight="1">
      <c r="A59" s="3" t="s">
        <v>404</v>
      </c>
      <c r="B59" s="4">
        <v>6401</v>
      </c>
      <c r="C59" s="3" t="s">
        <v>8</v>
      </c>
      <c r="D59" s="3" t="s">
        <v>117</v>
      </c>
      <c r="E59" s="3" t="s">
        <v>118</v>
      </c>
      <c r="F59" s="4">
        <v>3704</v>
      </c>
      <c r="G59" s="3" t="s">
        <v>9</v>
      </c>
      <c r="H59" s="7">
        <v>1</v>
      </c>
      <c r="I59">
        <f>VLOOKUP(D59,成本!$F:$H,3,0)</f>
        <v>0</v>
      </c>
      <c r="J59" s="107">
        <f t="shared" si="0"/>
        <v>1</v>
      </c>
    </row>
    <row r="60" spans="1:10" ht="20.100000000000001" customHeight="1">
      <c r="A60" s="3" t="s">
        <v>404</v>
      </c>
      <c r="B60" s="4">
        <v>6401</v>
      </c>
      <c r="C60" s="3" t="s">
        <v>8</v>
      </c>
      <c r="D60" s="3" t="s">
        <v>119</v>
      </c>
      <c r="E60" s="3" t="s">
        <v>120</v>
      </c>
      <c r="F60" s="4">
        <v>3704</v>
      </c>
      <c r="G60" s="3" t="s">
        <v>9</v>
      </c>
      <c r="H60" s="7">
        <v>1</v>
      </c>
      <c r="I60">
        <f>VLOOKUP(D60,成本!$F:$H,3,0)</f>
        <v>0</v>
      </c>
      <c r="J60" s="107">
        <f t="shared" si="0"/>
        <v>1</v>
      </c>
    </row>
    <row r="61" spans="1:10" ht="20.100000000000001" customHeight="1">
      <c r="A61" s="3" t="s">
        <v>404</v>
      </c>
      <c r="B61" s="4">
        <v>6401</v>
      </c>
      <c r="C61" s="3" t="s">
        <v>8</v>
      </c>
      <c r="D61" s="3" t="s">
        <v>121</v>
      </c>
      <c r="E61" s="3" t="s">
        <v>122</v>
      </c>
      <c r="F61" s="4">
        <v>3704</v>
      </c>
      <c r="G61" s="3" t="s">
        <v>9</v>
      </c>
      <c r="H61" s="7">
        <v>1</v>
      </c>
      <c r="I61">
        <f>VLOOKUP(D61,成本!$F:$H,3,0)</f>
        <v>0</v>
      </c>
      <c r="J61" s="107">
        <f t="shared" si="0"/>
        <v>1</v>
      </c>
    </row>
    <row r="62" spans="1:10" ht="20.100000000000001" customHeight="1">
      <c r="A62" s="3" t="s">
        <v>404</v>
      </c>
      <c r="B62" s="4">
        <v>6401</v>
      </c>
      <c r="C62" s="3" t="s">
        <v>8</v>
      </c>
      <c r="D62" s="3" t="s">
        <v>123</v>
      </c>
      <c r="E62" s="3" t="s">
        <v>124</v>
      </c>
      <c r="F62" s="4">
        <v>3704</v>
      </c>
      <c r="G62" s="3" t="s">
        <v>9</v>
      </c>
      <c r="H62" s="5"/>
      <c r="I62">
        <f>VLOOKUP(D62,成本!$F:$H,3,0)</f>
        <v>0</v>
      </c>
      <c r="J62" s="107">
        <f t="shared" si="0"/>
        <v>0</v>
      </c>
    </row>
    <row r="63" spans="1:10" ht="20.100000000000001" customHeight="1">
      <c r="A63" s="3" t="s">
        <v>404</v>
      </c>
      <c r="B63" s="4">
        <v>6401</v>
      </c>
      <c r="C63" s="3" t="s">
        <v>8</v>
      </c>
      <c r="D63" s="3" t="s">
        <v>125</v>
      </c>
      <c r="E63" s="3" t="s">
        <v>126</v>
      </c>
      <c r="F63" s="4">
        <v>3704</v>
      </c>
      <c r="G63" s="3" t="s">
        <v>9</v>
      </c>
      <c r="H63" s="5"/>
      <c r="I63">
        <f>VLOOKUP(D63,成本!$F:$H,3,0)</f>
        <v>0</v>
      </c>
      <c r="J63" s="107">
        <f t="shared" si="0"/>
        <v>0</v>
      </c>
    </row>
    <row r="64" spans="1:10" ht="20.100000000000001" customHeight="1">
      <c r="A64" s="3" t="s">
        <v>404</v>
      </c>
      <c r="B64" s="4">
        <v>6401</v>
      </c>
      <c r="C64" s="3" t="s">
        <v>8</v>
      </c>
      <c r="D64" s="3" t="s">
        <v>127</v>
      </c>
      <c r="E64" s="3" t="s">
        <v>128</v>
      </c>
      <c r="F64" s="4">
        <v>3704</v>
      </c>
      <c r="G64" s="3" t="s">
        <v>9</v>
      </c>
      <c r="H64" s="6">
        <v>341880.35</v>
      </c>
      <c r="I64">
        <f>VLOOKUP(D64,成本!$F:$H,3,0)</f>
        <v>341880.35</v>
      </c>
      <c r="J64" s="107">
        <f t="shared" si="0"/>
        <v>0</v>
      </c>
    </row>
    <row r="65" spans="1:10" ht="20.100000000000001" customHeight="1">
      <c r="A65" s="3" t="s">
        <v>404</v>
      </c>
      <c r="B65" s="4">
        <v>6401</v>
      </c>
      <c r="C65" s="3" t="s">
        <v>8</v>
      </c>
      <c r="D65" s="3" t="s">
        <v>129</v>
      </c>
      <c r="E65" s="3" t="s">
        <v>130</v>
      </c>
      <c r="F65" s="4">
        <v>3704</v>
      </c>
      <c r="G65" s="3" t="s">
        <v>9</v>
      </c>
      <c r="H65" s="5"/>
      <c r="I65">
        <f>VLOOKUP(D65,成本!$F:$H,3,0)</f>
        <v>0</v>
      </c>
      <c r="J65" s="107">
        <f t="shared" si="0"/>
        <v>0</v>
      </c>
    </row>
    <row r="66" spans="1:10" ht="20.100000000000001" customHeight="1">
      <c r="A66" s="3" t="s">
        <v>404</v>
      </c>
      <c r="B66" s="4">
        <v>6401</v>
      </c>
      <c r="C66" s="3" t="s">
        <v>8</v>
      </c>
      <c r="D66" s="3" t="s">
        <v>131</v>
      </c>
      <c r="E66" s="3" t="s">
        <v>132</v>
      </c>
      <c r="F66" s="4">
        <v>3704</v>
      </c>
      <c r="G66" s="3" t="s">
        <v>9</v>
      </c>
      <c r="H66" s="6">
        <v>61738.04</v>
      </c>
      <c r="I66">
        <f>VLOOKUP(D66,成本!$F:$H,3,0)</f>
        <v>61738.04</v>
      </c>
      <c r="J66" s="107">
        <f t="shared" si="0"/>
        <v>0</v>
      </c>
    </row>
    <row r="67" spans="1:10" ht="20.100000000000001" customHeight="1">
      <c r="A67" s="3" t="s">
        <v>404</v>
      </c>
      <c r="B67" s="4">
        <v>6401</v>
      </c>
      <c r="C67" s="3" t="s">
        <v>8</v>
      </c>
      <c r="D67" s="3" t="s">
        <v>133</v>
      </c>
      <c r="E67" s="3" t="s">
        <v>134</v>
      </c>
      <c r="F67" s="4">
        <v>3704</v>
      </c>
      <c r="G67" s="3" t="s">
        <v>9</v>
      </c>
      <c r="H67" s="7">
        <v>1</v>
      </c>
      <c r="I67">
        <f>VLOOKUP(D67,成本!$F:$H,3,0)</f>
        <v>0</v>
      </c>
      <c r="J67" s="107">
        <f t="shared" si="0"/>
        <v>1</v>
      </c>
    </row>
    <row r="68" spans="1:10" ht="20.100000000000001" customHeight="1">
      <c r="A68" s="3" t="s">
        <v>404</v>
      </c>
      <c r="B68" s="4">
        <v>6401</v>
      </c>
      <c r="C68" s="3" t="s">
        <v>8</v>
      </c>
      <c r="D68" s="3" t="s">
        <v>135</v>
      </c>
      <c r="E68" s="3" t="s">
        <v>136</v>
      </c>
      <c r="F68" s="4">
        <v>3704</v>
      </c>
      <c r="G68" s="3" t="s">
        <v>9</v>
      </c>
      <c r="H68" s="7">
        <v>1</v>
      </c>
      <c r="I68">
        <f>VLOOKUP(D68,成本!$F:$H,3,0)</f>
        <v>0</v>
      </c>
      <c r="J68" s="107">
        <f t="shared" ref="J68:J101" si="1">H68-I68</f>
        <v>1</v>
      </c>
    </row>
    <row r="69" spans="1:10" ht="20.100000000000001" customHeight="1">
      <c r="A69" s="3" t="s">
        <v>404</v>
      </c>
      <c r="B69" s="4">
        <v>6401</v>
      </c>
      <c r="C69" s="3" t="s">
        <v>8</v>
      </c>
      <c r="D69" s="3" t="s">
        <v>137</v>
      </c>
      <c r="E69" s="3" t="s">
        <v>138</v>
      </c>
      <c r="F69" s="4">
        <v>3704</v>
      </c>
      <c r="G69" s="3" t="s">
        <v>9</v>
      </c>
      <c r="H69" s="5"/>
      <c r="I69">
        <f>VLOOKUP(D69,成本!$F:$H,3,0)</f>
        <v>0</v>
      </c>
      <c r="J69" s="107">
        <f t="shared" si="1"/>
        <v>0</v>
      </c>
    </row>
    <row r="70" spans="1:10" ht="20.100000000000001" customHeight="1">
      <c r="A70" s="3" t="s">
        <v>404</v>
      </c>
      <c r="B70" s="4">
        <v>6401</v>
      </c>
      <c r="C70" s="3" t="s">
        <v>8</v>
      </c>
      <c r="D70" s="3" t="s">
        <v>139</v>
      </c>
      <c r="E70" s="3" t="s">
        <v>140</v>
      </c>
      <c r="F70" s="4">
        <v>3704</v>
      </c>
      <c r="G70" s="3" t="s">
        <v>9</v>
      </c>
      <c r="H70" s="6">
        <v>103415.09</v>
      </c>
      <c r="I70">
        <f>VLOOKUP(D70,成本!$F:$H,3,0)</f>
        <v>103415.09</v>
      </c>
      <c r="J70" s="107">
        <f t="shared" si="1"/>
        <v>0</v>
      </c>
    </row>
    <row r="71" spans="1:10" ht="20.100000000000001" customHeight="1">
      <c r="A71" s="3" t="s">
        <v>404</v>
      </c>
      <c r="B71" s="4">
        <v>6401</v>
      </c>
      <c r="C71" s="3" t="s">
        <v>8</v>
      </c>
      <c r="D71" s="3" t="s">
        <v>141</v>
      </c>
      <c r="E71" s="3" t="s">
        <v>142</v>
      </c>
      <c r="F71" s="4">
        <v>3704</v>
      </c>
      <c r="G71" s="3" t="s">
        <v>9</v>
      </c>
      <c r="H71" s="5"/>
      <c r="I71">
        <f>VLOOKUP(D71,成本!$F:$H,3,0)</f>
        <v>0</v>
      </c>
      <c r="J71" s="107">
        <f t="shared" si="1"/>
        <v>0</v>
      </c>
    </row>
    <row r="72" spans="1:10" ht="20.100000000000001" customHeight="1">
      <c r="A72" s="3" t="s">
        <v>404</v>
      </c>
      <c r="B72" s="4">
        <v>6401</v>
      </c>
      <c r="C72" s="3" t="s">
        <v>8</v>
      </c>
      <c r="D72" s="3" t="s">
        <v>143</v>
      </c>
      <c r="E72" s="3" t="s">
        <v>144</v>
      </c>
      <c r="F72" s="4">
        <v>3704</v>
      </c>
      <c r="G72" s="3" t="s">
        <v>9</v>
      </c>
      <c r="H72" s="5"/>
      <c r="I72">
        <f>VLOOKUP(D72,成本!$F:$H,3,0)</f>
        <v>0</v>
      </c>
      <c r="J72" s="107">
        <f t="shared" si="1"/>
        <v>0</v>
      </c>
    </row>
    <row r="73" spans="1:10" ht="20.100000000000001" customHeight="1">
      <c r="A73" s="3" t="s">
        <v>404</v>
      </c>
      <c r="B73" s="4">
        <v>6401</v>
      </c>
      <c r="C73" s="3" t="s">
        <v>8</v>
      </c>
      <c r="D73" s="3" t="s">
        <v>145</v>
      </c>
      <c r="E73" s="3" t="s">
        <v>146</v>
      </c>
      <c r="F73" s="4">
        <v>3704</v>
      </c>
      <c r="G73" s="3" t="s">
        <v>9</v>
      </c>
      <c r="H73" s="5"/>
      <c r="I73">
        <f>VLOOKUP(D73,成本!$F:$H,3,0)</f>
        <v>0</v>
      </c>
      <c r="J73" s="107">
        <f t="shared" si="1"/>
        <v>0</v>
      </c>
    </row>
    <row r="74" spans="1:10" ht="20.100000000000001" customHeight="1">
      <c r="A74" s="3" t="s">
        <v>404</v>
      </c>
      <c r="B74" s="4">
        <v>6401</v>
      </c>
      <c r="C74" s="3" t="s">
        <v>8</v>
      </c>
      <c r="D74" s="3" t="s">
        <v>147</v>
      </c>
      <c r="E74" s="3" t="s">
        <v>148</v>
      </c>
      <c r="F74" s="4">
        <v>3704</v>
      </c>
      <c r="G74" s="3" t="s">
        <v>9</v>
      </c>
      <c r="H74" s="5"/>
      <c r="I74">
        <f>VLOOKUP(D74,成本!$F:$H,3,0)</f>
        <v>0</v>
      </c>
      <c r="J74" s="107">
        <f t="shared" si="1"/>
        <v>0</v>
      </c>
    </row>
    <row r="75" spans="1:10" ht="20.100000000000001" customHeight="1">
      <c r="A75" s="3" t="s">
        <v>404</v>
      </c>
      <c r="B75" s="4">
        <v>6401</v>
      </c>
      <c r="C75" s="3" t="s">
        <v>8</v>
      </c>
      <c r="D75" s="3" t="s">
        <v>149</v>
      </c>
      <c r="E75" s="3" t="s">
        <v>150</v>
      </c>
      <c r="F75" s="4">
        <v>3704</v>
      </c>
      <c r="G75" s="3" t="s">
        <v>9</v>
      </c>
      <c r="H75" s="5"/>
      <c r="I75">
        <f>VLOOKUP(D75,成本!$F:$H,3,0)</f>
        <v>0</v>
      </c>
      <c r="J75" s="107">
        <f t="shared" si="1"/>
        <v>0</v>
      </c>
    </row>
    <row r="76" spans="1:10" ht="20.100000000000001" customHeight="1">
      <c r="A76" s="3" t="s">
        <v>404</v>
      </c>
      <c r="B76" s="4">
        <v>6401</v>
      </c>
      <c r="C76" s="3" t="s">
        <v>8</v>
      </c>
      <c r="D76" s="3" t="s">
        <v>151</v>
      </c>
      <c r="E76" s="3" t="s">
        <v>152</v>
      </c>
      <c r="F76" s="4">
        <v>3704</v>
      </c>
      <c r="G76" s="3" t="s">
        <v>9</v>
      </c>
      <c r="H76" s="5"/>
      <c r="I76">
        <f>VLOOKUP(D76,成本!$F:$H,3,0)</f>
        <v>0</v>
      </c>
      <c r="J76" s="107">
        <f t="shared" si="1"/>
        <v>0</v>
      </c>
    </row>
    <row r="77" spans="1:10" ht="20.100000000000001" customHeight="1">
      <c r="A77" s="3" t="s">
        <v>404</v>
      </c>
      <c r="B77" s="4">
        <v>6401</v>
      </c>
      <c r="C77" s="3" t="s">
        <v>8</v>
      </c>
      <c r="D77" s="3" t="s">
        <v>153</v>
      </c>
      <c r="E77" s="3" t="s">
        <v>154</v>
      </c>
      <c r="F77" s="4">
        <v>3704</v>
      </c>
      <c r="G77" s="3" t="s">
        <v>9</v>
      </c>
      <c r="H77" s="5"/>
      <c r="I77">
        <f>VLOOKUP(D77,成本!$F:$H,3,0)</f>
        <v>0</v>
      </c>
      <c r="J77" s="107">
        <f t="shared" si="1"/>
        <v>0</v>
      </c>
    </row>
    <row r="78" spans="1:10" ht="20.100000000000001" customHeight="1">
      <c r="A78" s="3" t="s">
        <v>404</v>
      </c>
      <c r="B78" s="4">
        <v>6401</v>
      </c>
      <c r="C78" s="3" t="s">
        <v>8</v>
      </c>
      <c r="D78" s="3" t="s">
        <v>155</v>
      </c>
      <c r="E78" s="3" t="s">
        <v>156</v>
      </c>
      <c r="F78" s="4">
        <v>3704</v>
      </c>
      <c r="G78" s="3" t="s">
        <v>9</v>
      </c>
      <c r="H78" s="5"/>
      <c r="I78">
        <f>VLOOKUP(D78,成本!$F:$H,3,0)</f>
        <v>0</v>
      </c>
      <c r="J78" s="107">
        <f t="shared" si="1"/>
        <v>0</v>
      </c>
    </row>
    <row r="79" spans="1:10" ht="20.100000000000001" customHeight="1">
      <c r="A79" s="3" t="s">
        <v>404</v>
      </c>
      <c r="B79" s="4">
        <v>6401</v>
      </c>
      <c r="C79" s="3" t="s">
        <v>8</v>
      </c>
      <c r="D79" s="3" t="s">
        <v>157</v>
      </c>
      <c r="E79" s="3" t="s">
        <v>158</v>
      </c>
      <c r="F79" s="4">
        <v>3704</v>
      </c>
      <c r="G79" s="3" t="s">
        <v>9</v>
      </c>
      <c r="H79" s="5"/>
      <c r="I79">
        <f>VLOOKUP(D79,成本!$F:$H,3,0)</f>
        <v>0</v>
      </c>
      <c r="J79" s="107">
        <f t="shared" si="1"/>
        <v>0</v>
      </c>
    </row>
    <row r="80" spans="1:10" ht="20.100000000000001" customHeight="1">
      <c r="A80" s="3" t="s">
        <v>404</v>
      </c>
      <c r="B80" s="4">
        <v>6401</v>
      </c>
      <c r="C80" s="3" t="s">
        <v>8</v>
      </c>
      <c r="D80" s="3" t="s">
        <v>159</v>
      </c>
      <c r="E80" s="3" t="s">
        <v>160</v>
      </c>
      <c r="F80" s="4">
        <v>3704</v>
      </c>
      <c r="G80" s="3" t="s">
        <v>9</v>
      </c>
      <c r="H80" s="6">
        <v>774902.68</v>
      </c>
      <c r="I80">
        <f>VLOOKUP(D80,成本!$F:$H,3,0)</f>
        <v>774902.68</v>
      </c>
      <c r="J80" s="107">
        <f t="shared" si="1"/>
        <v>0</v>
      </c>
    </row>
    <row r="81" spans="1:10" ht="20.100000000000001" customHeight="1">
      <c r="A81" s="3" t="s">
        <v>404</v>
      </c>
      <c r="B81" s="4">
        <v>6401</v>
      </c>
      <c r="C81" s="3" t="s">
        <v>8</v>
      </c>
      <c r="D81" s="3" t="s">
        <v>161</v>
      </c>
      <c r="E81" s="3" t="s">
        <v>162</v>
      </c>
      <c r="F81" s="4">
        <v>3704</v>
      </c>
      <c r="G81" s="3" t="s">
        <v>9</v>
      </c>
      <c r="H81" s="6">
        <v>79583.399999999994</v>
      </c>
      <c r="I81">
        <f>VLOOKUP(D81,成本!$F:$H,3,0)</f>
        <v>79583.399999999994</v>
      </c>
      <c r="J81" s="107">
        <f t="shared" si="1"/>
        <v>0</v>
      </c>
    </row>
    <row r="82" spans="1:10" ht="20.100000000000001" customHeight="1">
      <c r="A82" s="3" t="s">
        <v>404</v>
      </c>
      <c r="B82" s="4">
        <v>6401</v>
      </c>
      <c r="C82" s="3" t="s">
        <v>8</v>
      </c>
      <c r="D82" s="3" t="s">
        <v>163</v>
      </c>
      <c r="E82" s="3" t="s">
        <v>164</v>
      </c>
      <c r="F82" s="4">
        <v>3704</v>
      </c>
      <c r="G82" s="3" t="s">
        <v>9</v>
      </c>
      <c r="H82" s="6">
        <v>67257.100000000006</v>
      </c>
      <c r="I82">
        <f>VLOOKUP(D82,成本!$F:$H,3,0)</f>
        <v>67257.100000000006</v>
      </c>
      <c r="J82" s="107">
        <f t="shared" si="1"/>
        <v>0</v>
      </c>
    </row>
    <row r="83" spans="1:10" ht="20.100000000000001" customHeight="1">
      <c r="A83" s="3" t="s">
        <v>404</v>
      </c>
      <c r="B83" s="4">
        <v>6401</v>
      </c>
      <c r="C83" s="3" t="s">
        <v>8</v>
      </c>
      <c r="D83" s="3" t="s">
        <v>165</v>
      </c>
      <c r="E83" s="3" t="s">
        <v>166</v>
      </c>
      <c r="F83" s="4">
        <v>3704</v>
      </c>
      <c r="G83" s="3" t="s">
        <v>9</v>
      </c>
      <c r="H83" s="5"/>
      <c r="I83">
        <f>VLOOKUP(D83,成本!$F:$H,3,0)</f>
        <v>0</v>
      </c>
      <c r="J83" s="107">
        <f t="shared" si="1"/>
        <v>0</v>
      </c>
    </row>
    <row r="84" spans="1:10" ht="20.100000000000001" customHeight="1">
      <c r="A84" s="3" t="s">
        <v>404</v>
      </c>
      <c r="B84" s="4">
        <v>6401</v>
      </c>
      <c r="C84" s="3" t="s">
        <v>8</v>
      </c>
      <c r="D84" s="3" t="s">
        <v>167</v>
      </c>
      <c r="E84" s="3" t="s">
        <v>168</v>
      </c>
      <c r="F84" s="4">
        <v>3704</v>
      </c>
      <c r="G84" s="3" t="s">
        <v>9</v>
      </c>
      <c r="H84" s="7">
        <v>1</v>
      </c>
      <c r="I84">
        <f>VLOOKUP(D84,成本!$F:$H,3,0)</f>
        <v>0</v>
      </c>
      <c r="J84" s="107">
        <f t="shared" si="1"/>
        <v>1</v>
      </c>
    </row>
    <row r="85" spans="1:10" ht="20.100000000000001" customHeight="1">
      <c r="A85" s="3" t="s">
        <v>404</v>
      </c>
      <c r="B85" s="4">
        <v>6401</v>
      </c>
      <c r="C85" s="3" t="s">
        <v>8</v>
      </c>
      <c r="D85" s="3" t="s">
        <v>169</v>
      </c>
      <c r="E85" s="3" t="s">
        <v>170</v>
      </c>
      <c r="F85" s="4">
        <v>3704</v>
      </c>
      <c r="G85" s="3" t="s">
        <v>9</v>
      </c>
      <c r="H85" s="7">
        <v>-456.43</v>
      </c>
      <c r="I85">
        <f>VLOOKUP(D85,成本!$F:$H,3,0)</f>
        <v>19591.32</v>
      </c>
      <c r="J85" s="107">
        <f t="shared" si="1"/>
        <v>-20047.75</v>
      </c>
    </row>
    <row r="86" spans="1:10" ht="20.100000000000001" customHeight="1">
      <c r="A86" s="3" t="s">
        <v>404</v>
      </c>
      <c r="B86" s="4">
        <v>6401</v>
      </c>
      <c r="C86" s="3" t="s">
        <v>8</v>
      </c>
      <c r="D86" s="3" t="s">
        <v>171</v>
      </c>
      <c r="E86" s="3" t="s">
        <v>172</v>
      </c>
      <c r="F86" s="4">
        <v>3704</v>
      </c>
      <c r="G86" s="3" t="s">
        <v>9</v>
      </c>
      <c r="H86" s="5"/>
      <c r="I86">
        <f>VLOOKUP(D86,成本!$F:$H,3,0)</f>
        <v>0</v>
      </c>
      <c r="J86" s="107">
        <f t="shared" si="1"/>
        <v>0</v>
      </c>
    </row>
    <row r="87" spans="1:10" ht="20.100000000000001" customHeight="1">
      <c r="A87" s="3" t="s">
        <v>404</v>
      </c>
      <c r="B87" s="4">
        <v>6401</v>
      </c>
      <c r="C87" s="3" t="s">
        <v>8</v>
      </c>
      <c r="D87" s="3" t="s">
        <v>173</v>
      </c>
      <c r="E87" s="3" t="s">
        <v>174</v>
      </c>
      <c r="F87" s="4">
        <v>3704</v>
      </c>
      <c r="G87" s="3" t="s">
        <v>9</v>
      </c>
      <c r="H87" s="5"/>
      <c r="I87">
        <f>VLOOKUP(D87,成本!$F:$H,3,0)</f>
        <v>0</v>
      </c>
      <c r="J87" s="107">
        <f t="shared" si="1"/>
        <v>0</v>
      </c>
    </row>
    <row r="88" spans="1:10" ht="20.100000000000001" customHeight="1">
      <c r="A88" s="3" t="s">
        <v>404</v>
      </c>
      <c r="B88" s="4">
        <v>6401</v>
      </c>
      <c r="C88" s="3" t="s">
        <v>8</v>
      </c>
      <c r="D88" s="3" t="s">
        <v>175</v>
      </c>
      <c r="E88" s="3" t="s">
        <v>176</v>
      </c>
      <c r="F88" s="4">
        <v>3704</v>
      </c>
      <c r="G88" s="3" t="s">
        <v>9</v>
      </c>
      <c r="H88" s="6">
        <v>-1054.5999999999999</v>
      </c>
      <c r="I88">
        <f>VLOOKUP(D88,成本!$F:$H,3,0)</f>
        <v>90523.07</v>
      </c>
      <c r="J88" s="107">
        <f t="shared" si="1"/>
        <v>-91577.670000000013</v>
      </c>
    </row>
    <row r="89" spans="1:10" ht="20.100000000000001" customHeight="1">
      <c r="A89" s="3" t="s">
        <v>404</v>
      </c>
      <c r="B89" s="4">
        <v>6401</v>
      </c>
      <c r="C89" s="3" t="s">
        <v>8</v>
      </c>
      <c r="D89" s="3" t="s">
        <v>177</v>
      </c>
      <c r="E89" s="3" t="s">
        <v>178</v>
      </c>
      <c r="F89" s="4">
        <v>3704</v>
      </c>
      <c r="G89" s="3" t="s">
        <v>9</v>
      </c>
      <c r="H89" s="6">
        <v>-1123.33</v>
      </c>
      <c r="I89">
        <f>VLOOKUP(D89,成本!$F:$H,3,0)</f>
        <v>96433.95</v>
      </c>
      <c r="J89" s="107">
        <f t="shared" si="1"/>
        <v>-97557.28</v>
      </c>
    </row>
    <row r="90" spans="1:10" ht="20.100000000000001" customHeight="1">
      <c r="A90" s="3" t="s">
        <v>404</v>
      </c>
      <c r="B90" s="4">
        <v>6401</v>
      </c>
      <c r="C90" s="3" t="s">
        <v>8</v>
      </c>
      <c r="D90" s="3" t="s">
        <v>179</v>
      </c>
      <c r="E90" s="3" t="s">
        <v>180</v>
      </c>
      <c r="F90" s="4">
        <v>3704</v>
      </c>
      <c r="G90" s="3" t="s">
        <v>9</v>
      </c>
      <c r="H90" s="5"/>
      <c r="I90">
        <f>VLOOKUP(D90,成本!$F:$H,3,0)</f>
        <v>0</v>
      </c>
      <c r="J90" s="107">
        <f t="shared" si="1"/>
        <v>0</v>
      </c>
    </row>
    <row r="91" spans="1:10" ht="20.100000000000001" customHeight="1">
      <c r="A91" s="3" t="s">
        <v>404</v>
      </c>
      <c r="B91" s="4">
        <v>6401</v>
      </c>
      <c r="C91" s="3" t="s">
        <v>8</v>
      </c>
      <c r="D91" s="3" t="s">
        <v>181</v>
      </c>
      <c r="E91" s="3" t="s">
        <v>182</v>
      </c>
      <c r="F91" s="4">
        <v>3704</v>
      </c>
      <c r="G91" s="3" t="s">
        <v>9</v>
      </c>
      <c r="H91" s="6">
        <v>1138324.55</v>
      </c>
      <c r="I91">
        <f>VLOOKUP(D91,成本!$F:$H,3,0)</f>
        <v>1138324.55</v>
      </c>
      <c r="J91" s="107">
        <f t="shared" si="1"/>
        <v>0</v>
      </c>
    </row>
    <row r="92" spans="1:10" ht="20.100000000000001" customHeight="1">
      <c r="A92" s="3" t="s">
        <v>404</v>
      </c>
      <c r="B92" s="4">
        <v>6401</v>
      </c>
      <c r="C92" s="3" t="s">
        <v>8</v>
      </c>
      <c r="D92" s="3" t="s">
        <v>183</v>
      </c>
      <c r="E92" s="3" t="s">
        <v>184</v>
      </c>
      <c r="F92" s="4">
        <v>3704</v>
      </c>
      <c r="G92" s="3" t="s">
        <v>9</v>
      </c>
      <c r="H92" s="6">
        <v>18870.599999999999</v>
      </c>
      <c r="I92">
        <f>VLOOKUP(D92,成本!$F:$H,3,0)</f>
        <v>18870.599999999999</v>
      </c>
      <c r="J92" s="107">
        <f t="shared" si="1"/>
        <v>0</v>
      </c>
    </row>
    <row r="93" spans="1:10" ht="20.100000000000001" customHeight="1">
      <c r="A93" s="3" t="s">
        <v>404</v>
      </c>
      <c r="B93" s="4">
        <v>6401</v>
      </c>
      <c r="C93" s="3" t="s">
        <v>8</v>
      </c>
      <c r="D93" s="3" t="s">
        <v>185</v>
      </c>
      <c r="E93" s="3" t="s">
        <v>186</v>
      </c>
      <c r="F93" s="4">
        <v>3704</v>
      </c>
      <c r="G93" s="3" t="s">
        <v>9</v>
      </c>
      <c r="H93" s="7">
        <v>-322.64</v>
      </c>
      <c r="I93">
        <f>VLOOKUP(D93,成本!$F:$H,3,0)</f>
        <v>20377.36</v>
      </c>
      <c r="J93" s="107">
        <f t="shared" si="1"/>
        <v>-20700</v>
      </c>
    </row>
    <row r="94" spans="1:10" ht="20.100000000000001" customHeight="1">
      <c r="A94" s="3" t="s">
        <v>404</v>
      </c>
      <c r="B94" s="4">
        <v>6401</v>
      </c>
      <c r="C94" s="3" t="s">
        <v>8</v>
      </c>
      <c r="D94" s="3" t="s">
        <v>187</v>
      </c>
      <c r="E94" s="3" t="s">
        <v>188</v>
      </c>
      <c r="F94" s="4">
        <v>3704</v>
      </c>
      <c r="G94" s="3" t="s">
        <v>9</v>
      </c>
      <c r="H94" s="7">
        <v>1</v>
      </c>
      <c r="I94">
        <f>VLOOKUP(D94,成本!$F:$H,3,0)</f>
        <v>0</v>
      </c>
      <c r="J94" s="107">
        <f t="shared" si="1"/>
        <v>1</v>
      </c>
    </row>
    <row r="95" spans="1:10" ht="20.100000000000001" customHeight="1">
      <c r="A95" s="3" t="s">
        <v>404</v>
      </c>
      <c r="B95" s="4">
        <v>6401</v>
      </c>
      <c r="C95" s="3" t="s">
        <v>8</v>
      </c>
      <c r="D95" s="3" t="s">
        <v>189</v>
      </c>
      <c r="E95" s="3" t="s">
        <v>190</v>
      </c>
      <c r="F95" s="4">
        <v>3704</v>
      </c>
      <c r="G95" s="3" t="s">
        <v>9</v>
      </c>
      <c r="H95" s="6">
        <v>19151.78</v>
      </c>
      <c r="I95">
        <f>VLOOKUP(D95,成本!$F:$H,3,0)</f>
        <v>19151.78</v>
      </c>
      <c r="J95" s="107">
        <f t="shared" si="1"/>
        <v>0</v>
      </c>
    </row>
    <row r="96" spans="1:10" ht="20.100000000000001" customHeight="1">
      <c r="A96" s="3" t="s">
        <v>404</v>
      </c>
      <c r="B96" s="4">
        <v>6401</v>
      </c>
      <c r="C96" s="3" t="s">
        <v>8</v>
      </c>
      <c r="D96" s="3" t="s">
        <v>191</v>
      </c>
      <c r="E96" s="3" t="s">
        <v>192</v>
      </c>
      <c r="F96" s="4">
        <v>3704</v>
      </c>
      <c r="G96" s="3" t="s">
        <v>9</v>
      </c>
      <c r="H96" s="6">
        <v>13406.35</v>
      </c>
      <c r="I96">
        <f>VLOOKUP(D96,成本!$F:$H,3,0)</f>
        <v>13406.35</v>
      </c>
      <c r="J96" s="107">
        <f t="shared" si="1"/>
        <v>0</v>
      </c>
    </row>
    <row r="97" spans="1:10" ht="20.100000000000001" customHeight="1">
      <c r="A97" s="3" t="s">
        <v>404</v>
      </c>
      <c r="B97" s="4">
        <v>6401</v>
      </c>
      <c r="C97" s="3" t="s">
        <v>8</v>
      </c>
      <c r="D97" s="3" t="s">
        <v>193</v>
      </c>
      <c r="E97" s="3" t="s">
        <v>194</v>
      </c>
      <c r="F97" s="4">
        <v>3704</v>
      </c>
      <c r="G97" s="3" t="s">
        <v>9</v>
      </c>
      <c r="H97" s="7">
        <v>1</v>
      </c>
      <c r="I97">
        <f>VLOOKUP(D97,成本!$F:$H,3,0)</f>
        <v>0</v>
      </c>
      <c r="J97" s="107">
        <f t="shared" si="1"/>
        <v>1</v>
      </c>
    </row>
    <row r="98" spans="1:10" ht="20.100000000000001" customHeight="1">
      <c r="A98" s="3" t="s">
        <v>404</v>
      </c>
      <c r="B98" s="4">
        <v>6401</v>
      </c>
      <c r="C98" s="3" t="s">
        <v>8</v>
      </c>
      <c r="D98" s="3" t="s">
        <v>195</v>
      </c>
      <c r="E98" s="3" t="s">
        <v>196</v>
      </c>
      <c r="F98" s="4">
        <v>3704</v>
      </c>
      <c r="G98" s="3" t="s">
        <v>9</v>
      </c>
      <c r="H98" s="6">
        <v>-249999</v>
      </c>
      <c r="I98">
        <f>VLOOKUP(D98,成本!$F:$H,3,0)</f>
        <v>92364.15</v>
      </c>
      <c r="J98" s="107">
        <f t="shared" si="1"/>
        <v>-342363.15</v>
      </c>
    </row>
    <row r="99" spans="1:10" ht="20.100000000000001" customHeight="1">
      <c r="A99" s="3" t="s">
        <v>404</v>
      </c>
      <c r="B99" s="4">
        <v>6401</v>
      </c>
      <c r="C99" s="3" t="s">
        <v>8</v>
      </c>
      <c r="D99" s="3" t="s">
        <v>197</v>
      </c>
      <c r="E99" s="3" t="s">
        <v>198</v>
      </c>
      <c r="F99" s="4">
        <v>3704</v>
      </c>
      <c r="G99" s="3" t="s">
        <v>9</v>
      </c>
      <c r="H99" s="6">
        <v>250000</v>
      </c>
      <c r="I99">
        <f>VLOOKUP(D99,成本!$F:$H,3,0)</f>
        <v>250000</v>
      </c>
      <c r="J99" s="107">
        <f t="shared" si="1"/>
        <v>0</v>
      </c>
    </row>
    <row r="100" spans="1:10" ht="20.100000000000001" customHeight="1">
      <c r="A100" s="3" t="s">
        <v>404</v>
      </c>
      <c r="B100" s="4">
        <v>6401</v>
      </c>
      <c r="C100" s="3" t="s">
        <v>8</v>
      </c>
      <c r="D100" s="3" t="s">
        <v>199</v>
      </c>
      <c r="E100" s="3" t="s">
        <v>200</v>
      </c>
      <c r="F100" s="4">
        <v>3704</v>
      </c>
      <c r="G100" s="3" t="s">
        <v>9</v>
      </c>
      <c r="H100" s="6">
        <v>59415.58</v>
      </c>
      <c r="I100">
        <f>VLOOKUP(D100,成本!$F:$H,3,0)</f>
        <v>59415.58</v>
      </c>
      <c r="J100" s="107">
        <f t="shared" si="1"/>
        <v>0</v>
      </c>
    </row>
    <row r="101" spans="1:10" ht="20.100000000000001" customHeight="1">
      <c r="A101" s="3" t="s">
        <v>404</v>
      </c>
      <c r="B101" s="4">
        <v>6401</v>
      </c>
      <c r="C101" s="3" t="s">
        <v>8</v>
      </c>
      <c r="D101" s="3" t="s">
        <v>201</v>
      </c>
      <c r="E101" s="3" t="s">
        <v>202</v>
      </c>
      <c r="F101" s="4">
        <v>3704</v>
      </c>
      <c r="G101" s="3" t="s">
        <v>9</v>
      </c>
      <c r="H101" s="5"/>
      <c r="I101">
        <f>VLOOKUP(D101,成本!$F:$H,3,0)</f>
        <v>0</v>
      </c>
      <c r="J101" s="107">
        <f t="shared" si="1"/>
        <v>0</v>
      </c>
    </row>
    <row r="102" spans="1:10" ht="20.100000000000001" customHeight="1">
      <c r="A102" s="3" t="s">
        <v>203</v>
      </c>
      <c r="B102" s="3"/>
      <c r="C102" s="3"/>
      <c r="D102" s="3"/>
      <c r="E102" s="3"/>
      <c r="F102" s="3"/>
      <c r="G102" s="3"/>
      <c r="H102" s="6">
        <v>3430967.67</v>
      </c>
      <c r="I102" t="e">
        <f>VLOOKUP(D102,成本!$F:$H,3,0)</f>
        <v>#N/A</v>
      </c>
    </row>
    <row r="103" spans="1:10" ht="20.100000000000001" customHeight="1">
      <c r="A103" s="8" t="s">
        <v>204</v>
      </c>
      <c r="B103" s="574" t="s">
        <v>401</v>
      </c>
      <c r="C103" s="574" t="s">
        <v>401</v>
      </c>
      <c r="D103" s="574" t="s">
        <v>401</v>
      </c>
      <c r="E103" s="574" t="s">
        <v>401</v>
      </c>
      <c r="F103" s="574" t="s">
        <v>401</v>
      </c>
      <c r="G103" s="574" t="s">
        <v>401</v>
      </c>
      <c r="H103" s="8"/>
    </row>
    <row r="104" spans="1:10" ht="20.100000000000001" customHeight="1">
      <c r="A104" s="1" t="s">
        <v>206</v>
      </c>
      <c r="B104" s="575" t="s">
        <v>207</v>
      </c>
      <c r="C104" s="575" t="s">
        <v>207</v>
      </c>
      <c r="D104" s="575" t="s">
        <v>207</v>
      </c>
      <c r="E104" s="575" t="s">
        <v>207</v>
      </c>
      <c r="F104" s="575" t="s">
        <v>207</v>
      </c>
      <c r="G104" s="575" t="s">
        <v>207</v>
      </c>
      <c r="H104" s="1"/>
    </row>
  </sheetData>
  <autoFilter ref="A2:AC104"/>
  <mergeCells count="10">
    <mergeCell ref="B103:G103"/>
    <mergeCell ref="B104:G104"/>
    <mergeCell ref="I1:I2"/>
    <mergeCell ref="A1:A2"/>
    <mergeCell ref="B1:B2"/>
    <mergeCell ref="C1:C2"/>
    <mergeCell ref="D1:D2"/>
    <mergeCell ref="E1:E2"/>
    <mergeCell ref="F1:F2"/>
    <mergeCell ref="G1:G2"/>
  </mergeCells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97"/>
  <sheetViews>
    <sheetView workbookViewId="0">
      <selection activeCell="H24" sqref="H24"/>
    </sheetView>
  </sheetViews>
  <sheetFormatPr defaultRowHeight="12.75"/>
  <cols>
    <col min="1" max="1" width="13.42578125" customWidth="1"/>
    <col min="2" max="2" width="15.42578125" hidden="1" customWidth="1"/>
    <col min="3" max="3" width="28" hidden="1" customWidth="1"/>
    <col min="4" max="4" width="15.42578125" hidden="1" customWidth="1"/>
    <col min="5" max="5" width="29.5703125" hidden="1" customWidth="1"/>
    <col min="6" max="6" width="15.42578125" customWidth="1"/>
    <col min="7" max="7" width="43.140625" customWidth="1"/>
    <col min="8" max="8" width="30.7109375" customWidth="1"/>
    <col min="9" max="9" width="11.28515625" customWidth="1"/>
    <col min="10" max="10" width="13.85546875" style="110" customWidth="1"/>
    <col min="11" max="11" width="15.140625" hidden="1" customWidth="1"/>
    <col min="12" max="12" width="13.85546875" style="132" customWidth="1"/>
  </cols>
  <sheetData>
    <row r="1" spans="1:15" s="14" customFormat="1" ht="20.100000000000001" customHeight="1">
      <c r="A1" s="576" t="s">
        <v>0</v>
      </c>
      <c r="B1" s="576" t="s">
        <v>1</v>
      </c>
      <c r="C1" s="576" t="s">
        <v>2</v>
      </c>
      <c r="D1" s="576" t="s">
        <v>210</v>
      </c>
      <c r="E1" s="576" t="s">
        <v>211</v>
      </c>
      <c r="F1" s="576" t="s">
        <v>5</v>
      </c>
      <c r="G1" s="576" t="s">
        <v>6</v>
      </c>
      <c r="H1" s="15"/>
      <c r="I1" s="577" t="s">
        <v>241</v>
      </c>
      <c r="J1" s="579" t="s">
        <v>408</v>
      </c>
      <c r="K1" s="105"/>
      <c r="L1" s="593" t="s">
        <v>247</v>
      </c>
      <c r="M1" s="584"/>
    </row>
    <row r="2" spans="1:15" s="14" customFormat="1" ht="20.100000000000001" customHeight="1">
      <c r="A2" s="576" t="s">
        <v>0</v>
      </c>
      <c r="B2" s="576" t="s">
        <v>1</v>
      </c>
      <c r="C2" s="576" t="s">
        <v>2</v>
      </c>
      <c r="D2" s="576" t="s">
        <v>210</v>
      </c>
      <c r="E2" s="576" t="s">
        <v>211</v>
      </c>
      <c r="F2" s="576" t="s">
        <v>5</v>
      </c>
      <c r="G2" s="576" t="s">
        <v>6</v>
      </c>
      <c r="H2" s="16"/>
      <c r="I2" s="578"/>
      <c r="J2" s="592"/>
      <c r="K2" s="106" t="s">
        <v>392</v>
      </c>
      <c r="L2" s="594"/>
      <c r="M2" s="584"/>
      <c r="O2" s="13" t="s">
        <v>362</v>
      </c>
    </row>
    <row r="3" spans="1:15" ht="20.100000000000001" customHeight="1">
      <c r="A3" s="3" t="s">
        <v>209</v>
      </c>
      <c r="B3" s="4">
        <v>6401</v>
      </c>
      <c r="C3" s="3" t="s">
        <v>8</v>
      </c>
      <c r="D3" s="4">
        <v>3704</v>
      </c>
      <c r="E3" s="3" t="s">
        <v>9</v>
      </c>
      <c r="F3" s="3" t="s">
        <v>39</v>
      </c>
      <c r="G3" s="3" t="s">
        <v>40</v>
      </c>
      <c r="H3" s="3"/>
      <c r="I3" s="50">
        <v>0</v>
      </c>
      <c r="J3" s="109">
        <v>-14529.92</v>
      </c>
      <c r="K3" s="51"/>
      <c r="L3"/>
      <c r="N3" s="73" t="e">
        <f t="shared" ref="N3:N51" si="0">(I3-(J3+L3))/I3</f>
        <v>#DIV/0!</v>
      </c>
      <c r="O3" s="12" t="s">
        <v>393</v>
      </c>
    </row>
    <row r="4" spans="1:15" ht="20.100000000000001" customHeight="1">
      <c r="A4" s="76" t="s">
        <v>209</v>
      </c>
      <c r="B4" s="104">
        <v>6001</v>
      </c>
      <c r="C4" s="76" t="s">
        <v>212</v>
      </c>
      <c r="D4" s="104">
        <v>71</v>
      </c>
      <c r="E4" s="76" t="s">
        <v>213</v>
      </c>
      <c r="F4" s="76" t="s">
        <v>69</v>
      </c>
      <c r="G4" s="3" t="s">
        <v>70</v>
      </c>
      <c r="H4" s="80"/>
      <c r="I4" s="50">
        <v>0</v>
      </c>
      <c r="J4" s="109">
        <v>-3029.4</v>
      </c>
      <c r="L4"/>
      <c r="N4" s="73" t="e">
        <f t="shared" si="0"/>
        <v>#DIV/0!</v>
      </c>
      <c r="O4" s="12" t="s">
        <v>393</v>
      </c>
    </row>
    <row r="5" spans="1:15" s="119" customFormat="1" ht="20.100000000000001" customHeight="1">
      <c r="A5" s="116" t="s">
        <v>209</v>
      </c>
      <c r="B5" s="104">
        <v>6001</v>
      </c>
      <c r="C5" s="76" t="s">
        <v>212</v>
      </c>
      <c r="D5" s="104">
        <v>71</v>
      </c>
      <c r="E5" s="76" t="s">
        <v>213</v>
      </c>
      <c r="F5" s="116" t="s">
        <v>406</v>
      </c>
      <c r="G5" s="122" t="s">
        <v>413</v>
      </c>
      <c r="H5" s="123" t="s">
        <v>23</v>
      </c>
      <c r="I5" s="117">
        <v>10657.85</v>
      </c>
      <c r="J5" s="121">
        <v>0</v>
      </c>
      <c r="K5" s="91"/>
      <c r="L5" s="128">
        <f>10124.96</f>
        <v>10124.959999999999</v>
      </c>
      <c r="M5" s="125"/>
      <c r="N5" s="126">
        <f t="shared" si="0"/>
        <v>4.9999765431114271E-2</v>
      </c>
    </row>
    <row r="6" spans="1:15" s="119" customFormat="1" ht="20.100000000000001" customHeight="1">
      <c r="A6" s="116" t="s">
        <v>209</v>
      </c>
      <c r="B6" s="104">
        <v>6001</v>
      </c>
      <c r="C6" s="76" t="s">
        <v>212</v>
      </c>
      <c r="D6" s="104">
        <v>71</v>
      </c>
      <c r="E6" s="76" t="s">
        <v>213</v>
      </c>
      <c r="F6" s="116" t="s">
        <v>415</v>
      </c>
      <c r="G6" s="116" t="s">
        <v>414</v>
      </c>
      <c r="H6" s="124"/>
      <c r="I6" s="117">
        <v>882.45</v>
      </c>
      <c r="J6" s="118">
        <v>1</v>
      </c>
      <c r="K6"/>
      <c r="L6" s="129">
        <v>847.15471698113197</v>
      </c>
      <c r="N6" s="120">
        <f t="shared" si="0"/>
        <v>3.8863712413018385E-2</v>
      </c>
    </row>
    <row r="7" spans="1:15" ht="20.100000000000001" customHeight="1">
      <c r="A7" s="76" t="s">
        <v>208</v>
      </c>
      <c r="B7" s="104">
        <v>6001</v>
      </c>
      <c r="C7" s="76" t="s">
        <v>212</v>
      </c>
      <c r="D7" s="104">
        <v>71</v>
      </c>
      <c r="E7" s="76" t="s">
        <v>213</v>
      </c>
      <c r="F7" s="76" t="s">
        <v>432</v>
      </c>
      <c r="G7" s="76" t="s">
        <v>360</v>
      </c>
      <c r="H7" s="114" t="s">
        <v>27</v>
      </c>
      <c r="I7" s="115">
        <v>16375.62</v>
      </c>
      <c r="J7" s="109">
        <v>0</v>
      </c>
      <c r="L7" s="133">
        <f>I7*0.96</f>
        <v>15720.5952</v>
      </c>
      <c r="N7" s="73">
        <f t="shared" si="0"/>
        <v>4.0000000000000063E-2</v>
      </c>
    </row>
    <row r="8" spans="1:15" ht="20.100000000000001" customHeight="1">
      <c r="A8" s="76" t="s">
        <v>208</v>
      </c>
      <c r="B8" s="104">
        <v>6001</v>
      </c>
      <c r="C8" s="76" t="s">
        <v>212</v>
      </c>
      <c r="D8" s="104">
        <v>71</v>
      </c>
      <c r="E8" s="76" t="s">
        <v>213</v>
      </c>
      <c r="F8" s="76" t="s">
        <v>433</v>
      </c>
      <c r="G8" s="78" t="s">
        <v>413</v>
      </c>
      <c r="H8" s="89" t="s">
        <v>23</v>
      </c>
      <c r="I8" s="50">
        <v>423.09</v>
      </c>
      <c r="J8" s="51">
        <v>0</v>
      </c>
      <c r="K8" s="91"/>
      <c r="L8" s="134">
        <f>120+240</f>
        <v>360</v>
      </c>
      <c r="M8" s="93"/>
      <c r="N8" s="94">
        <f t="shared" si="0"/>
        <v>0.14911720910444581</v>
      </c>
    </row>
    <row r="9" spans="1:15" s="119" customFormat="1" ht="20.100000000000001" customHeight="1">
      <c r="A9" s="116" t="s">
        <v>209</v>
      </c>
      <c r="B9" s="104">
        <v>6001</v>
      </c>
      <c r="C9" s="76" t="s">
        <v>212</v>
      </c>
      <c r="D9" s="104">
        <v>71</v>
      </c>
      <c r="E9" s="76" t="s">
        <v>213</v>
      </c>
      <c r="F9" s="116" t="s">
        <v>431</v>
      </c>
      <c r="G9" s="116" t="s">
        <v>430</v>
      </c>
      <c r="H9" s="124"/>
      <c r="I9" s="117">
        <v>17620.580000000002</v>
      </c>
      <c r="J9" s="121">
        <v>0</v>
      </c>
      <c r="K9"/>
      <c r="L9" s="130">
        <v>16739.55</v>
      </c>
      <c r="N9" s="120">
        <f t="shared" si="0"/>
        <v>5.0000056751821016E-2</v>
      </c>
    </row>
    <row r="10" spans="1:15" s="119" customFormat="1" ht="20.100000000000001" customHeight="1">
      <c r="A10" s="116" t="s">
        <v>209</v>
      </c>
      <c r="B10" s="4">
        <v>6001</v>
      </c>
      <c r="C10" s="3" t="s">
        <v>212</v>
      </c>
      <c r="D10" s="4">
        <v>71</v>
      </c>
      <c r="E10" s="3" t="s">
        <v>213</v>
      </c>
      <c r="F10" s="116" t="s">
        <v>416</v>
      </c>
      <c r="G10" s="116" t="s">
        <v>364</v>
      </c>
      <c r="H10" s="116" t="s">
        <v>364</v>
      </c>
      <c r="I10" s="117">
        <v>23100</v>
      </c>
      <c r="J10" s="118">
        <v>0</v>
      </c>
      <c r="K10"/>
      <c r="L10" s="130">
        <v>23095</v>
      </c>
      <c r="N10" s="120">
        <f>(I10-(J10+L10))/I10</f>
        <v>2.1645021645021645E-4</v>
      </c>
    </row>
    <row r="11" spans="1:15" s="119" customFormat="1" ht="20.100000000000001" customHeight="1">
      <c r="A11" s="116" t="s">
        <v>209</v>
      </c>
      <c r="B11" s="4">
        <v>6001</v>
      </c>
      <c r="C11" s="3" t="s">
        <v>212</v>
      </c>
      <c r="D11" s="4">
        <v>71</v>
      </c>
      <c r="E11" s="3" t="s">
        <v>213</v>
      </c>
      <c r="F11" s="116" t="s">
        <v>422</v>
      </c>
      <c r="G11" s="116" t="s">
        <v>418</v>
      </c>
      <c r="H11" s="116"/>
      <c r="I11" s="117">
        <v>41424.300000000003</v>
      </c>
      <c r="J11" s="121">
        <v>0</v>
      </c>
      <c r="K11"/>
      <c r="L11" s="130">
        <v>41424.301886792498</v>
      </c>
      <c r="N11" s="120">
        <f t="shared" si="0"/>
        <v>-4.5547963284774935E-8</v>
      </c>
    </row>
    <row r="12" spans="1:15" ht="20.100000000000001" customHeight="1">
      <c r="A12" s="116" t="s">
        <v>208</v>
      </c>
      <c r="B12" s="4">
        <v>6001</v>
      </c>
      <c r="C12" s="3" t="s">
        <v>212</v>
      </c>
      <c r="D12" s="4">
        <v>71</v>
      </c>
      <c r="E12" s="3" t="s">
        <v>213</v>
      </c>
      <c r="F12" s="116" t="s">
        <v>14</v>
      </c>
      <c r="G12" s="116" t="s">
        <v>15</v>
      </c>
      <c r="H12" s="116" t="s">
        <v>13</v>
      </c>
      <c r="I12" s="117">
        <v>128633.64</v>
      </c>
      <c r="J12" s="118">
        <v>-105943.4</v>
      </c>
      <c r="L12" s="130">
        <f>I12*0.6-3380.1276</f>
        <v>73800.056400000001</v>
      </c>
      <c r="M12" s="119"/>
      <c r="N12" s="120">
        <f>(I12-(J12+L12))/I12</f>
        <v>1.2498828735624676</v>
      </c>
      <c r="O12" s="119"/>
    </row>
    <row r="13" spans="1:15" s="119" customFormat="1" ht="20.100000000000001" customHeight="1">
      <c r="A13" s="116" t="s">
        <v>209</v>
      </c>
      <c r="B13" s="4">
        <v>6001</v>
      </c>
      <c r="C13" s="3" t="s">
        <v>212</v>
      </c>
      <c r="D13" s="4">
        <v>71</v>
      </c>
      <c r="E13" s="3" t="s">
        <v>213</v>
      </c>
      <c r="F13" s="116" t="s">
        <v>244</v>
      </c>
      <c r="G13" s="116" t="s">
        <v>245</v>
      </c>
      <c r="H13" s="116"/>
      <c r="I13" s="117">
        <v>285855.39</v>
      </c>
      <c r="J13" s="118">
        <v>1</v>
      </c>
      <c r="K13"/>
      <c r="L13" s="130">
        <v>271562.62641509401</v>
      </c>
      <c r="N13" s="120">
        <f t="shared" si="0"/>
        <v>4.9996481035064627E-2</v>
      </c>
    </row>
    <row r="14" spans="1:15" ht="20.100000000000001" customHeight="1">
      <c r="A14" s="3" t="s">
        <v>209</v>
      </c>
      <c r="B14" s="4">
        <v>6001</v>
      </c>
      <c r="C14" s="3" t="s">
        <v>212</v>
      </c>
      <c r="D14" s="4">
        <v>71</v>
      </c>
      <c r="E14" s="3" t="s">
        <v>213</v>
      </c>
      <c r="F14" s="3" t="s">
        <v>137</v>
      </c>
      <c r="G14" s="54" t="s">
        <v>411</v>
      </c>
      <c r="H14" s="54" t="s">
        <v>363</v>
      </c>
      <c r="I14" s="50">
        <v>-946.11</v>
      </c>
      <c r="J14" s="109">
        <v>0</v>
      </c>
      <c r="L14"/>
      <c r="N14" s="73">
        <f t="shared" si="0"/>
        <v>1</v>
      </c>
    </row>
    <row r="15" spans="1:15" ht="20.100000000000001" customHeight="1">
      <c r="A15" s="116" t="s">
        <v>208</v>
      </c>
      <c r="B15" s="4">
        <v>6001</v>
      </c>
      <c r="C15" s="3" t="s">
        <v>212</v>
      </c>
      <c r="D15" s="4">
        <v>71</v>
      </c>
      <c r="E15" s="3" t="s">
        <v>213</v>
      </c>
      <c r="F15" s="116" t="s">
        <v>226</v>
      </c>
      <c r="G15" s="116" t="s">
        <v>227</v>
      </c>
      <c r="H15" s="116" t="s">
        <v>13</v>
      </c>
      <c r="I15" s="117">
        <v>1511.04</v>
      </c>
      <c r="J15" s="121">
        <v>0</v>
      </c>
      <c r="L15" s="130">
        <f>I15*0.98</f>
        <v>1480.8191999999999</v>
      </c>
      <c r="M15" s="119"/>
      <c r="N15" s="120">
        <f t="shared" si="0"/>
        <v>2.0000000000000035E-2</v>
      </c>
      <c r="O15" s="119"/>
    </row>
    <row r="16" spans="1:15" s="119" customFormat="1" ht="20.100000000000001" customHeight="1">
      <c r="A16" s="116" t="s">
        <v>209</v>
      </c>
      <c r="B16" s="4">
        <v>6001</v>
      </c>
      <c r="C16" s="3" t="s">
        <v>212</v>
      </c>
      <c r="D16" s="4">
        <v>71</v>
      </c>
      <c r="E16" s="3" t="s">
        <v>213</v>
      </c>
      <c r="F16" s="116" t="s">
        <v>81</v>
      </c>
      <c r="G16" s="116" t="s">
        <v>82</v>
      </c>
      <c r="H16" s="116" t="s">
        <v>364</v>
      </c>
      <c r="I16" s="117">
        <v>1890</v>
      </c>
      <c r="J16" s="118">
        <v>0</v>
      </c>
      <c r="K16"/>
      <c r="L16" s="130">
        <f>25000-L10</f>
        <v>1905</v>
      </c>
      <c r="N16" s="120">
        <f>(I16-(J16+L16))/I16</f>
        <v>-7.9365079365079361E-3</v>
      </c>
    </row>
    <row r="17" spans="1:15" ht="20.100000000000001" customHeight="1">
      <c r="A17" s="116" t="s">
        <v>208</v>
      </c>
      <c r="B17" s="4">
        <v>6001</v>
      </c>
      <c r="C17" s="3" t="s">
        <v>212</v>
      </c>
      <c r="D17" s="4">
        <v>71</v>
      </c>
      <c r="E17" s="3" t="s">
        <v>213</v>
      </c>
      <c r="F17" s="116" t="s">
        <v>224</v>
      </c>
      <c r="G17" s="116" t="s">
        <v>225</v>
      </c>
      <c r="H17" s="116" t="s">
        <v>13</v>
      </c>
      <c r="I17" s="117">
        <v>3022.08</v>
      </c>
      <c r="J17" s="121">
        <v>0</v>
      </c>
      <c r="L17" s="130">
        <f>I17*0.98</f>
        <v>2961.6383999999998</v>
      </c>
      <c r="M17" s="119"/>
      <c r="N17" s="120">
        <f t="shared" si="0"/>
        <v>2.0000000000000035E-2</v>
      </c>
      <c r="O17" s="119"/>
    </row>
    <row r="18" spans="1:15" ht="20.100000000000001" customHeight="1">
      <c r="A18" s="116" t="s">
        <v>208</v>
      </c>
      <c r="B18" s="4">
        <v>6001</v>
      </c>
      <c r="C18" s="3" t="s">
        <v>212</v>
      </c>
      <c r="D18" s="4">
        <v>71</v>
      </c>
      <c r="E18" s="3" t="s">
        <v>213</v>
      </c>
      <c r="F18" s="116" t="s">
        <v>222</v>
      </c>
      <c r="G18" s="116" t="s">
        <v>223</v>
      </c>
      <c r="H18" s="116" t="s">
        <v>13</v>
      </c>
      <c r="I18" s="117">
        <v>4029.44</v>
      </c>
      <c r="J18" s="121">
        <v>0</v>
      </c>
      <c r="L18" s="130">
        <f>I18*0.98</f>
        <v>3948.8512000000001</v>
      </c>
      <c r="M18" s="119"/>
      <c r="N18" s="120">
        <f t="shared" si="0"/>
        <v>1.9999999999999997E-2</v>
      </c>
      <c r="O18" s="119"/>
    </row>
    <row r="19" spans="1:15" ht="20.100000000000001" customHeight="1">
      <c r="A19" s="116" t="s">
        <v>208</v>
      </c>
      <c r="B19" s="4">
        <v>6001</v>
      </c>
      <c r="C19" s="3" t="s">
        <v>212</v>
      </c>
      <c r="D19" s="4">
        <v>71</v>
      </c>
      <c r="E19" s="3" t="s">
        <v>213</v>
      </c>
      <c r="F19" s="116" t="s">
        <v>216</v>
      </c>
      <c r="G19" s="116" t="s">
        <v>217</v>
      </c>
      <c r="H19" s="116" t="s">
        <v>13</v>
      </c>
      <c r="I19" s="117">
        <v>4533.12</v>
      </c>
      <c r="J19" s="121">
        <v>0</v>
      </c>
      <c r="L19" s="130">
        <f>I19*0.98</f>
        <v>4442.4575999999997</v>
      </c>
      <c r="M19" s="119"/>
      <c r="N19" s="120">
        <f t="shared" si="0"/>
        <v>2.0000000000000035E-2</v>
      </c>
      <c r="O19" s="119"/>
    </row>
    <row r="20" spans="1:15" ht="20.100000000000001" customHeight="1">
      <c r="A20" s="116" t="s">
        <v>209</v>
      </c>
      <c r="B20" s="4">
        <v>6001</v>
      </c>
      <c r="C20" s="3" t="s">
        <v>212</v>
      </c>
      <c r="D20" s="4">
        <v>71</v>
      </c>
      <c r="E20" s="3" t="s">
        <v>213</v>
      </c>
      <c r="F20" s="116" t="s">
        <v>421</v>
      </c>
      <c r="G20" s="116" t="s">
        <v>269</v>
      </c>
      <c r="H20" s="116" t="s">
        <v>74</v>
      </c>
      <c r="I20" s="117">
        <v>4982.49</v>
      </c>
      <c r="J20" s="118">
        <v>0</v>
      </c>
      <c r="L20" s="130">
        <f>ROUND(0.96*I20,2)</f>
        <v>4783.1899999999996</v>
      </c>
      <c r="M20" s="119"/>
      <c r="N20" s="120">
        <f t="shared" si="0"/>
        <v>4.0000080281144608E-2</v>
      </c>
      <c r="O20" s="119"/>
    </row>
    <row r="21" spans="1:15" ht="20.100000000000001" customHeight="1">
      <c r="A21" s="116" t="s">
        <v>208</v>
      </c>
      <c r="B21" s="4">
        <v>6001</v>
      </c>
      <c r="C21" s="3" t="s">
        <v>212</v>
      </c>
      <c r="D21" s="4">
        <v>71</v>
      </c>
      <c r="E21" s="3" t="s">
        <v>213</v>
      </c>
      <c r="F21" s="116" t="s">
        <v>220</v>
      </c>
      <c r="G21" s="116" t="s">
        <v>221</v>
      </c>
      <c r="H21" s="116" t="s">
        <v>436</v>
      </c>
      <c r="I21" s="117">
        <v>5036.8</v>
      </c>
      <c r="J21" s="121">
        <v>0</v>
      </c>
      <c r="L21" s="130">
        <f>I21*0.98</f>
        <v>4936.0640000000003</v>
      </c>
      <c r="M21" s="119"/>
      <c r="N21" s="120">
        <f t="shared" si="0"/>
        <v>1.9999999999999976E-2</v>
      </c>
      <c r="O21" s="119"/>
    </row>
    <row r="22" spans="1:15" s="119" customFormat="1" ht="20.100000000000001" customHeight="1">
      <c r="A22" s="116" t="s">
        <v>209</v>
      </c>
      <c r="B22" s="4">
        <v>6001</v>
      </c>
      <c r="C22" s="3" t="s">
        <v>212</v>
      </c>
      <c r="D22" s="4">
        <v>71</v>
      </c>
      <c r="E22" s="3" t="s">
        <v>213</v>
      </c>
      <c r="F22" s="116" t="s">
        <v>135</v>
      </c>
      <c r="G22" s="116" t="s">
        <v>417</v>
      </c>
      <c r="H22" s="116" t="s">
        <v>363</v>
      </c>
      <c r="I22" s="117">
        <v>5676.68</v>
      </c>
      <c r="J22" s="118">
        <v>1</v>
      </c>
      <c r="K22"/>
      <c r="L22" s="130">
        <f>I22*0.96-908.26</f>
        <v>4541.3527999999997</v>
      </c>
      <c r="N22" s="120">
        <f t="shared" si="0"/>
        <v>0.1998222904937394</v>
      </c>
    </row>
    <row r="23" spans="1:15" ht="20.100000000000001" customHeight="1">
      <c r="A23" s="116" t="s">
        <v>208</v>
      </c>
      <c r="B23" s="4">
        <v>6001</v>
      </c>
      <c r="C23" s="3" t="s">
        <v>212</v>
      </c>
      <c r="D23" s="4">
        <v>71</v>
      </c>
      <c r="E23" s="3" t="s">
        <v>213</v>
      </c>
      <c r="F23" s="116" t="s">
        <v>218</v>
      </c>
      <c r="G23" s="116" t="s">
        <v>219</v>
      </c>
      <c r="H23" s="116" t="s">
        <v>13</v>
      </c>
      <c r="I23" s="117">
        <v>6044.16</v>
      </c>
      <c r="J23" s="121">
        <v>0</v>
      </c>
      <c r="L23" s="130">
        <f>I23*0.98</f>
        <v>5923.2767999999996</v>
      </c>
      <c r="M23" s="119"/>
      <c r="N23" s="120">
        <f t="shared" si="0"/>
        <v>2.0000000000000035E-2</v>
      </c>
      <c r="O23" s="119"/>
    </row>
    <row r="24" spans="1:15" ht="20.100000000000001" customHeight="1">
      <c r="A24" s="3" t="s">
        <v>208</v>
      </c>
      <c r="B24" s="4">
        <v>6001</v>
      </c>
      <c r="C24" s="3" t="s">
        <v>212</v>
      </c>
      <c r="D24" s="4">
        <v>71</v>
      </c>
      <c r="E24" s="3" t="s">
        <v>213</v>
      </c>
      <c r="F24" s="3" t="s">
        <v>434</v>
      </c>
      <c r="G24" s="76" t="s">
        <v>267</v>
      </c>
      <c r="H24" s="76" t="s">
        <v>27</v>
      </c>
      <c r="I24" s="115">
        <v>10879.47</v>
      </c>
      <c r="J24" s="51">
        <v>0</v>
      </c>
      <c r="L24" s="133">
        <f>I24*0.96</f>
        <v>10444.2912</v>
      </c>
      <c r="N24" s="73">
        <f t="shared" si="0"/>
        <v>3.9999999999999973E-2</v>
      </c>
    </row>
    <row r="25" spans="1:15" s="119" customFormat="1" ht="20.100000000000001" customHeight="1">
      <c r="A25" s="116" t="s">
        <v>209</v>
      </c>
      <c r="B25" s="4">
        <v>6001</v>
      </c>
      <c r="C25" s="3" t="s">
        <v>212</v>
      </c>
      <c r="D25" s="4">
        <v>71</v>
      </c>
      <c r="E25" s="3" t="s">
        <v>213</v>
      </c>
      <c r="F25" s="116" t="s">
        <v>133</v>
      </c>
      <c r="G25" s="116" t="s">
        <v>363</v>
      </c>
      <c r="H25" s="116" t="s">
        <v>363</v>
      </c>
      <c r="I25" s="117">
        <v>18567.47</v>
      </c>
      <c r="J25" s="118">
        <v>1</v>
      </c>
      <c r="K25"/>
      <c r="L25" s="130">
        <f>I25*0.96</f>
        <v>17824.771199999999</v>
      </c>
      <c r="N25" s="120">
        <f t="shared" si="0"/>
        <v>3.9946142366192157E-2</v>
      </c>
    </row>
    <row r="26" spans="1:15" ht="20.100000000000001" customHeight="1">
      <c r="A26" s="3" t="s">
        <v>208</v>
      </c>
      <c r="B26" s="4">
        <v>6001</v>
      </c>
      <c r="C26" s="3" t="s">
        <v>212</v>
      </c>
      <c r="D26" s="4">
        <v>71</v>
      </c>
      <c r="E26" s="3" t="s">
        <v>213</v>
      </c>
      <c r="F26" s="3" t="s">
        <v>435</v>
      </c>
      <c r="G26" s="76" t="s">
        <v>365</v>
      </c>
      <c r="H26" s="76" t="s">
        <v>27</v>
      </c>
      <c r="I26" s="115">
        <v>19039.07</v>
      </c>
      <c r="J26" s="51">
        <v>0</v>
      </c>
      <c r="L26" s="133">
        <f>I26*0.96</f>
        <v>18277.5072</v>
      </c>
      <c r="N26" s="73">
        <f t="shared" si="0"/>
        <v>3.9999999999999987E-2</v>
      </c>
    </row>
    <row r="27" spans="1:15" ht="20.100000000000001" customHeight="1">
      <c r="A27" s="116" t="s">
        <v>208</v>
      </c>
      <c r="B27" s="4">
        <v>6001</v>
      </c>
      <c r="C27" s="3" t="s">
        <v>212</v>
      </c>
      <c r="D27" s="4">
        <v>71</v>
      </c>
      <c r="E27" s="3" t="s">
        <v>213</v>
      </c>
      <c r="F27" s="116" t="s">
        <v>214</v>
      </c>
      <c r="G27" s="116" t="s">
        <v>215</v>
      </c>
      <c r="H27" s="116" t="s">
        <v>13</v>
      </c>
      <c r="I27" s="117">
        <v>67241.179999999993</v>
      </c>
      <c r="J27" s="121">
        <v>0</v>
      </c>
      <c r="L27" s="130">
        <f>I27*0.98</f>
        <v>65896.35639999999</v>
      </c>
      <c r="M27" s="119"/>
      <c r="N27" s="120">
        <f t="shared" si="0"/>
        <v>2.0000000000000052E-2</v>
      </c>
      <c r="O27" s="119"/>
    </row>
    <row r="28" spans="1:15" ht="20.100000000000001" customHeight="1">
      <c r="A28" s="3" t="s">
        <v>209</v>
      </c>
      <c r="B28" s="4">
        <v>6001</v>
      </c>
      <c r="C28" s="3" t="s">
        <v>212</v>
      </c>
      <c r="D28" s="4">
        <v>71</v>
      </c>
      <c r="E28" s="3" t="s">
        <v>213</v>
      </c>
      <c r="F28" s="3" t="s">
        <v>173</v>
      </c>
      <c r="G28" s="54" t="s">
        <v>268</v>
      </c>
      <c r="H28" s="54"/>
      <c r="I28" s="50">
        <v>-0.26</v>
      </c>
      <c r="J28" s="109">
        <v>0</v>
      </c>
      <c r="L28"/>
      <c r="N28" s="73">
        <f t="shared" si="0"/>
        <v>1</v>
      </c>
      <c r="O28" t="s">
        <v>410</v>
      </c>
    </row>
    <row r="29" spans="1:15" ht="20.100000000000001" customHeight="1">
      <c r="A29" s="3" t="s">
        <v>209</v>
      </c>
      <c r="B29" s="4">
        <v>6001</v>
      </c>
      <c r="C29" s="3" t="s">
        <v>212</v>
      </c>
      <c r="D29" s="4">
        <v>71</v>
      </c>
      <c r="E29" s="3" t="s">
        <v>213</v>
      </c>
      <c r="F29" s="3" t="s">
        <v>191</v>
      </c>
      <c r="G29" s="3" t="s">
        <v>192</v>
      </c>
      <c r="H29" s="3"/>
      <c r="I29" s="50">
        <v>14103.02</v>
      </c>
      <c r="J29" s="109">
        <v>13406.35</v>
      </c>
      <c r="L29"/>
      <c r="N29" s="73">
        <f t="shared" si="0"/>
        <v>4.9398639440346823E-2</v>
      </c>
    </row>
    <row r="30" spans="1:15" ht="20.100000000000001" customHeight="1">
      <c r="A30" s="3" t="s">
        <v>209</v>
      </c>
      <c r="B30" s="4">
        <v>6001</v>
      </c>
      <c r="C30" s="3" t="s">
        <v>212</v>
      </c>
      <c r="D30" s="4">
        <v>71</v>
      </c>
      <c r="E30" s="3" t="s">
        <v>213</v>
      </c>
      <c r="F30" s="3" t="s">
        <v>183</v>
      </c>
      <c r="G30" s="3" t="s">
        <v>184</v>
      </c>
      <c r="H30" s="3"/>
      <c r="I30" s="50">
        <v>19663.13</v>
      </c>
      <c r="J30" s="109">
        <v>18870.599999999999</v>
      </c>
      <c r="L30"/>
      <c r="N30" s="73">
        <f t="shared" si="0"/>
        <v>4.0305383730871051E-2</v>
      </c>
    </row>
    <row r="31" spans="1:15" ht="20.100000000000001" customHeight="1">
      <c r="A31" s="3" t="s">
        <v>209</v>
      </c>
      <c r="B31" s="4">
        <v>6001</v>
      </c>
      <c r="C31" s="3" t="s">
        <v>212</v>
      </c>
      <c r="D31" s="4">
        <v>71</v>
      </c>
      <c r="E31" s="3" t="s">
        <v>213</v>
      </c>
      <c r="F31" s="3" t="s">
        <v>189</v>
      </c>
      <c r="G31" s="3" t="s">
        <v>190</v>
      </c>
      <c r="H31" s="3"/>
      <c r="I31" s="50">
        <v>20147.169999999998</v>
      </c>
      <c r="J31" s="109">
        <v>19151.78</v>
      </c>
      <c r="L31"/>
      <c r="N31" s="73">
        <f t="shared" si="0"/>
        <v>4.9405946343828909E-2</v>
      </c>
    </row>
    <row r="32" spans="1:15" ht="20.100000000000001" customHeight="1">
      <c r="A32" s="3" t="s">
        <v>209</v>
      </c>
      <c r="B32" s="4">
        <v>6001</v>
      </c>
      <c r="C32" s="3" t="s">
        <v>212</v>
      </c>
      <c r="D32" s="4">
        <v>71</v>
      </c>
      <c r="E32" s="3" t="s">
        <v>213</v>
      </c>
      <c r="F32" s="3" t="s">
        <v>169</v>
      </c>
      <c r="G32" s="3" t="s">
        <v>170</v>
      </c>
      <c r="H32" s="3"/>
      <c r="I32" s="50">
        <v>0</v>
      </c>
      <c r="J32" s="109">
        <v>-456.43</v>
      </c>
      <c r="K32">
        <f>J32</f>
        <v>-456.43</v>
      </c>
      <c r="L32"/>
      <c r="N32" s="73" t="e">
        <f t="shared" si="0"/>
        <v>#DIV/0!</v>
      </c>
      <c r="O32" s="12" t="s">
        <v>409</v>
      </c>
    </row>
    <row r="33" spans="1:15" ht="20.100000000000001" customHeight="1">
      <c r="A33" s="3" t="s">
        <v>209</v>
      </c>
      <c r="B33" s="4">
        <v>6001</v>
      </c>
      <c r="C33" s="3" t="s">
        <v>212</v>
      </c>
      <c r="D33" s="4">
        <v>71</v>
      </c>
      <c r="E33" s="3" t="s">
        <v>213</v>
      </c>
      <c r="F33" s="3" t="s">
        <v>185</v>
      </c>
      <c r="G33" s="3" t="s">
        <v>399</v>
      </c>
      <c r="H33" s="3"/>
      <c r="I33" s="50">
        <v>0</v>
      </c>
      <c r="J33" s="109">
        <v>-322.64</v>
      </c>
      <c r="K33">
        <f>J33</f>
        <v>-322.64</v>
      </c>
      <c r="L33"/>
      <c r="N33" s="73" t="e">
        <f t="shared" si="0"/>
        <v>#DIV/0!</v>
      </c>
      <c r="O33" s="12" t="s">
        <v>409</v>
      </c>
    </row>
    <row r="34" spans="1:15" ht="20.100000000000001" customHeight="1">
      <c r="A34" s="116" t="s">
        <v>209</v>
      </c>
      <c r="B34" s="4">
        <v>6001</v>
      </c>
      <c r="C34" s="3" t="s">
        <v>212</v>
      </c>
      <c r="D34" s="4">
        <v>71</v>
      </c>
      <c r="E34" s="3" t="s">
        <v>213</v>
      </c>
      <c r="F34" s="116" t="s">
        <v>420</v>
      </c>
      <c r="G34" s="116" t="s">
        <v>419</v>
      </c>
      <c r="H34" s="127" t="s">
        <v>74</v>
      </c>
      <c r="I34" s="117">
        <v>86060.13</v>
      </c>
      <c r="J34" s="118">
        <v>26301</v>
      </c>
      <c r="K34">
        <v>26300</v>
      </c>
      <c r="L34" s="130">
        <f>88076.71377-L20-26300</f>
        <v>56993.52377</v>
      </c>
      <c r="M34" s="119"/>
      <c r="N34" s="120">
        <f>(I34-(J34+L34))/I34</f>
        <v>3.2135743113564957E-2</v>
      </c>
      <c r="O34" s="119"/>
    </row>
    <row r="35" spans="1:15" s="119" customFormat="1" ht="20.100000000000001" customHeight="1">
      <c r="A35" s="116" t="s">
        <v>209</v>
      </c>
      <c r="B35" s="4">
        <v>6001</v>
      </c>
      <c r="C35" s="3" t="s">
        <v>212</v>
      </c>
      <c r="D35" s="4">
        <v>71</v>
      </c>
      <c r="E35" s="3" t="s">
        <v>213</v>
      </c>
      <c r="F35" s="116" t="s">
        <v>424</v>
      </c>
      <c r="G35" s="122" t="s">
        <v>423</v>
      </c>
      <c r="H35" s="123"/>
      <c r="I35" s="117">
        <v>68480.23</v>
      </c>
      <c r="J35" s="118">
        <v>59415.58</v>
      </c>
      <c r="K35" s="91"/>
      <c r="L35" s="131">
        <v>8000</v>
      </c>
      <c r="M35" s="125"/>
      <c r="N35" s="126">
        <f t="shared" si="0"/>
        <v>1.5546822783743487E-2</v>
      </c>
    </row>
    <row r="36" spans="1:15" ht="20.100000000000001" customHeight="1">
      <c r="A36" s="3" t="s">
        <v>209</v>
      </c>
      <c r="B36" s="4">
        <v>6001</v>
      </c>
      <c r="C36" s="3" t="s">
        <v>212</v>
      </c>
      <c r="D36" s="4">
        <v>71</v>
      </c>
      <c r="E36" s="3" t="s">
        <v>213</v>
      </c>
      <c r="F36" s="3" t="s">
        <v>131</v>
      </c>
      <c r="G36" s="3" t="s">
        <v>132</v>
      </c>
      <c r="H36" s="85"/>
      <c r="I36" s="50">
        <v>64943.59</v>
      </c>
      <c r="J36" s="109">
        <v>61738.04</v>
      </c>
      <c r="L36"/>
      <c r="N36" s="73">
        <f t="shared" si="0"/>
        <v>4.9358989855657745E-2</v>
      </c>
    </row>
    <row r="37" spans="1:15" ht="20.100000000000001" customHeight="1">
      <c r="A37" s="3" t="s">
        <v>209</v>
      </c>
      <c r="B37" s="4">
        <v>6001</v>
      </c>
      <c r="C37" s="3" t="s">
        <v>212</v>
      </c>
      <c r="D37" s="4">
        <v>71</v>
      </c>
      <c r="E37" s="3" t="s">
        <v>213</v>
      </c>
      <c r="F37" s="3" t="s">
        <v>163</v>
      </c>
      <c r="G37" s="3" t="s">
        <v>164</v>
      </c>
      <c r="H37" s="80"/>
      <c r="I37" s="50">
        <v>70748.509999999995</v>
      </c>
      <c r="J37" s="109">
        <v>67257.100000000006</v>
      </c>
      <c r="L37"/>
      <c r="N37" s="73">
        <f t="shared" si="0"/>
        <v>4.9349590542613397E-2</v>
      </c>
    </row>
    <row r="38" spans="1:15" ht="20.100000000000001" customHeight="1">
      <c r="A38" s="3" t="s">
        <v>209</v>
      </c>
      <c r="B38" s="4">
        <v>6001</v>
      </c>
      <c r="C38" s="3" t="s">
        <v>212</v>
      </c>
      <c r="D38" s="4">
        <v>71</v>
      </c>
      <c r="E38" s="3" t="s">
        <v>213</v>
      </c>
      <c r="F38" s="3" t="s">
        <v>161</v>
      </c>
      <c r="G38" s="79" t="s">
        <v>162</v>
      </c>
      <c r="H38" s="66"/>
      <c r="I38" s="50">
        <v>81144</v>
      </c>
      <c r="J38" s="109">
        <v>79583.399999999994</v>
      </c>
      <c r="K38" s="91"/>
      <c r="L38" s="91"/>
      <c r="M38" s="93"/>
      <c r="N38" s="94">
        <f t="shared" si="0"/>
        <v>1.92324755989353E-2</v>
      </c>
    </row>
    <row r="39" spans="1:15" ht="20.100000000000001" customHeight="1">
      <c r="A39" s="3" t="s">
        <v>209</v>
      </c>
      <c r="B39" s="4">
        <v>6001</v>
      </c>
      <c r="C39" s="3" t="s">
        <v>212</v>
      </c>
      <c r="D39" s="4">
        <v>71</v>
      </c>
      <c r="E39" s="3" t="s">
        <v>213</v>
      </c>
      <c r="F39" s="3" t="s">
        <v>67</v>
      </c>
      <c r="G39" s="3" t="s">
        <v>68</v>
      </c>
      <c r="H39" s="85"/>
      <c r="I39" s="50">
        <v>0</v>
      </c>
      <c r="J39" s="109">
        <v>-212264.15</v>
      </c>
      <c r="K39">
        <f>J39</f>
        <v>-212264.15</v>
      </c>
      <c r="L39"/>
      <c r="N39" s="73" t="e">
        <f t="shared" si="0"/>
        <v>#DIV/0!</v>
      </c>
      <c r="O39" s="12"/>
    </row>
    <row r="40" spans="1:15" s="119" customFormat="1" ht="20.100000000000001" customHeight="1">
      <c r="A40" s="116" t="s">
        <v>209</v>
      </c>
      <c r="B40" s="4">
        <v>6001</v>
      </c>
      <c r="C40" s="3" t="s">
        <v>212</v>
      </c>
      <c r="D40" s="4">
        <v>71</v>
      </c>
      <c r="E40" s="3" t="s">
        <v>213</v>
      </c>
      <c r="F40" s="116" t="s">
        <v>426</v>
      </c>
      <c r="G40" s="116" t="s">
        <v>425</v>
      </c>
      <c r="H40" s="116"/>
      <c r="I40" s="117">
        <v>53854.07</v>
      </c>
      <c r="J40" s="118">
        <v>-1054.5999999999999</v>
      </c>
      <c r="K40">
        <f>J40</f>
        <v>-1054.5999999999999</v>
      </c>
      <c r="L40" s="130">
        <v>53507.66</v>
      </c>
      <c r="N40" s="120">
        <f t="shared" si="0"/>
        <v>2.601493257612646E-2</v>
      </c>
    </row>
    <row r="41" spans="1:15" ht="20.100000000000001" customHeight="1">
      <c r="A41" s="17" t="s">
        <v>209</v>
      </c>
      <c r="B41" s="4">
        <v>6001</v>
      </c>
      <c r="C41" s="3" t="s">
        <v>212</v>
      </c>
      <c r="D41" s="4">
        <v>71</v>
      </c>
      <c r="E41" s="3" t="s">
        <v>213</v>
      </c>
      <c r="F41" s="17" t="s">
        <v>195</v>
      </c>
      <c r="G41" s="17" t="s">
        <v>196</v>
      </c>
      <c r="H41" s="17" t="s">
        <v>194</v>
      </c>
      <c r="I41" s="111">
        <v>63594.43</v>
      </c>
      <c r="J41" s="112">
        <v>-249999</v>
      </c>
      <c r="K41" s="20">
        <f>J41</f>
        <v>-249999</v>
      </c>
      <c r="L41" s="20"/>
      <c r="M41" s="20"/>
      <c r="N41" s="113">
        <f t="shared" si="0"/>
        <v>4.9311461711347988</v>
      </c>
    </row>
    <row r="42" spans="1:15" s="119" customFormat="1" ht="20.100000000000001" customHeight="1">
      <c r="A42" s="116" t="s">
        <v>209</v>
      </c>
      <c r="B42" s="4">
        <v>6001</v>
      </c>
      <c r="C42" s="3" t="s">
        <v>212</v>
      </c>
      <c r="D42" s="4">
        <v>71</v>
      </c>
      <c r="E42" s="3" t="s">
        <v>213</v>
      </c>
      <c r="F42" s="116" t="s">
        <v>429</v>
      </c>
      <c r="G42" s="116" t="s">
        <v>412</v>
      </c>
      <c r="H42" s="116"/>
      <c r="I42" s="117">
        <v>54718.03</v>
      </c>
      <c r="J42" s="118">
        <v>-1123.33</v>
      </c>
      <c r="K42">
        <f>J42</f>
        <v>-1123.33</v>
      </c>
      <c r="L42" s="130">
        <v>54224.31</v>
      </c>
      <c r="N42" s="120">
        <f t="shared" si="0"/>
        <v>2.9552416269372325E-2</v>
      </c>
    </row>
    <row r="43" spans="1:15" ht="20.100000000000001" customHeight="1">
      <c r="A43" s="3" t="s">
        <v>209</v>
      </c>
      <c r="B43" s="4">
        <v>6001</v>
      </c>
      <c r="C43" s="3" t="s">
        <v>212</v>
      </c>
      <c r="D43" s="4">
        <v>71</v>
      </c>
      <c r="E43" s="3" t="s">
        <v>213</v>
      </c>
      <c r="F43" s="3" t="s">
        <v>139</v>
      </c>
      <c r="G43" s="3" t="s">
        <v>140</v>
      </c>
      <c r="H43" s="3"/>
      <c r="I43" s="50">
        <v>110426.64</v>
      </c>
      <c r="J43" s="109">
        <v>103415.09</v>
      </c>
      <c r="L43"/>
      <c r="N43" s="73">
        <f t="shared" si="0"/>
        <v>6.3495095024171735E-2</v>
      </c>
    </row>
    <row r="44" spans="1:15" ht="20.100000000000001" customHeight="1">
      <c r="A44" s="116" t="s">
        <v>208</v>
      </c>
      <c r="B44" s="4">
        <v>6001</v>
      </c>
      <c r="C44" s="3" t="s">
        <v>212</v>
      </c>
      <c r="D44" s="4">
        <v>71</v>
      </c>
      <c r="E44" s="3" t="s">
        <v>213</v>
      </c>
      <c r="F44" s="116" t="s">
        <v>12</v>
      </c>
      <c r="G44" s="116" t="s">
        <v>13</v>
      </c>
      <c r="H44" s="116" t="s">
        <v>13</v>
      </c>
      <c r="I44" s="117">
        <v>103673.3</v>
      </c>
      <c r="J44" s="118">
        <v>105943.4</v>
      </c>
      <c r="K44">
        <f>J44</f>
        <v>105943.4</v>
      </c>
      <c r="L44" s="119"/>
      <c r="M44" s="119"/>
      <c r="N44" s="120">
        <f>(I44-(J44+L44))/I44</f>
        <v>-2.1896669634322349E-2</v>
      </c>
      <c r="O44" s="119"/>
    </row>
    <row r="45" spans="1:15" ht="20.100000000000001" customHeight="1">
      <c r="A45" s="3" t="s">
        <v>209</v>
      </c>
      <c r="B45" s="4">
        <v>6001</v>
      </c>
      <c r="C45" s="3" t="s">
        <v>212</v>
      </c>
      <c r="D45" s="4">
        <v>71</v>
      </c>
      <c r="E45" s="3" t="s">
        <v>213</v>
      </c>
      <c r="F45" s="3" t="s">
        <v>59</v>
      </c>
      <c r="G45" s="3" t="s">
        <v>60</v>
      </c>
      <c r="H45" s="3"/>
      <c r="I45" s="50">
        <v>0</v>
      </c>
      <c r="J45" s="109">
        <v>212264.15</v>
      </c>
      <c r="K45">
        <f>J45</f>
        <v>212264.15</v>
      </c>
      <c r="L45"/>
      <c r="N45" s="73" t="e">
        <f t="shared" si="0"/>
        <v>#DIV/0!</v>
      </c>
    </row>
    <row r="46" spans="1:15" ht="20.100000000000001" customHeight="1">
      <c r="A46" s="17" t="s">
        <v>209</v>
      </c>
      <c r="B46" s="4">
        <v>6001</v>
      </c>
      <c r="C46" s="3" t="s">
        <v>212</v>
      </c>
      <c r="D46" s="4">
        <v>71</v>
      </c>
      <c r="E46" s="3" t="s">
        <v>213</v>
      </c>
      <c r="F46" s="17" t="s">
        <v>197</v>
      </c>
      <c r="G46" s="17" t="s">
        <v>198</v>
      </c>
      <c r="H46" s="17" t="s">
        <v>194</v>
      </c>
      <c r="I46" s="111">
        <v>734529.02</v>
      </c>
      <c r="J46" s="112">
        <v>250000</v>
      </c>
      <c r="K46" s="20">
        <f>J46</f>
        <v>250000</v>
      </c>
      <c r="L46" s="20"/>
      <c r="M46" s="20"/>
      <c r="N46" s="113">
        <f t="shared" si="0"/>
        <v>0.65964585034366652</v>
      </c>
    </row>
    <row r="47" spans="1:15" ht="20.100000000000001" customHeight="1">
      <c r="A47" s="3" t="s">
        <v>209</v>
      </c>
      <c r="B47" s="4">
        <v>6001</v>
      </c>
      <c r="C47" s="3" t="s">
        <v>212</v>
      </c>
      <c r="D47" s="4">
        <v>71</v>
      </c>
      <c r="E47" s="3" t="s">
        <v>213</v>
      </c>
      <c r="F47" s="3" t="s">
        <v>127</v>
      </c>
      <c r="G47" s="3" t="s">
        <v>128</v>
      </c>
      <c r="H47" s="3"/>
      <c r="I47" s="50">
        <v>0</v>
      </c>
      <c r="J47" s="109">
        <v>341880.35</v>
      </c>
      <c r="L47"/>
      <c r="N47" s="73" t="e">
        <f t="shared" si="0"/>
        <v>#DIV/0!</v>
      </c>
      <c r="O47" s="12" t="s">
        <v>361</v>
      </c>
    </row>
    <row r="48" spans="1:15" ht="20.100000000000001" customHeight="1">
      <c r="A48" s="3" t="s">
        <v>209</v>
      </c>
      <c r="B48" s="4">
        <v>6001</v>
      </c>
      <c r="C48" s="3" t="s">
        <v>212</v>
      </c>
      <c r="D48" s="4">
        <v>71</v>
      </c>
      <c r="E48" s="3" t="s">
        <v>213</v>
      </c>
      <c r="F48" s="3" t="s">
        <v>113</v>
      </c>
      <c r="G48" s="3" t="s">
        <v>114</v>
      </c>
      <c r="H48" s="3"/>
      <c r="I48" s="50">
        <v>401089.85</v>
      </c>
      <c r="J48" s="109">
        <v>386354.7</v>
      </c>
      <c r="L48"/>
      <c r="N48" s="73">
        <f t="shared" si="0"/>
        <v>3.6737778330715586E-2</v>
      </c>
    </row>
    <row r="49" spans="1:15" ht="20.100000000000001" customHeight="1">
      <c r="A49" s="3" t="s">
        <v>209</v>
      </c>
      <c r="B49" s="4">
        <v>6001</v>
      </c>
      <c r="C49" s="3" t="s">
        <v>212</v>
      </c>
      <c r="D49" s="4">
        <v>71</v>
      </c>
      <c r="E49" s="3" t="s">
        <v>213</v>
      </c>
      <c r="F49" s="3" t="s">
        <v>97</v>
      </c>
      <c r="G49" s="3" t="s">
        <v>98</v>
      </c>
      <c r="H49" s="80"/>
      <c r="I49" s="50">
        <v>401936.03</v>
      </c>
      <c r="J49" s="109">
        <v>387169.77</v>
      </c>
      <c r="L49"/>
      <c r="N49" s="73">
        <f t="shared" si="0"/>
        <v>3.6737836117851912E-2</v>
      </c>
    </row>
    <row r="50" spans="1:15" s="119" customFormat="1">
      <c r="A50" s="116" t="s">
        <v>209</v>
      </c>
      <c r="B50" s="4">
        <v>6001</v>
      </c>
      <c r="C50" s="3" t="s">
        <v>212</v>
      </c>
      <c r="D50" s="4">
        <v>71</v>
      </c>
      <c r="E50" s="3" t="s">
        <v>213</v>
      </c>
      <c r="F50" s="116" t="s">
        <v>428</v>
      </c>
      <c r="G50" s="122" t="s">
        <v>427</v>
      </c>
      <c r="H50" s="123"/>
      <c r="I50" s="117">
        <v>835948.79</v>
      </c>
      <c r="J50" s="118">
        <v>774902.68</v>
      </c>
      <c r="K50" s="91"/>
      <c r="L50" s="131">
        <v>45000</v>
      </c>
      <c r="M50" s="125"/>
      <c r="N50" s="126">
        <f t="shared" si="0"/>
        <v>1.9195087297153676E-2</v>
      </c>
    </row>
    <row r="51" spans="1:15" ht="20.100000000000001" customHeight="1">
      <c r="A51" s="3" t="s">
        <v>209</v>
      </c>
      <c r="B51" s="4">
        <v>6001</v>
      </c>
      <c r="C51" s="3" t="s">
        <v>212</v>
      </c>
      <c r="D51" s="4">
        <v>71</v>
      </c>
      <c r="E51" s="3" t="s">
        <v>213</v>
      </c>
      <c r="F51" s="3" t="s">
        <v>242</v>
      </c>
      <c r="G51" s="3" t="s">
        <v>182</v>
      </c>
      <c r="H51" s="85"/>
      <c r="I51" s="50">
        <v>1163838.6499999999</v>
      </c>
      <c r="J51" s="109">
        <v>1138324.55</v>
      </c>
      <c r="L51"/>
      <c r="N51" s="73">
        <f t="shared" si="0"/>
        <v>2.1922368706349341E-2</v>
      </c>
    </row>
    <row r="52" spans="1:15" ht="20.100000000000001" customHeight="1">
      <c r="A52" s="3" t="s">
        <v>209</v>
      </c>
      <c r="B52" s="4">
        <v>6001</v>
      </c>
      <c r="C52" s="3" t="s">
        <v>212</v>
      </c>
      <c r="D52" s="4">
        <v>71</v>
      </c>
      <c r="E52" s="3" t="s">
        <v>213</v>
      </c>
      <c r="F52" s="3" t="s">
        <v>31</v>
      </c>
      <c r="G52" s="3" t="s">
        <v>32</v>
      </c>
      <c r="H52" s="3"/>
      <c r="I52" s="50">
        <v>0</v>
      </c>
      <c r="J52" s="109">
        <v>1</v>
      </c>
      <c r="L52"/>
    </row>
    <row r="53" spans="1:15" ht="20.100000000000001" customHeight="1">
      <c r="A53" s="3" t="s">
        <v>209</v>
      </c>
      <c r="B53" s="4">
        <v>6001</v>
      </c>
      <c r="C53" s="3" t="s">
        <v>212</v>
      </c>
      <c r="D53" s="4">
        <v>71</v>
      </c>
      <c r="E53" s="3" t="s">
        <v>213</v>
      </c>
      <c r="F53" s="3" t="s">
        <v>33</v>
      </c>
      <c r="G53" s="3" t="s">
        <v>34</v>
      </c>
      <c r="H53" s="3"/>
      <c r="I53" s="50">
        <v>0</v>
      </c>
      <c r="J53" s="109">
        <v>1</v>
      </c>
      <c r="L53"/>
    </row>
    <row r="54" spans="1:15" ht="20.100000000000001" customHeight="1">
      <c r="A54" s="3" t="s">
        <v>209</v>
      </c>
      <c r="B54" s="4">
        <v>6001</v>
      </c>
      <c r="C54" s="3" t="s">
        <v>212</v>
      </c>
      <c r="D54" s="4">
        <v>71</v>
      </c>
      <c r="E54" s="3" t="s">
        <v>213</v>
      </c>
      <c r="F54" s="3" t="s">
        <v>37</v>
      </c>
      <c r="G54" s="3" t="s">
        <v>38</v>
      </c>
      <c r="H54" s="3"/>
      <c r="I54" s="50">
        <v>0</v>
      </c>
      <c r="J54" s="109">
        <v>0</v>
      </c>
      <c r="L54"/>
    </row>
    <row r="55" spans="1:15" ht="20.100000000000001" customHeight="1">
      <c r="A55" s="116" t="s">
        <v>208</v>
      </c>
      <c r="B55" s="4">
        <v>6001</v>
      </c>
      <c r="C55" s="3" t="s">
        <v>212</v>
      </c>
      <c r="D55" s="4">
        <v>71</v>
      </c>
      <c r="E55" s="3" t="s">
        <v>213</v>
      </c>
      <c r="F55" s="116" t="s">
        <v>10</v>
      </c>
      <c r="G55" s="116" t="s">
        <v>11</v>
      </c>
      <c r="H55" s="116" t="s">
        <v>13</v>
      </c>
      <c r="I55" s="117">
        <v>-160335</v>
      </c>
      <c r="J55" s="118">
        <v>0</v>
      </c>
      <c r="L55" s="119"/>
      <c r="M55" s="119"/>
      <c r="N55" s="120">
        <f>(I55-(J55+L55))/I55</f>
        <v>1</v>
      </c>
      <c r="O55" s="119"/>
    </row>
    <row r="56" spans="1:15" ht="20.100000000000001" customHeight="1">
      <c r="A56" s="3" t="s">
        <v>209</v>
      </c>
      <c r="B56" s="4">
        <v>6001</v>
      </c>
      <c r="C56" s="3" t="s">
        <v>212</v>
      </c>
      <c r="D56" s="4">
        <v>71</v>
      </c>
      <c r="E56" s="3" t="s">
        <v>213</v>
      </c>
      <c r="F56" s="3" t="s">
        <v>53</v>
      </c>
      <c r="G56" s="3" t="s">
        <v>54</v>
      </c>
      <c r="H56" s="3"/>
      <c r="I56" s="50">
        <v>0</v>
      </c>
      <c r="J56" s="109">
        <v>1</v>
      </c>
      <c r="L56"/>
    </row>
    <row r="57" spans="1:15" ht="20.100000000000001" customHeight="1">
      <c r="A57" s="3" t="s">
        <v>209</v>
      </c>
      <c r="B57" s="4">
        <v>6001</v>
      </c>
      <c r="C57" s="3" t="s">
        <v>212</v>
      </c>
      <c r="D57" s="4">
        <v>71</v>
      </c>
      <c r="E57" s="3" t="s">
        <v>213</v>
      </c>
      <c r="F57" s="3" t="s">
        <v>55</v>
      </c>
      <c r="G57" s="3" t="s">
        <v>56</v>
      </c>
      <c r="H57" s="3"/>
      <c r="I57" s="50">
        <v>0</v>
      </c>
      <c r="J57" s="109">
        <v>0</v>
      </c>
      <c r="L57"/>
    </row>
    <row r="58" spans="1:15" ht="20.100000000000001" customHeight="1">
      <c r="A58" s="3" t="s">
        <v>208</v>
      </c>
      <c r="B58" s="4">
        <v>6001</v>
      </c>
      <c r="C58" s="3" t="s">
        <v>212</v>
      </c>
      <c r="D58" s="4">
        <v>71</v>
      </c>
      <c r="E58" s="3" t="s">
        <v>213</v>
      </c>
      <c r="F58" s="3" t="s">
        <v>16</v>
      </c>
      <c r="G58" s="3" t="s">
        <v>17</v>
      </c>
      <c r="H58" s="3"/>
      <c r="I58" s="50">
        <v>0</v>
      </c>
      <c r="J58" s="109">
        <v>0</v>
      </c>
      <c r="L58"/>
    </row>
    <row r="59" spans="1:15" ht="20.100000000000001" customHeight="1">
      <c r="A59" s="3" t="s">
        <v>209</v>
      </c>
      <c r="B59" s="4">
        <v>6001</v>
      </c>
      <c r="C59" s="3" t="s">
        <v>212</v>
      </c>
      <c r="D59" s="4">
        <v>71</v>
      </c>
      <c r="E59" s="3" t="s">
        <v>213</v>
      </c>
      <c r="F59" s="3" t="s">
        <v>16</v>
      </c>
      <c r="G59" s="3" t="s">
        <v>17</v>
      </c>
      <c r="H59" s="3"/>
      <c r="I59" s="50">
        <v>0</v>
      </c>
      <c r="J59" s="109">
        <v>0</v>
      </c>
      <c r="L59"/>
    </row>
    <row r="60" spans="1:15" ht="20.100000000000001" customHeight="1">
      <c r="A60" s="3" t="s">
        <v>209</v>
      </c>
      <c r="B60" s="4">
        <v>6001</v>
      </c>
      <c r="C60" s="3" t="s">
        <v>212</v>
      </c>
      <c r="D60" s="4">
        <v>71</v>
      </c>
      <c r="E60" s="3" t="s">
        <v>213</v>
      </c>
      <c r="F60" s="3" t="s">
        <v>57</v>
      </c>
      <c r="G60" s="3" t="s">
        <v>58</v>
      </c>
      <c r="H60" s="3"/>
      <c r="I60" s="50">
        <v>0</v>
      </c>
      <c r="J60" s="109">
        <v>0</v>
      </c>
      <c r="L60"/>
    </row>
    <row r="61" spans="1:15" ht="20.100000000000001" customHeight="1">
      <c r="A61" s="3" t="s">
        <v>209</v>
      </c>
      <c r="B61" s="4">
        <v>6001</v>
      </c>
      <c r="C61" s="3" t="s">
        <v>212</v>
      </c>
      <c r="D61" s="4">
        <v>71</v>
      </c>
      <c r="E61" s="3" t="s">
        <v>213</v>
      </c>
      <c r="F61" s="3" t="s">
        <v>234</v>
      </c>
      <c r="G61" s="3" t="s">
        <v>235</v>
      </c>
      <c r="H61" s="3"/>
      <c r="I61" s="50">
        <v>0</v>
      </c>
      <c r="J61" s="51">
        <v>0</v>
      </c>
      <c r="L61"/>
    </row>
    <row r="62" spans="1:15" ht="20.100000000000001" customHeight="1">
      <c r="A62" s="3" t="s">
        <v>209</v>
      </c>
      <c r="B62" s="4">
        <v>6001</v>
      </c>
      <c r="C62" s="3" t="s">
        <v>212</v>
      </c>
      <c r="D62" s="4">
        <v>71</v>
      </c>
      <c r="E62" s="3" t="s">
        <v>213</v>
      </c>
      <c r="F62" s="3" t="s">
        <v>63</v>
      </c>
      <c r="G62" s="3" t="s">
        <v>64</v>
      </c>
      <c r="H62" s="3"/>
      <c r="I62" s="50">
        <v>0</v>
      </c>
      <c r="J62" s="109">
        <v>0</v>
      </c>
      <c r="L62"/>
    </row>
    <row r="63" spans="1:15" ht="20.100000000000001" customHeight="1">
      <c r="A63" s="3" t="s">
        <v>209</v>
      </c>
      <c r="B63" s="4">
        <v>6001</v>
      </c>
      <c r="C63" s="3" t="s">
        <v>212</v>
      </c>
      <c r="D63" s="4">
        <v>71</v>
      </c>
      <c r="E63" s="3" t="s">
        <v>213</v>
      </c>
      <c r="F63" s="3" t="s">
        <v>65</v>
      </c>
      <c r="G63" s="3" t="s">
        <v>66</v>
      </c>
      <c r="H63" s="3"/>
      <c r="I63" s="50">
        <v>0</v>
      </c>
      <c r="J63" s="109">
        <v>0</v>
      </c>
      <c r="L63"/>
    </row>
    <row r="64" spans="1:15" ht="20.100000000000001" customHeight="1">
      <c r="A64" s="3" t="s">
        <v>209</v>
      </c>
      <c r="B64" s="4">
        <v>6001</v>
      </c>
      <c r="C64" s="3" t="s">
        <v>212</v>
      </c>
      <c r="D64" s="4">
        <v>71</v>
      </c>
      <c r="E64" s="3" t="s">
        <v>213</v>
      </c>
      <c r="F64" s="3" t="s">
        <v>18</v>
      </c>
      <c r="G64" s="3" t="s">
        <v>19</v>
      </c>
      <c r="H64" s="3"/>
      <c r="I64" s="50">
        <v>0</v>
      </c>
      <c r="J64" s="109">
        <v>0</v>
      </c>
      <c r="L64"/>
    </row>
    <row r="65" spans="1:11" customFormat="1" ht="20.100000000000001" customHeight="1">
      <c r="A65" s="3" t="s">
        <v>209</v>
      </c>
      <c r="B65" s="4">
        <v>6001</v>
      </c>
      <c r="C65" s="3" t="s">
        <v>212</v>
      </c>
      <c r="D65" s="4">
        <v>71</v>
      </c>
      <c r="E65" s="3" t="s">
        <v>213</v>
      </c>
      <c r="F65" s="3" t="s">
        <v>73</v>
      </c>
      <c r="G65" s="55" t="s">
        <v>74</v>
      </c>
      <c r="H65" s="55" t="s">
        <v>74</v>
      </c>
      <c r="I65" s="50">
        <v>0</v>
      </c>
      <c r="J65" s="109">
        <v>-26300</v>
      </c>
    </row>
    <row r="66" spans="1:11" customFormat="1" ht="20.100000000000001" customHeight="1">
      <c r="A66" s="3" t="s">
        <v>209</v>
      </c>
      <c r="B66" s="4">
        <v>6001</v>
      </c>
      <c r="C66" s="3" t="s">
        <v>212</v>
      </c>
      <c r="D66" s="4">
        <v>71</v>
      </c>
      <c r="E66" s="3" t="s">
        <v>213</v>
      </c>
      <c r="F66" s="3" t="s">
        <v>85</v>
      </c>
      <c r="G66" s="3" t="s">
        <v>86</v>
      </c>
      <c r="H66" s="3"/>
      <c r="I66" s="50">
        <v>0</v>
      </c>
      <c r="J66" s="109">
        <v>0</v>
      </c>
    </row>
    <row r="67" spans="1:11" customFormat="1" ht="20.100000000000001" customHeight="1">
      <c r="A67" s="3" t="s">
        <v>209</v>
      </c>
      <c r="B67" s="4">
        <v>6001</v>
      </c>
      <c r="C67" s="3" t="s">
        <v>212</v>
      </c>
      <c r="D67" s="4">
        <v>71</v>
      </c>
      <c r="E67" s="3" t="s">
        <v>213</v>
      </c>
      <c r="F67" s="3" t="s">
        <v>87</v>
      </c>
      <c r="G67" s="3" t="s">
        <v>88</v>
      </c>
      <c r="H67" s="3"/>
      <c r="I67" s="50">
        <v>0</v>
      </c>
      <c r="J67" s="109">
        <v>0</v>
      </c>
    </row>
    <row r="68" spans="1:11" customFormat="1" ht="20.100000000000001" customHeight="1">
      <c r="A68" s="3" t="s">
        <v>209</v>
      </c>
      <c r="B68" s="4">
        <v>6001</v>
      </c>
      <c r="C68" s="3" t="s">
        <v>212</v>
      </c>
      <c r="D68" s="4">
        <v>71</v>
      </c>
      <c r="E68" s="3" t="s">
        <v>213</v>
      </c>
      <c r="F68" s="3" t="s">
        <v>91</v>
      </c>
      <c r="G68" s="3" t="s">
        <v>92</v>
      </c>
      <c r="H68" s="3"/>
      <c r="I68" s="50">
        <v>0</v>
      </c>
      <c r="J68" s="109">
        <v>0</v>
      </c>
    </row>
    <row r="69" spans="1:11" s="20" customFormat="1" ht="20.100000000000001" customHeight="1">
      <c r="A69" s="3" t="s">
        <v>209</v>
      </c>
      <c r="B69" s="4">
        <v>6001</v>
      </c>
      <c r="C69" s="3" t="s">
        <v>212</v>
      </c>
      <c r="D69" s="4">
        <v>71</v>
      </c>
      <c r="E69" s="3" t="s">
        <v>213</v>
      </c>
      <c r="F69" s="3" t="s">
        <v>93</v>
      </c>
      <c r="G69" s="3" t="s">
        <v>94</v>
      </c>
      <c r="H69" s="3"/>
      <c r="I69" s="50">
        <v>0</v>
      </c>
      <c r="J69" s="109">
        <v>0</v>
      </c>
      <c r="K69"/>
    </row>
    <row r="70" spans="1:11" s="20" customFormat="1" ht="20.100000000000001" customHeight="1">
      <c r="A70" s="3" t="s">
        <v>209</v>
      </c>
      <c r="B70" s="4">
        <v>6001</v>
      </c>
      <c r="C70" s="3" t="s">
        <v>212</v>
      </c>
      <c r="D70" s="4">
        <v>71</v>
      </c>
      <c r="E70" s="3" t="s">
        <v>213</v>
      </c>
      <c r="F70" s="3" t="s">
        <v>95</v>
      </c>
      <c r="G70" s="3" t="s">
        <v>96</v>
      </c>
      <c r="H70" s="3"/>
      <c r="I70" s="50">
        <v>0</v>
      </c>
      <c r="J70" s="109">
        <v>0</v>
      </c>
      <c r="K70"/>
    </row>
    <row r="71" spans="1:11" customFormat="1" ht="20.100000000000001" customHeight="1">
      <c r="A71" s="3" t="s">
        <v>209</v>
      </c>
      <c r="B71" s="4">
        <v>6001</v>
      </c>
      <c r="C71" s="3" t="s">
        <v>212</v>
      </c>
      <c r="D71" s="4">
        <v>71</v>
      </c>
      <c r="E71" s="3" t="s">
        <v>213</v>
      </c>
      <c r="F71" s="3" t="s">
        <v>99</v>
      </c>
      <c r="G71" s="3" t="s">
        <v>100</v>
      </c>
      <c r="H71" s="3"/>
      <c r="I71" s="50">
        <v>0</v>
      </c>
      <c r="J71" s="109">
        <v>0</v>
      </c>
    </row>
    <row r="72" spans="1:11" customFormat="1" ht="20.100000000000001" customHeight="1">
      <c r="A72" s="3" t="s">
        <v>209</v>
      </c>
      <c r="B72" s="4">
        <v>6001</v>
      </c>
      <c r="C72" s="3" t="s">
        <v>212</v>
      </c>
      <c r="D72" s="4">
        <v>71</v>
      </c>
      <c r="E72" s="3" t="s">
        <v>213</v>
      </c>
      <c r="F72" s="3" t="s">
        <v>101</v>
      </c>
      <c r="G72" s="3" t="s">
        <v>102</v>
      </c>
      <c r="H72" s="3"/>
      <c r="I72" s="50">
        <v>0</v>
      </c>
      <c r="J72" s="109">
        <v>0</v>
      </c>
    </row>
    <row r="73" spans="1:11" customFormat="1" ht="20.100000000000001" customHeight="1">
      <c r="A73" s="3" t="s">
        <v>209</v>
      </c>
      <c r="B73" s="4">
        <v>6001</v>
      </c>
      <c r="C73" s="3" t="s">
        <v>212</v>
      </c>
      <c r="D73" s="4">
        <v>71</v>
      </c>
      <c r="E73" s="3" t="s">
        <v>213</v>
      </c>
      <c r="F73" s="3" t="s">
        <v>103</v>
      </c>
      <c r="G73" s="3" t="s">
        <v>104</v>
      </c>
      <c r="H73" s="3"/>
      <c r="I73" s="50">
        <v>0</v>
      </c>
      <c r="J73" s="109">
        <v>0</v>
      </c>
    </row>
    <row r="74" spans="1:11" customFormat="1" ht="20.100000000000001" customHeight="1">
      <c r="A74" s="3" t="s">
        <v>209</v>
      </c>
      <c r="B74" s="4">
        <v>6001</v>
      </c>
      <c r="C74" s="3" t="s">
        <v>212</v>
      </c>
      <c r="D74" s="4">
        <v>71</v>
      </c>
      <c r="E74" s="3" t="s">
        <v>213</v>
      </c>
      <c r="F74" s="3" t="s">
        <v>105</v>
      </c>
      <c r="G74" s="3" t="s">
        <v>106</v>
      </c>
      <c r="H74" s="3"/>
      <c r="I74" s="50">
        <v>0</v>
      </c>
      <c r="J74" s="109">
        <v>0</v>
      </c>
    </row>
    <row r="75" spans="1:11" customFormat="1" ht="20.100000000000001" customHeight="1">
      <c r="A75" s="3" t="s">
        <v>209</v>
      </c>
      <c r="B75" s="4">
        <v>6001</v>
      </c>
      <c r="C75" s="3" t="s">
        <v>212</v>
      </c>
      <c r="D75" s="4">
        <v>71</v>
      </c>
      <c r="E75" s="3" t="s">
        <v>213</v>
      </c>
      <c r="F75" s="3" t="s">
        <v>107</v>
      </c>
      <c r="G75" s="3" t="s">
        <v>108</v>
      </c>
      <c r="H75" s="3"/>
      <c r="I75" s="50">
        <v>0</v>
      </c>
      <c r="J75" s="109">
        <v>0</v>
      </c>
    </row>
    <row r="76" spans="1:11" customFormat="1" ht="20.100000000000001" customHeight="1">
      <c r="A76" s="3" t="s">
        <v>209</v>
      </c>
      <c r="B76" s="4">
        <v>6001</v>
      </c>
      <c r="C76" s="3" t="s">
        <v>212</v>
      </c>
      <c r="D76" s="4">
        <v>71</v>
      </c>
      <c r="E76" s="3" t="s">
        <v>213</v>
      </c>
      <c r="F76" s="3" t="s">
        <v>109</v>
      </c>
      <c r="G76" s="3" t="s">
        <v>110</v>
      </c>
      <c r="H76" s="3"/>
      <c r="I76" s="50">
        <v>0</v>
      </c>
      <c r="J76" s="109">
        <v>0</v>
      </c>
    </row>
    <row r="77" spans="1:11" customFormat="1" ht="20.100000000000001" customHeight="1">
      <c r="A77" s="3" t="s">
        <v>209</v>
      </c>
      <c r="B77" s="4">
        <v>6001</v>
      </c>
      <c r="C77" s="3" t="s">
        <v>212</v>
      </c>
      <c r="D77" s="4">
        <v>71</v>
      </c>
      <c r="E77" s="3" t="s">
        <v>213</v>
      </c>
      <c r="F77" s="3" t="s">
        <v>111</v>
      </c>
      <c r="G77" s="3" t="s">
        <v>112</v>
      </c>
      <c r="H77" s="3"/>
      <c r="I77" s="50">
        <v>0</v>
      </c>
      <c r="J77" s="109">
        <v>0</v>
      </c>
    </row>
    <row r="78" spans="1:11" customFormat="1" ht="20.100000000000001" customHeight="1">
      <c r="A78" s="3" t="s">
        <v>209</v>
      </c>
      <c r="B78" s="4">
        <v>6001</v>
      </c>
      <c r="C78" s="3" t="s">
        <v>212</v>
      </c>
      <c r="D78" s="4">
        <v>71</v>
      </c>
      <c r="E78" s="3" t="s">
        <v>213</v>
      </c>
      <c r="F78" s="3" t="s">
        <v>117</v>
      </c>
      <c r="G78" s="3" t="s">
        <v>118</v>
      </c>
      <c r="H78" s="3"/>
      <c r="I78" s="50">
        <v>0</v>
      </c>
      <c r="J78" s="109">
        <v>1</v>
      </c>
    </row>
    <row r="79" spans="1:11" customFormat="1" ht="20.100000000000001" customHeight="1">
      <c r="A79" s="3" t="s">
        <v>209</v>
      </c>
      <c r="B79" s="4">
        <v>6001</v>
      </c>
      <c r="C79" s="3" t="s">
        <v>212</v>
      </c>
      <c r="D79" s="4">
        <v>71</v>
      </c>
      <c r="E79" s="3" t="s">
        <v>213</v>
      </c>
      <c r="F79" s="3" t="s">
        <v>119</v>
      </c>
      <c r="G79" s="3" t="s">
        <v>120</v>
      </c>
      <c r="H79" s="3"/>
      <c r="I79" s="50">
        <v>0</v>
      </c>
      <c r="J79" s="109">
        <v>1</v>
      </c>
    </row>
    <row r="80" spans="1:11" customFormat="1" ht="20.100000000000001" customHeight="1">
      <c r="A80" s="3" t="s">
        <v>209</v>
      </c>
      <c r="B80" s="4">
        <v>6001</v>
      </c>
      <c r="C80" s="3" t="s">
        <v>212</v>
      </c>
      <c r="D80" s="4">
        <v>71</v>
      </c>
      <c r="E80" s="3" t="s">
        <v>213</v>
      </c>
      <c r="F80" s="3" t="s">
        <v>121</v>
      </c>
      <c r="G80" s="3" t="s">
        <v>122</v>
      </c>
      <c r="H80" s="3"/>
      <c r="I80" s="50">
        <v>0</v>
      </c>
      <c r="J80" s="109">
        <v>1</v>
      </c>
    </row>
    <row r="81" spans="1:14" ht="20.100000000000001" customHeight="1">
      <c r="A81" s="3" t="s">
        <v>209</v>
      </c>
      <c r="B81" s="4">
        <v>6001</v>
      </c>
      <c r="C81" s="3" t="s">
        <v>212</v>
      </c>
      <c r="D81" s="4">
        <v>71</v>
      </c>
      <c r="E81" s="3" t="s">
        <v>213</v>
      </c>
      <c r="F81" s="3" t="s">
        <v>236</v>
      </c>
      <c r="G81" s="3" t="s">
        <v>237</v>
      </c>
      <c r="H81" s="3"/>
      <c r="I81" s="50">
        <v>0</v>
      </c>
      <c r="J81" s="51">
        <v>0</v>
      </c>
      <c r="L81"/>
    </row>
    <row r="82" spans="1:14" ht="20.100000000000001" customHeight="1">
      <c r="A82" s="3" t="s">
        <v>209</v>
      </c>
      <c r="B82" s="4">
        <v>6001</v>
      </c>
      <c r="C82" s="3" t="s">
        <v>212</v>
      </c>
      <c r="D82" s="4">
        <v>71</v>
      </c>
      <c r="E82" s="3" t="s">
        <v>213</v>
      </c>
      <c r="F82" s="3" t="s">
        <v>123</v>
      </c>
      <c r="G82" s="3" t="s">
        <v>124</v>
      </c>
      <c r="H82" s="3"/>
      <c r="I82" s="50">
        <v>0</v>
      </c>
      <c r="J82" s="109">
        <v>0</v>
      </c>
      <c r="L82"/>
    </row>
    <row r="83" spans="1:14" ht="20.100000000000001" customHeight="1">
      <c r="A83" s="3" t="s">
        <v>209</v>
      </c>
      <c r="B83" s="4">
        <v>6001</v>
      </c>
      <c r="C83" s="3" t="s">
        <v>212</v>
      </c>
      <c r="D83" s="4">
        <v>71</v>
      </c>
      <c r="E83" s="3" t="s">
        <v>213</v>
      </c>
      <c r="F83" s="3" t="s">
        <v>129</v>
      </c>
      <c r="G83" s="3" t="s">
        <v>130</v>
      </c>
      <c r="H83" s="3"/>
      <c r="I83" s="50">
        <v>0</v>
      </c>
      <c r="J83" s="109">
        <v>0</v>
      </c>
      <c r="L83"/>
    </row>
    <row r="84" spans="1:14" ht="20.100000000000001" customHeight="1">
      <c r="A84" s="3" t="s">
        <v>209</v>
      </c>
      <c r="B84" s="4">
        <v>6001</v>
      </c>
      <c r="C84" s="3" t="s">
        <v>212</v>
      </c>
      <c r="D84" s="4">
        <v>71</v>
      </c>
      <c r="E84" s="3" t="s">
        <v>213</v>
      </c>
      <c r="F84" s="3" t="s">
        <v>143</v>
      </c>
      <c r="G84" s="3" t="s">
        <v>144</v>
      </c>
      <c r="H84" s="3"/>
      <c r="I84" s="50">
        <v>0</v>
      </c>
      <c r="J84" s="109">
        <v>0</v>
      </c>
      <c r="L84"/>
    </row>
    <row r="85" spans="1:14" ht="20.100000000000001" customHeight="1">
      <c r="A85" s="3" t="s">
        <v>209</v>
      </c>
      <c r="B85" s="4">
        <v>6001</v>
      </c>
      <c r="C85" s="3" t="s">
        <v>212</v>
      </c>
      <c r="D85" s="4">
        <v>71</v>
      </c>
      <c r="E85" s="3" t="s">
        <v>213</v>
      </c>
      <c r="F85" s="3" t="s">
        <v>147</v>
      </c>
      <c r="G85" s="3" t="s">
        <v>148</v>
      </c>
      <c r="H85" s="3"/>
      <c r="I85" s="50">
        <v>0</v>
      </c>
      <c r="J85" s="109">
        <v>0</v>
      </c>
      <c r="L85"/>
    </row>
    <row r="86" spans="1:14" ht="20.100000000000001" customHeight="1">
      <c r="A86" s="3" t="s">
        <v>209</v>
      </c>
      <c r="B86" s="4">
        <v>6001</v>
      </c>
      <c r="C86" s="3" t="s">
        <v>212</v>
      </c>
      <c r="D86" s="4">
        <v>71</v>
      </c>
      <c r="E86" s="3" t="s">
        <v>213</v>
      </c>
      <c r="F86" s="3" t="s">
        <v>149</v>
      </c>
      <c r="G86" s="3" t="s">
        <v>150</v>
      </c>
      <c r="H86" s="3"/>
      <c r="I86" s="50">
        <v>0</v>
      </c>
      <c r="J86" s="109">
        <v>0</v>
      </c>
      <c r="L86"/>
    </row>
    <row r="87" spans="1:14" ht="20.100000000000001" customHeight="1">
      <c r="A87" s="3" t="s">
        <v>209</v>
      </c>
      <c r="B87" s="4">
        <v>6001</v>
      </c>
      <c r="C87" s="3" t="s">
        <v>212</v>
      </c>
      <c r="D87" s="4">
        <v>71</v>
      </c>
      <c r="E87" s="3" t="s">
        <v>213</v>
      </c>
      <c r="F87" s="3" t="s">
        <v>151</v>
      </c>
      <c r="G87" s="3" t="s">
        <v>152</v>
      </c>
      <c r="H87" s="3"/>
      <c r="I87" s="50">
        <v>0</v>
      </c>
      <c r="J87" s="109">
        <v>0</v>
      </c>
      <c r="L87"/>
    </row>
    <row r="88" spans="1:14" ht="20.100000000000001" customHeight="1">
      <c r="A88" s="3" t="s">
        <v>209</v>
      </c>
      <c r="B88" s="4">
        <v>6001</v>
      </c>
      <c r="C88" s="3" t="s">
        <v>212</v>
      </c>
      <c r="D88" s="4">
        <v>71</v>
      </c>
      <c r="E88" s="3" t="s">
        <v>213</v>
      </c>
      <c r="F88" s="3" t="s">
        <v>155</v>
      </c>
      <c r="G88" s="3" t="s">
        <v>156</v>
      </c>
      <c r="H88" s="3"/>
      <c r="I88" s="50">
        <v>0</v>
      </c>
      <c r="J88" s="109">
        <v>0</v>
      </c>
      <c r="L88"/>
    </row>
    <row r="89" spans="1:14" ht="20.100000000000001" customHeight="1">
      <c r="A89" s="3" t="s">
        <v>209</v>
      </c>
      <c r="B89" s="4">
        <v>6001</v>
      </c>
      <c r="C89" s="3" t="s">
        <v>212</v>
      </c>
      <c r="D89" s="4">
        <v>71</v>
      </c>
      <c r="E89" s="3" t="s">
        <v>213</v>
      </c>
      <c r="F89" s="3" t="s">
        <v>157</v>
      </c>
      <c r="G89" s="3" t="s">
        <v>158</v>
      </c>
      <c r="H89" s="3"/>
      <c r="I89" s="50">
        <v>0</v>
      </c>
      <c r="J89" s="109">
        <v>0</v>
      </c>
      <c r="L89"/>
    </row>
    <row r="90" spans="1:14" ht="20.100000000000001" customHeight="1">
      <c r="A90" s="3" t="s">
        <v>209</v>
      </c>
      <c r="B90" s="4">
        <v>6001</v>
      </c>
      <c r="C90" s="3" t="s">
        <v>212</v>
      </c>
      <c r="D90" s="4">
        <v>71</v>
      </c>
      <c r="E90" s="3" t="s">
        <v>213</v>
      </c>
      <c r="F90" s="3" t="s">
        <v>165</v>
      </c>
      <c r="G90" s="3" t="s">
        <v>166</v>
      </c>
      <c r="H90" s="3"/>
      <c r="I90" s="50">
        <v>0</v>
      </c>
      <c r="J90" s="109">
        <v>0</v>
      </c>
      <c r="L90"/>
    </row>
    <row r="91" spans="1:14" ht="20.100000000000001" customHeight="1">
      <c r="A91" s="3" t="s">
        <v>209</v>
      </c>
      <c r="B91" s="4">
        <v>6001</v>
      </c>
      <c r="C91" s="3" t="s">
        <v>212</v>
      </c>
      <c r="D91" s="4">
        <v>71</v>
      </c>
      <c r="E91" s="3" t="s">
        <v>213</v>
      </c>
      <c r="F91" s="3" t="s">
        <v>171</v>
      </c>
      <c r="G91" s="3" t="s">
        <v>172</v>
      </c>
      <c r="H91" s="3"/>
      <c r="I91" s="50">
        <v>0</v>
      </c>
      <c r="J91" s="109">
        <v>0</v>
      </c>
      <c r="L91"/>
    </row>
    <row r="92" spans="1:14" ht="20.100000000000001" customHeight="1">
      <c r="A92" s="3" t="s">
        <v>209</v>
      </c>
      <c r="B92" s="4">
        <v>6001</v>
      </c>
      <c r="C92" s="3" t="s">
        <v>212</v>
      </c>
      <c r="D92" s="4">
        <v>71</v>
      </c>
      <c r="E92" s="3" t="s">
        <v>213</v>
      </c>
      <c r="F92" s="3" t="s">
        <v>179</v>
      </c>
      <c r="G92" s="3" t="s">
        <v>180</v>
      </c>
      <c r="H92" s="3"/>
      <c r="I92" s="50">
        <v>0</v>
      </c>
      <c r="J92" s="109">
        <v>0</v>
      </c>
      <c r="L92"/>
    </row>
    <row r="93" spans="1:14" ht="20.100000000000001" customHeight="1">
      <c r="A93" s="3" t="s">
        <v>209</v>
      </c>
      <c r="B93" s="4">
        <v>6001</v>
      </c>
      <c r="C93" s="3" t="s">
        <v>212</v>
      </c>
      <c r="D93" s="4">
        <v>71</v>
      </c>
      <c r="E93" s="3" t="s">
        <v>213</v>
      </c>
      <c r="F93" s="3" t="s">
        <v>187</v>
      </c>
      <c r="G93" s="3" t="s">
        <v>188</v>
      </c>
      <c r="H93" s="3"/>
      <c r="I93" s="50">
        <v>0</v>
      </c>
      <c r="J93" s="109">
        <v>1</v>
      </c>
      <c r="L93"/>
    </row>
    <row r="94" spans="1:14" ht="20.100000000000001" customHeight="1">
      <c r="A94" s="17" t="s">
        <v>209</v>
      </c>
      <c r="B94" s="4">
        <v>6001</v>
      </c>
      <c r="C94" s="3" t="s">
        <v>212</v>
      </c>
      <c r="D94" s="4">
        <v>71</v>
      </c>
      <c r="E94" s="3" t="s">
        <v>213</v>
      </c>
      <c r="F94" s="17" t="s">
        <v>193</v>
      </c>
      <c r="G94" s="17" t="s">
        <v>194</v>
      </c>
      <c r="H94" s="17" t="s">
        <v>194</v>
      </c>
      <c r="I94" s="111">
        <v>-798123</v>
      </c>
      <c r="J94" s="112">
        <v>1</v>
      </c>
      <c r="K94" s="20"/>
      <c r="L94" s="20"/>
      <c r="M94" s="20"/>
      <c r="N94" s="113">
        <f>(I94-(J94+L94))/I94</f>
        <v>1.0000012529397098</v>
      </c>
    </row>
    <row r="95" spans="1:14" ht="20.100000000000001" customHeight="1">
      <c r="A95" s="3" t="s">
        <v>28</v>
      </c>
      <c r="B95" s="3"/>
      <c r="C95" s="3"/>
      <c r="D95" s="3"/>
      <c r="E95" s="3"/>
      <c r="F95" s="3"/>
      <c r="G95" s="3"/>
      <c r="H95" s="3"/>
      <c r="I95" s="50">
        <f>SUM(I3:I94)</f>
        <v>4066920.1400000006</v>
      </c>
      <c r="J95" s="50">
        <f>SUM(J3:J94)</f>
        <v>3430967.67</v>
      </c>
      <c r="L95"/>
    </row>
    <row r="96" spans="1:14" ht="20.100000000000001" customHeight="1">
      <c r="A96" s="8" t="s">
        <v>204</v>
      </c>
      <c r="B96" s="574" t="s">
        <v>205</v>
      </c>
      <c r="C96" s="574" t="s">
        <v>205</v>
      </c>
      <c r="D96" s="574" t="s">
        <v>205</v>
      </c>
      <c r="E96" s="574" t="s">
        <v>205</v>
      </c>
      <c r="F96" s="574" t="s">
        <v>205</v>
      </c>
      <c r="G96" s="574" t="s">
        <v>205</v>
      </c>
      <c r="H96" s="9"/>
      <c r="I96" s="8"/>
      <c r="J96"/>
      <c r="L96"/>
    </row>
    <row r="97" spans="1:9" customFormat="1" ht="20.100000000000001" customHeight="1">
      <c r="A97" s="1" t="s">
        <v>206</v>
      </c>
      <c r="B97" s="575" t="s">
        <v>246</v>
      </c>
      <c r="C97" s="575" t="s">
        <v>207</v>
      </c>
      <c r="D97" s="575" t="s">
        <v>207</v>
      </c>
      <c r="E97" s="575" t="s">
        <v>207</v>
      </c>
      <c r="F97" s="575" t="s">
        <v>207</v>
      </c>
      <c r="G97" s="575" t="s">
        <v>207</v>
      </c>
      <c r="H97" s="10"/>
      <c r="I97" s="1"/>
    </row>
  </sheetData>
  <autoFilter ref="A2:O97"/>
  <mergeCells count="13">
    <mergeCell ref="B97:G97"/>
    <mergeCell ref="G1:G2"/>
    <mergeCell ref="I1:I2"/>
    <mergeCell ref="J1:J2"/>
    <mergeCell ref="L1:L2"/>
    <mergeCell ref="M1:M2"/>
    <mergeCell ref="B96:G96"/>
    <mergeCell ref="A1:A2"/>
    <mergeCell ref="B1:B2"/>
    <mergeCell ref="C1:C2"/>
    <mergeCell ref="D1:D2"/>
    <mergeCell ref="E1:E2"/>
    <mergeCell ref="F1:F2"/>
  </mergeCells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selection activeCell="H24" sqref="H24"/>
    </sheetView>
  </sheetViews>
  <sheetFormatPr defaultRowHeight="22.5" customHeight="1"/>
  <cols>
    <col min="1" max="1" width="35.140625" customWidth="1"/>
    <col min="4" max="5" width="14.85546875" bestFit="1" customWidth="1"/>
    <col min="7" max="7" width="22.7109375" customWidth="1"/>
    <col min="12" max="12" width="11.5703125" bestFit="1" customWidth="1"/>
  </cols>
  <sheetData>
    <row r="1" spans="1:12" ht="22.5" customHeight="1">
      <c r="A1" s="24" t="s">
        <v>465</v>
      </c>
      <c r="B1" s="25" t="s">
        <v>466</v>
      </c>
      <c r="C1" s="24" t="s">
        <v>467</v>
      </c>
      <c r="D1" s="24" t="s">
        <v>468</v>
      </c>
      <c r="E1" s="24" t="s">
        <v>469</v>
      </c>
      <c r="F1" s="24" t="s">
        <v>470</v>
      </c>
      <c r="G1" s="24" t="s">
        <v>471</v>
      </c>
      <c r="H1" s="24" t="s">
        <v>472</v>
      </c>
      <c r="I1" s="24" t="s">
        <v>473</v>
      </c>
      <c r="J1" s="26" t="s">
        <v>474</v>
      </c>
      <c r="K1" s="160" t="s">
        <v>490</v>
      </c>
    </row>
    <row r="2" spans="1:12" ht="22.5" customHeight="1">
      <c r="A2" s="150" t="s">
        <v>76</v>
      </c>
      <c r="B2" s="30">
        <v>71</v>
      </c>
      <c r="C2" s="27"/>
      <c r="D2" s="151">
        <v>41271.629999999997</v>
      </c>
      <c r="E2" s="151">
        <f t="shared" ref="E2:E16" si="0">D2/1.06</f>
        <v>38935.499999999993</v>
      </c>
      <c r="F2" s="27">
        <v>11</v>
      </c>
      <c r="G2" s="152">
        <f t="shared" ref="G2:G15" si="1">E2*(1-J2)</f>
        <v>37767.43499999999</v>
      </c>
      <c r="H2" s="27"/>
      <c r="I2" s="27"/>
      <c r="J2" s="49">
        <v>0.03</v>
      </c>
    </row>
    <row r="3" spans="1:12" ht="22.5" customHeight="1">
      <c r="A3" s="150" t="s">
        <v>78</v>
      </c>
      <c r="B3" s="30">
        <v>71</v>
      </c>
      <c r="C3" s="27"/>
      <c r="D3" s="153">
        <v>3278.59</v>
      </c>
      <c r="E3" s="151">
        <f t="shared" si="0"/>
        <v>3093.0094339622642</v>
      </c>
      <c r="F3" s="27">
        <v>11</v>
      </c>
      <c r="G3" s="152">
        <f t="shared" si="1"/>
        <v>3000.219150943396</v>
      </c>
      <c r="H3" s="27"/>
      <c r="I3" s="27"/>
      <c r="J3" s="49">
        <v>0.03</v>
      </c>
    </row>
    <row r="4" spans="1:12" ht="22.5" customHeight="1">
      <c r="A4" s="154" t="s">
        <v>475</v>
      </c>
      <c r="B4" s="30">
        <v>71</v>
      </c>
      <c r="C4" s="27"/>
      <c r="D4" s="153">
        <v>23192.799999999999</v>
      </c>
      <c r="E4" s="151">
        <f t="shared" si="0"/>
        <v>21880</v>
      </c>
      <c r="F4" s="27">
        <v>11</v>
      </c>
      <c r="G4" s="152">
        <f t="shared" si="1"/>
        <v>21442.399999999998</v>
      </c>
      <c r="H4" s="27"/>
      <c r="I4" s="27"/>
      <c r="J4" s="49">
        <v>0.02</v>
      </c>
    </row>
    <row r="5" spans="1:12" ht="22.5" customHeight="1">
      <c r="A5" s="154" t="s">
        <v>476</v>
      </c>
      <c r="B5" s="30">
        <v>71</v>
      </c>
      <c r="C5" s="27"/>
      <c r="D5" s="155">
        <v>254.4</v>
      </c>
      <c r="E5" s="151">
        <f t="shared" si="0"/>
        <v>240</v>
      </c>
      <c r="F5" s="27">
        <v>11</v>
      </c>
      <c r="G5" s="152">
        <f t="shared" si="1"/>
        <v>235.2</v>
      </c>
      <c r="H5" s="27"/>
      <c r="I5" s="27"/>
      <c r="J5" s="49">
        <v>0.02</v>
      </c>
    </row>
    <row r="6" spans="1:12" ht="22.5" customHeight="1">
      <c r="A6" s="154" t="s">
        <v>477</v>
      </c>
      <c r="B6" s="30">
        <v>71</v>
      </c>
      <c r="C6" s="27"/>
      <c r="D6" s="155">
        <v>295140.24</v>
      </c>
      <c r="E6" s="151">
        <f t="shared" si="0"/>
        <v>278434.18867924524</v>
      </c>
      <c r="F6" s="27">
        <v>11</v>
      </c>
      <c r="G6" s="152">
        <f t="shared" si="1"/>
        <v>267296.82113207545</v>
      </c>
      <c r="H6" s="27"/>
      <c r="I6" s="27"/>
      <c r="J6" s="49">
        <v>0.04</v>
      </c>
    </row>
    <row r="7" spans="1:12" ht="22.5" customHeight="1">
      <c r="A7" s="154" t="s">
        <v>478</v>
      </c>
      <c r="B7" s="30">
        <v>71</v>
      </c>
      <c r="C7" s="27"/>
      <c r="D7" s="155">
        <v>18667.810000000001</v>
      </c>
      <c r="E7" s="151">
        <f t="shared" si="0"/>
        <v>17611.141509433961</v>
      </c>
      <c r="F7" s="27">
        <v>11</v>
      </c>
      <c r="G7" s="152">
        <f t="shared" si="1"/>
        <v>17258.918679245282</v>
      </c>
      <c r="H7" s="27"/>
      <c r="I7" s="27"/>
      <c r="J7" s="49">
        <v>0.02</v>
      </c>
    </row>
    <row r="8" spans="1:12" ht="22.5" customHeight="1">
      <c r="A8" s="154" t="s">
        <v>479</v>
      </c>
      <c r="B8" s="30">
        <v>71</v>
      </c>
      <c r="C8" s="27"/>
      <c r="D8" s="153">
        <v>7800</v>
      </c>
      <c r="E8" s="151">
        <f t="shared" si="0"/>
        <v>7358.4905660377353</v>
      </c>
      <c r="F8" s="27">
        <v>11</v>
      </c>
      <c r="G8" s="152">
        <f t="shared" si="1"/>
        <v>7358.4905660377353</v>
      </c>
      <c r="H8" s="27"/>
      <c r="I8" s="27"/>
      <c r="J8" s="49">
        <v>0</v>
      </c>
    </row>
    <row r="9" spans="1:12" ht="22.5" customHeight="1">
      <c r="A9" s="150" t="s">
        <v>76</v>
      </c>
      <c r="B9" s="30">
        <v>71</v>
      </c>
      <c r="C9" s="27"/>
      <c r="D9" s="153">
        <v>40982.35</v>
      </c>
      <c r="E9" s="151">
        <f t="shared" si="0"/>
        <v>38662.594339622636</v>
      </c>
      <c r="F9" s="27">
        <v>11</v>
      </c>
      <c r="G9" s="152">
        <f t="shared" si="1"/>
        <v>37502.716509433958</v>
      </c>
      <c r="H9" s="27"/>
      <c r="I9" s="27"/>
      <c r="J9" s="49">
        <v>0.03</v>
      </c>
    </row>
    <row r="10" spans="1:12" ht="22.5" customHeight="1">
      <c r="A10" s="150" t="s">
        <v>78</v>
      </c>
      <c r="B10" s="30">
        <v>71</v>
      </c>
      <c r="C10" s="27"/>
      <c r="D10" s="153">
        <v>3133.94</v>
      </c>
      <c r="E10" s="151">
        <f t="shared" si="0"/>
        <v>2956.5471698113206</v>
      </c>
      <c r="F10" s="27">
        <v>11</v>
      </c>
      <c r="G10" s="152">
        <f t="shared" si="1"/>
        <v>2867.8507547169811</v>
      </c>
      <c r="H10" s="27"/>
      <c r="I10" s="27"/>
      <c r="J10" s="49">
        <v>0.03</v>
      </c>
    </row>
    <row r="11" spans="1:12" ht="22.5" customHeight="1">
      <c r="A11" s="156" t="s">
        <v>480</v>
      </c>
      <c r="B11" s="30">
        <v>71</v>
      </c>
      <c r="C11" s="27"/>
      <c r="D11" s="153">
        <v>18929.36</v>
      </c>
      <c r="E11" s="151">
        <f t="shared" si="0"/>
        <v>17857.886792452831</v>
      </c>
      <c r="F11" s="27">
        <v>11</v>
      </c>
      <c r="G11" s="152">
        <f t="shared" si="1"/>
        <v>17143.571320754716</v>
      </c>
      <c r="H11" s="27"/>
      <c r="I11" s="27"/>
      <c r="J11" s="49">
        <v>0.04</v>
      </c>
    </row>
    <row r="12" spans="1:12" ht="22.5" customHeight="1">
      <c r="A12" s="154" t="s">
        <v>481</v>
      </c>
      <c r="B12" s="30">
        <v>71</v>
      </c>
      <c r="C12" s="27"/>
      <c r="D12" s="155">
        <v>5641.2</v>
      </c>
      <c r="E12" s="151">
        <f t="shared" si="0"/>
        <v>5321.8867924528295</v>
      </c>
      <c r="F12" s="27">
        <v>11</v>
      </c>
      <c r="G12" s="152">
        <f t="shared" si="1"/>
        <v>5109.0113207547165</v>
      </c>
      <c r="H12" s="27"/>
      <c r="I12" s="27"/>
      <c r="J12" s="49">
        <v>0.04</v>
      </c>
    </row>
    <row r="13" spans="1:12" ht="22.5" customHeight="1">
      <c r="A13" s="150" t="s">
        <v>76</v>
      </c>
      <c r="B13" s="30">
        <v>71</v>
      </c>
      <c r="C13" s="27"/>
      <c r="D13" s="153">
        <v>5785.74</v>
      </c>
      <c r="E13" s="151">
        <f t="shared" si="0"/>
        <v>5458.2452830188677</v>
      </c>
      <c r="F13" s="27">
        <v>11</v>
      </c>
      <c r="G13" s="152">
        <f t="shared" si="1"/>
        <v>5294.4979245283012</v>
      </c>
      <c r="H13" s="27"/>
      <c r="I13" s="27"/>
      <c r="J13" s="49">
        <v>0.03</v>
      </c>
    </row>
    <row r="14" spans="1:12" ht="22.5" customHeight="1">
      <c r="A14" s="154" t="s">
        <v>482</v>
      </c>
      <c r="B14" s="30">
        <v>71</v>
      </c>
      <c r="C14" s="27"/>
      <c r="D14" s="155">
        <v>935.4</v>
      </c>
      <c r="E14" s="151">
        <f t="shared" si="0"/>
        <v>882.45283018867917</v>
      </c>
      <c r="F14" s="27">
        <v>11</v>
      </c>
      <c r="G14" s="152">
        <f t="shared" si="1"/>
        <v>838.33018867924523</v>
      </c>
      <c r="H14" s="27"/>
      <c r="I14" s="27"/>
      <c r="J14" s="49">
        <v>0.05</v>
      </c>
    </row>
    <row r="15" spans="1:12" ht="22.5" customHeight="1">
      <c r="A15" s="154" t="s">
        <v>483</v>
      </c>
      <c r="B15" s="30">
        <v>71</v>
      </c>
      <c r="C15" s="27"/>
      <c r="D15" s="153">
        <v>361000</v>
      </c>
      <c r="E15" s="151">
        <f t="shared" si="0"/>
        <v>340566.03773584904</v>
      </c>
      <c r="F15" s="27">
        <v>11</v>
      </c>
      <c r="G15" s="152">
        <f t="shared" si="1"/>
        <v>330349.05660377356</v>
      </c>
      <c r="H15" s="27"/>
      <c r="I15" s="27"/>
      <c r="J15" s="49">
        <v>0.03</v>
      </c>
      <c r="K15">
        <v>200000</v>
      </c>
      <c r="L15" s="161">
        <f>G15-K15</f>
        <v>130349.05660377356</v>
      </c>
    </row>
    <row r="16" spans="1:12" ht="22.5" customHeight="1">
      <c r="A16" s="154" t="s">
        <v>484</v>
      </c>
      <c r="B16" s="30">
        <v>71</v>
      </c>
      <c r="C16" s="27"/>
      <c r="D16" s="153">
        <v>72589.039999999994</v>
      </c>
      <c r="E16" s="151">
        <f t="shared" si="0"/>
        <v>68480.226415094323</v>
      </c>
      <c r="F16" s="27">
        <v>11</v>
      </c>
      <c r="G16" s="152">
        <f>E16*(1-J16)</f>
        <v>63001.808301886776</v>
      </c>
      <c r="H16" s="27"/>
      <c r="I16" s="27"/>
      <c r="J16" s="49">
        <v>0.08</v>
      </c>
    </row>
    <row r="17" spans="1:10" ht="22.5" customHeight="1">
      <c r="A17" s="27"/>
      <c r="B17" s="48"/>
      <c r="C17" s="27"/>
      <c r="D17" s="27"/>
      <c r="E17" s="27"/>
      <c r="F17" s="27"/>
      <c r="G17" s="27"/>
      <c r="H17" s="27"/>
      <c r="I17" s="27"/>
      <c r="J17" s="49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1"/>
  <dimension ref="A1:P65"/>
  <sheetViews>
    <sheetView workbookViewId="0">
      <selection activeCell="H24" sqref="H24"/>
    </sheetView>
  </sheetViews>
  <sheetFormatPr defaultRowHeight="12.75"/>
  <cols>
    <col min="1" max="1" width="9.140625" style="27"/>
    <col min="2" max="2" width="29.28515625" style="27" customWidth="1"/>
    <col min="3" max="3" width="12.85546875" style="27" customWidth="1"/>
    <col min="4" max="4" width="10.85546875" style="27" bestFit="1" customWidth="1"/>
    <col min="5" max="5" width="12.42578125" style="27" customWidth="1"/>
    <col min="6" max="6" width="9.140625" style="27"/>
    <col min="7" max="7" width="0" style="27" hidden="1" customWidth="1"/>
    <col min="8" max="8" width="12.7109375" style="27" hidden="1" customWidth="1"/>
    <col min="9" max="11" width="0" style="27" hidden="1" customWidth="1"/>
    <col min="12" max="12" width="14.5703125" style="27" hidden="1" customWidth="1"/>
    <col min="13" max="13" width="0" style="27" hidden="1" customWidth="1"/>
    <col min="14" max="14" width="10.85546875" style="27" hidden="1" customWidth="1"/>
    <col min="15" max="15" width="19.7109375" style="27" customWidth="1"/>
    <col min="16" max="16" width="108.7109375" style="27" customWidth="1"/>
    <col min="17" max="16384" width="9.140625" style="27"/>
  </cols>
  <sheetData>
    <row r="1" spans="1:16" s="143" customFormat="1" ht="30.2" customHeight="1">
      <c r="A1" s="162" t="s">
        <v>491</v>
      </c>
      <c r="B1" s="163" t="s">
        <v>492</v>
      </c>
      <c r="C1" s="163" t="s">
        <v>492</v>
      </c>
      <c r="D1" s="163" t="s">
        <v>492</v>
      </c>
      <c r="E1" s="163" t="s">
        <v>492</v>
      </c>
      <c r="F1" s="163" t="s">
        <v>492</v>
      </c>
      <c r="G1" s="163" t="s">
        <v>492</v>
      </c>
      <c r="H1" s="163" t="s">
        <v>492</v>
      </c>
      <c r="I1" s="163" t="s">
        <v>492</v>
      </c>
      <c r="J1" s="163" t="s">
        <v>492</v>
      </c>
      <c r="K1" s="163" t="s">
        <v>492</v>
      </c>
      <c r="L1" s="163" t="s">
        <v>492</v>
      </c>
      <c r="M1" s="163" t="s">
        <v>492</v>
      </c>
      <c r="N1" s="163" t="s">
        <v>492</v>
      </c>
    </row>
    <row r="2" spans="1:16" s="143" customFormat="1" ht="11.25" customHeight="1">
      <c r="A2" s="164" t="s">
        <v>492</v>
      </c>
      <c r="B2" s="164" t="s">
        <v>493</v>
      </c>
      <c r="C2" s="164" t="s">
        <v>492</v>
      </c>
      <c r="D2" s="164" t="s">
        <v>492</v>
      </c>
      <c r="E2" s="164" t="s">
        <v>492</v>
      </c>
      <c r="F2" s="164" t="s">
        <v>492</v>
      </c>
      <c r="G2" s="165" t="s">
        <v>492</v>
      </c>
      <c r="H2" s="165" t="s">
        <v>492</v>
      </c>
      <c r="I2" s="165" t="s">
        <v>492</v>
      </c>
      <c r="J2" s="165" t="s">
        <v>492</v>
      </c>
      <c r="K2" s="165" t="s">
        <v>492</v>
      </c>
      <c r="L2" s="164" t="s">
        <v>494</v>
      </c>
      <c r="M2" s="164" t="s">
        <v>492</v>
      </c>
      <c r="N2" s="164" t="s">
        <v>495</v>
      </c>
    </row>
    <row r="3" spans="1:16" s="143" customFormat="1" ht="16.149999999999999" customHeight="1">
      <c r="A3" s="600" t="s">
        <v>496</v>
      </c>
      <c r="B3" s="601" t="s">
        <v>497</v>
      </c>
      <c r="C3" s="603" t="s">
        <v>498</v>
      </c>
      <c r="D3" s="603" t="s">
        <v>499</v>
      </c>
      <c r="E3" s="603" t="s">
        <v>499</v>
      </c>
      <c r="F3" s="603" t="s">
        <v>499</v>
      </c>
      <c r="G3" s="603" t="s">
        <v>500</v>
      </c>
      <c r="H3" s="603" t="s">
        <v>500</v>
      </c>
      <c r="I3" s="603" t="s">
        <v>500</v>
      </c>
      <c r="J3" s="603" t="s">
        <v>500</v>
      </c>
      <c r="K3" s="603" t="s">
        <v>500</v>
      </c>
      <c r="L3" s="603" t="s">
        <v>500</v>
      </c>
      <c r="M3" s="603" t="s">
        <v>500</v>
      </c>
      <c r="N3" s="604" t="s">
        <v>500</v>
      </c>
      <c r="O3" s="166" t="s">
        <v>501</v>
      </c>
    </row>
    <row r="4" spans="1:16" s="143" customFormat="1" ht="16.149999999999999" customHeight="1">
      <c r="A4" s="600" t="s">
        <v>496</v>
      </c>
      <c r="B4" s="602"/>
      <c r="C4" s="603" t="s">
        <v>499</v>
      </c>
      <c r="D4" s="603" t="s">
        <v>499</v>
      </c>
      <c r="E4" s="603" t="s">
        <v>499</v>
      </c>
      <c r="F4" s="603" t="s">
        <v>499</v>
      </c>
      <c r="G4" s="603" t="s">
        <v>500</v>
      </c>
      <c r="H4" s="603" t="s">
        <v>500</v>
      </c>
      <c r="I4" s="603" t="s">
        <v>500</v>
      </c>
      <c r="J4" s="603" t="s">
        <v>500</v>
      </c>
      <c r="K4" s="603" t="s">
        <v>500</v>
      </c>
      <c r="L4" s="603" t="s">
        <v>500</v>
      </c>
      <c r="M4" s="603" t="s">
        <v>500</v>
      </c>
      <c r="N4" s="603" t="s">
        <v>500</v>
      </c>
    </row>
    <row r="5" spans="1:16" s="143" customFormat="1" ht="16.149999999999999" customHeight="1">
      <c r="A5" s="600" t="s">
        <v>496</v>
      </c>
      <c r="B5" s="602"/>
      <c r="C5" s="603" t="s">
        <v>499</v>
      </c>
      <c r="D5" s="603" t="s">
        <v>499</v>
      </c>
      <c r="E5" s="603" t="s">
        <v>499</v>
      </c>
      <c r="F5" s="603" t="s">
        <v>499</v>
      </c>
      <c r="G5" s="605" t="s">
        <v>502</v>
      </c>
      <c r="H5" s="605" t="s">
        <v>502</v>
      </c>
      <c r="I5" s="605" t="s">
        <v>502</v>
      </c>
      <c r="J5" s="605" t="s">
        <v>502</v>
      </c>
      <c r="K5" s="606" t="s">
        <v>503</v>
      </c>
      <c r="L5" s="606" t="s">
        <v>503</v>
      </c>
      <c r="M5" s="606" t="s">
        <v>503</v>
      </c>
      <c r="N5" s="606" t="s">
        <v>503</v>
      </c>
    </row>
    <row r="6" spans="1:16" s="143" customFormat="1" ht="26.65" customHeight="1">
      <c r="A6" s="600" t="s">
        <v>496</v>
      </c>
      <c r="B6" s="167" t="s">
        <v>497</v>
      </c>
      <c r="C6" s="190" t="s">
        <v>504</v>
      </c>
      <c r="D6" s="190" t="s">
        <v>505</v>
      </c>
      <c r="E6" s="190" t="s">
        <v>506</v>
      </c>
      <c r="F6" s="190" t="s">
        <v>507</v>
      </c>
      <c r="G6" s="164" t="s">
        <v>508</v>
      </c>
      <c r="H6" s="164" t="s">
        <v>509</v>
      </c>
      <c r="I6" s="164" t="s">
        <v>510</v>
      </c>
      <c r="J6" s="164" t="s">
        <v>511</v>
      </c>
      <c r="K6" s="164" t="s">
        <v>508</v>
      </c>
      <c r="L6" s="164" t="s">
        <v>509</v>
      </c>
      <c r="M6" s="164" t="s">
        <v>510</v>
      </c>
      <c r="N6" s="164" t="s">
        <v>511</v>
      </c>
      <c r="P6" s="180" t="s">
        <v>362</v>
      </c>
    </row>
    <row r="7" spans="1:16" s="143" customFormat="1" ht="16.149999999999999" hidden="1" customHeight="1">
      <c r="A7" s="168" t="s">
        <v>33</v>
      </c>
      <c r="B7" s="168" t="s">
        <v>34</v>
      </c>
      <c r="C7" s="169">
        <f>SUM(G7:J7)</f>
        <v>21880</v>
      </c>
      <c r="D7" s="169">
        <f>SUM(K7:N7)</f>
        <v>21442.400000000001</v>
      </c>
      <c r="E7" s="169">
        <f>C7-D7</f>
        <v>437.59999999999854</v>
      </c>
      <c r="F7" s="170">
        <f>E7/C7</f>
        <v>1.9999999999999934E-2</v>
      </c>
      <c r="G7" s="169"/>
      <c r="H7" s="169"/>
      <c r="I7" s="169"/>
      <c r="J7" s="169">
        <v>21880</v>
      </c>
      <c r="K7" s="169"/>
      <c r="L7" s="169"/>
      <c r="M7" s="169"/>
      <c r="N7" s="169">
        <v>21442.400000000001</v>
      </c>
    </row>
    <row r="8" spans="1:16" s="143" customFormat="1" ht="16.149999999999999" hidden="1" customHeight="1">
      <c r="A8" s="168" t="s">
        <v>49</v>
      </c>
      <c r="B8" s="168" t="s">
        <v>50</v>
      </c>
      <c r="C8" s="169">
        <f t="shared" ref="C8:C58" si="0">SUM(G8:J8)</f>
        <v>278434.18</v>
      </c>
      <c r="D8" s="169">
        <f t="shared" ref="D8:D58" si="1">SUM(K8:N8)</f>
        <v>267296.82</v>
      </c>
      <c r="E8" s="169">
        <f t="shared" ref="E8:E64" si="2">C8-D8</f>
        <v>11137.359999999986</v>
      </c>
      <c r="F8" s="170">
        <f t="shared" ref="F8:F64" si="3">E8/C8</f>
        <v>3.999997414110576E-2</v>
      </c>
      <c r="G8" s="169"/>
      <c r="H8" s="169"/>
      <c r="I8" s="169"/>
      <c r="J8" s="169">
        <v>278434.18</v>
      </c>
      <c r="K8" s="169"/>
      <c r="L8" s="169"/>
      <c r="M8" s="169"/>
      <c r="N8" s="169">
        <v>267296.82</v>
      </c>
    </row>
    <row r="9" spans="1:16" s="143" customFormat="1" ht="16.149999999999999" customHeight="1">
      <c r="A9" s="168" t="s">
        <v>10</v>
      </c>
      <c r="B9" s="171" t="s">
        <v>11</v>
      </c>
      <c r="C9" s="169">
        <f t="shared" si="0"/>
        <v>4364</v>
      </c>
      <c r="D9" s="169">
        <f t="shared" si="1"/>
        <v>0</v>
      </c>
      <c r="E9" s="169">
        <f t="shared" si="2"/>
        <v>4364</v>
      </c>
      <c r="F9" s="170">
        <f t="shared" si="3"/>
        <v>1</v>
      </c>
      <c r="G9" s="169"/>
      <c r="H9" s="169"/>
      <c r="I9" s="169"/>
      <c r="J9" s="169">
        <v>4364</v>
      </c>
      <c r="K9" s="169"/>
      <c r="L9" s="169"/>
      <c r="M9" s="169"/>
      <c r="N9" s="172"/>
      <c r="O9" s="595" t="s">
        <v>512</v>
      </c>
      <c r="P9" s="598" t="s">
        <v>549</v>
      </c>
    </row>
    <row r="10" spans="1:16" s="143" customFormat="1" ht="16.149999999999999" customHeight="1">
      <c r="A10" s="168" t="s">
        <v>12</v>
      </c>
      <c r="B10" s="171" t="s">
        <v>13</v>
      </c>
      <c r="C10" s="169">
        <f t="shared" si="0"/>
        <v>50451.54</v>
      </c>
      <c r="D10" s="169">
        <f t="shared" si="1"/>
        <v>60840.72</v>
      </c>
      <c r="E10" s="169">
        <f t="shared" si="2"/>
        <v>-10389.18</v>
      </c>
      <c r="F10" s="170">
        <f t="shared" si="3"/>
        <v>-0.20592394206400835</v>
      </c>
      <c r="G10" s="169"/>
      <c r="H10" s="169"/>
      <c r="I10" s="169"/>
      <c r="J10" s="169">
        <v>50451.54</v>
      </c>
      <c r="K10" s="169"/>
      <c r="L10" s="169"/>
      <c r="M10" s="169"/>
      <c r="N10" s="172">
        <v>60840.72</v>
      </c>
      <c r="O10" s="596"/>
      <c r="P10" s="599"/>
    </row>
    <row r="11" spans="1:16" s="143" customFormat="1" ht="16.149999999999999" customHeight="1">
      <c r="A11" s="168" t="s">
        <v>14</v>
      </c>
      <c r="B11" s="171" t="s">
        <v>15</v>
      </c>
      <c r="C11" s="169">
        <f t="shared" si="0"/>
        <v>62707.06</v>
      </c>
      <c r="D11" s="169">
        <f t="shared" si="1"/>
        <v>-60840.72</v>
      </c>
      <c r="E11" s="169">
        <f t="shared" si="2"/>
        <v>123547.78</v>
      </c>
      <c r="F11" s="170">
        <f t="shared" si="3"/>
        <v>1.9702371630881754</v>
      </c>
      <c r="G11" s="169"/>
      <c r="H11" s="169"/>
      <c r="I11" s="169"/>
      <c r="J11" s="169">
        <v>62707.06</v>
      </c>
      <c r="K11" s="169"/>
      <c r="L11" s="169"/>
      <c r="M11" s="169"/>
      <c r="N11" s="172">
        <v>-60840.72</v>
      </c>
      <c r="O11" s="596"/>
      <c r="P11" s="599"/>
    </row>
    <row r="12" spans="1:16" s="143" customFormat="1" ht="16.149999999999999" customHeight="1">
      <c r="A12" s="168" t="s">
        <v>214</v>
      </c>
      <c r="B12" s="171" t="s">
        <v>215</v>
      </c>
      <c r="C12" s="169">
        <f t="shared" si="0"/>
        <v>32739.15</v>
      </c>
      <c r="D12" s="169">
        <f t="shared" si="1"/>
        <v>0</v>
      </c>
      <c r="E12" s="169">
        <f t="shared" si="2"/>
        <v>32739.15</v>
      </c>
      <c r="F12" s="170">
        <f t="shared" si="3"/>
        <v>1</v>
      </c>
      <c r="G12" s="169"/>
      <c r="H12" s="169"/>
      <c r="I12" s="169"/>
      <c r="J12" s="169">
        <v>32739.15</v>
      </c>
      <c r="K12" s="169"/>
      <c r="L12" s="169"/>
      <c r="M12" s="169"/>
      <c r="N12" s="172"/>
      <c r="O12" s="596"/>
      <c r="P12" s="599"/>
    </row>
    <row r="13" spans="1:16" s="143" customFormat="1" ht="16.149999999999999" customHeight="1">
      <c r="A13" s="168" t="s">
        <v>216</v>
      </c>
      <c r="B13" s="171" t="s">
        <v>217</v>
      </c>
      <c r="C13" s="169">
        <f t="shared" si="0"/>
        <v>2014.72</v>
      </c>
      <c r="D13" s="169">
        <f t="shared" si="1"/>
        <v>0</v>
      </c>
      <c r="E13" s="169">
        <f t="shared" si="2"/>
        <v>2014.72</v>
      </c>
      <c r="F13" s="170">
        <f t="shared" si="3"/>
        <v>1</v>
      </c>
      <c r="G13" s="169"/>
      <c r="H13" s="169"/>
      <c r="I13" s="169"/>
      <c r="J13" s="169">
        <v>2014.72</v>
      </c>
      <c r="K13" s="169"/>
      <c r="L13" s="169"/>
      <c r="M13" s="169"/>
      <c r="N13" s="172"/>
      <c r="O13" s="596"/>
      <c r="P13" s="599"/>
    </row>
    <row r="14" spans="1:16" s="143" customFormat="1" ht="16.149999999999999" customHeight="1">
      <c r="A14" s="168" t="s">
        <v>218</v>
      </c>
      <c r="B14" s="171" t="s">
        <v>219</v>
      </c>
      <c r="C14" s="169">
        <f t="shared" si="0"/>
        <v>3022.08</v>
      </c>
      <c r="D14" s="169">
        <f t="shared" si="1"/>
        <v>0</v>
      </c>
      <c r="E14" s="169">
        <f t="shared" si="2"/>
        <v>3022.08</v>
      </c>
      <c r="F14" s="170">
        <f t="shared" si="3"/>
        <v>1</v>
      </c>
      <c r="G14" s="169"/>
      <c r="H14" s="169"/>
      <c r="I14" s="169"/>
      <c r="J14" s="169">
        <v>3022.08</v>
      </c>
      <c r="K14" s="169"/>
      <c r="L14" s="169"/>
      <c r="M14" s="169"/>
      <c r="N14" s="172"/>
      <c r="O14" s="596"/>
      <c r="P14" s="599"/>
    </row>
    <row r="15" spans="1:16" s="143" customFormat="1" ht="16.149999999999999" customHeight="1">
      <c r="A15" s="168" t="s">
        <v>220</v>
      </c>
      <c r="B15" s="171" t="s">
        <v>221</v>
      </c>
      <c r="C15" s="169">
        <f t="shared" si="0"/>
        <v>2014.72</v>
      </c>
      <c r="D15" s="169">
        <f t="shared" si="1"/>
        <v>0</v>
      </c>
      <c r="E15" s="169">
        <f t="shared" si="2"/>
        <v>2014.72</v>
      </c>
      <c r="F15" s="170">
        <f t="shared" si="3"/>
        <v>1</v>
      </c>
      <c r="G15" s="169"/>
      <c r="H15" s="169"/>
      <c r="I15" s="169"/>
      <c r="J15" s="169">
        <v>2014.72</v>
      </c>
      <c r="K15" s="169"/>
      <c r="L15" s="169"/>
      <c r="M15" s="169"/>
      <c r="N15" s="172"/>
      <c r="O15" s="596"/>
      <c r="P15" s="599"/>
    </row>
    <row r="16" spans="1:16" s="143" customFormat="1" ht="16.149999999999999" customHeight="1">
      <c r="A16" s="168" t="s">
        <v>222</v>
      </c>
      <c r="B16" s="171" t="s">
        <v>223</v>
      </c>
      <c r="C16" s="169">
        <f t="shared" si="0"/>
        <v>2014.72</v>
      </c>
      <c r="D16" s="169">
        <f t="shared" si="1"/>
        <v>0</v>
      </c>
      <c r="E16" s="169">
        <f t="shared" si="2"/>
        <v>2014.72</v>
      </c>
      <c r="F16" s="170">
        <f t="shared" si="3"/>
        <v>1</v>
      </c>
      <c r="G16" s="169"/>
      <c r="H16" s="169"/>
      <c r="I16" s="169"/>
      <c r="J16" s="169">
        <v>2014.72</v>
      </c>
      <c r="K16" s="169"/>
      <c r="L16" s="169"/>
      <c r="M16" s="169"/>
      <c r="N16" s="172"/>
      <c r="O16" s="596"/>
      <c r="P16" s="599"/>
    </row>
    <row r="17" spans="1:16" s="143" customFormat="1" ht="16.149999999999999" customHeight="1">
      <c r="A17" s="168" t="s">
        <v>224</v>
      </c>
      <c r="B17" s="171" t="s">
        <v>225</v>
      </c>
      <c r="C17" s="169">
        <f t="shared" si="0"/>
        <v>503.68</v>
      </c>
      <c r="D17" s="169">
        <f t="shared" si="1"/>
        <v>0</v>
      </c>
      <c r="E17" s="169">
        <f t="shared" si="2"/>
        <v>503.68</v>
      </c>
      <c r="F17" s="170">
        <f t="shared" si="3"/>
        <v>1</v>
      </c>
      <c r="G17" s="169"/>
      <c r="H17" s="169"/>
      <c r="I17" s="169"/>
      <c r="J17" s="169">
        <v>503.68</v>
      </c>
      <c r="K17" s="169"/>
      <c r="L17" s="169"/>
      <c r="M17" s="169"/>
      <c r="N17" s="172"/>
      <c r="O17" s="596"/>
      <c r="P17" s="599"/>
    </row>
    <row r="18" spans="1:16" s="143" customFormat="1" ht="16.149999999999999" customHeight="1">
      <c r="A18" s="168" t="s">
        <v>226</v>
      </c>
      <c r="B18" s="171" t="s">
        <v>227</v>
      </c>
      <c r="C18" s="169">
        <f t="shared" si="0"/>
        <v>503.68</v>
      </c>
      <c r="D18" s="169">
        <f t="shared" si="1"/>
        <v>0</v>
      </c>
      <c r="E18" s="169">
        <f t="shared" si="2"/>
        <v>503.68</v>
      </c>
      <c r="F18" s="170">
        <f t="shared" si="3"/>
        <v>1</v>
      </c>
      <c r="G18" s="169"/>
      <c r="H18" s="169"/>
      <c r="I18" s="169"/>
      <c r="J18" s="169">
        <v>503.68</v>
      </c>
      <c r="K18" s="169"/>
      <c r="L18" s="169"/>
      <c r="M18" s="169"/>
      <c r="N18" s="172"/>
      <c r="O18" s="597"/>
      <c r="P18" s="599"/>
    </row>
    <row r="19" spans="1:16" s="143" customFormat="1" ht="16.149999999999999" customHeight="1">
      <c r="A19" s="168" t="s">
        <v>232</v>
      </c>
      <c r="B19" s="171" t="s">
        <v>430</v>
      </c>
      <c r="C19" s="169">
        <f t="shared" si="0"/>
        <v>-9.44</v>
      </c>
      <c r="D19" s="169">
        <f t="shared" si="1"/>
        <v>17258.919999999998</v>
      </c>
      <c r="E19" s="169">
        <f t="shared" si="2"/>
        <v>-17268.359999999997</v>
      </c>
      <c r="F19" s="170">
        <f t="shared" si="3"/>
        <v>1829.2754237288134</v>
      </c>
      <c r="G19" s="169"/>
      <c r="H19" s="169"/>
      <c r="I19" s="169"/>
      <c r="J19" s="169">
        <v>-9.44</v>
      </c>
      <c r="K19" s="169"/>
      <c r="L19" s="169"/>
      <c r="M19" s="169"/>
      <c r="N19" s="172">
        <v>17258.919999999998</v>
      </c>
      <c r="O19" s="174" t="s">
        <v>513</v>
      </c>
      <c r="P19" s="12" t="s">
        <v>539</v>
      </c>
    </row>
    <row r="20" spans="1:16" s="143" customFormat="1" ht="16.149999999999999" hidden="1" customHeight="1">
      <c r="A20" s="168" t="s">
        <v>53</v>
      </c>
      <c r="B20" s="168" t="s">
        <v>54</v>
      </c>
      <c r="C20" s="169">
        <f t="shared" si="0"/>
        <v>240</v>
      </c>
      <c r="D20" s="169">
        <f t="shared" si="1"/>
        <v>235.2</v>
      </c>
      <c r="E20" s="169">
        <f t="shared" si="2"/>
        <v>4.8000000000000114</v>
      </c>
      <c r="F20" s="170">
        <f t="shared" si="3"/>
        <v>2.0000000000000049E-2</v>
      </c>
      <c r="G20" s="169"/>
      <c r="H20" s="169"/>
      <c r="I20" s="169"/>
      <c r="J20" s="169">
        <v>240</v>
      </c>
      <c r="K20" s="169"/>
      <c r="L20" s="169"/>
      <c r="M20" s="169"/>
      <c r="N20" s="169">
        <v>235.2</v>
      </c>
    </row>
    <row r="21" spans="1:16" s="143" customFormat="1" ht="16.149999999999999" hidden="1" customHeight="1">
      <c r="A21" s="168" t="s">
        <v>59</v>
      </c>
      <c r="B21" s="168" t="s">
        <v>60</v>
      </c>
      <c r="C21" s="169">
        <f t="shared" si="0"/>
        <v>7358.49</v>
      </c>
      <c r="D21" s="169">
        <f t="shared" si="1"/>
        <v>7358.49</v>
      </c>
      <c r="E21" s="169">
        <f t="shared" si="2"/>
        <v>0</v>
      </c>
      <c r="F21" s="170">
        <f t="shared" si="3"/>
        <v>0</v>
      </c>
      <c r="G21" s="169"/>
      <c r="H21" s="169"/>
      <c r="I21" s="169"/>
      <c r="J21" s="169">
        <v>7358.49</v>
      </c>
      <c r="K21" s="169"/>
      <c r="L21" s="169"/>
      <c r="M21" s="169"/>
      <c r="N21" s="169">
        <v>7358.49</v>
      </c>
    </row>
    <row r="22" spans="1:16" s="143" customFormat="1" ht="16.149999999999999" hidden="1" customHeight="1">
      <c r="A22" s="168" t="s">
        <v>69</v>
      </c>
      <c r="B22" s="168" t="s">
        <v>70</v>
      </c>
      <c r="C22" s="169">
        <f t="shared" si="0"/>
        <v>0</v>
      </c>
      <c r="D22" s="169">
        <f t="shared" si="1"/>
        <v>-0.06</v>
      </c>
      <c r="E22" s="169">
        <f t="shared" si="2"/>
        <v>0.06</v>
      </c>
      <c r="F22" s="170" t="e">
        <f t="shared" si="3"/>
        <v>#DIV/0!</v>
      </c>
      <c r="G22" s="169"/>
      <c r="H22" s="169"/>
      <c r="I22" s="169"/>
      <c r="J22" s="169"/>
      <c r="K22" s="169"/>
      <c r="L22" s="169"/>
      <c r="M22" s="169"/>
      <c r="N22" s="169">
        <v>-0.06</v>
      </c>
    </row>
    <row r="23" spans="1:16" s="143" customFormat="1" ht="16.149999999999999" hidden="1" customHeight="1">
      <c r="A23" s="168" t="s">
        <v>73</v>
      </c>
      <c r="B23" s="168" t="s">
        <v>74</v>
      </c>
      <c r="C23" s="169">
        <f t="shared" si="0"/>
        <v>0</v>
      </c>
      <c r="D23" s="169">
        <f t="shared" si="1"/>
        <v>-75209.81</v>
      </c>
      <c r="E23" s="169">
        <f t="shared" si="2"/>
        <v>75209.81</v>
      </c>
      <c r="F23" s="170" t="e">
        <f t="shared" si="3"/>
        <v>#DIV/0!</v>
      </c>
      <c r="G23" s="169"/>
      <c r="H23" s="169"/>
      <c r="I23" s="169"/>
      <c r="J23" s="169"/>
      <c r="K23" s="169"/>
      <c r="L23" s="169"/>
      <c r="M23" s="169"/>
      <c r="N23" s="169">
        <v>-75209.81</v>
      </c>
    </row>
    <row r="24" spans="1:16" s="143" customFormat="1" ht="16.149999999999999" hidden="1" customHeight="1">
      <c r="A24" s="168" t="s">
        <v>75</v>
      </c>
      <c r="B24" s="168" t="s">
        <v>76</v>
      </c>
      <c r="C24" s="169">
        <f t="shared" si="0"/>
        <v>83298.210000000006</v>
      </c>
      <c r="D24" s="169">
        <f t="shared" si="1"/>
        <v>155774.46</v>
      </c>
      <c r="E24" s="169">
        <f t="shared" si="2"/>
        <v>-72476.249999999985</v>
      </c>
      <c r="F24" s="170">
        <f t="shared" si="3"/>
        <v>-0.87008172204420697</v>
      </c>
      <c r="G24" s="169"/>
      <c r="H24" s="169"/>
      <c r="I24" s="169"/>
      <c r="J24" s="169">
        <v>83298.210000000006</v>
      </c>
      <c r="K24" s="169"/>
      <c r="L24" s="169"/>
      <c r="M24" s="169"/>
      <c r="N24" s="169">
        <v>155774.46</v>
      </c>
    </row>
    <row r="25" spans="1:16" s="143" customFormat="1" ht="16.149999999999999" hidden="1" customHeight="1">
      <c r="A25" s="168" t="s">
        <v>77</v>
      </c>
      <c r="B25" s="168" t="s">
        <v>78</v>
      </c>
      <c r="C25" s="169">
        <f t="shared" si="0"/>
        <v>5807.69</v>
      </c>
      <c r="D25" s="169">
        <f t="shared" si="1"/>
        <v>5868.07</v>
      </c>
      <c r="E25" s="169">
        <f t="shared" si="2"/>
        <v>-60.380000000000109</v>
      </c>
      <c r="F25" s="170">
        <f t="shared" si="3"/>
        <v>-1.039656042247436E-2</v>
      </c>
      <c r="G25" s="169"/>
      <c r="H25" s="169"/>
      <c r="I25" s="169"/>
      <c r="J25" s="169">
        <v>5807.69</v>
      </c>
      <c r="K25" s="169"/>
      <c r="L25" s="169"/>
      <c r="M25" s="169"/>
      <c r="N25" s="169">
        <v>5868.07</v>
      </c>
    </row>
    <row r="26" spans="1:16" s="143" customFormat="1" ht="16.149999999999999" hidden="1" customHeight="1">
      <c r="A26" s="168" t="s">
        <v>81</v>
      </c>
      <c r="B26" s="168" t="s">
        <v>82</v>
      </c>
      <c r="C26" s="169">
        <f t="shared" si="0"/>
        <v>0</v>
      </c>
      <c r="D26" s="169">
        <f t="shared" si="1"/>
        <v>25000</v>
      </c>
      <c r="E26" s="169">
        <f t="shared" si="2"/>
        <v>-25000</v>
      </c>
      <c r="F26" s="170" t="e">
        <f t="shared" si="3"/>
        <v>#DIV/0!</v>
      </c>
      <c r="G26" s="169"/>
      <c r="H26" s="169"/>
      <c r="I26" s="169"/>
      <c r="J26" s="169"/>
      <c r="K26" s="169"/>
      <c r="L26" s="169"/>
      <c r="M26" s="169"/>
      <c r="N26" s="169">
        <v>25000</v>
      </c>
    </row>
    <row r="27" spans="1:16" s="143" customFormat="1" ht="16.149999999999999" hidden="1" customHeight="1">
      <c r="A27" s="168" t="s">
        <v>83</v>
      </c>
      <c r="B27" s="168" t="s">
        <v>84</v>
      </c>
      <c r="C27" s="169">
        <f t="shared" si="0"/>
        <v>0</v>
      </c>
      <c r="D27" s="169">
        <f t="shared" si="1"/>
        <v>-25000</v>
      </c>
      <c r="E27" s="169">
        <f t="shared" si="2"/>
        <v>25000</v>
      </c>
      <c r="F27" s="170" t="e">
        <f t="shared" si="3"/>
        <v>#DIV/0!</v>
      </c>
      <c r="G27" s="169"/>
      <c r="H27" s="169"/>
      <c r="I27" s="169"/>
      <c r="J27" s="169"/>
      <c r="K27" s="169"/>
      <c r="L27" s="169"/>
      <c r="M27" s="169"/>
      <c r="N27" s="169">
        <v>-25000</v>
      </c>
    </row>
    <row r="28" spans="1:16" s="143" customFormat="1" ht="16.149999999999999" hidden="1" customHeight="1">
      <c r="A28" s="168" t="s">
        <v>97</v>
      </c>
      <c r="B28" s="168" t="s">
        <v>98</v>
      </c>
      <c r="C28" s="169">
        <f t="shared" si="0"/>
        <v>401936.03</v>
      </c>
      <c r="D28" s="169">
        <f t="shared" si="1"/>
        <v>387169.81</v>
      </c>
      <c r="E28" s="169">
        <f t="shared" si="2"/>
        <v>14766.22000000003</v>
      </c>
      <c r="F28" s="170">
        <f t="shared" si="3"/>
        <v>3.6737736599528115E-2</v>
      </c>
      <c r="G28" s="169"/>
      <c r="H28" s="169"/>
      <c r="I28" s="169"/>
      <c r="J28" s="169">
        <v>401936.03</v>
      </c>
      <c r="K28" s="169"/>
      <c r="L28" s="169"/>
      <c r="M28" s="169"/>
      <c r="N28" s="169">
        <v>387169.81</v>
      </c>
    </row>
    <row r="29" spans="1:16" s="143" customFormat="1" ht="16.149999999999999" hidden="1" customHeight="1">
      <c r="A29" s="168" t="s">
        <v>113</v>
      </c>
      <c r="B29" s="168" t="s">
        <v>114</v>
      </c>
      <c r="C29" s="169">
        <f t="shared" si="0"/>
        <v>405915.1</v>
      </c>
      <c r="D29" s="169">
        <f t="shared" si="1"/>
        <v>405361.18</v>
      </c>
      <c r="E29" s="169">
        <f t="shared" si="2"/>
        <v>553.9199999999837</v>
      </c>
      <c r="F29" s="170">
        <f t="shared" si="3"/>
        <v>1.3646203356317214E-3</v>
      </c>
      <c r="G29" s="169"/>
      <c r="H29" s="169"/>
      <c r="I29" s="169"/>
      <c r="J29" s="169">
        <v>405915.1</v>
      </c>
      <c r="K29" s="169"/>
      <c r="L29" s="169"/>
      <c r="M29" s="169"/>
      <c r="N29" s="169">
        <v>405361.18</v>
      </c>
    </row>
    <row r="30" spans="1:16" s="143" customFormat="1" ht="16.149999999999999" customHeight="1">
      <c r="A30" s="168" t="s">
        <v>127</v>
      </c>
      <c r="B30" s="171" t="s">
        <v>128</v>
      </c>
      <c r="C30" s="169">
        <f t="shared" si="0"/>
        <v>218557.21</v>
      </c>
      <c r="D30" s="169">
        <f>SUM(K30:N30)</f>
        <v>292008.46000000002</v>
      </c>
      <c r="E30" s="169">
        <f t="shared" si="2"/>
        <v>-73451.250000000029</v>
      </c>
      <c r="F30" s="170">
        <f t="shared" si="3"/>
        <v>-0.33607333292733754</v>
      </c>
      <c r="G30" s="169"/>
      <c r="H30" s="169"/>
      <c r="I30" s="169"/>
      <c r="J30" s="169">
        <v>218557.21</v>
      </c>
      <c r="K30" s="169"/>
      <c r="L30" s="169"/>
      <c r="M30" s="169"/>
      <c r="N30" s="172">
        <v>292008.46000000002</v>
      </c>
      <c r="O30" s="175" t="s">
        <v>514</v>
      </c>
      <c r="P30" s="143" t="s">
        <v>540</v>
      </c>
    </row>
    <row r="31" spans="1:16" s="143" customFormat="1" ht="16.149999999999999" customHeight="1">
      <c r="A31" s="168" t="s">
        <v>129</v>
      </c>
      <c r="B31" s="171" t="s">
        <v>130</v>
      </c>
      <c r="C31" s="169">
        <f t="shared" si="0"/>
        <v>0</v>
      </c>
      <c r="D31" s="169">
        <f t="shared" si="1"/>
        <v>10329.66</v>
      </c>
      <c r="E31" s="169">
        <f t="shared" si="2"/>
        <v>-10329.66</v>
      </c>
      <c r="F31" s="170" t="e">
        <f t="shared" si="3"/>
        <v>#DIV/0!</v>
      </c>
      <c r="G31" s="169"/>
      <c r="H31" s="169"/>
      <c r="I31" s="169"/>
      <c r="J31" s="169"/>
      <c r="K31" s="169"/>
      <c r="L31" s="169"/>
      <c r="M31" s="169"/>
      <c r="N31" s="169">
        <v>10329.66</v>
      </c>
      <c r="O31" s="180" t="s">
        <v>513</v>
      </c>
      <c r="P31" s="143" t="s">
        <v>535</v>
      </c>
    </row>
    <row r="32" spans="1:16" s="143" customFormat="1" ht="16.149999999999999" customHeight="1">
      <c r="A32" s="168" t="s">
        <v>131</v>
      </c>
      <c r="B32" s="171" t="s">
        <v>515</v>
      </c>
      <c r="C32" s="169">
        <f t="shared" si="0"/>
        <v>70806.42</v>
      </c>
      <c r="D32" s="169">
        <f>SUM(K32:N32)</f>
        <v>85669.19</v>
      </c>
      <c r="E32" s="169">
        <f t="shared" si="2"/>
        <v>-14862.770000000004</v>
      </c>
      <c r="F32" s="170">
        <f t="shared" si="3"/>
        <v>-0.20990709599496776</v>
      </c>
      <c r="G32" s="169"/>
      <c r="H32" s="169"/>
      <c r="I32" s="169"/>
      <c r="J32" s="169">
        <v>70806.42</v>
      </c>
      <c r="K32" s="169"/>
      <c r="L32" s="169"/>
      <c r="M32" s="169"/>
      <c r="N32" s="172">
        <v>85669.19</v>
      </c>
      <c r="O32" s="175" t="s">
        <v>512</v>
      </c>
      <c r="P32" s="143" t="s">
        <v>541</v>
      </c>
    </row>
    <row r="33" spans="1:16" s="143" customFormat="1" ht="16.149999999999999" hidden="1" customHeight="1">
      <c r="A33" s="168" t="s">
        <v>133</v>
      </c>
      <c r="B33" s="168" t="s">
        <v>134</v>
      </c>
      <c r="C33" s="169">
        <f t="shared" si="0"/>
        <v>17857.89</v>
      </c>
      <c r="D33" s="169">
        <f t="shared" si="1"/>
        <v>17143.57</v>
      </c>
      <c r="E33" s="169">
        <f t="shared" si="2"/>
        <v>714.31999999999971</v>
      </c>
      <c r="F33" s="170">
        <f t="shared" si="3"/>
        <v>4.000024638969104E-2</v>
      </c>
      <c r="G33" s="169"/>
      <c r="H33" s="169"/>
      <c r="I33" s="169"/>
      <c r="J33" s="169">
        <v>17857.89</v>
      </c>
      <c r="K33" s="169"/>
      <c r="L33" s="169"/>
      <c r="M33" s="169"/>
      <c r="N33" s="169">
        <v>17143.57</v>
      </c>
    </row>
    <row r="34" spans="1:16" s="143" customFormat="1" ht="16.149999999999999" hidden="1" customHeight="1">
      <c r="A34" s="168" t="s">
        <v>135</v>
      </c>
      <c r="B34" s="168" t="s">
        <v>136</v>
      </c>
      <c r="C34" s="169">
        <f t="shared" si="0"/>
        <v>5321.89</v>
      </c>
      <c r="D34" s="169">
        <f t="shared" si="1"/>
        <v>5109.01</v>
      </c>
      <c r="E34" s="169">
        <f t="shared" si="2"/>
        <v>212.88000000000011</v>
      </c>
      <c r="F34" s="170">
        <f t="shared" si="3"/>
        <v>4.0000826773946868E-2</v>
      </c>
      <c r="G34" s="169"/>
      <c r="H34" s="169"/>
      <c r="I34" s="169"/>
      <c r="J34" s="169">
        <v>5321.89</v>
      </c>
      <c r="K34" s="169"/>
      <c r="L34" s="169"/>
      <c r="M34" s="169"/>
      <c r="N34" s="169">
        <v>5109.01</v>
      </c>
    </row>
    <row r="35" spans="1:16" s="143" customFormat="1" ht="16.149999999999999" hidden="1" customHeight="1">
      <c r="A35" s="168" t="s">
        <v>139</v>
      </c>
      <c r="B35" s="168" t="s">
        <v>140</v>
      </c>
      <c r="C35" s="169">
        <f t="shared" si="0"/>
        <v>54432.22</v>
      </c>
      <c r="D35" s="169">
        <f t="shared" si="1"/>
        <v>50976.04</v>
      </c>
      <c r="E35" s="169">
        <f t="shared" si="2"/>
        <v>3456.1800000000003</v>
      </c>
      <c r="F35" s="170">
        <f t="shared" si="3"/>
        <v>6.3495113739619663E-2</v>
      </c>
      <c r="G35" s="169"/>
      <c r="H35" s="169"/>
      <c r="I35" s="169"/>
      <c r="J35" s="169">
        <v>54432.22</v>
      </c>
      <c r="K35" s="169"/>
      <c r="L35" s="169"/>
      <c r="M35" s="169"/>
      <c r="N35" s="169">
        <v>50976.04</v>
      </c>
    </row>
    <row r="36" spans="1:16" s="143" customFormat="1" ht="16.149999999999999" hidden="1" customHeight="1">
      <c r="A36" s="168" t="s">
        <v>22</v>
      </c>
      <c r="B36" s="168" t="s">
        <v>23</v>
      </c>
      <c r="C36" s="169">
        <f t="shared" si="0"/>
        <v>141.03</v>
      </c>
      <c r="D36" s="169">
        <f t="shared" si="1"/>
        <v>0</v>
      </c>
      <c r="E36" s="169">
        <f t="shared" si="2"/>
        <v>141.03</v>
      </c>
      <c r="F36" s="170">
        <f t="shared" si="3"/>
        <v>1</v>
      </c>
      <c r="G36" s="169"/>
      <c r="H36" s="169"/>
      <c r="I36" s="169"/>
      <c r="J36" s="169">
        <v>141.03</v>
      </c>
      <c r="K36" s="169"/>
      <c r="L36" s="169"/>
      <c r="M36" s="169"/>
      <c r="N36" s="169"/>
    </row>
    <row r="37" spans="1:16" s="143" customFormat="1" ht="16.149999999999999" hidden="1" customHeight="1">
      <c r="A37" s="168" t="s">
        <v>159</v>
      </c>
      <c r="B37" s="168" t="s">
        <v>160</v>
      </c>
      <c r="C37" s="169">
        <f t="shared" si="0"/>
        <v>925176.13</v>
      </c>
      <c r="D37" s="169">
        <f t="shared" si="1"/>
        <v>908643.58</v>
      </c>
      <c r="E37" s="169">
        <f t="shared" si="2"/>
        <v>16532.550000000047</v>
      </c>
      <c r="F37" s="170">
        <f t="shared" si="3"/>
        <v>1.786962445734527E-2</v>
      </c>
      <c r="G37" s="169"/>
      <c r="H37" s="169"/>
      <c r="I37" s="169"/>
      <c r="J37" s="169">
        <v>925176.13</v>
      </c>
      <c r="K37" s="169"/>
      <c r="L37" s="169"/>
      <c r="M37" s="169"/>
      <c r="N37" s="169">
        <v>908643.58</v>
      </c>
    </row>
    <row r="38" spans="1:16" s="143" customFormat="1" ht="16.149999999999999" hidden="1" customHeight="1">
      <c r="A38" s="168" t="s">
        <v>163</v>
      </c>
      <c r="B38" s="168" t="s">
        <v>516</v>
      </c>
      <c r="C38" s="169">
        <f t="shared" si="0"/>
        <v>70200.38</v>
      </c>
      <c r="D38" s="169">
        <f t="shared" si="1"/>
        <v>66735.350000000006</v>
      </c>
      <c r="E38" s="169">
        <f t="shared" si="2"/>
        <v>3465.0299999999988</v>
      </c>
      <c r="F38" s="170">
        <f t="shared" si="3"/>
        <v>4.9359134523203417E-2</v>
      </c>
      <c r="G38" s="169"/>
      <c r="H38" s="169"/>
      <c r="I38" s="169"/>
      <c r="J38" s="169">
        <v>70200.38</v>
      </c>
      <c r="K38" s="169"/>
      <c r="L38" s="169"/>
      <c r="M38" s="169"/>
      <c r="N38" s="169">
        <v>66735.350000000006</v>
      </c>
    </row>
    <row r="39" spans="1:16" s="143" customFormat="1" ht="16.149999999999999" hidden="1" customHeight="1">
      <c r="A39" s="168" t="s">
        <v>167</v>
      </c>
      <c r="B39" s="168" t="s">
        <v>168</v>
      </c>
      <c r="C39" s="169">
        <f t="shared" si="0"/>
        <v>882.45</v>
      </c>
      <c r="D39" s="169">
        <f t="shared" si="1"/>
        <v>838.33</v>
      </c>
      <c r="E39" s="169">
        <f t="shared" si="2"/>
        <v>44.120000000000005</v>
      </c>
      <c r="F39" s="170">
        <f t="shared" si="3"/>
        <v>4.9997166978299055E-2</v>
      </c>
      <c r="G39" s="169"/>
      <c r="H39" s="169"/>
      <c r="I39" s="169"/>
      <c r="J39" s="169">
        <v>882.45</v>
      </c>
      <c r="K39" s="169"/>
      <c r="L39" s="169"/>
      <c r="M39" s="169"/>
      <c r="N39" s="169">
        <v>838.33</v>
      </c>
    </row>
    <row r="40" spans="1:16" s="143" customFormat="1" ht="16.149999999999999" customHeight="1">
      <c r="A40" s="168" t="s">
        <v>228</v>
      </c>
      <c r="B40" s="171" t="s">
        <v>229</v>
      </c>
      <c r="C40" s="169">
        <f t="shared" si="0"/>
        <v>10879.47</v>
      </c>
      <c r="D40" s="169">
        <f t="shared" si="1"/>
        <v>0</v>
      </c>
      <c r="E40" s="169">
        <f t="shared" si="2"/>
        <v>10879.47</v>
      </c>
      <c r="F40" s="170">
        <f t="shared" si="3"/>
        <v>1</v>
      </c>
      <c r="G40" s="169"/>
      <c r="H40" s="169"/>
      <c r="I40" s="169"/>
      <c r="J40" s="169">
        <v>10879.47</v>
      </c>
      <c r="K40" s="169"/>
      <c r="L40" s="169"/>
      <c r="M40" s="169"/>
      <c r="N40" s="172"/>
      <c r="O40" s="595" t="s">
        <v>514</v>
      </c>
      <c r="P40" s="599" t="s">
        <v>544</v>
      </c>
    </row>
    <row r="41" spans="1:16" s="143" customFormat="1" ht="16.149999999999999" customHeight="1">
      <c r="A41" s="168" t="s">
        <v>26</v>
      </c>
      <c r="B41" s="171" t="s">
        <v>27</v>
      </c>
      <c r="C41" s="169">
        <f t="shared" si="0"/>
        <v>28688.45</v>
      </c>
      <c r="D41" s="169">
        <f t="shared" si="1"/>
        <v>0</v>
      </c>
      <c r="E41" s="169">
        <f t="shared" si="2"/>
        <v>28688.45</v>
      </c>
      <c r="F41" s="170">
        <f t="shared" si="3"/>
        <v>1</v>
      </c>
      <c r="G41" s="169"/>
      <c r="H41" s="169"/>
      <c r="I41" s="169"/>
      <c r="J41" s="169">
        <v>28688.45</v>
      </c>
      <c r="K41" s="169"/>
      <c r="L41" s="169"/>
      <c r="M41" s="169"/>
      <c r="N41" s="172"/>
      <c r="O41" s="596"/>
      <c r="P41" s="599"/>
    </row>
    <row r="42" spans="1:16" s="143" customFormat="1" ht="16.149999999999999" customHeight="1">
      <c r="A42" s="168" t="s">
        <v>230</v>
      </c>
      <c r="B42" s="171" t="s">
        <v>231</v>
      </c>
      <c r="C42" s="169">
        <f t="shared" si="0"/>
        <v>19039.07</v>
      </c>
      <c r="D42" s="169">
        <f t="shared" si="1"/>
        <v>101509.43</v>
      </c>
      <c r="E42" s="169">
        <f t="shared" si="2"/>
        <v>-82470.359999999986</v>
      </c>
      <c r="F42" s="170">
        <f t="shared" si="3"/>
        <v>-4.3316380474466447</v>
      </c>
      <c r="G42" s="169"/>
      <c r="H42" s="169"/>
      <c r="I42" s="169"/>
      <c r="J42" s="169">
        <v>19039.07</v>
      </c>
      <c r="K42" s="169"/>
      <c r="L42" s="169"/>
      <c r="M42" s="169"/>
      <c r="N42" s="172">
        <v>101509.43</v>
      </c>
      <c r="O42" s="597"/>
      <c r="P42" s="599"/>
    </row>
    <row r="43" spans="1:16" s="143" customFormat="1" ht="16.149999999999999" hidden="1" customHeight="1">
      <c r="A43" s="168" t="s">
        <v>169</v>
      </c>
      <c r="B43" s="168" t="s">
        <v>170</v>
      </c>
      <c r="C43" s="169">
        <f t="shared" si="0"/>
        <v>20414.12</v>
      </c>
      <c r="D43" s="169">
        <f t="shared" si="1"/>
        <v>19591.32</v>
      </c>
      <c r="E43" s="169">
        <f t="shared" si="2"/>
        <v>822.79999999999927</v>
      </c>
      <c r="F43" s="170">
        <f t="shared" si="3"/>
        <v>4.0305435649442604E-2</v>
      </c>
      <c r="G43" s="169"/>
      <c r="H43" s="169"/>
      <c r="I43" s="169"/>
      <c r="J43" s="169">
        <v>20414.12</v>
      </c>
      <c r="K43" s="169"/>
      <c r="L43" s="169"/>
      <c r="M43" s="169"/>
      <c r="N43" s="169">
        <v>19591.32</v>
      </c>
    </row>
    <row r="44" spans="1:16" s="143" customFormat="1" ht="16.149999999999999" hidden="1" customHeight="1">
      <c r="A44" s="168" t="s">
        <v>173</v>
      </c>
      <c r="B44" s="168" t="s">
        <v>174</v>
      </c>
      <c r="C44" s="169">
        <f t="shared" si="0"/>
        <v>463531.05</v>
      </c>
      <c r="D44" s="169">
        <f t="shared" si="1"/>
        <v>442289.69</v>
      </c>
      <c r="E44" s="169">
        <f t="shared" si="2"/>
        <v>21241.359999999986</v>
      </c>
      <c r="F44" s="170">
        <f t="shared" si="3"/>
        <v>4.5825107077508587E-2</v>
      </c>
      <c r="G44" s="169"/>
      <c r="H44" s="169"/>
      <c r="I44" s="169"/>
      <c r="J44" s="169">
        <v>463531.05</v>
      </c>
      <c r="K44" s="169"/>
      <c r="L44" s="169"/>
      <c r="M44" s="169"/>
      <c r="N44" s="169">
        <v>442289.69</v>
      </c>
    </row>
    <row r="45" spans="1:16" s="143" customFormat="1" ht="16.149999999999999" hidden="1" customHeight="1">
      <c r="A45" s="168" t="s">
        <v>175</v>
      </c>
      <c r="B45" s="168" t="s">
        <v>176</v>
      </c>
      <c r="C45" s="169">
        <f t="shared" si="0"/>
        <v>-1054.23</v>
      </c>
      <c r="D45" s="169">
        <f t="shared" si="1"/>
        <v>0</v>
      </c>
      <c r="E45" s="169">
        <f t="shared" si="2"/>
        <v>-1054.23</v>
      </c>
      <c r="F45" s="170">
        <f t="shared" si="3"/>
        <v>1</v>
      </c>
      <c r="G45" s="169"/>
      <c r="H45" s="169"/>
      <c r="I45" s="169"/>
      <c r="J45" s="169">
        <v>-1054.23</v>
      </c>
      <c r="K45" s="169"/>
      <c r="L45" s="169"/>
      <c r="M45" s="169"/>
      <c r="N45" s="169"/>
    </row>
    <row r="46" spans="1:16" s="143" customFormat="1" ht="16.149999999999999" hidden="1" customHeight="1">
      <c r="A46" s="168" t="s">
        <v>177</v>
      </c>
      <c r="B46" s="168" t="s">
        <v>178</v>
      </c>
      <c r="C46" s="169">
        <f t="shared" si="0"/>
        <v>-1068.3599999999999</v>
      </c>
      <c r="D46" s="169">
        <f t="shared" si="1"/>
        <v>0</v>
      </c>
      <c r="E46" s="169">
        <f t="shared" si="2"/>
        <v>-1068.3599999999999</v>
      </c>
      <c r="F46" s="170">
        <f t="shared" si="3"/>
        <v>1</v>
      </c>
      <c r="G46" s="169"/>
      <c r="H46" s="169"/>
      <c r="I46" s="169"/>
      <c r="J46" s="169">
        <v>-1068.3599999999999</v>
      </c>
      <c r="K46" s="169"/>
      <c r="L46" s="169"/>
      <c r="M46" s="169"/>
      <c r="N46" s="169"/>
    </row>
    <row r="47" spans="1:16" s="143" customFormat="1" ht="16.149999999999999" hidden="1" customHeight="1">
      <c r="A47" s="168" t="s">
        <v>181</v>
      </c>
      <c r="B47" s="168" t="s">
        <v>182</v>
      </c>
      <c r="C47" s="169">
        <f t="shared" si="0"/>
        <v>1142428.68</v>
      </c>
      <c r="D47" s="169">
        <f t="shared" si="1"/>
        <v>1136953.01</v>
      </c>
      <c r="E47" s="169">
        <f t="shared" si="2"/>
        <v>5475.6699999999255</v>
      </c>
      <c r="F47" s="170">
        <f t="shared" si="3"/>
        <v>4.7930081727289324E-3</v>
      </c>
      <c r="G47" s="169"/>
      <c r="H47" s="169"/>
      <c r="I47" s="169"/>
      <c r="J47" s="169">
        <v>1142428.68</v>
      </c>
      <c r="K47" s="169"/>
      <c r="L47" s="169"/>
      <c r="M47" s="169"/>
      <c r="N47" s="169">
        <v>1136953.01</v>
      </c>
    </row>
    <row r="48" spans="1:16" s="143" customFormat="1" ht="16.149999999999999" hidden="1" customHeight="1">
      <c r="A48" s="168" t="s">
        <v>183</v>
      </c>
      <c r="B48" s="168" t="s">
        <v>184</v>
      </c>
      <c r="C48" s="169">
        <f t="shared" si="0"/>
        <v>-371.8</v>
      </c>
      <c r="D48" s="169">
        <f t="shared" si="1"/>
        <v>0</v>
      </c>
      <c r="E48" s="169">
        <f t="shared" si="2"/>
        <v>-371.8</v>
      </c>
      <c r="F48" s="170">
        <f t="shared" si="3"/>
        <v>1</v>
      </c>
      <c r="G48" s="169"/>
      <c r="H48" s="169"/>
      <c r="I48" s="169"/>
      <c r="J48" s="169">
        <v>-371.8</v>
      </c>
      <c r="K48" s="169"/>
      <c r="L48" s="169"/>
      <c r="M48" s="169"/>
      <c r="N48" s="169"/>
    </row>
    <row r="49" spans="1:16" s="143" customFormat="1" ht="16.149999999999999" hidden="1" customHeight="1">
      <c r="A49" s="168" t="s">
        <v>185</v>
      </c>
      <c r="B49" s="168" t="s">
        <v>186</v>
      </c>
      <c r="C49" s="169">
        <f t="shared" si="0"/>
        <v>21356</v>
      </c>
      <c r="D49" s="169">
        <f t="shared" si="1"/>
        <v>20377.36</v>
      </c>
      <c r="E49" s="169">
        <f t="shared" si="2"/>
        <v>978.63999999999942</v>
      </c>
      <c r="F49" s="170">
        <f t="shared" si="3"/>
        <v>4.58250608728226E-2</v>
      </c>
      <c r="G49" s="169"/>
      <c r="H49" s="169"/>
      <c r="I49" s="169"/>
      <c r="J49" s="169">
        <v>21356</v>
      </c>
      <c r="K49" s="169"/>
      <c r="L49" s="169"/>
      <c r="M49" s="169"/>
      <c r="N49" s="169">
        <v>20377.36</v>
      </c>
    </row>
    <row r="50" spans="1:16" s="143" customFormat="1" ht="16.149999999999999" hidden="1" customHeight="1">
      <c r="A50" s="168" t="s">
        <v>189</v>
      </c>
      <c r="B50" s="168" t="s">
        <v>190</v>
      </c>
      <c r="C50" s="169">
        <f t="shared" si="0"/>
        <v>20147.169999999998</v>
      </c>
      <c r="D50" s="169">
        <f t="shared" si="1"/>
        <v>19151.78</v>
      </c>
      <c r="E50" s="169">
        <f t="shared" si="2"/>
        <v>995.38999999999942</v>
      </c>
      <c r="F50" s="170">
        <f t="shared" si="3"/>
        <v>4.9405946343828909E-2</v>
      </c>
      <c r="G50" s="169"/>
      <c r="H50" s="169"/>
      <c r="I50" s="169"/>
      <c r="J50" s="169">
        <v>20147.169999999998</v>
      </c>
      <c r="K50" s="169"/>
      <c r="L50" s="169"/>
      <c r="M50" s="169"/>
      <c r="N50" s="169">
        <v>19151.78</v>
      </c>
    </row>
    <row r="51" spans="1:16" s="143" customFormat="1" ht="16.149999999999999" hidden="1" customHeight="1">
      <c r="A51" s="168" t="s">
        <v>191</v>
      </c>
      <c r="B51" s="168" t="s">
        <v>192</v>
      </c>
      <c r="C51" s="169">
        <f t="shared" si="0"/>
        <v>14103.02</v>
      </c>
      <c r="D51" s="169">
        <f t="shared" si="1"/>
        <v>13406.35</v>
      </c>
      <c r="E51" s="169">
        <f t="shared" si="2"/>
        <v>696.67000000000007</v>
      </c>
      <c r="F51" s="170">
        <f t="shared" si="3"/>
        <v>4.9398639440346823E-2</v>
      </c>
      <c r="G51" s="169"/>
      <c r="H51" s="169"/>
      <c r="I51" s="169"/>
      <c r="J51" s="169">
        <v>14103.02</v>
      </c>
      <c r="K51" s="169"/>
      <c r="L51" s="169"/>
      <c r="M51" s="169"/>
      <c r="N51" s="169">
        <v>13406.35</v>
      </c>
    </row>
    <row r="52" spans="1:16" s="143" customFormat="1" ht="16.149999999999999" hidden="1" customHeight="1">
      <c r="A52" s="168" t="s">
        <v>193</v>
      </c>
      <c r="B52" s="168" t="s">
        <v>194</v>
      </c>
      <c r="C52" s="169">
        <f t="shared" si="0"/>
        <v>0</v>
      </c>
      <c r="D52" s="169">
        <f t="shared" si="1"/>
        <v>-142026.75</v>
      </c>
      <c r="E52" s="169">
        <f t="shared" si="2"/>
        <v>142026.75</v>
      </c>
      <c r="F52" s="170" t="e">
        <f t="shared" si="3"/>
        <v>#DIV/0!</v>
      </c>
      <c r="G52" s="169"/>
      <c r="H52" s="169"/>
      <c r="I52" s="169"/>
      <c r="J52" s="169"/>
      <c r="K52" s="169"/>
      <c r="L52" s="169"/>
      <c r="M52" s="169"/>
      <c r="N52" s="169">
        <v>-142026.75</v>
      </c>
    </row>
    <row r="53" spans="1:16" s="143" customFormat="1" ht="16.149999999999999" hidden="1" customHeight="1">
      <c r="A53" s="168" t="s">
        <v>195</v>
      </c>
      <c r="B53" s="168" t="s">
        <v>196</v>
      </c>
      <c r="C53" s="169">
        <f t="shared" si="0"/>
        <v>0</v>
      </c>
      <c r="D53" s="169">
        <f t="shared" si="1"/>
        <v>97184.11</v>
      </c>
      <c r="E53" s="169">
        <f t="shared" si="2"/>
        <v>-97184.11</v>
      </c>
      <c r="F53" s="170" t="e">
        <f t="shared" si="3"/>
        <v>#DIV/0!</v>
      </c>
      <c r="G53" s="169"/>
      <c r="H53" s="169"/>
      <c r="I53" s="169"/>
      <c r="J53" s="169"/>
      <c r="K53" s="169"/>
      <c r="L53" s="169"/>
      <c r="M53" s="169"/>
      <c r="N53" s="169">
        <v>97184.11</v>
      </c>
    </row>
    <row r="54" spans="1:16" s="143" customFormat="1" ht="16.149999999999999" hidden="1" customHeight="1">
      <c r="A54" s="168" t="s">
        <v>197</v>
      </c>
      <c r="B54" s="168" t="s">
        <v>198</v>
      </c>
      <c r="C54" s="169">
        <f t="shared" si="0"/>
        <v>0</v>
      </c>
      <c r="D54" s="169">
        <f t="shared" si="1"/>
        <v>44842.64</v>
      </c>
      <c r="E54" s="169">
        <f t="shared" si="2"/>
        <v>-44842.64</v>
      </c>
      <c r="F54" s="170" t="e">
        <f t="shared" si="3"/>
        <v>#DIV/0!</v>
      </c>
      <c r="G54" s="169"/>
      <c r="H54" s="169"/>
      <c r="I54" s="169"/>
      <c r="J54" s="169"/>
      <c r="K54" s="169"/>
      <c r="L54" s="169"/>
      <c r="M54" s="169"/>
      <c r="N54" s="169">
        <v>44842.64</v>
      </c>
    </row>
    <row r="55" spans="1:16" s="143" customFormat="1" ht="16.149999999999999" hidden="1" customHeight="1">
      <c r="A55" s="168" t="s">
        <v>517</v>
      </c>
      <c r="B55" s="168" t="s">
        <v>518</v>
      </c>
      <c r="C55" s="169">
        <f t="shared" si="0"/>
        <v>-11485963.58</v>
      </c>
      <c r="D55" s="169">
        <f t="shared" si="1"/>
        <v>-9107615.5800000001</v>
      </c>
      <c r="E55" s="169">
        <f t="shared" si="2"/>
        <v>-2378348</v>
      </c>
      <c r="F55" s="170">
        <f t="shared" si="3"/>
        <v>0.20706560520018644</v>
      </c>
      <c r="G55" s="169"/>
      <c r="H55" s="169">
        <f>-2378348-9107615.58</f>
        <v>-11485963.58</v>
      </c>
      <c r="I55" s="169"/>
      <c r="J55" s="169"/>
      <c r="K55" s="169"/>
      <c r="L55" s="169">
        <v>-9107615.5800000001</v>
      </c>
      <c r="M55" s="169"/>
      <c r="N55" s="169"/>
    </row>
    <row r="56" spans="1:16" s="143" customFormat="1" ht="16.149999999999999" hidden="1" customHeight="1">
      <c r="A56" s="168" t="s">
        <v>519</v>
      </c>
      <c r="B56" s="168" t="s">
        <v>520</v>
      </c>
      <c r="C56" s="169">
        <f t="shared" si="0"/>
        <v>0</v>
      </c>
      <c r="D56" s="169">
        <f t="shared" si="1"/>
        <v>-0.05</v>
      </c>
      <c r="E56" s="169">
        <f t="shared" si="2"/>
        <v>0.05</v>
      </c>
      <c r="F56" s="170" t="e">
        <f t="shared" si="3"/>
        <v>#DIV/0!</v>
      </c>
      <c r="G56" s="169"/>
      <c r="H56" s="169"/>
      <c r="I56" s="169"/>
      <c r="J56" s="169"/>
      <c r="K56" s="169"/>
      <c r="L56" s="169">
        <v>-0.05</v>
      </c>
      <c r="M56" s="169"/>
      <c r="N56" s="169"/>
    </row>
    <row r="57" spans="1:16" s="143" customFormat="1" ht="16.149999999999999" hidden="1" customHeight="1">
      <c r="A57" s="168" t="s">
        <v>521</v>
      </c>
      <c r="B57" s="168" t="s">
        <v>522</v>
      </c>
      <c r="C57" s="169">
        <f t="shared" si="0"/>
        <v>2378347.7400000002</v>
      </c>
      <c r="D57" s="169">
        <f t="shared" si="1"/>
        <v>1021246.52</v>
      </c>
      <c r="E57" s="169">
        <f t="shared" si="2"/>
        <v>1357101.2200000002</v>
      </c>
      <c r="F57" s="170">
        <f t="shared" si="3"/>
        <v>0.57060672717270522</v>
      </c>
      <c r="G57" s="169"/>
      <c r="H57" s="169">
        <v>2378347.7400000002</v>
      </c>
      <c r="I57" s="169"/>
      <c r="J57" s="169"/>
      <c r="K57" s="169"/>
      <c r="L57" s="169">
        <v>1021246.52</v>
      </c>
      <c r="M57" s="169"/>
      <c r="N57" s="169"/>
    </row>
    <row r="58" spans="1:16" s="143" customFormat="1" ht="16.149999999999999" hidden="1" customHeight="1">
      <c r="A58" s="168" t="s">
        <v>523</v>
      </c>
      <c r="B58" s="168" t="s">
        <v>524</v>
      </c>
      <c r="C58" s="169">
        <f t="shared" si="0"/>
        <v>1891873.05</v>
      </c>
      <c r="D58" s="169">
        <f t="shared" si="1"/>
        <v>1848852.64</v>
      </c>
      <c r="E58" s="169">
        <f t="shared" si="2"/>
        <v>43020.410000000149</v>
      </c>
      <c r="F58" s="170">
        <f t="shared" si="3"/>
        <v>2.2739586041463061E-2</v>
      </c>
      <c r="G58" s="169"/>
      <c r="H58" s="169">
        <v>1891873.05</v>
      </c>
      <c r="I58" s="169"/>
      <c r="J58" s="169"/>
      <c r="K58" s="169"/>
      <c r="L58" s="169">
        <v>1848852.64</v>
      </c>
      <c r="M58" s="169"/>
      <c r="N58" s="169"/>
    </row>
    <row r="59" spans="1:16" s="143" customFormat="1" ht="16.149999999999999" hidden="1" customHeight="1">
      <c r="A59" s="168" t="s">
        <v>525</v>
      </c>
      <c r="B59" s="168" t="s">
        <v>526</v>
      </c>
      <c r="C59" s="169">
        <f t="shared" ref="C59:C64" si="4">SUM(G59:J59)</f>
        <v>4644680.55</v>
      </c>
      <c r="D59" s="169">
        <f t="shared" ref="D59:D64" si="5">SUM(K59:N59)</f>
        <v>3515864.72</v>
      </c>
      <c r="E59" s="169">
        <f t="shared" si="2"/>
        <v>1128815.8299999996</v>
      </c>
      <c r="F59" s="170">
        <f t="shared" si="3"/>
        <v>0.24303411566162492</v>
      </c>
      <c r="G59" s="169"/>
      <c r="H59" s="169">
        <v>4644680.55</v>
      </c>
      <c r="I59" s="169"/>
      <c r="J59" s="169"/>
      <c r="K59" s="169"/>
      <c r="L59" s="169">
        <v>3515864.72</v>
      </c>
      <c r="M59" s="169"/>
      <c r="N59" s="169"/>
    </row>
    <row r="60" spans="1:16" s="143" customFormat="1" ht="16.149999999999999" hidden="1" customHeight="1">
      <c r="A60" s="168" t="s">
        <v>527</v>
      </c>
      <c r="B60" s="168" t="s">
        <v>528</v>
      </c>
      <c r="C60" s="169">
        <f t="shared" si="4"/>
        <v>665003.64</v>
      </c>
      <c r="D60" s="169">
        <f t="shared" si="5"/>
        <v>649881.74</v>
      </c>
      <c r="E60" s="169">
        <f t="shared" si="2"/>
        <v>15121.900000000023</v>
      </c>
      <c r="F60" s="170">
        <f t="shared" si="3"/>
        <v>2.2739574778868916E-2</v>
      </c>
      <c r="G60" s="169"/>
      <c r="H60" s="169">
        <v>665003.64</v>
      </c>
      <c r="I60" s="169"/>
      <c r="J60" s="169"/>
      <c r="K60" s="169"/>
      <c r="L60" s="169">
        <v>649881.74</v>
      </c>
      <c r="M60" s="169"/>
      <c r="N60" s="169"/>
    </row>
    <row r="61" spans="1:16" s="143" customFormat="1" ht="16.149999999999999" hidden="1" customHeight="1">
      <c r="A61" s="168" t="s">
        <v>529</v>
      </c>
      <c r="B61" s="168" t="s">
        <v>530</v>
      </c>
      <c r="C61" s="169">
        <f t="shared" si="4"/>
        <v>727564.65</v>
      </c>
      <c r="D61" s="169">
        <f t="shared" si="5"/>
        <v>698239.75</v>
      </c>
      <c r="E61" s="169">
        <f t="shared" si="2"/>
        <v>29324.900000000023</v>
      </c>
      <c r="F61" s="170">
        <f t="shared" si="3"/>
        <v>4.0305559100486839E-2</v>
      </c>
      <c r="G61" s="169"/>
      <c r="H61" s="169"/>
      <c r="I61" s="169"/>
      <c r="J61" s="169">
        <v>727564.65</v>
      </c>
      <c r="K61" s="169"/>
      <c r="L61" s="169"/>
      <c r="M61" s="169"/>
      <c r="N61" s="169">
        <v>698239.75</v>
      </c>
    </row>
    <row r="62" spans="1:16" s="143" customFormat="1" ht="16.149999999999999" customHeight="1">
      <c r="A62" s="168" t="s">
        <v>199</v>
      </c>
      <c r="B62" s="171" t="s">
        <v>423</v>
      </c>
      <c r="C62" s="169">
        <f t="shared" si="4"/>
        <v>0</v>
      </c>
      <c r="D62" s="169">
        <f t="shared" si="5"/>
        <v>57274.37</v>
      </c>
      <c r="E62" s="169">
        <f t="shared" si="2"/>
        <v>-57274.37</v>
      </c>
      <c r="F62" s="170" t="e">
        <f t="shared" si="3"/>
        <v>#DIV/0!</v>
      </c>
      <c r="G62" s="169"/>
      <c r="H62" s="169"/>
      <c r="I62" s="169"/>
      <c r="J62" s="169"/>
      <c r="K62" s="169"/>
      <c r="L62" s="169"/>
      <c r="M62" s="169"/>
      <c r="N62" s="172">
        <v>57274.37</v>
      </c>
      <c r="O62" s="173" t="s">
        <v>513</v>
      </c>
      <c r="P62" s="149" t="s">
        <v>543</v>
      </c>
    </row>
    <row r="63" spans="1:16" s="143" customFormat="1" ht="16.149999999999999" customHeight="1">
      <c r="A63" s="168" t="s">
        <v>238</v>
      </c>
      <c r="B63" s="171" t="s">
        <v>239</v>
      </c>
      <c r="C63" s="169">
        <f t="shared" si="4"/>
        <v>340566.03</v>
      </c>
      <c r="D63" s="169">
        <f>SUM(K63:N63)+130349.06</f>
        <v>330349.06</v>
      </c>
      <c r="E63" s="169">
        <f t="shared" si="2"/>
        <v>10216.97000000003</v>
      </c>
      <c r="F63" s="170">
        <f t="shared" si="3"/>
        <v>2.9999967994459194E-2</v>
      </c>
      <c r="G63" s="169"/>
      <c r="H63" s="169"/>
      <c r="I63" s="169"/>
      <c r="J63" s="169">
        <v>340566.03</v>
      </c>
      <c r="K63" s="169"/>
      <c r="L63" s="169"/>
      <c r="M63" s="169"/>
      <c r="N63" s="172">
        <v>200000</v>
      </c>
      <c r="O63" s="174" t="s">
        <v>531</v>
      </c>
      <c r="P63" s="187" t="s">
        <v>548</v>
      </c>
    </row>
    <row r="64" spans="1:16" s="143" customFormat="1" ht="16.149999999999999" hidden="1" customHeight="1">
      <c r="A64" s="168" t="s">
        <v>532</v>
      </c>
      <c r="B64" s="168" t="s">
        <v>533</v>
      </c>
      <c r="C64" s="169">
        <f t="shared" si="4"/>
        <v>85762.84</v>
      </c>
      <c r="D64" s="169">
        <f t="shared" si="5"/>
        <v>82305.88</v>
      </c>
      <c r="E64" s="169">
        <f t="shared" si="2"/>
        <v>3456.9599999999919</v>
      </c>
      <c r="F64" s="170">
        <f t="shared" si="3"/>
        <v>4.0308366653902694E-2</v>
      </c>
      <c r="G64" s="169"/>
      <c r="H64" s="169"/>
      <c r="I64" s="169"/>
      <c r="J64" s="169">
        <v>85762.84</v>
      </c>
      <c r="K64" s="169"/>
      <c r="L64" s="169"/>
      <c r="M64" s="169"/>
      <c r="N64" s="169">
        <v>82305.88</v>
      </c>
    </row>
    <row r="65" spans="1:14" hidden="1">
      <c r="A65" s="176" t="s">
        <v>534</v>
      </c>
      <c r="B65" s="177" t="s">
        <v>492</v>
      </c>
      <c r="C65" s="178">
        <f>SUM(G65:J65)</f>
        <v>3714498.7899999996</v>
      </c>
      <c r="D65" s="178">
        <f>SUM(K65:N65)</f>
        <v>3349337.5999999987</v>
      </c>
      <c r="E65" s="178">
        <f>C65-D65</f>
        <v>365161.19000000088</v>
      </c>
      <c r="F65" s="179">
        <f>E65/C65</f>
        <v>9.8306988545283899E-2</v>
      </c>
      <c r="G65" s="178"/>
      <c r="H65" s="178">
        <f>SUM(H7:H64)</f>
        <v>-1906058.6</v>
      </c>
      <c r="I65" s="178"/>
      <c r="J65" s="178">
        <f>SUM(J7:J64)</f>
        <v>5620557.3899999997</v>
      </c>
      <c r="K65" s="178"/>
      <c r="L65" s="178">
        <f>SUM(L7:L64)</f>
        <v>-2071770.0100000014</v>
      </c>
      <c r="M65" s="178"/>
      <c r="N65" s="178">
        <f>SUM(N7:N64)</f>
        <v>5421107.6100000003</v>
      </c>
    </row>
  </sheetData>
  <autoFilter ref="A6:O65">
    <filterColumn colId="1">
      <colorFilter dxfId="7"/>
    </filterColumn>
  </autoFilter>
  <mergeCells count="10">
    <mergeCell ref="O9:O18"/>
    <mergeCell ref="O40:O42"/>
    <mergeCell ref="P9:P18"/>
    <mergeCell ref="P40:P42"/>
    <mergeCell ref="A3:A6"/>
    <mergeCell ref="B3:B5"/>
    <mergeCell ref="C3:F5"/>
    <mergeCell ref="G3:N4"/>
    <mergeCell ref="G5:J5"/>
    <mergeCell ref="K5:N5"/>
  </mergeCells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U120"/>
  <sheetViews>
    <sheetView topLeftCell="A87" workbookViewId="0">
      <selection activeCell="H24" sqref="H24"/>
    </sheetView>
  </sheetViews>
  <sheetFormatPr defaultRowHeight="12.75"/>
  <cols>
    <col min="1" max="1" width="37" customWidth="1"/>
    <col min="2" max="2" width="6.140625" hidden="1" customWidth="1"/>
    <col min="3" max="3" width="18.28515625" hidden="1" customWidth="1"/>
    <col min="4" max="4" width="13.7109375" customWidth="1"/>
    <col min="5" max="5" width="35.28515625" customWidth="1"/>
    <col min="6" max="6" width="7.42578125" hidden="1" customWidth="1"/>
    <col min="7" max="7" width="35.28515625" hidden="1" customWidth="1"/>
    <col min="8" max="8" width="9.85546875" customWidth="1"/>
    <col min="9" max="10" width="30" hidden="1" customWidth="1"/>
    <col min="11" max="11" width="18" customWidth="1"/>
    <col min="12" max="12" width="18" style="239" customWidth="1"/>
    <col min="13" max="13" width="18" customWidth="1"/>
    <col min="14" max="15" width="30" hidden="1" customWidth="1"/>
    <col min="16" max="16" width="9.85546875" hidden="1" customWidth="1"/>
    <col min="17" max="17" width="30" hidden="1" customWidth="1"/>
    <col min="18" max="18" width="11.42578125" customWidth="1"/>
    <col min="19" max="19" width="13.7109375" customWidth="1"/>
  </cols>
  <sheetData>
    <row r="1" spans="1:20" hidden="1"/>
    <row r="2" spans="1:20" hidden="1"/>
    <row r="3" spans="1:20" ht="19.5" hidden="1" customHeight="1"/>
    <row r="4" spans="1:20" ht="19.5" hidden="1" customHeight="1"/>
    <row r="5" spans="1:20" ht="60" hidden="1" customHeight="1">
      <c r="A5" s="610" t="s">
        <v>590</v>
      </c>
      <c r="B5" s="610" t="s">
        <v>590</v>
      </c>
      <c r="C5" s="610" t="s">
        <v>590</v>
      </c>
      <c r="D5" s="610" t="s">
        <v>590</v>
      </c>
      <c r="E5" s="610" t="s">
        <v>590</v>
      </c>
      <c r="F5" s="610" t="s">
        <v>590</v>
      </c>
      <c r="G5" s="610" t="s">
        <v>590</v>
      </c>
      <c r="H5" s="610" t="s">
        <v>590</v>
      </c>
      <c r="I5" s="610" t="s">
        <v>590</v>
      </c>
      <c r="J5" s="610" t="s">
        <v>590</v>
      </c>
      <c r="K5" s="610"/>
      <c r="L5" s="610"/>
      <c r="M5" s="610" t="s">
        <v>590</v>
      </c>
      <c r="N5" s="610" t="s">
        <v>590</v>
      </c>
      <c r="O5" s="610" t="s">
        <v>590</v>
      </c>
      <c r="P5" s="610" t="s">
        <v>590</v>
      </c>
      <c r="Q5" s="610" t="s">
        <v>590</v>
      </c>
    </row>
    <row r="6" spans="1:20" ht="30" hidden="1" customHeight="1">
      <c r="A6" s="607" t="s">
        <v>492</v>
      </c>
      <c r="B6" s="607" t="s">
        <v>492</v>
      </c>
      <c r="C6" s="607" t="s">
        <v>492</v>
      </c>
      <c r="D6" s="607" t="s">
        <v>492</v>
      </c>
      <c r="E6" s="607" t="s">
        <v>492</v>
      </c>
      <c r="F6" s="607" t="s">
        <v>492</v>
      </c>
      <c r="G6" s="607" t="s">
        <v>492</v>
      </c>
      <c r="H6" s="607" t="s">
        <v>492</v>
      </c>
      <c r="I6" s="607"/>
      <c r="J6" s="607"/>
      <c r="K6" s="607"/>
      <c r="L6" s="607"/>
      <c r="M6" s="607"/>
      <c r="N6" s="607"/>
      <c r="O6" s="607"/>
      <c r="P6" s="607" t="s">
        <v>492</v>
      </c>
      <c r="Q6" s="607"/>
    </row>
    <row r="7" spans="1:20" ht="30" hidden="1" customHeight="1">
      <c r="A7" s="607" t="s">
        <v>591</v>
      </c>
      <c r="B7" s="607" t="s">
        <v>591</v>
      </c>
      <c r="C7" s="607" t="s">
        <v>591</v>
      </c>
      <c r="D7" s="607" t="s">
        <v>591</v>
      </c>
      <c r="E7" s="607" t="s">
        <v>591</v>
      </c>
      <c r="F7" s="607" t="s">
        <v>591</v>
      </c>
      <c r="G7" s="607" t="s">
        <v>591</v>
      </c>
      <c r="H7" s="607" t="s">
        <v>591</v>
      </c>
      <c r="I7" s="607" t="s">
        <v>591</v>
      </c>
      <c r="J7" s="607" t="s">
        <v>591</v>
      </c>
      <c r="K7" s="607"/>
      <c r="L7" s="607"/>
      <c r="M7" s="607" t="s">
        <v>591</v>
      </c>
      <c r="N7" s="607" t="s">
        <v>591</v>
      </c>
      <c r="O7" s="607" t="s">
        <v>591</v>
      </c>
      <c r="P7" s="607" t="s">
        <v>591</v>
      </c>
      <c r="Q7" s="607" t="s">
        <v>591</v>
      </c>
    </row>
    <row r="8" spans="1:20" ht="30" hidden="1" customHeight="1">
      <c r="A8" s="607" t="s">
        <v>592</v>
      </c>
      <c r="B8" s="607" t="s">
        <v>592</v>
      </c>
      <c r="C8" s="607" t="s">
        <v>592</v>
      </c>
      <c r="D8" s="607" t="s">
        <v>592</v>
      </c>
      <c r="E8" s="607" t="s">
        <v>592</v>
      </c>
      <c r="F8" s="607" t="s">
        <v>592</v>
      </c>
      <c r="G8" s="607" t="s">
        <v>592</v>
      </c>
      <c r="H8" s="607" t="s">
        <v>592</v>
      </c>
      <c r="I8" s="607" t="s">
        <v>592</v>
      </c>
      <c r="J8" s="607" t="s">
        <v>592</v>
      </c>
      <c r="K8" s="607"/>
      <c r="L8" s="607"/>
      <c r="M8" s="607" t="s">
        <v>592</v>
      </c>
      <c r="N8" s="607" t="s">
        <v>592</v>
      </c>
      <c r="O8" s="607" t="s">
        <v>592</v>
      </c>
      <c r="P8" s="607" t="s">
        <v>592</v>
      </c>
      <c r="Q8" s="607" t="s">
        <v>592</v>
      </c>
    </row>
    <row r="9" spans="1:20" ht="15" customHeight="1">
      <c r="A9" s="608" t="s">
        <v>593</v>
      </c>
      <c r="B9" s="608" t="s">
        <v>1</v>
      </c>
      <c r="C9" s="608" t="s">
        <v>2</v>
      </c>
      <c r="D9" s="608" t="s">
        <v>5</v>
      </c>
      <c r="E9" s="608" t="s">
        <v>6</v>
      </c>
      <c r="F9" s="608" t="s">
        <v>210</v>
      </c>
      <c r="G9" s="608" t="s">
        <v>211</v>
      </c>
      <c r="H9" s="608" t="s">
        <v>594</v>
      </c>
      <c r="I9" s="240" t="s">
        <v>595</v>
      </c>
      <c r="J9" s="240" t="s">
        <v>402</v>
      </c>
      <c r="K9" s="240"/>
      <c r="L9" s="241"/>
      <c r="M9" s="240" t="s">
        <v>400</v>
      </c>
      <c r="N9" s="240" t="s">
        <v>596</v>
      </c>
      <c r="O9" s="240" t="s">
        <v>597</v>
      </c>
      <c r="P9" s="608" t="s">
        <v>594</v>
      </c>
      <c r="Q9" s="240" t="s">
        <v>598</v>
      </c>
      <c r="R9" s="609" t="s">
        <v>617</v>
      </c>
      <c r="S9" s="242"/>
    </row>
    <row r="10" spans="1:20" ht="15" customHeight="1">
      <c r="A10" s="608" t="s">
        <v>593</v>
      </c>
      <c r="B10" s="608" t="s">
        <v>1</v>
      </c>
      <c r="C10" s="608" t="s">
        <v>2</v>
      </c>
      <c r="D10" s="608" t="s">
        <v>5</v>
      </c>
      <c r="E10" s="608" t="s">
        <v>6</v>
      </c>
      <c r="F10" s="608" t="s">
        <v>210</v>
      </c>
      <c r="G10" s="608" t="s">
        <v>211</v>
      </c>
      <c r="H10" s="608" t="s">
        <v>594</v>
      </c>
      <c r="I10" s="240" t="s">
        <v>599</v>
      </c>
      <c r="J10" s="240" t="s">
        <v>599</v>
      </c>
      <c r="K10" s="240" t="s">
        <v>618</v>
      </c>
      <c r="L10" s="241" t="s">
        <v>619</v>
      </c>
      <c r="M10" s="240" t="s">
        <v>620</v>
      </c>
      <c r="N10" s="240" t="s">
        <v>599</v>
      </c>
      <c r="O10" s="240" t="s">
        <v>599</v>
      </c>
      <c r="P10" s="608" t="s">
        <v>594</v>
      </c>
      <c r="Q10" s="240" t="s">
        <v>599</v>
      </c>
      <c r="R10" s="580"/>
      <c r="S10" s="242" t="s">
        <v>621</v>
      </c>
      <c r="T10" s="233" t="s">
        <v>622</v>
      </c>
    </row>
    <row r="11" spans="1:20" ht="15" customHeight="1">
      <c r="A11" s="231" t="s">
        <v>575</v>
      </c>
      <c r="B11" s="231" t="s">
        <v>600</v>
      </c>
      <c r="C11" s="231" t="s">
        <v>212</v>
      </c>
      <c r="D11" s="231" t="s">
        <v>10</v>
      </c>
      <c r="E11" s="231" t="s">
        <v>11</v>
      </c>
      <c r="F11" s="231" t="s">
        <v>601</v>
      </c>
      <c r="G11" s="231" t="s">
        <v>213</v>
      </c>
      <c r="H11" s="240" t="s">
        <v>602</v>
      </c>
      <c r="I11" s="243"/>
      <c r="J11" s="243"/>
      <c r="K11" s="243"/>
      <c r="L11" s="244"/>
      <c r="M11" s="243"/>
      <c r="N11" s="245">
        <v>183405</v>
      </c>
      <c r="O11" s="245">
        <v>183405</v>
      </c>
      <c r="P11" s="240" t="s">
        <v>602</v>
      </c>
      <c r="Q11" s="243"/>
      <c r="R11">
        <f>VLOOKUP(D11,[1]Sheet1!$D$11:$J$22,7,0)</f>
        <v>0</v>
      </c>
      <c r="T11" s="246" t="e">
        <f>(M11-R11)/M11</f>
        <v>#DIV/0!</v>
      </c>
    </row>
    <row r="12" spans="1:20" ht="15" customHeight="1">
      <c r="A12" s="231" t="s">
        <v>575</v>
      </c>
      <c r="B12" s="231" t="s">
        <v>600</v>
      </c>
      <c r="C12" s="231" t="s">
        <v>212</v>
      </c>
      <c r="D12" s="231" t="s">
        <v>12</v>
      </c>
      <c r="E12" s="231" t="s">
        <v>13</v>
      </c>
      <c r="F12" s="231" t="s">
        <v>601</v>
      </c>
      <c r="G12" s="231" t="s">
        <v>213</v>
      </c>
      <c r="H12" s="240" t="s">
        <v>602</v>
      </c>
      <c r="I12" s="243"/>
      <c r="J12" s="243"/>
      <c r="K12" s="243" t="s">
        <v>623</v>
      </c>
      <c r="L12" s="244">
        <f>M12-K12</f>
        <v>0</v>
      </c>
      <c r="M12" s="245">
        <v>3777.36</v>
      </c>
      <c r="N12" s="245">
        <v>770403.98</v>
      </c>
      <c r="O12" s="245">
        <v>774181.34</v>
      </c>
      <c r="P12" s="240" t="s">
        <v>603</v>
      </c>
      <c r="Q12" s="245">
        <v>3777.36</v>
      </c>
      <c r="T12" s="246">
        <f>(M12-R12-S12)/M12</f>
        <v>1</v>
      </c>
    </row>
    <row r="13" spans="1:20" ht="15" customHeight="1">
      <c r="A13" s="231" t="s">
        <v>575</v>
      </c>
      <c r="B13" s="231" t="s">
        <v>600</v>
      </c>
      <c r="C13" s="231" t="s">
        <v>212</v>
      </c>
      <c r="D13" s="231" t="s">
        <v>14</v>
      </c>
      <c r="E13" s="231" t="s">
        <v>15</v>
      </c>
      <c r="F13" s="231" t="s">
        <v>601</v>
      </c>
      <c r="G13" s="231" t="s">
        <v>213</v>
      </c>
      <c r="H13" s="240" t="s">
        <v>602</v>
      </c>
      <c r="I13" s="243"/>
      <c r="J13" s="243"/>
      <c r="K13" s="243"/>
      <c r="L13" s="244">
        <f t="shared" ref="L13:L76" si="0">M13-K13</f>
        <v>0</v>
      </c>
      <c r="M13" s="243"/>
      <c r="N13" s="245">
        <v>891757.05</v>
      </c>
      <c r="O13" s="245">
        <v>891757.05</v>
      </c>
      <c r="P13" s="240" t="s">
        <v>602</v>
      </c>
      <c r="Q13" s="243"/>
      <c r="T13" s="246" t="e">
        <f t="shared" ref="T13:T25" si="1">(M13-R13)/M13</f>
        <v>#DIV/0!</v>
      </c>
    </row>
    <row r="14" spans="1:20" ht="15" customHeight="1">
      <c r="A14" s="231" t="s">
        <v>575</v>
      </c>
      <c r="B14" s="231" t="s">
        <v>600</v>
      </c>
      <c r="C14" s="231" t="s">
        <v>212</v>
      </c>
      <c r="D14" s="231" t="s">
        <v>214</v>
      </c>
      <c r="E14" s="231" t="s">
        <v>215</v>
      </c>
      <c r="F14" s="231" t="s">
        <v>601</v>
      </c>
      <c r="G14" s="231" t="s">
        <v>213</v>
      </c>
      <c r="H14" s="240" t="s">
        <v>602</v>
      </c>
      <c r="I14" s="243"/>
      <c r="J14" s="243"/>
      <c r="K14" s="243"/>
      <c r="L14" s="244">
        <f t="shared" si="0"/>
        <v>0</v>
      </c>
      <c r="M14" s="243"/>
      <c r="N14" s="245">
        <v>437862.47</v>
      </c>
      <c r="O14" s="245">
        <v>437862.47</v>
      </c>
      <c r="P14" s="240" t="s">
        <v>602</v>
      </c>
      <c r="Q14" s="243"/>
      <c r="T14" s="246" t="e">
        <f t="shared" si="1"/>
        <v>#DIV/0!</v>
      </c>
    </row>
    <row r="15" spans="1:20" ht="15" customHeight="1">
      <c r="A15" s="231" t="s">
        <v>575</v>
      </c>
      <c r="B15" s="231" t="s">
        <v>600</v>
      </c>
      <c r="C15" s="231" t="s">
        <v>212</v>
      </c>
      <c r="D15" s="231" t="s">
        <v>216</v>
      </c>
      <c r="E15" s="231" t="s">
        <v>217</v>
      </c>
      <c r="F15" s="231" t="s">
        <v>601</v>
      </c>
      <c r="G15" s="231" t="s">
        <v>213</v>
      </c>
      <c r="H15" s="240" t="s">
        <v>602</v>
      </c>
      <c r="I15" s="243"/>
      <c r="J15" s="243"/>
      <c r="K15" s="243"/>
      <c r="L15" s="244">
        <f t="shared" si="0"/>
        <v>0</v>
      </c>
      <c r="M15" s="243"/>
      <c r="N15" s="245">
        <v>32739.200000000001</v>
      </c>
      <c r="O15" s="245">
        <v>32739.200000000001</v>
      </c>
      <c r="P15" s="240" t="s">
        <v>602</v>
      </c>
      <c r="Q15" s="243"/>
      <c r="T15" s="246" t="e">
        <f t="shared" si="1"/>
        <v>#DIV/0!</v>
      </c>
    </row>
    <row r="16" spans="1:20" ht="15" customHeight="1">
      <c r="A16" s="231" t="s">
        <v>575</v>
      </c>
      <c r="B16" s="231" t="s">
        <v>600</v>
      </c>
      <c r="C16" s="231" t="s">
        <v>212</v>
      </c>
      <c r="D16" s="231" t="s">
        <v>218</v>
      </c>
      <c r="E16" s="231" t="s">
        <v>219</v>
      </c>
      <c r="F16" s="231" t="s">
        <v>601</v>
      </c>
      <c r="G16" s="231" t="s">
        <v>213</v>
      </c>
      <c r="H16" s="240" t="s">
        <v>602</v>
      </c>
      <c r="I16" s="243"/>
      <c r="J16" s="243"/>
      <c r="K16" s="243"/>
      <c r="L16" s="244">
        <f t="shared" si="0"/>
        <v>0</v>
      </c>
      <c r="M16" s="243"/>
      <c r="N16" s="245">
        <v>39287.03</v>
      </c>
      <c r="O16" s="245">
        <v>39287.03</v>
      </c>
      <c r="P16" s="240" t="s">
        <v>602</v>
      </c>
      <c r="Q16" s="243"/>
      <c r="T16" s="246" t="e">
        <f t="shared" si="1"/>
        <v>#DIV/0!</v>
      </c>
    </row>
    <row r="17" spans="1:20" ht="15" customHeight="1">
      <c r="A17" s="231" t="s">
        <v>575</v>
      </c>
      <c r="B17" s="231" t="s">
        <v>600</v>
      </c>
      <c r="C17" s="231" t="s">
        <v>212</v>
      </c>
      <c r="D17" s="231" t="s">
        <v>220</v>
      </c>
      <c r="E17" s="231" t="s">
        <v>221</v>
      </c>
      <c r="F17" s="231" t="s">
        <v>601</v>
      </c>
      <c r="G17" s="231" t="s">
        <v>213</v>
      </c>
      <c r="H17" s="240" t="s">
        <v>602</v>
      </c>
      <c r="I17" s="243"/>
      <c r="J17" s="243"/>
      <c r="K17" s="243"/>
      <c r="L17" s="244">
        <f t="shared" si="0"/>
        <v>0</v>
      </c>
      <c r="M17" s="243"/>
      <c r="N17" s="245">
        <v>14438.49</v>
      </c>
      <c r="O17" s="245">
        <v>14438.49</v>
      </c>
      <c r="P17" s="240" t="s">
        <v>602</v>
      </c>
      <c r="Q17" s="243"/>
      <c r="T17" s="246" t="e">
        <f t="shared" si="1"/>
        <v>#DIV/0!</v>
      </c>
    </row>
    <row r="18" spans="1:20" ht="15" customHeight="1">
      <c r="A18" s="231" t="s">
        <v>575</v>
      </c>
      <c r="B18" s="231" t="s">
        <v>600</v>
      </c>
      <c r="C18" s="231" t="s">
        <v>212</v>
      </c>
      <c r="D18" s="231" t="s">
        <v>222</v>
      </c>
      <c r="E18" s="231" t="s">
        <v>223</v>
      </c>
      <c r="F18" s="231" t="s">
        <v>601</v>
      </c>
      <c r="G18" s="231" t="s">
        <v>213</v>
      </c>
      <c r="H18" s="240" t="s">
        <v>602</v>
      </c>
      <c r="I18" s="243"/>
      <c r="J18" s="243"/>
      <c r="K18" s="243"/>
      <c r="L18" s="244">
        <f t="shared" si="0"/>
        <v>0</v>
      </c>
      <c r="M18" s="243"/>
      <c r="N18" s="245">
        <v>10073.6</v>
      </c>
      <c r="O18" s="245">
        <v>10073.6</v>
      </c>
      <c r="P18" s="240" t="s">
        <v>602</v>
      </c>
      <c r="Q18" s="243"/>
      <c r="T18" s="246" t="e">
        <f t="shared" si="1"/>
        <v>#DIV/0!</v>
      </c>
    </row>
    <row r="19" spans="1:20" ht="15" customHeight="1">
      <c r="A19" s="231" t="s">
        <v>575</v>
      </c>
      <c r="B19" s="231" t="s">
        <v>600</v>
      </c>
      <c r="C19" s="231" t="s">
        <v>212</v>
      </c>
      <c r="D19" s="231" t="s">
        <v>224</v>
      </c>
      <c r="E19" s="231" t="s">
        <v>225</v>
      </c>
      <c r="F19" s="231" t="s">
        <v>601</v>
      </c>
      <c r="G19" s="231" t="s">
        <v>213</v>
      </c>
      <c r="H19" s="240" t="s">
        <v>602</v>
      </c>
      <c r="I19" s="243"/>
      <c r="J19" s="243"/>
      <c r="K19" s="243"/>
      <c r="L19" s="244">
        <f t="shared" si="0"/>
        <v>0</v>
      </c>
      <c r="M19" s="243"/>
      <c r="N19" s="245">
        <v>3525.76</v>
      </c>
      <c r="O19" s="245">
        <v>3525.76</v>
      </c>
      <c r="P19" s="240" t="s">
        <v>602</v>
      </c>
      <c r="Q19" s="243"/>
      <c r="T19" s="246" t="e">
        <f t="shared" si="1"/>
        <v>#DIV/0!</v>
      </c>
    </row>
    <row r="20" spans="1:20" ht="15" customHeight="1">
      <c r="A20" s="231" t="s">
        <v>575</v>
      </c>
      <c r="B20" s="231" t="s">
        <v>600</v>
      </c>
      <c r="C20" s="231" t="s">
        <v>212</v>
      </c>
      <c r="D20" s="231" t="s">
        <v>226</v>
      </c>
      <c r="E20" s="231" t="s">
        <v>227</v>
      </c>
      <c r="F20" s="231" t="s">
        <v>601</v>
      </c>
      <c r="G20" s="231" t="s">
        <v>213</v>
      </c>
      <c r="H20" s="240" t="s">
        <v>602</v>
      </c>
      <c r="I20" s="243"/>
      <c r="J20" s="243"/>
      <c r="K20" s="243"/>
      <c r="L20" s="244">
        <f t="shared" si="0"/>
        <v>0</v>
      </c>
      <c r="M20" s="243"/>
      <c r="N20" s="245">
        <v>2014.72</v>
      </c>
      <c r="O20" s="245">
        <v>2014.72</v>
      </c>
      <c r="P20" s="240" t="s">
        <v>602</v>
      </c>
      <c r="Q20" s="243"/>
      <c r="T20" s="246" t="e">
        <f t="shared" si="1"/>
        <v>#DIV/0!</v>
      </c>
    </row>
    <row r="21" spans="1:20" ht="15" customHeight="1">
      <c r="A21" s="231" t="s">
        <v>575</v>
      </c>
      <c r="B21" s="231" t="s">
        <v>600</v>
      </c>
      <c r="C21" s="231" t="s">
        <v>212</v>
      </c>
      <c r="D21" s="231" t="s">
        <v>16</v>
      </c>
      <c r="E21" s="231" t="s">
        <v>17</v>
      </c>
      <c r="F21" s="231" t="s">
        <v>601</v>
      </c>
      <c r="G21" s="231" t="s">
        <v>213</v>
      </c>
      <c r="H21" s="240" t="s">
        <v>602</v>
      </c>
      <c r="I21" s="243"/>
      <c r="J21" s="243"/>
      <c r="K21" s="243"/>
      <c r="L21" s="244">
        <f t="shared" si="0"/>
        <v>0</v>
      </c>
      <c r="M21" s="243"/>
      <c r="N21" s="245">
        <v>254716.98</v>
      </c>
      <c r="O21" s="245">
        <v>254716.98</v>
      </c>
      <c r="P21" s="240" t="s">
        <v>602</v>
      </c>
      <c r="Q21" s="243"/>
      <c r="R21">
        <f>VLOOKUP(D21,[1]Sheet1!$D$11:$J$22,7,0)</f>
        <v>0</v>
      </c>
      <c r="T21" s="246" t="e">
        <f t="shared" si="1"/>
        <v>#DIV/0!</v>
      </c>
    </row>
    <row r="22" spans="1:20" ht="15" customHeight="1">
      <c r="A22" s="231" t="s">
        <v>575</v>
      </c>
      <c r="B22" s="231" t="s">
        <v>600</v>
      </c>
      <c r="C22" s="231" t="s">
        <v>212</v>
      </c>
      <c r="D22" s="231" t="s">
        <v>624</v>
      </c>
      <c r="E22" s="231" t="s">
        <v>19</v>
      </c>
      <c r="F22" s="231" t="s">
        <v>601</v>
      </c>
      <c r="G22" s="231" t="s">
        <v>213</v>
      </c>
      <c r="H22" s="240" t="s">
        <v>602</v>
      </c>
      <c r="I22" s="243"/>
      <c r="J22" s="243"/>
      <c r="K22" s="243"/>
      <c r="L22" s="244">
        <f t="shared" si="0"/>
        <v>31862.73</v>
      </c>
      <c r="M22" s="245">
        <v>31862.73</v>
      </c>
      <c r="N22" s="243"/>
      <c r="O22" s="245">
        <v>31862.73</v>
      </c>
      <c r="P22" s="240" t="s">
        <v>603</v>
      </c>
      <c r="Q22" s="245">
        <v>31862.73</v>
      </c>
      <c r="R22">
        <f>VLOOKUP(D22,[1]Sheet1!$D$11:$J$22,7,0)</f>
        <v>-265</v>
      </c>
      <c r="S22" s="230">
        <v>30000</v>
      </c>
      <c r="T22" s="246">
        <f>(M22-R22-S22)/M22</f>
        <v>6.6778019334815308E-2</v>
      </c>
    </row>
    <row r="23" spans="1:20" ht="15" customHeight="1">
      <c r="A23" s="231" t="s">
        <v>575</v>
      </c>
      <c r="B23" s="231" t="s">
        <v>600</v>
      </c>
      <c r="C23" s="231" t="s">
        <v>212</v>
      </c>
      <c r="D23" s="231" t="s">
        <v>584</v>
      </c>
      <c r="E23" s="231" t="s">
        <v>585</v>
      </c>
      <c r="F23" s="231" t="s">
        <v>601</v>
      </c>
      <c r="G23" s="231" t="s">
        <v>213</v>
      </c>
      <c r="H23" s="240" t="s">
        <v>602</v>
      </c>
      <c r="I23" s="243"/>
      <c r="J23" s="243"/>
      <c r="K23" s="243"/>
      <c r="L23" s="244">
        <f t="shared" si="0"/>
        <v>66374.850000000006</v>
      </c>
      <c r="M23" s="247">
        <v>66374.850000000006</v>
      </c>
      <c r="N23" s="243"/>
      <c r="O23" s="245">
        <v>66374.850000000006</v>
      </c>
      <c r="P23" s="240" t="s">
        <v>603</v>
      </c>
      <c r="Q23" s="245">
        <v>66374.850000000006</v>
      </c>
      <c r="R23">
        <v>0</v>
      </c>
      <c r="S23" s="248">
        <v>63056.107500000006</v>
      </c>
      <c r="T23" s="246">
        <f>(M23-R23-S23)/M23</f>
        <v>0.05</v>
      </c>
    </row>
    <row r="24" spans="1:20" ht="15" customHeight="1">
      <c r="A24" s="231" t="s">
        <v>575</v>
      </c>
      <c r="B24" s="231" t="s">
        <v>600</v>
      </c>
      <c r="C24" s="231" t="s">
        <v>212</v>
      </c>
      <c r="D24" s="231" t="s">
        <v>22</v>
      </c>
      <c r="E24" s="231" t="s">
        <v>625</v>
      </c>
      <c r="F24" s="231" t="s">
        <v>601</v>
      </c>
      <c r="G24" s="231" t="s">
        <v>213</v>
      </c>
      <c r="H24" s="240" t="s">
        <v>602</v>
      </c>
      <c r="I24" s="243"/>
      <c r="J24" s="243"/>
      <c r="K24" s="243"/>
      <c r="L24" s="244">
        <f t="shared" si="0"/>
        <v>546.76</v>
      </c>
      <c r="M24" s="249">
        <v>546.76</v>
      </c>
      <c r="N24" s="245">
        <v>1410.3</v>
      </c>
      <c r="O24" s="245">
        <v>1957.06</v>
      </c>
      <c r="P24" s="240" t="s">
        <v>603</v>
      </c>
      <c r="Q24" s="249">
        <v>546.76</v>
      </c>
      <c r="R24">
        <f>VLOOKUP(D24,[1]Sheet1!$D$11:$J$22,7,0)</f>
        <v>0</v>
      </c>
      <c r="S24" s="248">
        <v>500</v>
      </c>
      <c r="T24" s="246">
        <f>(M24-R24-S24)/M24</f>
        <v>8.552198405150338E-2</v>
      </c>
    </row>
    <row r="25" spans="1:20" ht="15" customHeight="1">
      <c r="A25" s="231" t="s">
        <v>575</v>
      </c>
      <c r="B25" s="231" t="s">
        <v>600</v>
      </c>
      <c r="C25" s="231" t="s">
        <v>212</v>
      </c>
      <c r="D25" s="231" t="s">
        <v>228</v>
      </c>
      <c r="E25" s="231" t="s">
        <v>229</v>
      </c>
      <c r="F25" s="231" t="s">
        <v>601</v>
      </c>
      <c r="G25" s="231" t="s">
        <v>213</v>
      </c>
      <c r="H25" s="240" t="s">
        <v>602</v>
      </c>
      <c r="I25" s="243"/>
      <c r="J25" s="243"/>
      <c r="K25" s="243"/>
      <c r="L25" s="244">
        <f t="shared" si="0"/>
        <v>0</v>
      </c>
      <c r="M25" s="243"/>
      <c r="N25" s="245">
        <v>25385.42</v>
      </c>
      <c r="O25" s="245">
        <v>25385.42</v>
      </c>
      <c r="P25" s="240" t="s">
        <v>602</v>
      </c>
      <c r="Q25" s="243"/>
      <c r="R25">
        <f>VLOOKUP(D25,[1]Sheet1!$D$11:$J$22,7,0)</f>
        <v>0</v>
      </c>
      <c r="T25" s="246" t="e">
        <f t="shared" si="1"/>
        <v>#DIV/0!</v>
      </c>
    </row>
    <row r="26" spans="1:20" ht="15" customHeight="1">
      <c r="A26" s="231" t="s">
        <v>575</v>
      </c>
      <c r="B26" s="231" t="s">
        <v>600</v>
      </c>
      <c r="C26" s="231" t="s">
        <v>212</v>
      </c>
      <c r="D26" s="231" t="s">
        <v>26</v>
      </c>
      <c r="E26" s="231" t="s">
        <v>27</v>
      </c>
      <c r="F26" s="231" t="s">
        <v>601</v>
      </c>
      <c r="G26" s="231" t="s">
        <v>213</v>
      </c>
      <c r="H26" s="240" t="s">
        <v>602</v>
      </c>
      <c r="I26" s="243"/>
      <c r="J26" s="243"/>
      <c r="K26" s="243"/>
      <c r="L26" s="244">
        <f t="shared" si="0"/>
        <v>28089.17</v>
      </c>
      <c r="M26" s="245">
        <v>28089.17</v>
      </c>
      <c r="N26" s="245">
        <v>131076.37</v>
      </c>
      <c r="O26" s="245">
        <v>159165.54</v>
      </c>
      <c r="P26" s="240" t="s">
        <v>603</v>
      </c>
      <c r="Q26" s="245">
        <v>28089.17</v>
      </c>
      <c r="R26">
        <f>VLOOKUP(D26,[1]Sheet1!$D$11:$J$22,7,0)</f>
        <v>0</v>
      </c>
      <c r="S26" s="248">
        <v>26684.711499999998</v>
      </c>
      <c r="T26" s="246">
        <f>(M26-R26-S26)/M26</f>
        <v>5.0000000000000024E-2</v>
      </c>
    </row>
    <row r="27" spans="1:20" ht="15" customHeight="1">
      <c r="A27" s="231" t="s">
        <v>575</v>
      </c>
      <c r="B27" s="231" t="s">
        <v>600</v>
      </c>
      <c r="C27" s="231" t="s">
        <v>212</v>
      </c>
      <c r="D27" s="231" t="s">
        <v>230</v>
      </c>
      <c r="E27" s="231" t="s">
        <v>231</v>
      </c>
      <c r="F27" s="231" t="s">
        <v>601</v>
      </c>
      <c r="G27" s="231" t="s">
        <v>213</v>
      </c>
      <c r="H27" s="240" t="s">
        <v>602</v>
      </c>
      <c r="I27" s="243"/>
      <c r="J27" s="243"/>
      <c r="K27" s="243"/>
      <c r="L27" s="244">
        <f t="shared" si="0"/>
        <v>21372.11</v>
      </c>
      <c r="M27" s="245">
        <v>21372.11</v>
      </c>
      <c r="N27" s="245">
        <v>90259.31</v>
      </c>
      <c r="O27" s="245">
        <v>111631.42</v>
      </c>
      <c r="P27" s="240" t="s">
        <v>603</v>
      </c>
      <c r="Q27" s="245">
        <v>21372.11</v>
      </c>
      <c r="R27">
        <f>VLOOKUP(D27,[1]Sheet1!$D$11:$J$22,7,0)</f>
        <v>0</v>
      </c>
      <c r="S27" s="248">
        <v>20303.504499999999</v>
      </c>
      <c r="T27" s="246">
        <f>(M27-R27-S27)/M27</f>
        <v>5.0000000000000065E-2</v>
      </c>
    </row>
    <row r="28" spans="1:20" ht="15" customHeight="1">
      <c r="A28" s="250" t="s">
        <v>575</v>
      </c>
      <c r="B28" s="250" t="s">
        <v>492</v>
      </c>
      <c r="C28" s="250" t="s">
        <v>492</v>
      </c>
      <c r="D28" s="250" t="s">
        <v>492</v>
      </c>
      <c r="E28" s="250" t="s">
        <v>492</v>
      </c>
      <c r="F28" s="250" t="s">
        <v>492</v>
      </c>
      <c r="G28" s="250" t="s">
        <v>492</v>
      </c>
      <c r="H28" s="251" t="s">
        <v>602</v>
      </c>
      <c r="I28" s="252"/>
      <c r="J28" s="252"/>
      <c r="K28" s="252"/>
      <c r="L28" s="253">
        <v>152022.98000000001</v>
      </c>
      <c r="M28" s="247">
        <v>152022.98000000001</v>
      </c>
      <c r="N28" s="247">
        <v>2888355.68</v>
      </c>
      <c r="O28" s="247">
        <v>3040378.66</v>
      </c>
      <c r="P28" s="251" t="s">
        <v>603</v>
      </c>
      <c r="Q28" s="247">
        <v>152022.98000000001</v>
      </c>
      <c r="R28" s="213"/>
      <c r="S28" s="213"/>
    </row>
    <row r="29" spans="1:20" ht="15" customHeight="1">
      <c r="A29" s="231" t="s">
        <v>604</v>
      </c>
      <c r="B29" s="231" t="s">
        <v>600</v>
      </c>
      <c r="C29" s="231" t="s">
        <v>212</v>
      </c>
      <c r="D29" s="231" t="s">
        <v>31</v>
      </c>
      <c r="E29" s="231" t="s">
        <v>32</v>
      </c>
      <c r="F29" s="231" t="s">
        <v>601</v>
      </c>
      <c r="G29" s="231" t="s">
        <v>213</v>
      </c>
      <c r="H29" s="240" t="s">
        <v>602</v>
      </c>
      <c r="I29" s="243"/>
      <c r="J29" s="243"/>
      <c r="K29" s="243"/>
      <c r="L29" s="244">
        <f t="shared" si="0"/>
        <v>5497.15</v>
      </c>
      <c r="M29" s="245">
        <v>5497.15</v>
      </c>
      <c r="N29" s="245">
        <v>8407.42</v>
      </c>
      <c r="O29" s="245">
        <v>13904.57</v>
      </c>
      <c r="P29" s="240" t="s">
        <v>603</v>
      </c>
      <c r="Q29" s="245">
        <v>5497.15</v>
      </c>
      <c r="R29">
        <v>0</v>
      </c>
      <c r="S29" s="254">
        <v>5222.2924999999996</v>
      </c>
      <c r="T29" s="246">
        <f>(M29-R29-S29)/M29</f>
        <v>5.0000000000000017E-2</v>
      </c>
    </row>
    <row r="30" spans="1:20" ht="15" customHeight="1">
      <c r="A30" s="231" t="s">
        <v>604</v>
      </c>
      <c r="B30" s="231" t="s">
        <v>600</v>
      </c>
      <c r="C30" s="231" t="s">
        <v>212</v>
      </c>
      <c r="D30" s="231" t="s">
        <v>33</v>
      </c>
      <c r="E30" s="231" t="s">
        <v>34</v>
      </c>
      <c r="F30" s="231" t="s">
        <v>601</v>
      </c>
      <c r="G30" s="231" t="s">
        <v>213</v>
      </c>
      <c r="H30" s="240" t="s">
        <v>603</v>
      </c>
      <c r="I30" s="245">
        <v>21880</v>
      </c>
      <c r="J30" s="243"/>
      <c r="K30" s="243" t="s">
        <v>626</v>
      </c>
      <c r="L30" s="244">
        <f t="shared" si="0"/>
        <v>0</v>
      </c>
      <c r="M30" s="245">
        <v>47284.91</v>
      </c>
      <c r="N30" s="245">
        <v>414252.44</v>
      </c>
      <c r="O30" s="245">
        <v>483417.35</v>
      </c>
      <c r="P30" s="240" t="s">
        <v>603</v>
      </c>
      <c r="Q30" s="245">
        <v>69164.91</v>
      </c>
      <c r="R30">
        <v>0</v>
      </c>
      <c r="S30" s="254"/>
      <c r="T30" s="246">
        <f>(L30-R30-S30)/M30</f>
        <v>0</v>
      </c>
    </row>
    <row r="31" spans="1:20" ht="15" customHeight="1">
      <c r="A31" s="231" t="s">
        <v>604</v>
      </c>
      <c r="B31" s="231" t="s">
        <v>600</v>
      </c>
      <c r="C31" s="231" t="s">
        <v>212</v>
      </c>
      <c r="D31" s="231" t="s">
        <v>37</v>
      </c>
      <c r="E31" s="231" t="s">
        <v>38</v>
      </c>
      <c r="F31" s="231" t="s">
        <v>601</v>
      </c>
      <c r="G31" s="231" t="s">
        <v>213</v>
      </c>
      <c r="H31" s="240" t="s">
        <v>602</v>
      </c>
      <c r="I31" s="243"/>
      <c r="J31" s="243"/>
      <c r="K31" s="243"/>
      <c r="L31" s="244">
        <f t="shared" si="0"/>
        <v>0</v>
      </c>
      <c r="M31" s="243"/>
      <c r="N31" s="245">
        <v>40299.06</v>
      </c>
      <c r="O31" s="245">
        <v>40299.06</v>
      </c>
      <c r="P31" s="240" t="s">
        <v>602</v>
      </c>
      <c r="Q31" s="243"/>
      <c r="R31">
        <v>0</v>
      </c>
      <c r="T31" s="246" t="e">
        <f t="shared" ref="T31:T94" si="2">(M31-R31-S31)/M31</f>
        <v>#DIV/0!</v>
      </c>
    </row>
    <row r="32" spans="1:20" ht="15" customHeight="1">
      <c r="A32" s="231" t="s">
        <v>604</v>
      </c>
      <c r="B32" s="231" t="s">
        <v>600</v>
      </c>
      <c r="C32" s="231" t="s">
        <v>212</v>
      </c>
      <c r="D32" s="231" t="s">
        <v>49</v>
      </c>
      <c r="E32" s="231" t="s">
        <v>50</v>
      </c>
      <c r="F32" s="231" t="s">
        <v>601</v>
      </c>
      <c r="G32" s="231" t="s">
        <v>213</v>
      </c>
      <c r="H32" s="240" t="s">
        <v>603</v>
      </c>
      <c r="I32" s="245">
        <v>278434.18</v>
      </c>
      <c r="J32" s="243"/>
      <c r="K32" s="243" t="s">
        <v>627</v>
      </c>
      <c r="L32" s="244">
        <f t="shared" si="0"/>
        <v>7673.2100000000009</v>
      </c>
      <c r="M32" s="245">
        <v>8355.2900000000009</v>
      </c>
      <c r="N32" s="245">
        <v>1046950.53</v>
      </c>
      <c r="O32" s="245">
        <v>1333740</v>
      </c>
      <c r="P32" s="240" t="s">
        <v>603</v>
      </c>
      <c r="Q32" s="245">
        <v>286789.46999999997</v>
      </c>
      <c r="R32">
        <v>0</v>
      </c>
      <c r="S32" s="255">
        <f>L32*0.95</f>
        <v>7289.549500000001</v>
      </c>
      <c r="T32" s="246">
        <f>(L32-R32-S32)/M32</f>
        <v>4.5918274530267637E-2</v>
      </c>
    </row>
    <row r="33" spans="1:20" ht="15" customHeight="1">
      <c r="A33" s="231" t="s">
        <v>604</v>
      </c>
      <c r="B33" s="231" t="s">
        <v>600</v>
      </c>
      <c r="C33" s="231" t="s">
        <v>212</v>
      </c>
      <c r="D33" s="231" t="s">
        <v>576</v>
      </c>
      <c r="E33" s="231" t="s">
        <v>577</v>
      </c>
      <c r="F33" s="231" t="s">
        <v>601</v>
      </c>
      <c r="G33" s="231" t="s">
        <v>213</v>
      </c>
      <c r="H33" s="240" t="s">
        <v>602</v>
      </c>
      <c r="I33" s="243"/>
      <c r="J33" s="243"/>
      <c r="K33" s="243"/>
      <c r="L33" s="244">
        <f t="shared" si="0"/>
        <v>32034</v>
      </c>
      <c r="M33" s="245">
        <v>32034</v>
      </c>
      <c r="N33" s="243"/>
      <c r="O33" s="245">
        <v>32034</v>
      </c>
      <c r="P33" s="240" t="s">
        <v>603</v>
      </c>
      <c r="Q33" s="245">
        <v>32034</v>
      </c>
      <c r="R33">
        <v>0</v>
      </c>
      <c r="S33" s="255">
        <v>30432.3</v>
      </c>
      <c r="T33" s="246">
        <f t="shared" si="2"/>
        <v>5.0000000000000024E-2</v>
      </c>
    </row>
    <row r="34" spans="1:20" ht="15" customHeight="1">
      <c r="A34" s="231" t="s">
        <v>604</v>
      </c>
      <c r="B34" s="231" t="s">
        <v>600</v>
      </c>
      <c r="C34" s="231" t="s">
        <v>212</v>
      </c>
      <c r="D34" s="231" t="s">
        <v>578</v>
      </c>
      <c r="E34" s="231" t="s">
        <v>579</v>
      </c>
      <c r="F34" s="231" t="s">
        <v>601</v>
      </c>
      <c r="G34" s="231" t="s">
        <v>213</v>
      </c>
      <c r="H34" s="240" t="s">
        <v>602</v>
      </c>
      <c r="I34" s="243"/>
      <c r="J34" s="243"/>
      <c r="K34" s="243"/>
      <c r="L34" s="244">
        <f t="shared" si="0"/>
        <v>63427.32</v>
      </c>
      <c r="M34" s="245">
        <v>63427.32</v>
      </c>
      <c r="N34" s="243"/>
      <c r="O34" s="245">
        <v>63427.32</v>
      </c>
      <c r="P34" s="240" t="s">
        <v>603</v>
      </c>
      <c r="Q34" s="245">
        <v>63427.32</v>
      </c>
      <c r="R34">
        <v>0</v>
      </c>
      <c r="S34" s="255">
        <v>60255.953999999998</v>
      </c>
      <c r="T34" s="246">
        <f t="shared" si="2"/>
        <v>5.0000000000000031E-2</v>
      </c>
    </row>
    <row r="35" spans="1:20" ht="15" customHeight="1">
      <c r="A35" s="231" t="s">
        <v>604</v>
      </c>
      <c r="B35" s="231" t="s">
        <v>600</v>
      </c>
      <c r="C35" s="231" t="s">
        <v>212</v>
      </c>
      <c r="D35" s="231" t="s">
        <v>232</v>
      </c>
      <c r="E35" s="231" t="s">
        <v>233</v>
      </c>
      <c r="F35" s="231" t="s">
        <v>601</v>
      </c>
      <c r="G35" s="231" t="s">
        <v>213</v>
      </c>
      <c r="H35" s="240" t="s">
        <v>605</v>
      </c>
      <c r="I35" s="249">
        <v>9.44</v>
      </c>
      <c r="J35" s="243"/>
      <c r="K35" s="243"/>
      <c r="L35" s="244">
        <f t="shared" si="0"/>
        <v>0</v>
      </c>
      <c r="M35" s="243"/>
      <c r="N35" s="245">
        <v>17620.580000000002</v>
      </c>
      <c r="O35" s="245">
        <v>17611.14</v>
      </c>
      <c r="P35" s="240" t="s">
        <v>605</v>
      </c>
      <c r="Q35" s="249">
        <v>9.44</v>
      </c>
      <c r="R35">
        <v>0</v>
      </c>
      <c r="T35" s="246" t="e">
        <f t="shared" si="2"/>
        <v>#DIV/0!</v>
      </c>
    </row>
    <row r="36" spans="1:20" ht="15" customHeight="1">
      <c r="A36" s="231" t="s">
        <v>604</v>
      </c>
      <c r="B36" s="231" t="s">
        <v>600</v>
      </c>
      <c r="C36" s="231" t="s">
        <v>212</v>
      </c>
      <c r="D36" s="231" t="s">
        <v>53</v>
      </c>
      <c r="E36" s="231" t="s">
        <v>54</v>
      </c>
      <c r="F36" s="231" t="s">
        <v>601</v>
      </c>
      <c r="G36" s="231" t="s">
        <v>213</v>
      </c>
      <c r="H36" s="240" t="s">
        <v>603</v>
      </c>
      <c r="I36" s="249">
        <v>240</v>
      </c>
      <c r="J36" s="243"/>
      <c r="K36" s="243"/>
      <c r="L36" s="244">
        <f t="shared" si="0"/>
        <v>0</v>
      </c>
      <c r="M36" s="243"/>
      <c r="N36" s="245">
        <v>4160</v>
      </c>
      <c r="O36" s="245">
        <v>4400</v>
      </c>
      <c r="P36" s="240" t="s">
        <v>603</v>
      </c>
      <c r="Q36" s="249">
        <v>240</v>
      </c>
      <c r="R36">
        <v>0</v>
      </c>
      <c r="T36" s="246" t="e">
        <f t="shared" si="2"/>
        <v>#DIV/0!</v>
      </c>
    </row>
    <row r="37" spans="1:20" ht="15" customHeight="1">
      <c r="A37" s="231" t="s">
        <v>604</v>
      </c>
      <c r="B37" s="231" t="s">
        <v>600</v>
      </c>
      <c r="C37" s="231" t="s">
        <v>212</v>
      </c>
      <c r="D37" s="231" t="s">
        <v>55</v>
      </c>
      <c r="E37" s="231" t="s">
        <v>56</v>
      </c>
      <c r="F37" s="231" t="s">
        <v>601</v>
      </c>
      <c r="G37" s="231" t="s">
        <v>213</v>
      </c>
      <c r="H37" s="240" t="s">
        <v>602</v>
      </c>
      <c r="I37" s="243"/>
      <c r="J37" s="243"/>
      <c r="K37" s="243"/>
      <c r="L37" s="244">
        <f t="shared" si="0"/>
        <v>0</v>
      </c>
      <c r="M37" s="243"/>
      <c r="N37" s="245">
        <v>47748.79</v>
      </c>
      <c r="O37" s="245">
        <v>47748.79</v>
      </c>
      <c r="P37" s="240" t="s">
        <v>602</v>
      </c>
      <c r="Q37" s="243"/>
      <c r="R37">
        <v>0</v>
      </c>
      <c r="T37" s="246" t="e">
        <f t="shared" si="2"/>
        <v>#DIV/0!</v>
      </c>
    </row>
    <row r="38" spans="1:20" ht="15" customHeight="1">
      <c r="A38" s="231" t="s">
        <v>604</v>
      </c>
      <c r="B38" s="231" t="s">
        <v>600</v>
      </c>
      <c r="C38" s="231" t="s">
        <v>212</v>
      </c>
      <c r="D38" s="231" t="s">
        <v>16</v>
      </c>
      <c r="E38" s="231" t="s">
        <v>17</v>
      </c>
      <c r="F38" s="231" t="s">
        <v>601</v>
      </c>
      <c r="G38" s="231" t="s">
        <v>213</v>
      </c>
      <c r="H38" s="240" t="s">
        <v>602</v>
      </c>
      <c r="I38" s="243"/>
      <c r="J38" s="243"/>
      <c r="K38" s="243" t="s">
        <v>628</v>
      </c>
      <c r="L38" s="244">
        <f t="shared" si="0"/>
        <v>0</v>
      </c>
      <c r="M38" s="245">
        <v>319801.89</v>
      </c>
      <c r="N38" s="245">
        <v>246753.77</v>
      </c>
      <c r="O38" s="245">
        <v>566555.66</v>
      </c>
      <c r="P38" s="240" t="s">
        <v>603</v>
      </c>
      <c r="Q38" s="245">
        <v>319801.89</v>
      </c>
      <c r="R38">
        <v>0</v>
      </c>
      <c r="S38" s="255">
        <v>0</v>
      </c>
      <c r="T38" s="246">
        <f>(L38-R38-S38)/M38</f>
        <v>0</v>
      </c>
    </row>
    <row r="39" spans="1:20" ht="15" customHeight="1">
      <c r="A39" s="231" t="s">
        <v>604</v>
      </c>
      <c r="B39" s="231" t="s">
        <v>600</v>
      </c>
      <c r="C39" s="231" t="s">
        <v>212</v>
      </c>
      <c r="D39" s="231" t="s">
        <v>57</v>
      </c>
      <c r="E39" s="231" t="s">
        <v>58</v>
      </c>
      <c r="F39" s="231" t="s">
        <v>601</v>
      </c>
      <c r="G39" s="231" t="s">
        <v>213</v>
      </c>
      <c r="H39" s="240" t="s">
        <v>602</v>
      </c>
      <c r="I39" s="243"/>
      <c r="J39" s="243"/>
      <c r="K39" s="243"/>
      <c r="L39" s="244">
        <f t="shared" si="0"/>
        <v>0</v>
      </c>
      <c r="M39" s="243"/>
      <c r="N39" s="245">
        <v>151283.96</v>
      </c>
      <c r="O39" s="245">
        <v>151283.96</v>
      </c>
      <c r="P39" s="240" t="s">
        <v>602</v>
      </c>
      <c r="Q39" s="243"/>
      <c r="R39">
        <v>0</v>
      </c>
      <c r="T39" s="246" t="e">
        <f t="shared" si="2"/>
        <v>#DIV/0!</v>
      </c>
    </row>
    <row r="40" spans="1:20" ht="15" customHeight="1">
      <c r="A40" s="231" t="s">
        <v>604</v>
      </c>
      <c r="B40" s="231" t="s">
        <v>600</v>
      </c>
      <c r="C40" s="231" t="s">
        <v>212</v>
      </c>
      <c r="D40" s="231" t="s">
        <v>59</v>
      </c>
      <c r="E40" s="231" t="s">
        <v>60</v>
      </c>
      <c r="F40" s="231" t="s">
        <v>601</v>
      </c>
      <c r="G40" s="231" t="s">
        <v>213</v>
      </c>
      <c r="H40" s="240" t="s">
        <v>603</v>
      </c>
      <c r="I40" s="245">
        <v>7358.49</v>
      </c>
      <c r="J40" s="243"/>
      <c r="K40" s="243"/>
      <c r="L40" s="244">
        <f t="shared" si="0"/>
        <v>0</v>
      </c>
      <c r="M40" s="243"/>
      <c r="N40" s="245">
        <v>167119.81</v>
      </c>
      <c r="O40" s="245">
        <v>174478.3</v>
      </c>
      <c r="P40" s="240" t="s">
        <v>603</v>
      </c>
      <c r="Q40" s="245">
        <v>7358.49</v>
      </c>
      <c r="R40">
        <v>0</v>
      </c>
      <c r="T40" s="246" t="e">
        <f t="shared" si="2"/>
        <v>#DIV/0!</v>
      </c>
    </row>
    <row r="41" spans="1:20" ht="15" customHeight="1">
      <c r="A41" s="231" t="s">
        <v>604</v>
      </c>
      <c r="B41" s="231" t="s">
        <v>600</v>
      </c>
      <c r="C41" s="231" t="s">
        <v>212</v>
      </c>
      <c r="D41" s="231" t="s">
        <v>234</v>
      </c>
      <c r="E41" s="231" t="s">
        <v>235</v>
      </c>
      <c r="F41" s="231" t="s">
        <v>601</v>
      </c>
      <c r="G41" s="231" t="s">
        <v>213</v>
      </c>
      <c r="H41" s="240" t="s">
        <v>602</v>
      </c>
      <c r="I41" s="243"/>
      <c r="J41" s="243"/>
      <c r="K41" s="243"/>
      <c r="L41" s="244">
        <f t="shared" si="0"/>
        <v>0</v>
      </c>
      <c r="M41" s="243"/>
      <c r="N41" s="245">
        <v>88624.53</v>
      </c>
      <c r="O41" s="245">
        <v>88624.53</v>
      </c>
      <c r="P41" s="240" t="s">
        <v>602</v>
      </c>
      <c r="Q41" s="243"/>
      <c r="R41">
        <v>0</v>
      </c>
      <c r="T41" s="246" t="e">
        <f t="shared" si="2"/>
        <v>#DIV/0!</v>
      </c>
    </row>
    <row r="42" spans="1:20" ht="15" customHeight="1">
      <c r="A42" s="231" t="s">
        <v>604</v>
      </c>
      <c r="B42" s="231" t="s">
        <v>600</v>
      </c>
      <c r="C42" s="231" t="s">
        <v>212</v>
      </c>
      <c r="D42" s="231" t="s">
        <v>63</v>
      </c>
      <c r="E42" s="231" t="s">
        <v>64</v>
      </c>
      <c r="F42" s="231" t="s">
        <v>601</v>
      </c>
      <c r="G42" s="231" t="s">
        <v>213</v>
      </c>
      <c r="H42" s="240" t="s">
        <v>602</v>
      </c>
      <c r="I42" s="243"/>
      <c r="J42" s="243"/>
      <c r="K42" s="243"/>
      <c r="L42" s="244">
        <f t="shared" si="0"/>
        <v>0</v>
      </c>
      <c r="M42" s="243"/>
      <c r="N42" s="245">
        <v>9684.91</v>
      </c>
      <c r="O42" s="245">
        <v>9684.91</v>
      </c>
      <c r="P42" s="240" t="s">
        <v>602</v>
      </c>
      <c r="Q42" s="243"/>
      <c r="R42">
        <v>0</v>
      </c>
      <c r="T42" s="246" t="e">
        <f t="shared" si="2"/>
        <v>#DIV/0!</v>
      </c>
    </row>
    <row r="43" spans="1:20" ht="15" customHeight="1">
      <c r="A43" s="231" t="s">
        <v>604</v>
      </c>
      <c r="B43" s="231" t="s">
        <v>600</v>
      </c>
      <c r="C43" s="231" t="s">
        <v>212</v>
      </c>
      <c r="D43" s="231" t="s">
        <v>65</v>
      </c>
      <c r="E43" s="231" t="s">
        <v>66</v>
      </c>
      <c r="F43" s="231" t="s">
        <v>601</v>
      </c>
      <c r="G43" s="231" t="s">
        <v>213</v>
      </c>
      <c r="H43" s="240" t="s">
        <v>602</v>
      </c>
      <c r="I43" s="243"/>
      <c r="J43" s="243"/>
      <c r="K43" s="243"/>
      <c r="L43" s="244">
        <f t="shared" si="0"/>
        <v>0</v>
      </c>
      <c r="M43" s="243"/>
      <c r="N43" s="245">
        <v>18752.830000000002</v>
      </c>
      <c r="O43" s="245">
        <v>18752.830000000002</v>
      </c>
      <c r="P43" s="240" t="s">
        <v>602</v>
      </c>
      <c r="Q43" s="243"/>
      <c r="R43">
        <v>0</v>
      </c>
      <c r="T43" s="246" t="e">
        <f t="shared" si="2"/>
        <v>#DIV/0!</v>
      </c>
    </row>
    <row r="44" spans="1:20" ht="15" customHeight="1">
      <c r="A44" s="231" t="s">
        <v>604</v>
      </c>
      <c r="B44" s="231" t="s">
        <v>600</v>
      </c>
      <c r="C44" s="231" t="s">
        <v>212</v>
      </c>
      <c r="D44" s="231" t="s">
        <v>67</v>
      </c>
      <c r="E44" s="231" t="s">
        <v>68</v>
      </c>
      <c r="F44" s="231" t="s">
        <v>601</v>
      </c>
      <c r="G44" s="231" t="s">
        <v>213</v>
      </c>
      <c r="H44" s="240" t="s">
        <v>602</v>
      </c>
      <c r="I44" s="243"/>
      <c r="J44" s="243"/>
      <c r="K44" s="243"/>
      <c r="L44" s="244">
        <f t="shared" si="0"/>
        <v>0</v>
      </c>
      <c r="M44" s="243"/>
      <c r="N44" s="245">
        <v>909629.22</v>
      </c>
      <c r="O44" s="245">
        <v>909629.22</v>
      </c>
      <c r="P44" s="240" t="s">
        <v>602</v>
      </c>
      <c r="Q44" s="243"/>
      <c r="R44">
        <v>0</v>
      </c>
      <c r="T44" s="246" t="e">
        <f t="shared" si="2"/>
        <v>#DIV/0!</v>
      </c>
    </row>
    <row r="45" spans="1:20" ht="15" customHeight="1">
      <c r="A45" s="231" t="s">
        <v>604</v>
      </c>
      <c r="B45" s="231" t="s">
        <v>600</v>
      </c>
      <c r="C45" s="231" t="s">
        <v>212</v>
      </c>
      <c r="D45" s="231" t="s">
        <v>69</v>
      </c>
      <c r="E45" s="231" t="s">
        <v>70</v>
      </c>
      <c r="F45" s="231" t="s">
        <v>601</v>
      </c>
      <c r="G45" s="231" t="s">
        <v>213</v>
      </c>
      <c r="H45" s="240" t="s">
        <v>602</v>
      </c>
      <c r="I45" s="243"/>
      <c r="J45" s="243"/>
      <c r="K45" s="243"/>
      <c r="L45" s="244">
        <f t="shared" si="0"/>
        <v>0</v>
      </c>
      <c r="M45" s="243"/>
      <c r="N45" s="245">
        <v>69941.509999999995</v>
      </c>
      <c r="O45" s="245">
        <v>69941.509999999995</v>
      </c>
      <c r="P45" s="240" t="s">
        <v>602</v>
      </c>
      <c r="Q45" s="243"/>
      <c r="R45">
        <v>-0.14000000000000001</v>
      </c>
      <c r="T45" s="246" t="e">
        <f t="shared" si="2"/>
        <v>#DIV/0!</v>
      </c>
    </row>
    <row r="46" spans="1:20" ht="15" customHeight="1">
      <c r="A46" s="231" t="s">
        <v>604</v>
      </c>
      <c r="B46" s="231" t="s">
        <v>600</v>
      </c>
      <c r="C46" s="231" t="s">
        <v>212</v>
      </c>
      <c r="D46" s="231" t="s">
        <v>18</v>
      </c>
      <c r="E46" s="231" t="s">
        <v>19</v>
      </c>
      <c r="F46" s="231" t="s">
        <v>601</v>
      </c>
      <c r="G46" s="231" t="s">
        <v>213</v>
      </c>
      <c r="H46" s="240" t="s">
        <v>602</v>
      </c>
      <c r="I46" s="243"/>
      <c r="J46" s="243"/>
      <c r="K46" s="243" t="s">
        <v>629</v>
      </c>
      <c r="L46" s="244">
        <f t="shared" si="0"/>
        <v>130956.6</v>
      </c>
      <c r="M46" s="245">
        <v>143838.04</v>
      </c>
      <c r="N46" s="245">
        <v>84691.199999999997</v>
      </c>
      <c r="O46" s="245">
        <v>228529.24</v>
      </c>
      <c r="P46" s="240" t="s">
        <v>603</v>
      </c>
      <c r="Q46" s="245">
        <v>143838.04</v>
      </c>
      <c r="R46">
        <v>0</v>
      </c>
      <c r="S46" s="255">
        <f>L46*0.95</f>
        <v>124408.77</v>
      </c>
      <c r="T46" s="246">
        <f>(L46-R46-S46)/M46</f>
        <v>4.5522241543335833E-2</v>
      </c>
    </row>
    <row r="47" spans="1:20" ht="15" customHeight="1">
      <c r="A47" s="231" t="s">
        <v>604</v>
      </c>
      <c r="B47" s="231" t="s">
        <v>600</v>
      </c>
      <c r="C47" s="231" t="s">
        <v>212</v>
      </c>
      <c r="D47" s="231" t="s">
        <v>73</v>
      </c>
      <c r="E47" s="231" t="s">
        <v>74</v>
      </c>
      <c r="F47" s="231" t="s">
        <v>601</v>
      </c>
      <c r="G47" s="231" t="s">
        <v>213</v>
      </c>
      <c r="H47" s="240" t="s">
        <v>602</v>
      </c>
      <c r="I47" s="243"/>
      <c r="J47" s="243"/>
      <c r="K47" s="243"/>
      <c r="L47" s="244">
        <f t="shared" si="0"/>
        <v>0</v>
      </c>
      <c r="M47" s="243"/>
      <c r="N47" s="245">
        <v>-43665</v>
      </c>
      <c r="O47" s="245">
        <v>-43665</v>
      </c>
      <c r="P47" s="240" t="s">
        <v>602</v>
      </c>
      <c r="Q47" s="243"/>
      <c r="R47">
        <v>0</v>
      </c>
      <c r="T47" s="246" t="e">
        <f t="shared" si="2"/>
        <v>#DIV/0!</v>
      </c>
    </row>
    <row r="48" spans="1:20" ht="15" customHeight="1">
      <c r="A48" s="231" t="s">
        <v>604</v>
      </c>
      <c r="B48" s="231" t="s">
        <v>600</v>
      </c>
      <c r="C48" s="231" t="s">
        <v>212</v>
      </c>
      <c r="D48" s="231" t="s">
        <v>75</v>
      </c>
      <c r="E48" s="231" t="s">
        <v>76</v>
      </c>
      <c r="F48" s="231" t="s">
        <v>601</v>
      </c>
      <c r="G48" s="231" t="s">
        <v>213</v>
      </c>
      <c r="H48" s="240" t="s">
        <v>603</v>
      </c>
      <c r="I48" s="245">
        <v>83298.210000000006</v>
      </c>
      <c r="J48" s="243"/>
      <c r="K48" s="243" t="s">
        <v>630</v>
      </c>
      <c r="L48" s="244">
        <f t="shared" si="0"/>
        <v>117779.96</v>
      </c>
      <c r="M48" s="245">
        <v>142297.88</v>
      </c>
      <c r="N48" s="245">
        <v>607389.34</v>
      </c>
      <c r="O48" s="245">
        <v>832985.43</v>
      </c>
      <c r="P48" s="240" t="s">
        <v>603</v>
      </c>
      <c r="Q48" s="245">
        <v>225596.09</v>
      </c>
      <c r="R48">
        <v>0</v>
      </c>
      <c r="S48" s="255">
        <f>L48*0.95</f>
        <v>111890.962</v>
      </c>
      <c r="T48" s="246">
        <f>(L48-R48-S48)/M48</f>
        <v>4.138500165989828E-2</v>
      </c>
    </row>
    <row r="49" spans="1:20" ht="15" customHeight="1">
      <c r="A49" s="231" t="s">
        <v>604</v>
      </c>
      <c r="B49" s="231" t="s">
        <v>600</v>
      </c>
      <c r="C49" s="231" t="s">
        <v>212</v>
      </c>
      <c r="D49" s="231" t="s">
        <v>77</v>
      </c>
      <c r="E49" s="231" t="s">
        <v>78</v>
      </c>
      <c r="F49" s="231" t="s">
        <v>601</v>
      </c>
      <c r="G49" s="231" t="s">
        <v>213</v>
      </c>
      <c r="H49" s="240" t="s">
        <v>603</v>
      </c>
      <c r="I49" s="245">
        <v>5807.69</v>
      </c>
      <c r="J49" s="243"/>
      <c r="K49" s="243"/>
      <c r="L49" s="244">
        <f t="shared" si="0"/>
        <v>5541.69</v>
      </c>
      <c r="M49" s="245">
        <v>5541.69</v>
      </c>
      <c r="N49" s="245">
        <v>36490.18</v>
      </c>
      <c r="O49" s="245">
        <v>47839.56</v>
      </c>
      <c r="P49" s="240" t="s">
        <v>603</v>
      </c>
      <c r="Q49" s="245">
        <v>11349.38</v>
      </c>
      <c r="R49">
        <v>0</v>
      </c>
      <c r="S49" s="255">
        <v>5264.6054999999997</v>
      </c>
      <c r="T49" s="246">
        <f t="shared" si="2"/>
        <v>4.9999999999999989E-2</v>
      </c>
    </row>
    <row r="50" spans="1:20" ht="15" customHeight="1">
      <c r="A50" s="231" t="s">
        <v>604</v>
      </c>
      <c r="B50" s="231" t="s">
        <v>600</v>
      </c>
      <c r="C50" s="231" t="s">
        <v>212</v>
      </c>
      <c r="D50" s="231" t="s">
        <v>81</v>
      </c>
      <c r="E50" s="231" t="s">
        <v>82</v>
      </c>
      <c r="F50" s="231" t="s">
        <v>601</v>
      </c>
      <c r="G50" s="231" t="s">
        <v>213</v>
      </c>
      <c r="H50" s="240" t="s">
        <v>602</v>
      </c>
      <c r="I50" s="243"/>
      <c r="J50" s="243"/>
      <c r="K50" s="243"/>
      <c r="L50" s="244">
        <f t="shared" si="0"/>
        <v>26040</v>
      </c>
      <c r="M50" s="245">
        <v>26040</v>
      </c>
      <c r="N50" s="245">
        <v>15330</v>
      </c>
      <c r="O50" s="245">
        <v>41370</v>
      </c>
      <c r="P50" s="240" t="s">
        <v>603</v>
      </c>
      <c r="Q50" s="245">
        <v>26040</v>
      </c>
      <c r="R50">
        <v>0</v>
      </c>
      <c r="S50" s="255">
        <v>24738</v>
      </c>
      <c r="T50" s="246">
        <f t="shared" si="2"/>
        <v>0.05</v>
      </c>
    </row>
    <row r="51" spans="1:20" ht="15" customHeight="1">
      <c r="A51" s="231" t="s">
        <v>604</v>
      </c>
      <c r="B51" s="231" t="s">
        <v>600</v>
      </c>
      <c r="C51" s="231" t="s">
        <v>212</v>
      </c>
      <c r="D51" s="231" t="s">
        <v>83</v>
      </c>
      <c r="E51" s="231" t="s">
        <v>84</v>
      </c>
      <c r="F51" s="231" t="s">
        <v>601</v>
      </c>
      <c r="G51" s="231" t="s">
        <v>213</v>
      </c>
      <c r="H51" s="240" t="s">
        <v>602</v>
      </c>
      <c r="I51" s="243"/>
      <c r="J51" s="243"/>
      <c r="K51" s="243"/>
      <c r="L51" s="244">
        <f t="shared" si="0"/>
        <v>22050</v>
      </c>
      <c r="M51" s="245">
        <v>22050</v>
      </c>
      <c r="N51" s="245">
        <v>57855</v>
      </c>
      <c r="O51" s="245">
        <v>79905</v>
      </c>
      <c r="P51" s="240" t="s">
        <v>603</v>
      </c>
      <c r="Q51" s="245">
        <v>22050</v>
      </c>
      <c r="R51">
        <v>0</v>
      </c>
      <c r="S51" s="255">
        <v>20947.5</v>
      </c>
      <c r="T51" s="246">
        <f t="shared" si="2"/>
        <v>0.05</v>
      </c>
    </row>
    <row r="52" spans="1:20" ht="15" customHeight="1">
      <c r="A52" s="231" t="s">
        <v>604</v>
      </c>
      <c r="B52" s="231" t="s">
        <v>600</v>
      </c>
      <c r="C52" s="231" t="s">
        <v>212</v>
      </c>
      <c r="D52" s="231" t="s">
        <v>85</v>
      </c>
      <c r="E52" s="231" t="s">
        <v>86</v>
      </c>
      <c r="F52" s="231" t="s">
        <v>601</v>
      </c>
      <c r="G52" s="231" t="s">
        <v>213</v>
      </c>
      <c r="H52" s="240" t="s">
        <v>602</v>
      </c>
      <c r="I52" s="243"/>
      <c r="J52" s="243"/>
      <c r="K52" s="243"/>
      <c r="L52" s="244">
        <f t="shared" si="0"/>
        <v>0</v>
      </c>
      <c r="M52" s="243"/>
      <c r="N52" s="243"/>
      <c r="O52" s="243"/>
      <c r="P52" s="240" t="s">
        <v>602</v>
      </c>
      <c r="Q52" s="243"/>
      <c r="R52">
        <v>0</v>
      </c>
      <c r="T52" s="246" t="e">
        <f t="shared" si="2"/>
        <v>#DIV/0!</v>
      </c>
    </row>
    <row r="53" spans="1:20" ht="15" customHeight="1">
      <c r="A53" s="231" t="s">
        <v>604</v>
      </c>
      <c r="B53" s="231" t="s">
        <v>600</v>
      </c>
      <c r="C53" s="231" t="s">
        <v>212</v>
      </c>
      <c r="D53" s="231" t="s">
        <v>87</v>
      </c>
      <c r="E53" s="231" t="s">
        <v>88</v>
      </c>
      <c r="F53" s="231" t="s">
        <v>601</v>
      </c>
      <c r="G53" s="231" t="s">
        <v>213</v>
      </c>
      <c r="H53" s="240" t="s">
        <v>602</v>
      </c>
      <c r="I53" s="243"/>
      <c r="J53" s="243"/>
      <c r="K53" s="243" t="s">
        <v>631</v>
      </c>
      <c r="L53" s="244">
        <f t="shared" si="0"/>
        <v>0</v>
      </c>
      <c r="M53" s="249">
        <v>416.98</v>
      </c>
      <c r="N53" s="245">
        <v>28224</v>
      </c>
      <c r="O53" s="245">
        <v>28640.98</v>
      </c>
      <c r="P53" s="240" t="s">
        <v>603</v>
      </c>
      <c r="Q53" s="249">
        <v>416.98</v>
      </c>
      <c r="R53">
        <v>0</v>
      </c>
      <c r="T53" s="246">
        <f>(L53-R53-S53)/M53</f>
        <v>0</v>
      </c>
    </row>
    <row r="54" spans="1:20" ht="15" customHeight="1">
      <c r="A54" s="231" t="s">
        <v>604</v>
      </c>
      <c r="B54" s="231" t="s">
        <v>600</v>
      </c>
      <c r="C54" s="231" t="s">
        <v>212</v>
      </c>
      <c r="D54" s="231" t="s">
        <v>91</v>
      </c>
      <c r="E54" s="231" t="s">
        <v>92</v>
      </c>
      <c r="F54" s="231" t="s">
        <v>601</v>
      </c>
      <c r="G54" s="231" t="s">
        <v>213</v>
      </c>
      <c r="H54" s="240" t="s">
        <v>602</v>
      </c>
      <c r="I54" s="243"/>
      <c r="J54" s="243"/>
      <c r="K54" s="243"/>
      <c r="L54" s="244">
        <f t="shared" si="0"/>
        <v>0</v>
      </c>
      <c r="M54" s="243"/>
      <c r="N54" s="245">
        <v>1362963.21</v>
      </c>
      <c r="O54" s="245">
        <v>1362963.21</v>
      </c>
      <c r="P54" s="240" t="s">
        <v>602</v>
      </c>
      <c r="Q54" s="243"/>
      <c r="R54">
        <v>0</v>
      </c>
      <c r="T54" s="246" t="e">
        <f t="shared" si="2"/>
        <v>#DIV/0!</v>
      </c>
    </row>
    <row r="55" spans="1:20" ht="15" customHeight="1">
      <c r="A55" s="231" t="s">
        <v>604</v>
      </c>
      <c r="B55" s="231" t="s">
        <v>600</v>
      </c>
      <c r="C55" s="231" t="s">
        <v>212</v>
      </c>
      <c r="D55" s="231" t="s">
        <v>93</v>
      </c>
      <c r="E55" s="231" t="s">
        <v>94</v>
      </c>
      <c r="F55" s="231" t="s">
        <v>601</v>
      </c>
      <c r="G55" s="231" t="s">
        <v>213</v>
      </c>
      <c r="H55" s="240" t="s">
        <v>602</v>
      </c>
      <c r="I55" s="243"/>
      <c r="J55" s="243"/>
      <c r="K55" s="243"/>
      <c r="L55" s="244">
        <f t="shared" si="0"/>
        <v>0</v>
      </c>
      <c r="M55" s="243"/>
      <c r="N55" s="245">
        <v>9131588.25</v>
      </c>
      <c r="O55" s="245">
        <v>9131588.25</v>
      </c>
      <c r="P55" s="240" t="s">
        <v>602</v>
      </c>
      <c r="Q55" s="243"/>
      <c r="R55">
        <v>0</v>
      </c>
      <c r="T55" s="246" t="e">
        <f t="shared" si="2"/>
        <v>#DIV/0!</v>
      </c>
    </row>
    <row r="56" spans="1:20" ht="15" customHeight="1">
      <c r="A56" s="231" t="s">
        <v>604</v>
      </c>
      <c r="B56" s="231" t="s">
        <v>600</v>
      </c>
      <c r="C56" s="231" t="s">
        <v>212</v>
      </c>
      <c r="D56" s="231" t="s">
        <v>95</v>
      </c>
      <c r="E56" s="231" t="s">
        <v>96</v>
      </c>
      <c r="F56" s="231" t="s">
        <v>601</v>
      </c>
      <c r="G56" s="231" t="s">
        <v>213</v>
      </c>
      <c r="H56" s="240" t="s">
        <v>602</v>
      </c>
      <c r="I56" s="243"/>
      <c r="J56" s="243"/>
      <c r="K56" s="243"/>
      <c r="L56" s="244">
        <f t="shared" si="0"/>
        <v>0</v>
      </c>
      <c r="M56" s="243"/>
      <c r="N56" s="245">
        <v>3156925.62</v>
      </c>
      <c r="O56" s="245">
        <v>3156925.62</v>
      </c>
      <c r="P56" s="240" t="s">
        <v>602</v>
      </c>
      <c r="Q56" s="243"/>
      <c r="R56">
        <v>0</v>
      </c>
      <c r="T56" s="246" t="e">
        <f t="shared" si="2"/>
        <v>#DIV/0!</v>
      </c>
    </row>
    <row r="57" spans="1:20" ht="15" customHeight="1">
      <c r="A57" s="231" t="s">
        <v>604</v>
      </c>
      <c r="B57" s="231" t="s">
        <v>600</v>
      </c>
      <c r="C57" s="231" t="s">
        <v>212</v>
      </c>
      <c r="D57" s="231" t="s">
        <v>97</v>
      </c>
      <c r="E57" s="231" t="s">
        <v>98</v>
      </c>
      <c r="F57" s="231" t="s">
        <v>601</v>
      </c>
      <c r="G57" s="231" t="s">
        <v>213</v>
      </c>
      <c r="H57" s="240" t="s">
        <v>603</v>
      </c>
      <c r="I57" s="245">
        <v>401936.03</v>
      </c>
      <c r="J57" s="243"/>
      <c r="K57" s="243"/>
      <c r="L57" s="244">
        <f t="shared" si="0"/>
        <v>401936.03</v>
      </c>
      <c r="M57" s="245">
        <v>401936.03</v>
      </c>
      <c r="N57" s="245">
        <v>7521880.5</v>
      </c>
      <c r="O57" s="245">
        <v>8325752.5599999996</v>
      </c>
      <c r="P57" s="240" t="s">
        <v>603</v>
      </c>
      <c r="Q57" s="245">
        <v>803872.06</v>
      </c>
      <c r="R57">
        <v>403570.75</v>
      </c>
      <c r="T57" s="256">
        <f t="shared" si="2"/>
        <v>-4.0671148590485208E-3</v>
      </c>
    </row>
    <row r="58" spans="1:20" ht="15" customHeight="1">
      <c r="A58" s="231" t="s">
        <v>604</v>
      </c>
      <c r="B58" s="231" t="s">
        <v>600</v>
      </c>
      <c r="C58" s="231" t="s">
        <v>212</v>
      </c>
      <c r="D58" s="231" t="s">
        <v>99</v>
      </c>
      <c r="E58" s="231" t="s">
        <v>100</v>
      </c>
      <c r="F58" s="231" t="s">
        <v>601</v>
      </c>
      <c r="G58" s="231" t="s">
        <v>213</v>
      </c>
      <c r="H58" s="240" t="s">
        <v>602</v>
      </c>
      <c r="I58" s="243"/>
      <c r="J58" s="243"/>
      <c r="K58" s="243"/>
      <c r="L58" s="244">
        <f t="shared" si="0"/>
        <v>0</v>
      </c>
      <c r="M58" s="243"/>
      <c r="N58" s="245">
        <v>64817.5</v>
      </c>
      <c r="O58" s="245">
        <v>64817.5</v>
      </c>
      <c r="P58" s="240" t="s">
        <v>602</v>
      </c>
      <c r="Q58" s="243"/>
      <c r="R58">
        <v>0</v>
      </c>
      <c r="T58" s="246" t="e">
        <f t="shared" si="2"/>
        <v>#DIV/0!</v>
      </c>
    </row>
    <row r="59" spans="1:20" ht="15" customHeight="1">
      <c r="A59" s="231" t="s">
        <v>604</v>
      </c>
      <c r="B59" s="231" t="s">
        <v>600</v>
      </c>
      <c r="C59" s="231" t="s">
        <v>212</v>
      </c>
      <c r="D59" s="231" t="s">
        <v>101</v>
      </c>
      <c r="E59" s="231" t="s">
        <v>102</v>
      </c>
      <c r="F59" s="231" t="s">
        <v>601</v>
      </c>
      <c r="G59" s="231" t="s">
        <v>213</v>
      </c>
      <c r="H59" s="240" t="s">
        <v>602</v>
      </c>
      <c r="I59" s="243"/>
      <c r="J59" s="243"/>
      <c r="K59" s="243"/>
      <c r="L59" s="244">
        <f t="shared" si="0"/>
        <v>0</v>
      </c>
      <c r="M59" s="243"/>
      <c r="N59" s="245">
        <v>116217.68</v>
      </c>
      <c r="O59" s="245">
        <v>116217.68</v>
      </c>
      <c r="P59" s="240" t="s">
        <v>602</v>
      </c>
      <c r="Q59" s="243"/>
      <c r="R59">
        <v>0</v>
      </c>
      <c r="T59" s="246" t="e">
        <f t="shared" si="2"/>
        <v>#DIV/0!</v>
      </c>
    </row>
    <row r="60" spans="1:20" ht="15" customHeight="1">
      <c r="A60" s="231" t="s">
        <v>604</v>
      </c>
      <c r="B60" s="231" t="s">
        <v>600</v>
      </c>
      <c r="C60" s="231" t="s">
        <v>212</v>
      </c>
      <c r="D60" s="231" t="s">
        <v>103</v>
      </c>
      <c r="E60" s="231" t="s">
        <v>104</v>
      </c>
      <c r="F60" s="231" t="s">
        <v>601</v>
      </c>
      <c r="G60" s="231" t="s">
        <v>213</v>
      </c>
      <c r="H60" s="240" t="s">
        <v>602</v>
      </c>
      <c r="I60" s="243"/>
      <c r="J60" s="243"/>
      <c r="K60" s="243"/>
      <c r="L60" s="244">
        <f t="shared" si="0"/>
        <v>0</v>
      </c>
      <c r="M60" s="243"/>
      <c r="N60" s="245">
        <v>2058251.09</v>
      </c>
      <c r="O60" s="245">
        <v>2058251.09</v>
      </c>
      <c r="P60" s="240" t="s">
        <v>602</v>
      </c>
      <c r="Q60" s="243"/>
      <c r="R60">
        <v>0</v>
      </c>
      <c r="T60" s="246" t="e">
        <f t="shared" si="2"/>
        <v>#DIV/0!</v>
      </c>
    </row>
    <row r="61" spans="1:20" ht="15" customHeight="1">
      <c r="A61" s="231" t="s">
        <v>604</v>
      </c>
      <c r="B61" s="231" t="s">
        <v>600</v>
      </c>
      <c r="C61" s="231" t="s">
        <v>212</v>
      </c>
      <c r="D61" s="231" t="s">
        <v>105</v>
      </c>
      <c r="E61" s="231" t="s">
        <v>106</v>
      </c>
      <c r="F61" s="231" t="s">
        <v>601</v>
      </c>
      <c r="G61" s="231" t="s">
        <v>213</v>
      </c>
      <c r="H61" s="240" t="s">
        <v>602</v>
      </c>
      <c r="I61" s="243"/>
      <c r="J61" s="243"/>
      <c r="K61" s="243"/>
      <c r="L61" s="244">
        <f t="shared" si="0"/>
        <v>0</v>
      </c>
      <c r="M61" s="243"/>
      <c r="N61" s="245">
        <v>2706808.08</v>
      </c>
      <c r="O61" s="245">
        <v>2706808.08</v>
      </c>
      <c r="P61" s="240" t="s">
        <v>602</v>
      </c>
      <c r="Q61" s="243"/>
      <c r="R61">
        <v>0</v>
      </c>
      <c r="T61" s="246" t="e">
        <f t="shared" si="2"/>
        <v>#DIV/0!</v>
      </c>
    </row>
    <row r="62" spans="1:20" ht="15" customHeight="1">
      <c r="A62" s="231" t="s">
        <v>604</v>
      </c>
      <c r="B62" s="231" t="s">
        <v>600</v>
      </c>
      <c r="C62" s="231" t="s">
        <v>212</v>
      </c>
      <c r="D62" s="231" t="s">
        <v>107</v>
      </c>
      <c r="E62" s="231" t="s">
        <v>108</v>
      </c>
      <c r="F62" s="231" t="s">
        <v>601</v>
      </c>
      <c r="G62" s="231" t="s">
        <v>213</v>
      </c>
      <c r="H62" s="240" t="s">
        <v>602</v>
      </c>
      <c r="I62" s="243"/>
      <c r="J62" s="243"/>
      <c r="K62" s="243"/>
      <c r="L62" s="244">
        <f t="shared" si="0"/>
        <v>0</v>
      </c>
      <c r="M62" s="243"/>
      <c r="N62" s="245">
        <v>328225.28000000003</v>
      </c>
      <c r="O62" s="245">
        <v>328225.28000000003</v>
      </c>
      <c r="P62" s="240" t="s">
        <v>602</v>
      </c>
      <c r="Q62" s="243"/>
      <c r="R62">
        <v>0</v>
      </c>
      <c r="T62" s="246" t="e">
        <f t="shared" si="2"/>
        <v>#DIV/0!</v>
      </c>
    </row>
    <row r="63" spans="1:20" ht="15" customHeight="1">
      <c r="A63" s="231" t="s">
        <v>604</v>
      </c>
      <c r="B63" s="231" t="s">
        <v>600</v>
      </c>
      <c r="C63" s="231" t="s">
        <v>212</v>
      </c>
      <c r="D63" s="231" t="s">
        <v>109</v>
      </c>
      <c r="E63" s="231" t="s">
        <v>110</v>
      </c>
      <c r="F63" s="231" t="s">
        <v>601</v>
      </c>
      <c r="G63" s="231" t="s">
        <v>213</v>
      </c>
      <c r="H63" s="240" t="s">
        <v>602</v>
      </c>
      <c r="I63" s="243"/>
      <c r="J63" s="243"/>
      <c r="K63" s="243"/>
      <c r="L63" s="244">
        <f t="shared" si="0"/>
        <v>0</v>
      </c>
      <c r="M63" s="243"/>
      <c r="N63" s="245">
        <v>89875.01</v>
      </c>
      <c r="O63" s="245">
        <v>89875.01</v>
      </c>
      <c r="P63" s="240" t="s">
        <v>602</v>
      </c>
      <c r="Q63" s="243"/>
      <c r="R63">
        <v>0</v>
      </c>
      <c r="T63" s="246" t="e">
        <f t="shared" si="2"/>
        <v>#DIV/0!</v>
      </c>
    </row>
    <row r="64" spans="1:20" ht="15" customHeight="1">
      <c r="A64" s="231" t="s">
        <v>604</v>
      </c>
      <c r="B64" s="231" t="s">
        <v>600</v>
      </c>
      <c r="C64" s="231" t="s">
        <v>212</v>
      </c>
      <c r="D64" s="231" t="s">
        <v>111</v>
      </c>
      <c r="E64" s="231" t="s">
        <v>112</v>
      </c>
      <c r="F64" s="231" t="s">
        <v>601</v>
      </c>
      <c r="G64" s="231" t="s">
        <v>213</v>
      </c>
      <c r="H64" s="240" t="s">
        <v>602</v>
      </c>
      <c r="I64" s="243"/>
      <c r="J64" s="243"/>
      <c r="K64" s="243"/>
      <c r="L64" s="244">
        <f t="shared" si="0"/>
        <v>15865.9</v>
      </c>
      <c r="M64" s="245">
        <v>15865.9</v>
      </c>
      <c r="N64" s="245">
        <v>7324467.5099999998</v>
      </c>
      <c r="O64" s="245">
        <v>7340333.4100000001</v>
      </c>
      <c r="P64" s="240" t="s">
        <v>603</v>
      </c>
      <c r="Q64" s="245">
        <v>15865.9</v>
      </c>
      <c r="R64">
        <v>0</v>
      </c>
      <c r="T64" s="246">
        <f t="shared" si="2"/>
        <v>1</v>
      </c>
    </row>
    <row r="65" spans="1:21" ht="15" customHeight="1">
      <c r="A65" s="231" t="s">
        <v>604</v>
      </c>
      <c r="B65" s="231" t="s">
        <v>600</v>
      </c>
      <c r="C65" s="231" t="s">
        <v>212</v>
      </c>
      <c r="D65" s="231" t="s">
        <v>113</v>
      </c>
      <c r="E65" s="231" t="s">
        <v>114</v>
      </c>
      <c r="F65" s="231" t="s">
        <v>601</v>
      </c>
      <c r="G65" s="231" t="s">
        <v>213</v>
      </c>
      <c r="H65" s="240" t="s">
        <v>603</v>
      </c>
      <c r="I65" s="245">
        <v>405915.1</v>
      </c>
      <c r="J65" s="243"/>
      <c r="K65" s="243"/>
      <c r="L65" s="244">
        <f t="shared" si="0"/>
        <v>394724.28</v>
      </c>
      <c r="M65" s="245">
        <v>394724.28</v>
      </c>
      <c r="N65" s="245">
        <v>2638125.36</v>
      </c>
      <c r="O65" s="245">
        <v>3438764.74</v>
      </c>
      <c r="P65" s="240" t="s">
        <v>603</v>
      </c>
      <c r="Q65" s="245">
        <v>800639.38</v>
      </c>
      <c r="R65">
        <v>381279.16</v>
      </c>
      <c r="T65" s="246">
        <f t="shared" si="2"/>
        <v>3.406205465749422E-2</v>
      </c>
    </row>
    <row r="66" spans="1:21" ht="15" customHeight="1">
      <c r="A66" s="231" t="s">
        <v>604</v>
      </c>
      <c r="B66" s="231" t="s">
        <v>600</v>
      </c>
      <c r="C66" s="231" t="s">
        <v>212</v>
      </c>
      <c r="D66" s="231" t="s">
        <v>117</v>
      </c>
      <c r="E66" s="231" t="s">
        <v>118</v>
      </c>
      <c r="F66" s="231" t="s">
        <v>601</v>
      </c>
      <c r="G66" s="231" t="s">
        <v>213</v>
      </c>
      <c r="H66" s="240" t="s">
        <v>602</v>
      </c>
      <c r="I66" s="243"/>
      <c r="J66" s="243"/>
      <c r="K66" s="243" t="s">
        <v>632</v>
      </c>
      <c r="L66" s="244">
        <f t="shared" si="0"/>
        <v>1037.58</v>
      </c>
      <c r="M66" s="245">
        <v>1641.35</v>
      </c>
      <c r="N66" s="245">
        <v>116572.01</v>
      </c>
      <c r="O66" s="245">
        <v>118213.36</v>
      </c>
      <c r="P66" s="240" t="s">
        <v>603</v>
      </c>
      <c r="Q66" s="245">
        <v>1641.35</v>
      </c>
      <c r="R66">
        <v>0</v>
      </c>
      <c r="S66" s="255">
        <f>L66*0.95</f>
        <v>985.70099999999991</v>
      </c>
      <c r="T66" s="246">
        <f>(L66-R66-S66)/M66</f>
        <v>3.16075182014805E-2</v>
      </c>
    </row>
    <row r="67" spans="1:21" ht="15" customHeight="1">
      <c r="A67" s="231" t="s">
        <v>604</v>
      </c>
      <c r="B67" s="231" t="s">
        <v>600</v>
      </c>
      <c r="C67" s="231" t="s">
        <v>212</v>
      </c>
      <c r="D67" s="231" t="s">
        <v>119</v>
      </c>
      <c r="E67" s="231" t="s">
        <v>120</v>
      </c>
      <c r="F67" s="231" t="s">
        <v>601</v>
      </c>
      <c r="G67" s="231" t="s">
        <v>213</v>
      </c>
      <c r="H67" s="240" t="s">
        <v>602</v>
      </c>
      <c r="I67" s="243"/>
      <c r="J67" s="243"/>
      <c r="K67" s="243"/>
      <c r="L67" s="244">
        <f t="shared" si="0"/>
        <v>207.52</v>
      </c>
      <c r="M67" s="249">
        <v>207.52</v>
      </c>
      <c r="N67" s="245">
        <v>6484.88</v>
      </c>
      <c r="O67" s="245">
        <v>6692.4</v>
      </c>
      <c r="P67" s="240" t="s">
        <v>603</v>
      </c>
      <c r="Q67" s="249">
        <v>207.52</v>
      </c>
      <c r="R67">
        <v>0</v>
      </c>
      <c r="S67" s="255">
        <v>197.14400000000001</v>
      </c>
      <c r="T67" s="246">
        <f t="shared" si="2"/>
        <v>5.0000000000000024E-2</v>
      </c>
    </row>
    <row r="68" spans="1:21" ht="15" customHeight="1">
      <c r="A68" s="231" t="s">
        <v>604</v>
      </c>
      <c r="B68" s="231" t="s">
        <v>600</v>
      </c>
      <c r="C68" s="231" t="s">
        <v>212</v>
      </c>
      <c r="D68" s="231" t="s">
        <v>121</v>
      </c>
      <c r="E68" s="231" t="s">
        <v>122</v>
      </c>
      <c r="F68" s="231" t="s">
        <v>601</v>
      </c>
      <c r="G68" s="231" t="s">
        <v>213</v>
      </c>
      <c r="H68" s="240" t="s">
        <v>602</v>
      </c>
      <c r="I68" s="243"/>
      <c r="J68" s="243"/>
      <c r="K68" s="243"/>
      <c r="L68" s="244">
        <f t="shared" si="0"/>
        <v>0</v>
      </c>
      <c r="M68" s="243"/>
      <c r="N68" s="245">
        <v>13436.67</v>
      </c>
      <c r="O68" s="245">
        <v>13436.67</v>
      </c>
      <c r="P68" s="240" t="s">
        <v>602</v>
      </c>
      <c r="Q68" s="243"/>
      <c r="R68">
        <v>0</v>
      </c>
      <c r="T68" s="246" t="e">
        <f t="shared" si="2"/>
        <v>#DIV/0!</v>
      </c>
    </row>
    <row r="69" spans="1:21" ht="15" customHeight="1">
      <c r="A69" s="231" t="s">
        <v>604</v>
      </c>
      <c r="B69" s="231" t="s">
        <v>600</v>
      </c>
      <c r="C69" s="231" t="s">
        <v>212</v>
      </c>
      <c r="D69" s="231" t="s">
        <v>236</v>
      </c>
      <c r="E69" s="231" t="s">
        <v>237</v>
      </c>
      <c r="F69" s="231" t="s">
        <v>601</v>
      </c>
      <c r="G69" s="231" t="s">
        <v>213</v>
      </c>
      <c r="H69" s="240" t="s">
        <v>602</v>
      </c>
      <c r="I69" s="243"/>
      <c r="J69" s="243"/>
      <c r="K69" s="243"/>
      <c r="L69" s="244">
        <f t="shared" si="0"/>
        <v>0</v>
      </c>
      <c r="M69" s="243"/>
      <c r="N69" s="249">
        <v>155.63999999999999</v>
      </c>
      <c r="O69" s="249">
        <v>155.63999999999999</v>
      </c>
      <c r="P69" s="240" t="s">
        <v>602</v>
      </c>
      <c r="Q69" s="243"/>
      <c r="R69">
        <v>0</v>
      </c>
      <c r="T69" s="246" t="e">
        <f t="shared" si="2"/>
        <v>#DIV/0!</v>
      </c>
    </row>
    <row r="70" spans="1:21" ht="15" customHeight="1">
      <c r="A70" s="231" t="s">
        <v>604</v>
      </c>
      <c r="B70" s="231" t="s">
        <v>600</v>
      </c>
      <c r="C70" s="231" t="s">
        <v>212</v>
      </c>
      <c r="D70" s="231" t="s">
        <v>123</v>
      </c>
      <c r="E70" s="231" t="s">
        <v>124</v>
      </c>
      <c r="F70" s="231" t="s">
        <v>601</v>
      </c>
      <c r="G70" s="231" t="s">
        <v>213</v>
      </c>
      <c r="H70" s="240" t="s">
        <v>602</v>
      </c>
      <c r="I70" s="243"/>
      <c r="J70" s="243"/>
      <c r="K70" s="243" t="s">
        <v>633</v>
      </c>
      <c r="L70" s="244">
        <f t="shared" si="0"/>
        <v>0</v>
      </c>
      <c r="M70" s="245">
        <v>1556.6</v>
      </c>
      <c r="N70" s="245">
        <v>140377.35999999999</v>
      </c>
      <c r="O70" s="245">
        <v>141933.96</v>
      </c>
      <c r="P70" s="240" t="s">
        <v>603</v>
      </c>
      <c r="Q70" s="245">
        <v>1556.6</v>
      </c>
      <c r="R70">
        <v>0</v>
      </c>
      <c r="S70" s="255">
        <v>0</v>
      </c>
      <c r="T70" s="246">
        <f>(L70-R70-S70)/M70</f>
        <v>0</v>
      </c>
    </row>
    <row r="71" spans="1:21" ht="15" customHeight="1">
      <c r="A71" s="231" t="s">
        <v>604</v>
      </c>
      <c r="B71" s="231" t="s">
        <v>600</v>
      </c>
      <c r="C71" s="231" t="s">
        <v>212</v>
      </c>
      <c r="D71" s="231" t="s">
        <v>127</v>
      </c>
      <c r="E71" s="231" t="s">
        <v>128</v>
      </c>
      <c r="F71" s="231" t="s">
        <v>601</v>
      </c>
      <c r="G71" s="231" t="s">
        <v>213</v>
      </c>
      <c r="H71" s="240" t="s">
        <v>603</v>
      </c>
      <c r="I71" s="245">
        <v>218557.21</v>
      </c>
      <c r="J71" s="243"/>
      <c r="K71" s="243" t="s">
        <v>634</v>
      </c>
      <c r="L71" s="257">
        <f>M71-K71</f>
        <v>0</v>
      </c>
      <c r="M71" s="245">
        <v>1869.81</v>
      </c>
      <c r="N71" s="245">
        <v>6642809.4500000002</v>
      </c>
      <c r="O71" s="245">
        <v>6863236.4699999997</v>
      </c>
      <c r="P71" s="240" t="s">
        <v>603</v>
      </c>
      <c r="Q71" s="245">
        <v>220427.02</v>
      </c>
      <c r="R71">
        <v>-35478.14</v>
      </c>
      <c r="T71" s="246">
        <f>(L71-R71-S71)/M71</f>
        <v>18.974195239088463</v>
      </c>
      <c r="U71" s="233" t="s">
        <v>635</v>
      </c>
    </row>
    <row r="72" spans="1:21" ht="15" customHeight="1">
      <c r="A72" s="231" t="s">
        <v>604</v>
      </c>
      <c r="B72" s="231" t="s">
        <v>600</v>
      </c>
      <c r="C72" s="231" t="s">
        <v>212</v>
      </c>
      <c r="D72" s="231" t="s">
        <v>129</v>
      </c>
      <c r="E72" s="231" t="s">
        <v>130</v>
      </c>
      <c r="F72" s="231" t="s">
        <v>601</v>
      </c>
      <c r="G72" s="231" t="s">
        <v>213</v>
      </c>
      <c r="H72" s="240" t="s">
        <v>602</v>
      </c>
      <c r="I72" s="243"/>
      <c r="J72" s="243"/>
      <c r="K72" s="243"/>
      <c r="L72" s="244">
        <f t="shared" si="0"/>
        <v>0</v>
      </c>
      <c r="M72" s="243"/>
      <c r="N72" s="245">
        <v>1874342.58</v>
      </c>
      <c r="O72" s="245">
        <v>1874342.58</v>
      </c>
      <c r="P72" s="240" t="s">
        <v>602</v>
      </c>
      <c r="Q72" s="243"/>
      <c r="R72">
        <v>0</v>
      </c>
      <c r="T72" s="246" t="e">
        <f t="shared" si="2"/>
        <v>#DIV/0!</v>
      </c>
    </row>
    <row r="73" spans="1:21" ht="15" customHeight="1">
      <c r="A73" s="231" t="s">
        <v>604</v>
      </c>
      <c r="B73" s="231" t="s">
        <v>600</v>
      </c>
      <c r="C73" s="231" t="s">
        <v>212</v>
      </c>
      <c r="D73" s="231" t="s">
        <v>131</v>
      </c>
      <c r="E73" s="231" t="s">
        <v>132</v>
      </c>
      <c r="F73" s="231" t="s">
        <v>601</v>
      </c>
      <c r="G73" s="231" t="s">
        <v>213</v>
      </c>
      <c r="H73" s="240" t="s">
        <v>603</v>
      </c>
      <c r="I73" s="245">
        <v>70806.42</v>
      </c>
      <c r="J73" s="243"/>
      <c r="K73" s="243"/>
      <c r="L73" s="244">
        <f t="shared" si="0"/>
        <v>66353.490000000005</v>
      </c>
      <c r="M73" s="245">
        <v>66353.490000000005</v>
      </c>
      <c r="N73" s="245">
        <v>2491814.46</v>
      </c>
      <c r="O73" s="245">
        <v>2628974.37</v>
      </c>
      <c r="P73" s="240" t="s">
        <v>603</v>
      </c>
      <c r="Q73" s="245">
        <v>137159.91</v>
      </c>
      <c r="R73">
        <v>63077.96</v>
      </c>
      <c r="T73" s="246">
        <f t="shared" si="2"/>
        <v>4.9364848781880286E-2</v>
      </c>
    </row>
    <row r="74" spans="1:21" ht="15" customHeight="1">
      <c r="A74" s="231" t="s">
        <v>604</v>
      </c>
      <c r="B74" s="231" t="s">
        <v>600</v>
      </c>
      <c r="C74" s="231" t="s">
        <v>212</v>
      </c>
      <c r="D74" s="231" t="s">
        <v>133</v>
      </c>
      <c r="E74" s="231" t="s">
        <v>134</v>
      </c>
      <c r="F74" s="231" t="s">
        <v>601</v>
      </c>
      <c r="G74" s="231" t="s">
        <v>213</v>
      </c>
      <c r="H74" s="240" t="s">
        <v>603</v>
      </c>
      <c r="I74" s="245">
        <v>17857.89</v>
      </c>
      <c r="J74" s="243"/>
      <c r="K74" s="243" t="s">
        <v>636</v>
      </c>
      <c r="L74" s="244">
        <f t="shared" si="0"/>
        <v>17857.89</v>
      </c>
      <c r="M74" s="245">
        <v>18978.64</v>
      </c>
      <c r="N74" s="245">
        <v>118973.75</v>
      </c>
      <c r="O74" s="245">
        <v>155810.28</v>
      </c>
      <c r="P74" s="240" t="s">
        <v>603</v>
      </c>
      <c r="Q74" s="245">
        <v>36836.53</v>
      </c>
      <c r="R74">
        <v>0</v>
      </c>
      <c r="S74" s="255">
        <f>L74*0.95</f>
        <v>16964.995499999997</v>
      </c>
      <c r="T74" s="246">
        <f>(L74-R74-S74)/M74</f>
        <v>4.70473384815773E-2</v>
      </c>
    </row>
    <row r="75" spans="1:21" ht="15" customHeight="1">
      <c r="A75" s="231" t="s">
        <v>604</v>
      </c>
      <c r="B75" s="231" t="s">
        <v>600</v>
      </c>
      <c r="C75" s="231" t="s">
        <v>212</v>
      </c>
      <c r="D75" s="231" t="s">
        <v>135</v>
      </c>
      <c r="E75" s="231" t="s">
        <v>136</v>
      </c>
      <c r="F75" s="231" t="s">
        <v>601</v>
      </c>
      <c r="G75" s="231" t="s">
        <v>213</v>
      </c>
      <c r="H75" s="240" t="s">
        <v>603</v>
      </c>
      <c r="I75" s="245">
        <v>5321.89</v>
      </c>
      <c r="J75" s="243"/>
      <c r="K75" s="243"/>
      <c r="L75" s="244">
        <f t="shared" si="0"/>
        <v>5321.89</v>
      </c>
      <c r="M75" s="245">
        <v>5321.89</v>
      </c>
      <c r="N75" s="245">
        <v>122057.28</v>
      </c>
      <c r="O75" s="245">
        <v>132701.06</v>
      </c>
      <c r="P75" s="240" t="s">
        <v>603</v>
      </c>
      <c r="Q75" s="245">
        <v>10643.78</v>
      </c>
      <c r="R75">
        <v>0</v>
      </c>
      <c r="S75" s="255">
        <v>5055.7955000000002</v>
      </c>
      <c r="T75" s="246">
        <f t="shared" si="2"/>
        <v>5.0000000000000024E-2</v>
      </c>
    </row>
    <row r="76" spans="1:21" ht="15" customHeight="1">
      <c r="A76" s="231" t="s">
        <v>604</v>
      </c>
      <c r="B76" s="231" t="s">
        <v>600</v>
      </c>
      <c r="C76" s="231" t="s">
        <v>212</v>
      </c>
      <c r="D76" s="231" t="s">
        <v>137</v>
      </c>
      <c r="E76" s="231" t="s">
        <v>138</v>
      </c>
      <c r="F76" s="231" t="s">
        <v>601</v>
      </c>
      <c r="G76" s="231" t="s">
        <v>213</v>
      </c>
      <c r="H76" s="240" t="s">
        <v>602</v>
      </c>
      <c r="I76" s="243"/>
      <c r="J76" s="243"/>
      <c r="K76" s="243"/>
      <c r="L76" s="244">
        <f t="shared" si="0"/>
        <v>0</v>
      </c>
      <c r="M76" s="243"/>
      <c r="N76" s="243"/>
      <c r="O76" s="243"/>
      <c r="P76" s="240" t="s">
        <v>602</v>
      </c>
      <c r="Q76" s="243"/>
      <c r="R76">
        <v>0</v>
      </c>
      <c r="T76" s="246" t="e">
        <f t="shared" si="2"/>
        <v>#DIV/0!</v>
      </c>
    </row>
    <row r="77" spans="1:21" ht="15" customHeight="1">
      <c r="A77" s="231" t="s">
        <v>604</v>
      </c>
      <c r="B77" s="231" t="s">
        <v>600</v>
      </c>
      <c r="C77" s="231" t="s">
        <v>212</v>
      </c>
      <c r="D77" s="231" t="s">
        <v>139</v>
      </c>
      <c r="E77" s="231" t="s">
        <v>140</v>
      </c>
      <c r="F77" s="231" t="s">
        <v>601</v>
      </c>
      <c r="G77" s="231" t="s">
        <v>213</v>
      </c>
      <c r="H77" s="240" t="s">
        <v>603</v>
      </c>
      <c r="I77" s="245">
        <v>54432.22</v>
      </c>
      <c r="J77" s="243"/>
      <c r="K77" s="243"/>
      <c r="L77" s="244">
        <f t="shared" ref="L77:L115" si="3">M77-K77</f>
        <v>24211.46</v>
      </c>
      <c r="M77" s="245">
        <v>24211.46</v>
      </c>
      <c r="N77" s="245">
        <v>141898.64000000001</v>
      </c>
      <c r="O77" s="245">
        <v>220542.32</v>
      </c>
      <c r="P77" s="240" t="s">
        <v>603</v>
      </c>
      <c r="Q77" s="245">
        <v>78643.679999999993</v>
      </c>
      <c r="R77">
        <v>22737.13</v>
      </c>
      <c r="T77" s="246">
        <f t="shared" si="2"/>
        <v>6.089389074430035E-2</v>
      </c>
    </row>
    <row r="78" spans="1:21" ht="15" customHeight="1">
      <c r="A78" s="231" t="s">
        <v>604</v>
      </c>
      <c r="B78" s="231" t="s">
        <v>600</v>
      </c>
      <c r="C78" s="231" t="s">
        <v>212</v>
      </c>
      <c r="D78" s="231" t="s">
        <v>143</v>
      </c>
      <c r="E78" s="231" t="s">
        <v>144</v>
      </c>
      <c r="F78" s="231" t="s">
        <v>601</v>
      </c>
      <c r="G78" s="231" t="s">
        <v>213</v>
      </c>
      <c r="H78" s="240" t="s">
        <v>602</v>
      </c>
      <c r="I78" s="243"/>
      <c r="J78" s="243"/>
      <c r="K78" s="243"/>
      <c r="L78" s="244">
        <f t="shared" si="3"/>
        <v>0</v>
      </c>
      <c r="M78" s="243"/>
      <c r="N78" s="245">
        <v>534891.5</v>
      </c>
      <c r="O78" s="245">
        <v>534891.5</v>
      </c>
      <c r="P78" s="240" t="s">
        <v>602</v>
      </c>
      <c r="Q78" s="243"/>
      <c r="R78">
        <v>0</v>
      </c>
      <c r="T78" s="246" t="e">
        <f t="shared" si="2"/>
        <v>#DIV/0!</v>
      </c>
    </row>
    <row r="79" spans="1:21" ht="15" customHeight="1">
      <c r="A79" s="231" t="s">
        <v>604</v>
      </c>
      <c r="B79" s="231" t="s">
        <v>600</v>
      </c>
      <c r="C79" s="231" t="s">
        <v>212</v>
      </c>
      <c r="D79" s="231" t="s">
        <v>147</v>
      </c>
      <c r="E79" s="231" t="s">
        <v>148</v>
      </c>
      <c r="F79" s="231" t="s">
        <v>601</v>
      </c>
      <c r="G79" s="231" t="s">
        <v>213</v>
      </c>
      <c r="H79" s="240" t="s">
        <v>602</v>
      </c>
      <c r="I79" s="243"/>
      <c r="J79" s="243"/>
      <c r="K79" s="243"/>
      <c r="L79" s="244">
        <f t="shared" si="3"/>
        <v>0</v>
      </c>
      <c r="M79" s="243"/>
      <c r="N79" s="245">
        <v>403671.21</v>
      </c>
      <c r="O79" s="245">
        <v>403671.21</v>
      </c>
      <c r="P79" s="240" t="s">
        <v>602</v>
      </c>
      <c r="Q79" s="243"/>
      <c r="R79">
        <v>0</v>
      </c>
      <c r="T79" s="246" t="e">
        <f t="shared" si="2"/>
        <v>#DIV/0!</v>
      </c>
    </row>
    <row r="80" spans="1:21" ht="15" customHeight="1">
      <c r="A80" s="231" t="s">
        <v>604</v>
      </c>
      <c r="B80" s="231" t="s">
        <v>600</v>
      </c>
      <c r="C80" s="231" t="s">
        <v>212</v>
      </c>
      <c r="D80" s="231" t="s">
        <v>149</v>
      </c>
      <c r="E80" s="231" t="s">
        <v>150</v>
      </c>
      <c r="F80" s="231" t="s">
        <v>601</v>
      </c>
      <c r="G80" s="231" t="s">
        <v>213</v>
      </c>
      <c r="H80" s="240" t="s">
        <v>602</v>
      </c>
      <c r="I80" s="243"/>
      <c r="J80" s="243"/>
      <c r="K80" s="243"/>
      <c r="L80" s="244">
        <f t="shared" si="3"/>
        <v>0</v>
      </c>
      <c r="M80" s="243"/>
      <c r="N80" s="245">
        <v>2740250.38</v>
      </c>
      <c r="O80" s="245">
        <v>2740250.38</v>
      </c>
      <c r="P80" s="240" t="s">
        <v>602</v>
      </c>
      <c r="Q80" s="243"/>
      <c r="R80">
        <v>0</v>
      </c>
      <c r="T80" s="246" t="e">
        <f t="shared" si="2"/>
        <v>#DIV/0!</v>
      </c>
    </row>
    <row r="81" spans="1:20" ht="15" customHeight="1">
      <c r="A81" s="231" t="s">
        <v>604</v>
      </c>
      <c r="B81" s="231" t="s">
        <v>600</v>
      </c>
      <c r="C81" s="231" t="s">
        <v>212</v>
      </c>
      <c r="D81" s="231" t="s">
        <v>151</v>
      </c>
      <c r="E81" s="231" t="s">
        <v>152</v>
      </c>
      <c r="F81" s="231" t="s">
        <v>601</v>
      </c>
      <c r="G81" s="231" t="s">
        <v>213</v>
      </c>
      <c r="H81" s="240" t="s">
        <v>602</v>
      </c>
      <c r="I81" s="243"/>
      <c r="J81" s="243"/>
      <c r="K81" s="243"/>
      <c r="L81" s="244">
        <f t="shared" si="3"/>
        <v>0</v>
      </c>
      <c r="M81" s="243"/>
      <c r="N81" s="245">
        <v>404716.98</v>
      </c>
      <c r="O81" s="245">
        <v>404716.98</v>
      </c>
      <c r="P81" s="240" t="s">
        <v>602</v>
      </c>
      <c r="Q81" s="243"/>
      <c r="R81">
        <v>0</v>
      </c>
      <c r="T81" s="246" t="e">
        <f t="shared" si="2"/>
        <v>#DIV/0!</v>
      </c>
    </row>
    <row r="82" spans="1:20" ht="15" customHeight="1">
      <c r="A82" s="231" t="s">
        <v>604</v>
      </c>
      <c r="B82" s="231" t="s">
        <v>600</v>
      </c>
      <c r="C82" s="231" t="s">
        <v>212</v>
      </c>
      <c r="D82" s="231" t="s">
        <v>155</v>
      </c>
      <c r="E82" s="231" t="s">
        <v>156</v>
      </c>
      <c r="F82" s="231" t="s">
        <v>601</v>
      </c>
      <c r="G82" s="231" t="s">
        <v>213</v>
      </c>
      <c r="H82" s="240" t="s">
        <v>602</v>
      </c>
      <c r="I82" s="243"/>
      <c r="J82" s="243"/>
      <c r="K82" s="243"/>
      <c r="L82" s="244">
        <f t="shared" si="3"/>
        <v>0</v>
      </c>
      <c r="M82" s="243"/>
      <c r="N82" s="245">
        <v>427218.91</v>
      </c>
      <c r="O82" s="245">
        <v>427218.91</v>
      </c>
      <c r="P82" s="240" t="s">
        <v>602</v>
      </c>
      <c r="Q82" s="243"/>
      <c r="R82">
        <v>0</v>
      </c>
      <c r="T82" s="246" t="e">
        <f t="shared" si="2"/>
        <v>#DIV/0!</v>
      </c>
    </row>
    <row r="83" spans="1:20" ht="15" customHeight="1">
      <c r="A83" s="231" t="s">
        <v>604</v>
      </c>
      <c r="B83" s="231" t="s">
        <v>600</v>
      </c>
      <c r="C83" s="231" t="s">
        <v>212</v>
      </c>
      <c r="D83" s="231" t="s">
        <v>22</v>
      </c>
      <c r="E83" s="231" t="s">
        <v>23</v>
      </c>
      <c r="F83" s="231" t="s">
        <v>601</v>
      </c>
      <c r="G83" s="231" t="s">
        <v>213</v>
      </c>
      <c r="H83" s="240" t="s">
        <v>602</v>
      </c>
      <c r="I83" s="243"/>
      <c r="J83" s="243"/>
      <c r="K83" s="243"/>
      <c r="L83" s="244">
        <f t="shared" si="3"/>
        <v>0</v>
      </c>
      <c r="M83" s="243"/>
      <c r="N83" s="245">
        <v>10657.85</v>
      </c>
      <c r="O83" s="245">
        <v>10657.85</v>
      </c>
      <c r="P83" s="240" t="s">
        <v>602</v>
      </c>
      <c r="Q83" s="243"/>
      <c r="R83">
        <v>0</v>
      </c>
      <c r="T83" s="246" t="e">
        <f t="shared" si="2"/>
        <v>#DIV/0!</v>
      </c>
    </row>
    <row r="84" spans="1:20" ht="15" customHeight="1">
      <c r="A84" s="231" t="s">
        <v>604</v>
      </c>
      <c r="B84" s="231" t="s">
        <v>600</v>
      </c>
      <c r="C84" s="231" t="s">
        <v>212</v>
      </c>
      <c r="D84" s="231" t="s">
        <v>157</v>
      </c>
      <c r="E84" s="231" t="s">
        <v>158</v>
      </c>
      <c r="F84" s="231" t="s">
        <v>601</v>
      </c>
      <c r="G84" s="231" t="s">
        <v>213</v>
      </c>
      <c r="H84" s="240" t="s">
        <v>602</v>
      </c>
      <c r="I84" s="243"/>
      <c r="J84" s="243"/>
      <c r="K84" s="243"/>
      <c r="L84" s="244">
        <f t="shared" si="3"/>
        <v>0</v>
      </c>
      <c r="M84" s="243"/>
      <c r="N84" s="243"/>
      <c r="O84" s="243"/>
      <c r="P84" s="240" t="s">
        <v>602</v>
      </c>
      <c r="Q84" s="243"/>
      <c r="R84">
        <v>0</v>
      </c>
      <c r="T84" s="246" t="e">
        <f t="shared" si="2"/>
        <v>#DIV/0!</v>
      </c>
    </row>
    <row r="85" spans="1:20" ht="15" customHeight="1">
      <c r="A85" s="231" t="s">
        <v>604</v>
      </c>
      <c r="B85" s="231" t="s">
        <v>600</v>
      </c>
      <c r="C85" s="231" t="s">
        <v>212</v>
      </c>
      <c r="D85" s="231" t="s">
        <v>159</v>
      </c>
      <c r="E85" s="231" t="s">
        <v>160</v>
      </c>
      <c r="F85" s="231" t="s">
        <v>601</v>
      </c>
      <c r="G85" s="231" t="s">
        <v>213</v>
      </c>
      <c r="H85" s="240" t="s">
        <v>603</v>
      </c>
      <c r="I85" s="245">
        <v>925176.13</v>
      </c>
      <c r="J85" s="243"/>
      <c r="K85" s="243" t="s">
        <v>637</v>
      </c>
      <c r="L85" s="244">
        <f t="shared" si="3"/>
        <v>891956.76</v>
      </c>
      <c r="M85" s="245">
        <v>892048.27</v>
      </c>
      <c r="N85" s="245">
        <v>8522521.7899999991</v>
      </c>
      <c r="O85" s="245">
        <v>10339746.189999999</v>
      </c>
      <c r="P85" s="240" t="s">
        <v>603</v>
      </c>
      <c r="Q85" s="245">
        <v>1817224.4</v>
      </c>
      <c r="R85">
        <v>874802.2</v>
      </c>
      <c r="T85" s="246">
        <f t="shared" si="2"/>
        <v>1.9333112993986372E-2</v>
      </c>
    </row>
    <row r="86" spans="1:20" ht="15" customHeight="1">
      <c r="A86" s="231" t="s">
        <v>604</v>
      </c>
      <c r="B86" s="231" t="s">
        <v>600</v>
      </c>
      <c r="C86" s="231" t="s">
        <v>212</v>
      </c>
      <c r="D86" s="231" t="s">
        <v>161</v>
      </c>
      <c r="E86" s="231" t="s">
        <v>162</v>
      </c>
      <c r="F86" s="231" t="s">
        <v>601</v>
      </c>
      <c r="G86" s="231" t="s">
        <v>213</v>
      </c>
      <c r="H86" s="240" t="s">
        <v>602</v>
      </c>
      <c r="I86" s="243"/>
      <c r="J86" s="243"/>
      <c r="K86" s="243"/>
      <c r="L86" s="244">
        <f t="shared" si="3"/>
        <v>80005.5</v>
      </c>
      <c r="M86" s="245">
        <v>80005.5</v>
      </c>
      <c r="N86" s="245">
        <v>607441.49</v>
      </c>
      <c r="O86" s="245">
        <v>687446.99</v>
      </c>
      <c r="P86" s="240" t="s">
        <v>603</v>
      </c>
      <c r="Q86" s="245">
        <v>80005.5</v>
      </c>
      <c r="R86">
        <v>0</v>
      </c>
      <c r="S86" s="258">
        <v>78466.789999999994</v>
      </c>
      <c r="T86" s="246">
        <f t="shared" si="2"/>
        <v>1.9232552761997694E-2</v>
      </c>
    </row>
    <row r="87" spans="1:20" ht="15" customHeight="1">
      <c r="A87" s="231" t="s">
        <v>604</v>
      </c>
      <c r="B87" s="231" t="s">
        <v>600</v>
      </c>
      <c r="C87" s="231" t="s">
        <v>212</v>
      </c>
      <c r="D87" s="231" t="s">
        <v>163</v>
      </c>
      <c r="E87" s="231" t="s">
        <v>516</v>
      </c>
      <c r="F87" s="231" t="s">
        <v>601</v>
      </c>
      <c r="G87" s="231" t="s">
        <v>213</v>
      </c>
      <c r="H87" s="240" t="s">
        <v>603</v>
      </c>
      <c r="I87" s="245">
        <v>70200.38</v>
      </c>
      <c r="J87" s="243"/>
      <c r="K87" s="243"/>
      <c r="L87" s="244">
        <f t="shared" si="3"/>
        <v>74412.850000000006</v>
      </c>
      <c r="M87" s="245">
        <v>74412.850000000006</v>
      </c>
      <c r="N87" s="245">
        <v>345381.58</v>
      </c>
      <c r="O87" s="245">
        <v>489994.81</v>
      </c>
      <c r="P87" s="240" t="s">
        <v>603</v>
      </c>
      <c r="Q87" s="245">
        <v>144613.23000000001</v>
      </c>
      <c r="R87">
        <v>70739.899999999994</v>
      </c>
      <c r="T87" s="246">
        <f t="shared" si="2"/>
        <v>4.9359082470299298E-2</v>
      </c>
    </row>
    <row r="88" spans="1:20" ht="15" customHeight="1">
      <c r="A88" s="231" t="s">
        <v>604</v>
      </c>
      <c r="B88" s="231" t="s">
        <v>600</v>
      </c>
      <c r="C88" s="231" t="s">
        <v>212</v>
      </c>
      <c r="D88" s="231" t="s">
        <v>165</v>
      </c>
      <c r="E88" s="231" t="s">
        <v>166</v>
      </c>
      <c r="F88" s="231" t="s">
        <v>601</v>
      </c>
      <c r="G88" s="231" t="s">
        <v>213</v>
      </c>
      <c r="H88" s="240" t="s">
        <v>602</v>
      </c>
      <c r="I88" s="243"/>
      <c r="J88" s="243"/>
      <c r="K88" s="243"/>
      <c r="L88" s="244">
        <f t="shared" si="3"/>
        <v>0</v>
      </c>
      <c r="M88" s="243"/>
      <c r="N88" s="245">
        <v>1260</v>
      </c>
      <c r="O88" s="245">
        <v>1260</v>
      </c>
      <c r="P88" s="240" t="s">
        <v>602</v>
      </c>
      <c r="Q88" s="243"/>
      <c r="R88">
        <v>0</v>
      </c>
      <c r="T88" s="246" t="e">
        <f t="shared" si="2"/>
        <v>#DIV/0!</v>
      </c>
    </row>
    <row r="89" spans="1:20" ht="15" customHeight="1">
      <c r="A89" s="231" t="s">
        <v>604</v>
      </c>
      <c r="B89" s="231" t="s">
        <v>600</v>
      </c>
      <c r="C89" s="231" t="s">
        <v>212</v>
      </c>
      <c r="D89" s="231" t="s">
        <v>167</v>
      </c>
      <c r="E89" s="231" t="s">
        <v>168</v>
      </c>
      <c r="F89" s="231" t="s">
        <v>601</v>
      </c>
      <c r="G89" s="231" t="s">
        <v>213</v>
      </c>
      <c r="H89" s="240" t="s">
        <v>603</v>
      </c>
      <c r="I89" s="249">
        <v>882.45</v>
      </c>
      <c r="J89" s="243"/>
      <c r="K89" s="243" t="s">
        <v>638</v>
      </c>
      <c r="L89" s="244">
        <f t="shared" si="3"/>
        <v>588.29999999999995</v>
      </c>
      <c r="M89" s="249">
        <v>618.49</v>
      </c>
      <c r="N89" s="245">
        <v>10295.27</v>
      </c>
      <c r="O89" s="245">
        <v>11796.21</v>
      </c>
      <c r="P89" s="240" t="s">
        <v>603</v>
      </c>
      <c r="Q89" s="245">
        <v>1500.94</v>
      </c>
      <c r="R89">
        <v>0</v>
      </c>
      <c r="S89" s="255">
        <f>L89*0.95</f>
        <v>558.88499999999988</v>
      </c>
      <c r="T89" s="246">
        <f>(L89-R89-S89)/M89</f>
        <v>4.7559378486313565E-2</v>
      </c>
    </row>
    <row r="90" spans="1:20" ht="15" customHeight="1">
      <c r="A90" s="231" t="s">
        <v>604</v>
      </c>
      <c r="B90" s="231" t="s">
        <v>600</v>
      </c>
      <c r="C90" s="231" t="s">
        <v>212</v>
      </c>
      <c r="D90" s="231" t="s">
        <v>26</v>
      </c>
      <c r="E90" s="231" t="s">
        <v>27</v>
      </c>
      <c r="F90" s="231" t="s">
        <v>601</v>
      </c>
      <c r="G90" s="231" t="s">
        <v>213</v>
      </c>
      <c r="H90" s="240" t="s">
        <v>602</v>
      </c>
      <c r="I90" s="243"/>
      <c r="J90" s="243"/>
      <c r="K90" s="243" t="s">
        <v>639</v>
      </c>
      <c r="L90" s="244">
        <f t="shared" si="3"/>
        <v>0</v>
      </c>
      <c r="M90" s="249">
        <v>40.57</v>
      </c>
      <c r="N90" s="243"/>
      <c r="O90" s="249">
        <v>40.57</v>
      </c>
      <c r="P90" s="240" t="s">
        <v>603</v>
      </c>
      <c r="Q90" s="249">
        <v>40.57</v>
      </c>
      <c r="R90">
        <v>0</v>
      </c>
      <c r="T90" s="246">
        <f>(L90-R90-S90)/M90</f>
        <v>0</v>
      </c>
    </row>
    <row r="91" spans="1:20" ht="15" customHeight="1">
      <c r="A91" s="231" t="s">
        <v>604</v>
      </c>
      <c r="B91" s="231" t="s">
        <v>600</v>
      </c>
      <c r="C91" s="231" t="s">
        <v>212</v>
      </c>
      <c r="D91" s="231" t="s">
        <v>169</v>
      </c>
      <c r="E91" s="231" t="s">
        <v>170</v>
      </c>
      <c r="F91" s="231" t="s">
        <v>601</v>
      </c>
      <c r="G91" s="231" t="s">
        <v>213</v>
      </c>
      <c r="H91" s="240" t="s">
        <v>603</v>
      </c>
      <c r="I91" s="245">
        <v>20414.12</v>
      </c>
      <c r="J91" s="243"/>
      <c r="K91" s="243"/>
      <c r="L91" s="244">
        <f t="shared" si="3"/>
        <v>16183.22</v>
      </c>
      <c r="M91" s="245">
        <v>16183.22</v>
      </c>
      <c r="N91" s="245">
        <v>113494.05</v>
      </c>
      <c r="O91" s="245">
        <v>150091.39000000001</v>
      </c>
      <c r="P91" s="240" t="s">
        <v>603</v>
      </c>
      <c r="Q91" s="245">
        <v>36597.339999999997</v>
      </c>
      <c r="R91">
        <v>15530.94</v>
      </c>
      <c r="T91" s="246">
        <f t="shared" si="2"/>
        <v>4.0305946529800553E-2</v>
      </c>
    </row>
    <row r="92" spans="1:20" ht="15" customHeight="1">
      <c r="A92" s="231" t="s">
        <v>604</v>
      </c>
      <c r="B92" s="231" t="s">
        <v>600</v>
      </c>
      <c r="C92" s="231" t="s">
        <v>212</v>
      </c>
      <c r="D92" s="231" t="s">
        <v>171</v>
      </c>
      <c r="E92" s="231" t="s">
        <v>172</v>
      </c>
      <c r="F92" s="231" t="s">
        <v>601</v>
      </c>
      <c r="G92" s="231" t="s">
        <v>213</v>
      </c>
      <c r="H92" s="240" t="s">
        <v>602</v>
      </c>
      <c r="I92" s="243"/>
      <c r="J92" s="243"/>
      <c r="K92" s="243" t="s">
        <v>640</v>
      </c>
      <c r="L92" s="244">
        <f t="shared" si="3"/>
        <v>0</v>
      </c>
      <c r="M92" s="249">
        <v>426.42</v>
      </c>
      <c r="N92" s="245">
        <v>63765.79</v>
      </c>
      <c r="O92" s="245">
        <v>64192.21</v>
      </c>
      <c r="P92" s="240" t="s">
        <v>603</v>
      </c>
      <c r="Q92" s="249">
        <v>426.42</v>
      </c>
      <c r="R92">
        <v>0</v>
      </c>
      <c r="S92" s="255"/>
      <c r="T92" s="246">
        <f>(L92-R92-S92)/M92</f>
        <v>0</v>
      </c>
    </row>
    <row r="93" spans="1:20" ht="15" customHeight="1">
      <c r="A93" s="231" t="s">
        <v>604</v>
      </c>
      <c r="B93" s="231" t="s">
        <v>600</v>
      </c>
      <c r="C93" s="231" t="s">
        <v>212</v>
      </c>
      <c r="D93" s="231" t="s">
        <v>173</v>
      </c>
      <c r="E93" s="231" t="s">
        <v>174</v>
      </c>
      <c r="F93" s="231" t="s">
        <v>601</v>
      </c>
      <c r="G93" s="231" t="s">
        <v>213</v>
      </c>
      <c r="H93" s="240" t="s">
        <v>603</v>
      </c>
      <c r="I93" s="245">
        <v>463531.05</v>
      </c>
      <c r="J93" s="243"/>
      <c r="K93" s="243"/>
      <c r="L93" s="244">
        <f t="shared" si="3"/>
        <v>470234.89</v>
      </c>
      <c r="M93" s="245">
        <v>470234.89</v>
      </c>
      <c r="N93" s="245">
        <v>1899054.49</v>
      </c>
      <c r="O93" s="245">
        <v>2832820.43</v>
      </c>
      <c r="P93" s="240" t="s">
        <v>603</v>
      </c>
      <c r="Q93" s="245">
        <v>933765.94</v>
      </c>
      <c r="R93">
        <v>449932.67</v>
      </c>
      <c r="T93" s="246">
        <f t="shared" si="2"/>
        <v>4.3174635552883006E-2</v>
      </c>
    </row>
    <row r="94" spans="1:20" ht="15" customHeight="1">
      <c r="A94" s="231" t="s">
        <v>604</v>
      </c>
      <c r="B94" s="231" t="s">
        <v>600</v>
      </c>
      <c r="C94" s="231" t="s">
        <v>212</v>
      </c>
      <c r="D94" s="231" t="s">
        <v>175</v>
      </c>
      <c r="E94" s="231" t="s">
        <v>176</v>
      </c>
      <c r="F94" s="231" t="s">
        <v>601</v>
      </c>
      <c r="G94" s="231" t="s">
        <v>213</v>
      </c>
      <c r="H94" s="240" t="s">
        <v>605</v>
      </c>
      <c r="I94" s="245">
        <v>1054.23</v>
      </c>
      <c r="J94" s="243"/>
      <c r="K94" s="243"/>
      <c r="L94" s="244">
        <f t="shared" si="3"/>
        <v>71538.259999999995</v>
      </c>
      <c r="M94" s="245">
        <v>71538.259999999995</v>
      </c>
      <c r="N94" s="245">
        <v>339049.12</v>
      </c>
      <c r="O94" s="245">
        <v>409533.15</v>
      </c>
      <c r="P94" s="240" t="s">
        <v>603</v>
      </c>
      <c r="Q94" s="245">
        <v>70484.03</v>
      </c>
      <c r="R94">
        <v>68654.89</v>
      </c>
      <c r="T94" s="246">
        <f t="shared" si="2"/>
        <v>4.0305285591234613E-2</v>
      </c>
    </row>
    <row r="95" spans="1:20" ht="15" customHeight="1">
      <c r="A95" s="231" t="s">
        <v>604</v>
      </c>
      <c r="B95" s="231" t="s">
        <v>600</v>
      </c>
      <c r="C95" s="231" t="s">
        <v>212</v>
      </c>
      <c r="D95" s="231" t="s">
        <v>177</v>
      </c>
      <c r="E95" s="231" t="s">
        <v>178</v>
      </c>
      <c r="F95" s="231" t="s">
        <v>601</v>
      </c>
      <c r="G95" s="231" t="s">
        <v>213</v>
      </c>
      <c r="H95" s="240" t="s">
        <v>605</v>
      </c>
      <c r="I95" s="245">
        <v>1068.3599999999999</v>
      </c>
      <c r="J95" s="243"/>
      <c r="K95" s="243"/>
      <c r="L95" s="244">
        <f t="shared" si="3"/>
        <v>106037.07</v>
      </c>
      <c r="M95" s="245">
        <v>106037.07</v>
      </c>
      <c r="N95" s="245">
        <v>383086.75</v>
      </c>
      <c r="O95" s="245">
        <v>488055.46</v>
      </c>
      <c r="P95" s="240" t="s">
        <v>603</v>
      </c>
      <c r="Q95" s="245">
        <v>104968.71</v>
      </c>
      <c r="R95">
        <v>101763.21</v>
      </c>
      <c r="T95" s="246">
        <f t="shared" ref="T95:T115" si="4">(M95-R95-S95)/M95</f>
        <v>4.0305338500960089E-2</v>
      </c>
    </row>
    <row r="96" spans="1:20" ht="15" customHeight="1">
      <c r="A96" s="231" t="s">
        <v>604</v>
      </c>
      <c r="B96" s="231" t="s">
        <v>600</v>
      </c>
      <c r="C96" s="231" t="s">
        <v>212</v>
      </c>
      <c r="D96" s="231" t="s">
        <v>606</v>
      </c>
      <c r="E96" s="231" t="s">
        <v>607</v>
      </c>
      <c r="F96" s="231" t="s">
        <v>601</v>
      </c>
      <c r="G96" s="231" t="s">
        <v>213</v>
      </c>
      <c r="H96" s="240" t="s">
        <v>602</v>
      </c>
      <c r="I96" s="243"/>
      <c r="J96" s="243"/>
      <c r="K96" s="243"/>
      <c r="L96" s="244">
        <f t="shared" si="3"/>
        <v>19885.25</v>
      </c>
      <c r="M96" s="245">
        <v>19885.25</v>
      </c>
      <c r="N96" s="243"/>
      <c r="O96" s="245">
        <v>19885.25</v>
      </c>
      <c r="P96" s="240" t="s">
        <v>603</v>
      </c>
      <c r="Q96" s="245">
        <v>19885.25</v>
      </c>
      <c r="R96">
        <v>19083.77</v>
      </c>
      <c r="T96" s="246">
        <f t="shared" si="4"/>
        <v>4.0305251379791532E-2</v>
      </c>
    </row>
    <row r="97" spans="1:20" ht="15" customHeight="1">
      <c r="A97" s="231" t="s">
        <v>604</v>
      </c>
      <c r="B97" s="231" t="s">
        <v>600</v>
      </c>
      <c r="C97" s="231" t="s">
        <v>212</v>
      </c>
      <c r="D97" s="231" t="s">
        <v>179</v>
      </c>
      <c r="E97" s="231" t="s">
        <v>180</v>
      </c>
      <c r="F97" s="231" t="s">
        <v>601</v>
      </c>
      <c r="G97" s="231" t="s">
        <v>213</v>
      </c>
      <c r="H97" s="240" t="s">
        <v>602</v>
      </c>
      <c r="I97" s="243"/>
      <c r="J97" s="243"/>
      <c r="K97" s="243"/>
      <c r="L97" s="244">
        <f t="shared" si="3"/>
        <v>0</v>
      </c>
      <c r="M97" s="243"/>
      <c r="N97" s="245">
        <v>37020.43</v>
      </c>
      <c r="O97" s="245">
        <v>37020.43</v>
      </c>
      <c r="P97" s="240" t="s">
        <v>602</v>
      </c>
      <c r="Q97" s="243"/>
      <c r="R97">
        <v>0</v>
      </c>
      <c r="T97" s="246" t="e">
        <f t="shared" si="4"/>
        <v>#DIV/0!</v>
      </c>
    </row>
    <row r="98" spans="1:20" ht="15" customHeight="1">
      <c r="A98" s="231" t="s">
        <v>604</v>
      </c>
      <c r="B98" s="231" t="s">
        <v>600</v>
      </c>
      <c r="C98" s="231" t="s">
        <v>212</v>
      </c>
      <c r="D98" s="231" t="s">
        <v>181</v>
      </c>
      <c r="E98" s="231" t="s">
        <v>182</v>
      </c>
      <c r="F98" s="231" t="s">
        <v>601</v>
      </c>
      <c r="G98" s="231" t="s">
        <v>213</v>
      </c>
      <c r="H98" s="240" t="s">
        <v>603</v>
      </c>
      <c r="I98" s="245">
        <v>1142428.68</v>
      </c>
      <c r="J98" s="243"/>
      <c r="K98" s="243"/>
      <c r="L98" s="244">
        <f t="shared" si="3"/>
        <v>1470033.6</v>
      </c>
      <c r="M98" s="245">
        <v>1470033.6</v>
      </c>
      <c r="N98" s="245">
        <v>7937674.9400000004</v>
      </c>
      <c r="O98" s="245">
        <v>10550137.220000001</v>
      </c>
      <c r="P98" s="240" t="s">
        <v>603</v>
      </c>
      <c r="Q98" s="245">
        <v>2612462.2799999998</v>
      </c>
      <c r="R98">
        <v>1160079.06</v>
      </c>
      <c r="T98" s="246">
        <f>(M98-R98-S98)/M98</f>
        <v>0.21084860917464746</v>
      </c>
    </row>
    <row r="99" spans="1:20" ht="15" customHeight="1">
      <c r="A99" s="231" t="s">
        <v>604</v>
      </c>
      <c r="B99" s="231" t="s">
        <v>600</v>
      </c>
      <c r="C99" s="231" t="s">
        <v>212</v>
      </c>
      <c r="D99" s="231" t="s">
        <v>183</v>
      </c>
      <c r="E99" s="231" t="s">
        <v>184</v>
      </c>
      <c r="F99" s="231" t="s">
        <v>601</v>
      </c>
      <c r="G99" s="231" t="s">
        <v>213</v>
      </c>
      <c r="H99" s="240" t="s">
        <v>605</v>
      </c>
      <c r="I99" s="249">
        <v>371.8</v>
      </c>
      <c r="J99" s="243"/>
      <c r="K99" s="243"/>
      <c r="L99" s="244">
        <f t="shared" si="3"/>
        <v>0</v>
      </c>
      <c r="M99" s="243"/>
      <c r="N99" s="245">
        <v>78551.77</v>
      </c>
      <c r="O99" s="245">
        <v>78179.97</v>
      </c>
      <c r="P99" s="240" t="s">
        <v>605</v>
      </c>
      <c r="Q99" s="249">
        <v>371.8</v>
      </c>
      <c r="R99">
        <v>0</v>
      </c>
      <c r="T99" s="246" t="e">
        <f t="shared" si="4"/>
        <v>#DIV/0!</v>
      </c>
    </row>
    <row r="100" spans="1:20" ht="15" customHeight="1">
      <c r="A100" s="231" t="s">
        <v>604</v>
      </c>
      <c r="B100" s="231" t="s">
        <v>600</v>
      </c>
      <c r="C100" s="231" t="s">
        <v>212</v>
      </c>
      <c r="D100" s="231" t="s">
        <v>608</v>
      </c>
      <c r="E100" s="231" t="s">
        <v>609</v>
      </c>
      <c r="F100" s="231" t="s">
        <v>601</v>
      </c>
      <c r="G100" s="231" t="s">
        <v>213</v>
      </c>
      <c r="H100" s="240" t="s">
        <v>602</v>
      </c>
      <c r="I100" s="243"/>
      <c r="J100" s="243"/>
      <c r="K100" s="243"/>
      <c r="L100" s="244">
        <f t="shared" si="3"/>
        <v>50918.95</v>
      </c>
      <c r="M100" s="245">
        <v>50918.95</v>
      </c>
      <c r="N100" s="243"/>
      <c r="O100" s="245">
        <v>50918.95</v>
      </c>
      <c r="P100" s="240" t="s">
        <v>603</v>
      </c>
      <c r="Q100" s="245">
        <v>50918.95</v>
      </c>
      <c r="R100">
        <v>48866.64</v>
      </c>
      <c r="T100" s="246">
        <f t="shared" si="4"/>
        <v>4.0305426565158897E-2</v>
      </c>
    </row>
    <row r="101" spans="1:20" ht="15" customHeight="1">
      <c r="A101" s="231" t="s">
        <v>604</v>
      </c>
      <c r="B101" s="231" t="s">
        <v>600</v>
      </c>
      <c r="C101" s="231" t="s">
        <v>212</v>
      </c>
      <c r="D101" s="231" t="s">
        <v>185</v>
      </c>
      <c r="E101" s="231" t="s">
        <v>186</v>
      </c>
      <c r="F101" s="231" t="s">
        <v>601</v>
      </c>
      <c r="G101" s="231" t="s">
        <v>213</v>
      </c>
      <c r="H101" s="240" t="s">
        <v>603</v>
      </c>
      <c r="I101" s="245">
        <v>21356</v>
      </c>
      <c r="J101" s="243"/>
      <c r="K101" s="243"/>
      <c r="L101" s="244">
        <f t="shared" si="3"/>
        <v>21356</v>
      </c>
      <c r="M101" s="245">
        <v>21356</v>
      </c>
      <c r="N101" s="245">
        <v>64068</v>
      </c>
      <c r="O101" s="245">
        <v>106780</v>
      </c>
      <c r="P101" s="240" t="s">
        <v>603</v>
      </c>
      <c r="Q101" s="245">
        <v>42712</v>
      </c>
      <c r="R101">
        <v>20433.96</v>
      </c>
      <c r="T101" s="246">
        <f t="shared" si="4"/>
        <v>4.3174751826184722E-2</v>
      </c>
    </row>
    <row r="102" spans="1:20" ht="15" customHeight="1">
      <c r="A102" s="231" t="s">
        <v>604</v>
      </c>
      <c r="B102" s="231" t="s">
        <v>600</v>
      </c>
      <c r="C102" s="231" t="s">
        <v>212</v>
      </c>
      <c r="D102" s="231" t="s">
        <v>187</v>
      </c>
      <c r="E102" s="231" t="s">
        <v>188</v>
      </c>
      <c r="F102" s="231" t="s">
        <v>601</v>
      </c>
      <c r="G102" s="231" t="s">
        <v>213</v>
      </c>
      <c r="H102" s="240" t="s">
        <v>602</v>
      </c>
      <c r="I102" s="243"/>
      <c r="J102" s="243"/>
      <c r="K102" s="243" t="s">
        <v>641</v>
      </c>
      <c r="L102" s="244">
        <f t="shared" si="3"/>
        <v>6415.09</v>
      </c>
      <c r="M102" s="245">
        <v>7632.07</v>
      </c>
      <c r="N102" s="245">
        <v>6415.09</v>
      </c>
      <c r="O102" s="245">
        <v>14047.16</v>
      </c>
      <c r="P102" s="240" t="s">
        <v>603</v>
      </c>
      <c r="Q102" s="245">
        <v>7632.07</v>
      </c>
      <c r="R102">
        <v>0</v>
      </c>
      <c r="S102" s="255">
        <f>L102*0.95</f>
        <v>6094.3355000000001</v>
      </c>
      <c r="T102" s="246">
        <f>(L102-R102-S102)/M102</f>
        <v>4.2027195767334422E-2</v>
      </c>
    </row>
    <row r="103" spans="1:20" ht="15" customHeight="1">
      <c r="A103" s="231" t="s">
        <v>604</v>
      </c>
      <c r="B103" s="231" t="s">
        <v>600</v>
      </c>
      <c r="C103" s="231" t="s">
        <v>212</v>
      </c>
      <c r="D103" s="231" t="s">
        <v>189</v>
      </c>
      <c r="E103" s="231" t="s">
        <v>190</v>
      </c>
      <c r="F103" s="231" t="s">
        <v>601</v>
      </c>
      <c r="G103" s="231" t="s">
        <v>213</v>
      </c>
      <c r="H103" s="240" t="s">
        <v>603</v>
      </c>
      <c r="I103" s="245">
        <v>20147.169999999998</v>
      </c>
      <c r="J103" s="243"/>
      <c r="K103" s="243"/>
      <c r="L103" s="244">
        <f t="shared" si="3"/>
        <v>79653.53</v>
      </c>
      <c r="M103" s="245">
        <v>79653.53</v>
      </c>
      <c r="N103" s="245">
        <v>60441.51</v>
      </c>
      <c r="O103" s="245">
        <v>160242.21</v>
      </c>
      <c r="P103" s="240" t="s">
        <v>603</v>
      </c>
      <c r="Q103" s="245">
        <v>99800.7</v>
      </c>
      <c r="R103">
        <v>75720.960000000006</v>
      </c>
      <c r="T103" s="246">
        <f t="shared" si="4"/>
        <v>4.9370944388779661E-2</v>
      </c>
    </row>
    <row r="104" spans="1:20" ht="15" customHeight="1">
      <c r="A104" s="231" t="s">
        <v>604</v>
      </c>
      <c r="B104" s="231" t="s">
        <v>600</v>
      </c>
      <c r="C104" s="231" t="s">
        <v>212</v>
      </c>
      <c r="D104" s="231" t="s">
        <v>191</v>
      </c>
      <c r="E104" s="231" t="s">
        <v>192</v>
      </c>
      <c r="F104" s="231" t="s">
        <v>601</v>
      </c>
      <c r="G104" s="231" t="s">
        <v>213</v>
      </c>
      <c r="H104" s="240" t="s">
        <v>603</v>
      </c>
      <c r="I104" s="245">
        <v>14103.02</v>
      </c>
      <c r="J104" s="243"/>
      <c r="K104" s="243"/>
      <c r="L104" s="244">
        <f t="shared" si="3"/>
        <v>14103.02</v>
      </c>
      <c r="M104" s="245">
        <v>14103.02</v>
      </c>
      <c r="N104" s="245">
        <v>42309.06</v>
      </c>
      <c r="O104" s="245">
        <v>70515.100000000006</v>
      </c>
      <c r="P104" s="240" t="s">
        <v>603</v>
      </c>
      <c r="Q104" s="245">
        <v>28206.04</v>
      </c>
      <c r="R104">
        <v>13406.35</v>
      </c>
      <c r="T104" s="246">
        <f t="shared" si="4"/>
        <v>4.9398639440346823E-2</v>
      </c>
    </row>
    <row r="105" spans="1:20" ht="15" customHeight="1">
      <c r="A105" s="231" t="s">
        <v>604</v>
      </c>
      <c r="B105" s="231" t="s">
        <v>600</v>
      </c>
      <c r="C105" s="231" t="s">
        <v>212</v>
      </c>
      <c r="D105" s="231" t="s">
        <v>193</v>
      </c>
      <c r="E105" s="231" t="s">
        <v>194</v>
      </c>
      <c r="F105" s="231" t="s">
        <v>601</v>
      </c>
      <c r="G105" s="231" t="s">
        <v>213</v>
      </c>
      <c r="H105" s="240" t="s">
        <v>602</v>
      </c>
      <c r="I105" s="243"/>
      <c r="J105" s="243"/>
      <c r="K105" s="243"/>
      <c r="L105" s="244">
        <f t="shared" si="3"/>
        <v>0</v>
      </c>
      <c r="M105" s="243"/>
      <c r="N105" s="243"/>
      <c r="O105" s="243"/>
      <c r="P105" s="240" t="s">
        <v>602</v>
      </c>
      <c r="Q105" s="243"/>
      <c r="T105" s="246" t="e">
        <f t="shared" si="4"/>
        <v>#DIV/0!</v>
      </c>
    </row>
    <row r="106" spans="1:20" ht="15" customHeight="1">
      <c r="A106" s="231" t="s">
        <v>604</v>
      </c>
      <c r="B106" s="231" t="s">
        <v>600</v>
      </c>
      <c r="C106" s="231" t="s">
        <v>212</v>
      </c>
      <c r="D106" s="231" t="s">
        <v>195</v>
      </c>
      <c r="E106" s="231" t="s">
        <v>196</v>
      </c>
      <c r="F106" s="231" t="s">
        <v>601</v>
      </c>
      <c r="G106" s="231" t="s">
        <v>213</v>
      </c>
      <c r="H106" s="240" t="s">
        <v>602</v>
      </c>
      <c r="I106" s="243"/>
      <c r="J106" s="243"/>
      <c r="K106" s="243" t="s">
        <v>642</v>
      </c>
      <c r="L106" s="244">
        <f t="shared" si="3"/>
        <v>0</v>
      </c>
      <c r="M106" s="245">
        <v>1250</v>
      </c>
      <c r="N106" s="245">
        <v>987651.01</v>
      </c>
      <c r="O106" s="245">
        <v>988901.01</v>
      </c>
      <c r="P106" s="240" t="s">
        <v>603</v>
      </c>
      <c r="Q106" s="245">
        <v>1250</v>
      </c>
      <c r="S106" s="255"/>
      <c r="T106" s="246">
        <f>(L106-R106-S106)/M106</f>
        <v>0</v>
      </c>
    </row>
    <row r="107" spans="1:20" ht="15" customHeight="1">
      <c r="A107" s="231" t="s">
        <v>604</v>
      </c>
      <c r="B107" s="231" t="s">
        <v>600</v>
      </c>
      <c r="C107" s="231" t="s">
        <v>212</v>
      </c>
      <c r="D107" s="231" t="s">
        <v>197</v>
      </c>
      <c r="E107" s="231" t="s">
        <v>198</v>
      </c>
      <c r="F107" s="231" t="s">
        <v>601</v>
      </c>
      <c r="G107" s="231" t="s">
        <v>213</v>
      </c>
      <c r="H107" s="240" t="s">
        <v>602</v>
      </c>
      <c r="I107" s="243"/>
      <c r="J107" s="243"/>
      <c r="K107" s="243"/>
      <c r="L107" s="244">
        <f t="shared" si="3"/>
        <v>979857.64</v>
      </c>
      <c r="M107" s="245">
        <v>979857.64</v>
      </c>
      <c r="N107" s="245">
        <v>734529.02</v>
      </c>
      <c r="O107" s="245">
        <v>1714386.66</v>
      </c>
      <c r="P107" s="240" t="s">
        <v>603</v>
      </c>
      <c r="Q107" s="245">
        <v>979857.64</v>
      </c>
      <c r="R107">
        <v>971140.75</v>
      </c>
      <c r="T107" s="246">
        <f t="shared" si="4"/>
        <v>8.8960780057805271E-3</v>
      </c>
    </row>
    <row r="108" spans="1:20" ht="15" customHeight="1">
      <c r="A108" s="231" t="s">
        <v>604</v>
      </c>
      <c r="B108" s="231" t="s">
        <v>600</v>
      </c>
      <c r="C108" s="231" t="s">
        <v>212</v>
      </c>
      <c r="D108" s="231" t="s">
        <v>529</v>
      </c>
      <c r="E108" s="231" t="s">
        <v>530</v>
      </c>
      <c r="F108" s="231" t="s">
        <v>601</v>
      </c>
      <c r="G108" s="231" t="s">
        <v>213</v>
      </c>
      <c r="H108" s="240" t="s">
        <v>603</v>
      </c>
      <c r="I108" s="245">
        <v>727564.65</v>
      </c>
      <c r="J108" s="243"/>
      <c r="K108" s="243"/>
      <c r="L108" s="244">
        <f t="shared" si="3"/>
        <v>-727564.65</v>
      </c>
      <c r="M108" s="245">
        <v>-727564.65</v>
      </c>
      <c r="N108" s="243"/>
      <c r="O108" s="243"/>
      <c r="P108" s="240" t="s">
        <v>602</v>
      </c>
      <c r="Q108" s="243"/>
      <c r="R108">
        <v>0</v>
      </c>
      <c r="T108" s="246">
        <f t="shared" si="4"/>
        <v>1</v>
      </c>
    </row>
    <row r="109" spans="1:20" ht="15" customHeight="1">
      <c r="A109" s="231" t="s">
        <v>604</v>
      </c>
      <c r="B109" s="231" t="s">
        <v>600</v>
      </c>
      <c r="C109" s="231" t="s">
        <v>212</v>
      </c>
      <c r="D109" s="231" t="s">
        <v>610</v>
      </c>
      <c r="E109" s="231" t="s">
        <v>611</v>
      </c>
      <c r="F109" s="231" t="s">
        <v>601</v>
      </c>
      <c r="G109" s="231" t="s">
        <v>213</v>
      </c>
      <c r="H109" s="240" t="s">
        <v>602</v>
      </c>
      <c r="I109" s="243"/>
      <c r="J109" s="243"/>
      <c r="K109" s="243"/>
      <c r="L109" s="244">
        <f t="shared" si="3"/>
        <v>727564.65</v>
      </c>
      <c r="M109" s="245">
        <v>727564.65</v>
      </c>
      <c r="N109" s="243"/>
      <c r="O109" s="245">
        <v>727564.65</v>
      </c>
      <c r="P109" s="240" t="s">
        <v>603</v>
      </c>
      <c r="Q109" s="245">
        <v>727564.65</v>
      </c>
      <c r="R109">
        <v>0</v>
      </c>
      <c r="T109" s="246">
        <f t="shared" si="4"/>
        <v>1</v>
      </c>
    </row>
    <row r="110" spans="1:20" ht="15" customHeight="1">
      <c r="A110" s="231" t="s">
        <v>604</v>
      </c>
      <c r="B110" s="231" t="s">
        <v>600</v>
      </c>
      <c r="C110" s="231" t="s">
        <v>212</v>
      </c>
      <c r="D110" s="231" t="s">
        <v>199</v>
      </c>
      <c r="E110" s="231" t="s">
        <v>200</v>
      </c>
      <c r="F110" s="231" t="s">
        <v>601</v>
      </c>
      <c r="G110" s="231" t="s">
        <v>213</v>
      </c>
      <c r="H110" s="240" t="s">
        <v>602</v>
      </c>
      <c r="I110" s="243"/>
      <c r="J110" s="243"/>
      <c r="K110" s="243"/>
      <c r="L110" s="244">
        <f t="shared" si="3"/>
        <v>62254.75</v>
      </c>
      <c r="M110" s="245">
        <v>62254.75</v>
      </c>
      <c r="N110" s="245">
        <v>68480.23</v>
      </c>
      <c r="O110" s="245">
        <v>130734.98</v>
      </c>
      <c r="P110" s="240" t="s">
        <v>603</v>
      </c>
      <c r="Q110" s="245">
        <v>62254.75</v>
      </c>
      <c r="R110">
        <v>52683.77</v>
      </c>
      <c r="S110">
        <v>3112.74</v>
      </c>
      <c r="T110" s="246">
        <f t="shared" si="4"/>
        <v>0.10373891148868164</v>
      </c>
    </row>
    <row r="111" spans="1:20" ht="15" customHeight="1">
      <c r="A111" s="231" t="s">
        <v>604</v>
      </c>
      <c r="B111" s="231" t="s">
        <v>600</v>
      </c>
      <c r="C111" s="231" t="s">
        <v>212</v>
      </c>
      <c r="D111" s="231" t="s">
        <v>238</v>
      </c>
      <c r="E111" s="231" t="s">
        <v>239</v>
      </c>
      <c r="F111" s="231" t="s">
        <v>601</v>
      </c>
      <c r="G111" s="231" t="s">
        <v>213</v>
      </c>
      <c r="H111" s="240" t="s">
        <v>603</v>
      </c>
      <c r="I111" s="245">
        <v>340566.03</v>
      </c>
      <c r="J111" s="243"/>
      <c r="K111" s="243" t="s">
        <v>643</v>
      </c>
      <c r="L111" s="244">
        <f t="shared" si="3"/>
        <v>33061.339999999997</v>
      </c>
      <c r="M111" s="245">
        <v>42320.77</v>
      </c>
      <c r="N111" s="245">
        <v>41424.300000000003</v>
      </c>
      <c r="O111" s="245">
        <v>424311.1</v>
      </c>
      <c r="P111" s="240" t="s">
        <v>603</v>
      </c>
      <c r="Q111" s="245">
        <v>382886.8</v>
      </c>
      <c r="R111">
        <v>0</v>
      </c>
      <c r="S111" s="255">
        <f>L111*0.95</f>
        <v>31408.272999999994</v>
      </c>
      <c r="T111" s="246">
        <f>(L111-R111-S111)/M111</f>
        <v>3.9060418796728009E-2</v>
      </c>
    </row>
    <row r="112" spans="1:20" ht="15" customHeight="1">
      <c r="A112" s="231" t="s">
        <v>604</v>
      </c>
      <c r="B112" s="231" t="s">
        <v>600</v>
      </c>
      <c r="C112" s="231" t="s">
        <v>212</v>
      </c>
      <c r="D112" s="231" t="s">
        <v>580</v>
      </c>
      <c r="E112" s="231" t="s">
        <v>581</v>
      </c>
      <c r="F112" s="231" t="s">
        <v>601</v>
      </c>
      <c r="G112" s="231" t="s">
        <v>213</v>
      </c>
      <c r="H112" s="240" t="s">
        <v>602</v>
      </c>
      <c r="I112" s="243"/>
      <c r="J112" s="243"/>
      <c r="K112" s="243"/>
      <c r="L112" s="244">
        <f t="shared" si="3"/>
        <v>11529.22</v>
      </c>
      <c r="M112" s="245">
        <v>11529.22</v>
      </c>
      <c r="N112" s="243"/>
      <c r="O112" s="245">
        <v>11529.22</v>
      </c>
      <c r="P112" s="240" t="s">
        <v>603</v>
      </c>
      <c r="Q112" s="245">
        <v>11529.22</v>
      </c>
      <c r="R112">
        <v>0</v>
      </c>
      <c r="S112" s="255">
        <v>10952.758999999998</v>
      </c>
      <c r="T112" s="246">
        <f t="shared" si="4"/>
        <v>5.00000000000001E-2</v>
      </c>
    </row>
    <row r="113" spans="1:20" ht="15" customHeight="1">
      <c r="A113" s="231" t="s">
        <v>604</v>
      </c>
      <c r="B113" s="231" t="s">
        <v>600</v>
      </c>
      <c r="C113" s="231" t="s">
        <v>212</v>
      </c>
      <c r="D113" s="231" t="s">
        <v>582</v>
      </c>
      <c r="E113" s="231" t="s">
        <v>583</v>
      </c>
      <c r="F113" s="231" t="s">
        <v>601</v>
      </c>
      <c r="G113" s="231" t="s">
        <v>213</v>
      </c>
      <c r="H113" s="240" t="s">
        <v>602</v>
      </c>
      <c r="I113" s="243"/>
      <c r="J113" s="243"/>
      <c r="K113" s="243"/>
      <c r="L113" s="244">
        <f t="shared" si="3"/>
        <v>17346.72</v>
      </c>
      <c r="M113" s="245">
        <v>17346.72</v>
      </c>
      <c r="N113" s="243"/>
      <c r="O113" s="245">
        <v>17346.72</v>
      </c>
      <c r="P113" s="240" t="s">
        <v>603</v>
      </c>
      <c r="Q113" s="245">
        <v>17346.72</v>
      </c>
      <c r="R113">
        <v>0</v>
      </c>
      <c r="S113" s="255">
        <v>16479.384000000002</v>
      </c>
      <c r="T113" s="246">
        <f t="shared" si="4"/>
        <v>4.9999999999999961E-2</v>
      </c>
    </row>
    <row r="114" spans="1:20" ht="15" customHeight="1">
      <c r="A114" s="231" t="s">
        <v>604</v>
      </c>
      <c r="B114" s="231" t="s">
        <v>600</v>
      </c>
      <c r="C114" s="231" t="s">
        <v>212</v>
      </c>
      <c r="D114" s="231" t="s">
        <v>532</v>
      </c>
      <c r="E114" s="231" t="s">
        <v>533</v>
      </c>
      <c r="F114" s="231" t="s">
        <v>601</v>
      </c>
      <c r="G114" s="231" t="s">
        <v>213</v>
      </c>
      <c r="H114" s="240" t="s">
        <v>603</v>
      </c>
      <c r="I114" s="245">
        <v>85762.84</v>
      </c>
      <c r="J114" s="243"/>
      <c r="K114" s="243"/>
      <c r="L114" s="244">
        <f t="shared" si="3"/>
        <v>98721.13</v>
      </c>
      <c r="M114" s="245">
        <v>98721.13</v>
      </c>
      <c r="N114" s="243"/>
      <c r="O114" s="245">
        <v>184483.97</v>
      </c>
      <c r="P114" s="240" t="s">
        <v>603</v>
      </c>
      <c r="Q114" s="245">
        <v>184483.97</v>
      </c>
      <c r="R114">
        <v>94742.14</v>
      </c>
      <c r="T114" s="246">
        <f t="shared" si="4"/>
        <v>4.0305353068790899E-2</v>
      </c>
    </row>
    <row r="115" spans="1:20" ht="15" customHeight="1">
      <c r="A115" s="231" t="s">
        <v>604</v>
      </c>
      <c r="B115" s="231" t="s">
        <v>600</v>
      </c>
      <c r="C115" s="231" t="s">
        <v>212</v>
      </c>
      <c r="D115" s="231" t="s">
        <v>612</v>
      </c>
      <c r="E115" s="231" t="s">
        <v>613</v>
      </c>
      <c r="F115" s="231" t="s">
        <v>601</v>
      </c>
      <c r="G115" s="231" t="s">
        <v>213</v>
      </c>
      <c r="H115" s="240" t="s">
        <v>602</v>
      </c>
      <c r="I115" s="243"/>
      <c r="J115" s="243"/>
      <c r="K115" s="243"/>
      <c r="L115" s="244">
        <f t="shared" si="3"/>
        <v>1507264.11</v>
      </c>
      <c r="M115" s="245">
        <v>1507264.11</v>
      </c>
      <c r="N115" s="243"/>
      <c r="O115" s="245">
        <v>1507264.11</v>
      </c>
      <c r="P115" s="240" t="s">
        <v>603</v>
      </c>
      <c r="Q115" s="245">
        <v>1507264.11</v>
      </c>
      <c r="R115">
        <v>1432794.48</v>
      </c>
      <c r="T115" s="246">
        <f t="shared" si="4"/>
        <v>4.9407153999042754E-2</v>
      </c>
    </row>
    <row r="116" spans="1:20" ht="15" customHeight="1">
      <c r="A116" s="250" t="s">
        <v>604</v>
      </c>
      <c r="B116" s="250" t="s">
        <v>492</v>
      </c>
      <c r="C116" s="250" t="s">
        <v>492</v>
      </c>
      <c r="D116" s="250" t="s">
        <v>492</v>
      </c>
      <c r="E116" s="250" t="s">
        <v>492</v>
      </c>
      <c r="F116" s="250" t="s">
        <v>492</v>
      </c>
      <c r="G116" s="250" t="s">
        <v>492</v>
      </c>
      <c r="H116" s="251" t="s">
        <v>603</v>
      </c>
      <c r="I116" s="247">
        <v>5401474.0199999996</v>
      </c>
      <c r="J116" s="252"/>
      <c r="K116" s="252"/>
      <c r="L116" s="253">
        <v>7844924.4199999999</v>
      </c>
      <c r="M116" s="247">
        <v>7844924.4199999999</v>
      </c>
      <c r="N116" s="247">
        <v>79061934.409999996</v>
      </c>
      <c r="O116" s="247">
        <v>92308332.849999994</v>
      </c>
      <c r="P116" s="251" t="s">
        <v>603</v>
      </c>
      <c r="Q116" s="247">
        <v>13246398.439999999</v>
      </c>
      <c r="R116" s="213">
        <f>SUM(R29:R115)</f>
        <v>6305562.4099999983</v>
      </c>
      <c r="S116" s="213"/>
    </row>
    <row r="117" spans="1:20" ht="15" customHeight="1">
      <c r="A117" s="231" t="s">
        <v>492</v>
      </c>
      <c r="B117" s="231" t="s">
        <v>492</v>
      </c>
      <c r="C117" s="231" t="s">
        <v>492</v>
      </c>
      <c r="D117" s="231" t="s">
        <v>492</v>
      </c>
      <c r="E117" s="231" t="s">
        <v>492</v>
      </c>
      <c r="F117" s="231" t="s">
        <v>492</v>
      </c>
      <c r="G117" s="231" t="s">
        <v>492</v>
      </c>
      <c r="H117" s="240" t="s">
        <v>603</v>
      </c>
      <c r="I117" s="245">
        <v>5401474.0199999996</v>
      </c>
      <c r="J117" s="243"/>
      <c r="K117" s="243"/>
      <c r="L117" s="244">
        <v>7996947.4000000004</v>
      </c>
      <c r="M117" s="245">
        <v>7996947.4000000004</v>
      </c>
      <c r="N117" s="245">
        <v>81950290.090000004</v>
      </c>
      <c r="O117" s="245">
        <v>95348711.510000005</v>
      </c>
      <c r="P117" s="240" t="s">
        <v>603</v>
      </c>
      <c r="Q117" s="245">
        <v>13398421.42</v>
      </c>
    </row>
    <row r="118" spans="1:20" ht="30" customHeight="1">
      <c r="A118" s="607" t="s">
        <v>614</v>
      </c>
      <c r="B118" s="607" t="s">
        <v>614</v>
      </c>
      <c r="C118" s="607" t="s">
        <v>614</v>
      </c>
      <c r="D118" s="607" t="s">
        <v>614</v>
      </c>
      <c r="E118" s="607" t="s">
        <v>614</v>
      </c>
      <c r="F118" s="607" t="s">
        <v>614</v>
      </c>
      <c r="G118" s="607" t="s">
        <v>614</v>
      </c>
      <c r="H118" s="607" t="s">
        <v>614</v>
      </c>
      <c r="I118" s="607" t="s">
        <v>614</v>
      </c>
      <c r="J118" s="607" t="s">
        <v>614</v>
      </c>
      <c r="K118" s="607"/>
      <c r="L118" s="607"/>
      <c r="M118" s="607" t="s">
        <v>614</v>
      </c>
      <c r="N118" s="607" t="s">
        <v>614</v>
      </c>
      <c r="O118" s="607" t="s">
        <v>614</v>
      </c>
      <c r="P118" s="607" t="s">
        <v>614</v>
      </c>
      <c r="Q118" s="607" t="s">
        <v>614</v>
      </c>
    </row>
    <row r="119" spans="1:20" ht="30" customHeight="1">
      <c r="A119" s="607" t="s">
        <v>615</v>
      </c>
      <c r="B119" s="607" t="s">
        <v>615</v>
      </c>
      <c r="C119" s="607" t="s">
        <v>615</v>
      </c>
      <c r="D119" s="607" t="s">
        <v>615</v>
      </c>
      <c r="E119" s="607" t="s">
        <v>615</v>
      </c>
      <c r="F119" s="607" t="s">
        <v>615</v>
      </c>
      <c r="G119" s="607" t="s">
        <v>615</v>
      </c>
      <c r="H119" s="607" t="s">
        <v>615</v>
      </c>
      <c r="I119" s="607" t="s">
        <v>615</v>
      </c>
      <c r="J119" s="607" t="s">
        <v>615</v>
      </c>
      <c r="K119" s="607"/>
      <c r="L119" s="607"/>
      <c r="M119" s="607" t="s">
        <v>615</v>
      </c>
      <c r="N119" s="607" t="s">
        <v>615</v>
      </c>
      <c r="O119" s="607" t="s">
        <v>615</v>
      </c>
      <c r="P119" s="607" t="s">
        <v>615</v>
      </c>
      <c r="Q119" s="607" t="s">
        <v>615</v>
      </c>
    </row>
    <row r="120" spans="1:20" ht="30" customHeight="1">
      <c r="A120" s="607" t="s">
        <v>616</v>
      </c>
      <c r="B120" s="607" t="s">
        <v>616</v>
      </c>
      <c r="C120" s="607" t="s">
        <v>616</v>
      </c>
      <c r="D120" s="607" t="s">
        <v>616</v>
      </c>
      <c r="E120" s="607" t="s">
        <v>616</v>
      </c>
      <c r="F120" s="607" t="s">
        <v>616</v>
      </c>
      <c r="G120" s="607" t="s">
        <v>616</v>
      </c>
      <c r="H120" s="607" t="s">
        <v>616</v>
      </c>
      <c r="I120" s="607" t="s">
        <v>616</v>
      </c>
      <c r="J120" s="607" t="s">
        <v>616</v>
      </c>
      <c r="K120" s="607"/>
      <c r="L120" s="607"/>
      <c r="M120" s="607" t="s">
        <v>616</v>
      </c>
      <c r="N120" s="607" t="s">
        <v>616</v>
      </c>
      <c r="O120" s="607" t="s">
        <v>616</v>
      </c>
      <c r="P120" s="607" t="s">
        <v>616</v>
      </c>
      <c r="Q120" s="607" t="s">
        <v>616</v>
      </c>
    </row>
  </sheetData>
  <mergeCells count="17">
    <mergeCell ref="A5:Q5"/>
    <mergeCell ref="A6:Q6"/>
    <mergeCell ref="A7:Q7"/>
    <mergeCell ref="A8:Q8"/>
    <mergeCell ref="A9:A10"/>
    <mergeCell ref="B9:B10"/>
    <mergeCell ref="C9:C10"/>
    <mergeCell ref="D9:D10"/>
    <mergeCell ref="E9:E10"/>
    <mergeCell ref="F9:F10"/>
    <mergeCell ref="A120:Q120"/>
    <mergeCell ref="G9:G10"/>
    <mergeCell ref="H9:H10"/>
    <mergeCell ref="P9:P10"/>
    <mergeCell ref="R9:R10"/>
    <mergeCell ref="A118:Q118"/>
    <mergeCell ref="A119:Q119"/>
  </mergeCells>
  <phoneticPr fontId="17" type="noConversion"/>
  <pageMargins left="0.75" right="0.75" top="1" bottom="1" header="0.5" footer="0.5"/>
  <pageSetup orientation="portrait" horizontalDpi="300" verticalDpi="300" copies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1"/>
  <dimension ref="B2:AS46"/>
  <sheetViews>
    <sheetView topLeftCell="B1" workbookViewId="0">
      <pane xSplit="18" ySplit="2" topLeftCell="AJ18" activePane="bottomRight" state="frozen"/>
      <selection activeCell="M40" sqref="M40"/>
      <selection pane="topRight" activeCell="M40" sqref="M40"/>
      <selection pane="bottomLeft" activeCell="M40" sqref="M40"/>
      <selection pane="bottomRight" activeCell="M40" sqref="M40"/>
    </sheetView>
  </sheetViews>
  <sheetFormatPr defaultRowHeight="12.75"/>
  <cols>
    <col min="3" max="3" width="13.140625" customWidth="1"/>
    <col min="4" max="4" width="32.42578125" customWidth="1"/>
    <col min="5" max="5" width="12.5703125" style="14" hidden="1" customWidth="1"/>
    <col min="6" max="6" width="15.140625" hidden="1" customWidth="1"/>
    <col min="7" max="7" width="9.5703125" style="14" hidden="1" customWidth="1"/>
    <col min="8" max="8" width="11" style="14" hidden="1" customWidth="1"/>
    <col min="9" max="9" width="16.42578125" hidden="1" customWidth="1"/>
    <col min="10" max="10" width="13" style="14" hidden="1" customWidth="1"/>
    <col min="11" max="11" width="13.5703125" style="14" hidden="1" customWidth="1"/>
    <col min="12" max="12" width="16" hidden="1" customWidth="1"/>
    <col min="13" max="13" width="9.140625" hidden="1" customWidth="1"/>
    <col min="14" max="14" width="11.7109375" hidden="1" customWidth="1"/>
    <col min="15" max="15" width="13.28515625" hidden="1" customWidth="1"/>
    <col min="16" max="16" width="12" hidden="1" customWidth="1"/>
    <col min="17" max="17" width="13.28515625" hidden="1" customWidth="1"/>
    <col min="18" max="18" width="12.28515625" hidden="1" customWidth="1"/>
    <col min="19" max="19" width="0" hidden="1" customWidth="1"/>
    <col min="20" max="20" width="11.140625" hidden="1" customWidth="1"/>
    <col min="21" max="22" width="12.28515625" hidden="1" customWidth="1"/>
    <col min="23" max="23" width="11.140625" hidden="1" customWidth="1"/>
    <col min="24" max="24" width="12.28515625" hidden="1" customWidth="1"/>
    <col min="25" max="25" width="0" hidden="1" customWidth="1"/>
    <col min="26" max="26" width="11.140625" style="132" hidden="1" customWidth="1"/>
    <col min="27" max="27" width="13.28515625" hidden="1" customWidth="1"/>
    <col min="28" max="28" width="0" hidden="1" customWidth="1"/>
    <col min="29" max="29" width="12.28515625" style="132" hidden="1" customWidth="1"/>
    <col min="30" max="30" width="12.28515625" hidden="1" customWidth="1"/>
    <col min="31" max="32" width="0" hidden="1" customWidth="1"/>
    <col min="33" max="33" width="12" hidden="1" customWidth="1"/>
    <col min="34" max="35" width="0" hidden="1" customWidth="1"/>
    <col min="36" max="36" width="12.28515625" bestFit="1" customWidth="1"/>
    <col min="45" max="45" width="15.140625" bestFit="1" customWidth="1"/>
  </cols>
  <sheetData>
    <row r="2" spans="2:37" s="14" customFormat="1" ht="33">
      <c r="B2" s="276" t="s">
        <v>728</v>
      </c>
      <c r="C2" s="276" t="s">
        <v>729</v>
      </c>
      <c r="D2" s="276" t="s">
        <v>730</v>
      </c>
      <c r="E2" s="276" t="s">
        <v>731</v>
      </c>
      <c r="F2" s="280" t="s">
        <v>732</v>
      </c>
      <c r="G2" s="280" t="s">
        <v>733</v>
      </c>
      <c r="H2" s="280" t="s">
        <v>734</v>
      </c>
      <c r="I2" s="279" t="s">
        <v>735</v>
      </c>
      <c r="J2" s="280" t="s">
        <v>813</v>
      </c>
      <c r="K2" s="280" t="s">
        <v>847</v>
      </c>
      <c r="L2" s="280" t="s">
        <v>848</v>
      </c>
      <c r="M2" s="280" t="s">
        <v>852</v>
      </c>
      <c r="N2" s="280" t="s">
        <v>887</v>
      </c>
      <c r="O2" s="280" t="s">
        <v>888</v>
      </c>
      <c r="P2" s="280" t="s">
        <v>733</v>
      </c>
      <c r="Q2" s="280" t="s">
        <v>907</v>
      </c>
      <c r="R2" s="280" t="s">
        <v>908</v>
      </c>
      <c r="S2" s="274" t="s">
        <v>890</v>
      </c>
      <c r="T2" s="273" t="s">
        <v>943</v>
      </c>
      <c r="U2" s="273" t="s">
        <v>944</v>
      </c>
      <c r="V2" s="274" t="s">
        <v>890</v>
      </c>
      <c r="W2" s="273" t="s">
        <v>958</v>
      </c>
      <c r="X2" s="273" t="s">
        <v>959</v>
      </c>
      <c r="Y2" s="274" t="s">
        <v>890</v>
      </c>
      <c r="Z2" s="320" t="s">
        <v>1011</v>
      </c>
      <c r="AA2" s="273" t="s">
        <v>1013</v>
      </c>
      <c r="AB2" s="274" t="s">
        <v>890</v>
      </c>
      <c r="AC2" s="320" t="s">
        <v>1055</v>
      </c>
      <c r="AD2" s="273" t="s">
        <v>1056</v>
      </c>
      <c r="AE2" s="274" t="s">
        <v>890</v>
      </c>
      <c r="AF2" s="320" t="s">
        <v>1164</v>
      </c>
      <c r="AG2" s="273" t="s">
        <v>1165</v>
      </c>
      <c r="AH2" s="274" t="s">
        <v>890</v>
      </c>
      <c r="AI2" s="320" t="s">
        <v>1308</v>
      </c>
      <c r="AJ2" s="273" t="s">
        <v>1309</v>
      </c>
      <c r="AK2" s="274" t="s">
        <v>1310</v>
      </c>
    </row>
    <row r="3" spans="2:37" ht="16.5">
      <c r="B3" s="259" t="s">
        <v>736</v>
      </c>
      <c r="C3" s="317" t="s">
        <v>737</v>
      </c>
      <c r="D3" s="317" t="s">
        <v>13</v>
      </c>
      <c r="E3" s="304">
        <v>43101</v>
      </c>
      <c r="F3" s="282">
        <v>302887.53999999998</v>
      </c>
      <c r="G3" s="283" t="s">
        <v>738</v>
      </c>
      <c r="H3" s="283"/>
      <c r="I3" s="282">
        <f t="shared" ref="I3:I8" si="0">F3-H3</f>
        <v>302887.53999999998</v>
      </c>
      <c r="J3" s="277" t="s">
        <v>817</v>
      </c>
      <c r="K3" s="277">
        <f>56000</f>
        <v>56000</v>
      </c>
      <c r="L3" s="292">
        <f t="shared" ref="L3:L8" si="1">I3-K3</f>
        <v>246887.53999999998</v>
      </c>
      <c r="M3" s="135" t="s">
        <v>853</v>
      </c>
      <c r="N3" s="135"/>
      <c r="O3" s="303">
        <f t="shared" ref="O3:O8" si="2">L3-N3</f>
        <v>246887.53999999998</v>
      </c>
      <c r="P3" s="277" t="s">
        <v>895</v>
      </c>
      <c r="Q3" s="292">
        <f>200000+(100000-6503.02-46609.44)</f>
        <v>246887.53999999998</v>
      </c>
      <c r="R3" s="292">
        <f t="shared" ref="R3:R8" si="3">O3-Q3</f>
        <v>0</v>
      </c>
      <c r="S3" s="277" t="s">
        <v>917</v>
      </c>
      <c r="T3" s="135"/>
      <c r="U3" s="292">
        <f t="shared" ref="U3:U8" si="4">R3-T3</f>
        <v>0</v>
      </c>
      <c r="V3" s="277" t="s">
        <v>965</v>
      </c>
      <c r="X3" s="206">
        <f t="shared" ref="X3:X8" si="5">U3-W3</f>
        <v>0</v>
      </c>
      <c r="Y3" t="s">
        <v>1021</v>
      </c>
      <c r="AJ3" s="307">
        <f t="shared" ref="AJ3:AJ7" si="6">AG3-AI3</f>
        <v>0</v>
      </c>
    </row>
    <row r="4" spans="2:37" ht="16.5">
      <c r="B4" s="259" t="s">
        <v>739</v>
      </c>
      <c r="C4" s="317" t="s">
        <v>228</v>
      </c>
      <c r="D4" s="317" t="s">
        <v>740</v>
      </c>
      <c r="E4" s="304">
        <v>43101</v>
      </c>
      <c r="F4" s="282">
        <v>10360.379999999999</v>
      </c>
      <c r="G4" s="283" t="s">
        <v>738</v>
      </c>
      <c r="H4" s="283"/>
      <c r="I4" s="282">
        <f t="shared" si="0"/>
        <v>10360.379999999999</v>
      </c>
      <c r="J4" s="277" t="s">
        <v>817</v>
      </c>
      <c r="K4" s="277"/>
      <c r="L4" s="292">
        <f t="shared" si="1"/>
        <v>10360.379999999999</v>
      </c>
      <c r="M4" s="135" t="s">
        <v>853</v>
      </c>
      <c r="N4" s="135"/>
      <c r="O4" s="303">
        <f t="shared" si="2"/>
        <v>10360.379999999999</v>
      </c>
      <c r="P4" s="277" t="s">
        <v>895</v>
      </c>
      <c r="Q4" s="135"/>
      <c r="R4" s="292">
        <f t="shared" si="3"/>
        <v>10360.379999999999</v>
      </c>
      <c r="S4" s="277" t="s">
        <v>917</v>
      </c>
      <c r="T4" s="135"/>
      <c r="U4" s="292">
        <f t="shared" si="4"/>
        <v>10360.379999999999</v>
      </c>
      <c r="V4" s="277" t="s">
        <v>965</v>
      </c>
      <c r="X4" s="206">
        <f t="shared" si="5"/>
        <v>10360.379999999999</v>
      </c>
      <c r="Y4" t="s">
        <v>1021</v>
      </c>
      <c r="Z4" s="348">
        <v>10360.379999999999</v>
      </c>
      <c r="AA4">
        <f>X4-Z4</f>
        <v>0</v>
      </c>
      <c r="AJ4" s="307">
        <f t="shared" si="6"/>
        <v>0</v>
      </c>
    </row>
    <row r="5" spans="2:37" ht="16.5">
      <c r="B5" s="259" t="s">
        <v>739</v>
      </c>
      <c r="C5" s="317" t="s">
        <v>26</v>
      </c>
      <c r="D5" s="317" t="s">
        <v>741</v>
      </c>
      <c r="E5" s="304">
        <v>43101</v>
      </c>
      <c r="F5" s="282">
        <f>3548.57</f>
        <v>3548.57</v>
      </c>
      <c r="G5" s="283" t="s">
        <v>738</v>
      </c>
      <c r="H5" s="283"/>
      <c r="I5" s="282">
        <f t="shared" si="0"/>
        <v>3548.57</v>
      </c>
      <c r="J5" s="277" t="s">
        <v>817</v>
      </c>
      <c r="K5" s="277"/>
      <c r="L5" s="292">
        <f t="shared" si="1"/>
        <v>3548.57</v>
      </c>
      <c r="M5" s="135" t="s">
        <v>853</v>
      </c>
      <c r="N5" s="135"/>
      <c r="O5" s="303">
        <f t="shared" si="2"/>
        <v>3548.57</v>
      </c>
      <c r="P5" s="277" t="s">
        <v>895</v>
      </c>
      <c r="Q5" s="135"/>
      <c r="R5" s="292">
        <f t="shared" si="3"/>
        <v>3548.57</v>
      </c>
      <c r="S5" s="277" t="s">
        <v>917</v>
      </c>
      <c r="T5" s="135"/>
      <c r="U5" s="292">
        <f t="shared" si="4"/>
        <v>3548.57</v>
      </c>
      <c r="V5" s="277" t="s">
        <v>965</v>
      </c>
      <c r="X5" s="206">
        <f t="shared" si="5"/>
        <v>3548.57</v>
      </c>
      <c r="Y5" t="s">
        <v>1021</v>
      </c>
      <c r="Z5" s="348">
        <v>3548.57</v>
      </c>
      <c r="AA5">
        <f>X5-Z5</f>
        <v>0</v>
      </c>
      <c r="AJ5" s="307">
        <f t="shared" si="6"/>
        <v>0</v>
      </c>
    </row>
    <row r="6" spans="2:37" ht="16.5">
      <c r="B6" s="259" t="s">
        <v>739</v>
      </c>
      <c r="C6" s="317" t="s">
        <v>230</v>
      </c>
      <c r="D6" s="317" t="s">
        <v>742</v>
      </c>
      <c r="E6" s="304">
        <v>43101</v>
      </c>
      <c r="F6" s="282">
        <v>8612.92</v>
      </c>
      <c r="G6" s="283" t="s">
        <v>743</v>
      </c>
      <c r="H6" s="283"/>
      <c r="I6" s="282">
        <f t="shared" si="0"/>
        <v>8612.92</v>
      </c>
      <c r="J6" s="277" t="s">
        <v>817</v>
      </c>
      <c r="K6" s="277"/>
      <c r="L6" s="292">
        <f t="shared" si="1"/>
        <v>8612.92</v>
      </c>
      <c r="M6" s="135" t="s">
        <v>853</v>
      </c>
      <c r="N6" s="135"/>
      <c r="O6" s="303">
        <f t="shared" si="2"/>
        <v>8612.92</v>
      </c>
      <c r="P6" s="277" t="s">
        <v>895</v>
      </c>
      <c r="Q6" s="135"/>
      <c r="R6" s="292">
        <f t="shared" si="3"/>
        <v>8612.92</v>
      </c>
      <c r="S6" s="277" t="s">
        <v>917</v>
      </c>
      <c r="T6" s="135"/>
      <c r="U6" s="292">
        <f t="shared" si="4"/>
        <v>8612.92</v>
      </c>
      <c r="V6" s="277" t="s">
        <v>965</v>
      </c>
      <c r="X6" s="206">
        <f t="shared" si="5"/>
        <v>8612.92</v>
      </c>
      <c r="Y6" t="s">
        <v>1021</v>
      </c>
      <c r="Z6" s="348">
        <v>8612.92</v>
      </c>
      <c r="AA6">
        <f>X6-Z6</f>
        <v>0</v>
      </c>
      <c r="AJ6" s="307">
        <f t="shared" si="6"/>
        <v>0</v>
      </c>
    </row>
    <row r="7" spans="2:37" ht="16.5">
      <c r="B7" s="259" t="s">
        <v>744</v>
      </c>
      <c r="C7" s="317" t="s">
        <v>745</v>
      </c>
      <c r="D7" s="317" t="s">
        <v>746</v>
      </c>
      <c r="E7" s="304">
        <v>43101</v>
      </c>
      <c r="F7" s="135">
        <f>31863*0.95</f>
        <v>30269.85</v>
      </c>
      <c r="G7" s="277" t="s">
        <v>747</v>
      </c>
      <c r="H7" s="277"/>
      <c r="I7" s="282">
        <f t="shared" si="0"/>
        <v>30269.85</v>
      </c>
      <c r="J7" s="277" t="s">
        <v>817</v>
      </c>
      <c r="K7" s="277"/>
      <c r="L7" s="292">
        <f t="shared" si="1"/>
        <v>30269.85</v>
      </c>
      <c r="M7" s="135" t="s">
        <v>853</v>
      </c>
      <c r="N7" s="135"/>
      <c r="O7" s="303">
        <f t="shared" si="2"/>
        <v>30269.85</v>
      </c>
      <c r="P7" s="277" t="s">
        <v>895</v>
      </c>
      <c r="Q7" s="135"/>
      <c r="R7" s="292">
        <f t="shared" si="3"/>
        <v>30269.85</v>
      </c>
      <c r="S7" s="277" t="s">
        <v>917</v>
      </c>
      <c r="T7" s="135"/>
      <c r="U7" s="292">
        <f t="shared" si="4"/>
        <v>30269.85</v>
      </c>
      <c r="V7" s="277" t="s">
        <v>965</v>
      </c>
      <c r="X7" s="206">
        <f t="shared" si="5"/>
        <v>30269.85</v>
      </c>
      <c r="Y7" t="s">
        <v>1021</v>
      </c>
      <c r="AA7">
        <f>X7-Z7</f>
        <v>30269.85</v>
      </c>
      <c r="AB7" t="s">
        <v>1059</v>
      </c>
      <c r="AD7" s="206">
        <f>AA7-AC7</f>
        <v>30269.85</v>
      </c>
      <c r="AE7" s="361" t="s">
        <v>1182</v>
      </c>
      <c r="AF7" s="20">
        <f>32086/1.06</f>
        <v>30269.811320754714</v>
      </c>
      <c r="AG7" s="307">
        <f>AD7-AF7</f>
        <v>3.8679245284583885E-2</v>
      </c>
      <c r="AH7" s="361" t="s">
        <v>1206</v>
      </c>
      <c r="AI7">
        <v>0.04</v>
      </c>
      <c r="AJ7" s="307">
        <f t="shared" si="6"/>
        <v>-1.3207547154161156E-3</v>
      </c>
    </row>
    <row r="8" spans="2:37" ht="16.5">
      <c r="B8" s="259" t="s">
        <v>744</v>
      </c>
      <c r="C8" s="317" t="s">
        <v>584</v>
      </c>
      <c r="D8" s="317" t="s">
        <v>748</v>
      </c>
      <c r="E8" s="304">
        <v>43101</v>
      </c>
      <c r="F8" s="135">
        <f>66375*0.95</f>
        <v>63056.25</v>
      </c>
      <c r="G8" s="277" t="s">
        <v>747</v>
      </c>
      <c r="H8" s="277"/>
      <c r="I8" s="282">
        <f t="shared" si="0"/>
        <v>63056.25</v>
      </c>
      <c r="J8" s="277" t="s">
        <v>817</v>
      </c>
      <c r="K8" s="277"/>
      <c r="L8" s="292">
        <f t="shared" si="1"/>
        <v>63056.25</v>
      </c>
      <c r="M8" s="135" t="s">
        <v>853</v>
      </c>
      <c r="N8" s="135"/>
      <c r="O8" s="303">
        <f t="shared" si="2"/>
        <v>63056.25</v>
      </c>
      <c r="P8" s="277" t="s">
        <v>895</v>
      </c>
      <c r="Q8" s="135"/>
      <c r="R8" s="292">
        <f t="shared" si="3"/>
        <v>63056.25</v>
      </c>
      <c r="S8" s="277" t="s">
        <v>917</v>
      </c>
      <c r="T8" s="135"/>
      <c r="U8" s="292">
        <f t="shared" si="4"/>
        <v>63056.25</v>
      </c>
      <c r="V8" s="277" t="s">
        <v>965</v>
      </c>
      <c r="X8" s="206">
        <f t="shared" si="5"/>
        <v>63056.25</v>
      </c>
      <c r="Y8" t="s">
        <v>1021</v>
      </c>
      <c r="AA8">
        <f>X8-Z8</f>
        <v>63056.25</v>
      </c>
      <c r="AB8" t="s">
        <v>1059</v>
      </c>
      <c r="AD8" s="287">
        <f>AA8-AC8</f>
        <v>63056.25</v>
      </c>
      <c r="AE8" s="361" t="s">
        <v>1182</v>
      </c>
      <c r="AG8" s="307">
        <f>AD8-AF8</f>
        <v>63056.25</v>
      </c>
      <c r="AH8" s="361" t="s">
        <v>1206</v>
      </c>
      <c r="AI8" s="379">
        <f>9286.26+53000</f>
        <v>62286.26</v>
      </c>
      <c r="AJ8" s="307">
        <f>AG8-AI8</f>
        <v>769.98999999999796</v>
      </c>
    </row>
    <row r="9" spans="2:37" ht="19.5" customHeight="1">
      <c r="B9" s="271"/>
      <c r="C9" s="271"/>
      <c r="D9" s="271"/>
      <c r="E9" s="278"/>
      <c r="F9" s="284">
        <f>SUM(F3:F8)</f>
        <v>418735.50999999995</v>
      </c>
      <c r="G9" s="285"/>
      <c r="H9" s="285"/>
      <c r="I9" s="284">
        <f>SUM(I3:I8)</f>
        <v>418735.50999999995</v>
      </c>
      <c r="J9" s="285">
        <f>SUM(J3:J8)</f>
        <v>0</v>
      </c>
      <c r="K9" s="285">
        <f>SUM(K3:K8)</f>
        <v>56000</v>
      </c>
      <c r="L9" s="284">
        <f>SUM(L3:L8)</f>
        <v>362735.50999999995</v>
      </c>
      <c r="M9" s="284"/>
      <c r="N9" s="284"/>
      <c r="O9" s="285">
        <f>SUM(O3:O8)</f>
        <v>362735.50999999995</v>
      </c>
      <c r="P9" s="284"/>
      <c r="Q9" s="284">
        <f>SUM(Q3:Q8)</f>
        <v>246887.53999999998</v>
      </c>
      <c r="R9" s="284">
        <f>SUM(R3:R8)</f>
        <v>115847.97</v>
      </c>
      <c r="S9" s="284"/>
      <c r="T9" s="284"/>
      <c r="U9" s="284">
        <f>SUM(U3:U8)</f>
        <v>115847.97</v>
      </c>
      <c r="V9" s="284"/>
      <c r="W9" s="284"/>
      <c r="X9" s="284">
        <f>SUM(X3:X8)</f>
        <v>115847.97</v>
      </c>
      <c r="Y9" s="284"/>
      <c r="Z9" s="347">
        <f>SUM(Z3:Z8)</f>
        <v>22521.87</v>
      </c>
      <c r="AA9" s="284">
        <f>SUM(AA3:AA8)</f>
        <v>93326.1</v>
      </c>
      <c r="AC9" s="284"/>
      <c r="AD9" s="284">
        <f>SUM(AD3:AD8)</f>
        <v>93326.1</v>
      </c>
      <c r="AE9" s="284" t="s">
        <v>1182</v>
      </c>
      <c r="AF9" s="284"/>
      <c r="AG9" s="284">
        <f>SUM(AG3:AG8)</f>
        <v>63056.288679245285</v>
      </c>
      <c r="AH9" s="284" t="s">
        <v>1206</v>
      </c>
      <c r="AI9" s="284"/>
      <c r="AJ9" s="284"/>
      <c r="AK9" s="284"/>
    </row>
    <row r="10" spans="2:37">
      <c r="O10" s="14"/>
    </row>
    <row r="11" spans="2:37">
      <c r="O11" s="14"/>
    </row>
    <row r="12" spans="2:37" ht="33">
      <c r="B12" s="273" t="s">
        <v>749</v>
      </c>
      <c r="C12" s="273" t="s">
        <v>750</v>
      </c>
      <c r="D12" s="273" t="s">
        <v>751</v>
      </c>
      <c r="E12" s="276" t="s">
        <v>752</v>
      </c>
      <c r="F12" s="279" t="s">
        <v>753</v>
      </c>
      <c r="G12" s="280" t="s">
        <v>754</v>
      </c>
      <c r="H12" s="280" t="s">
        <v>734</v>
      </c>
      <c r="I12" s="279" t="s">
        <v>735</v>
      </c>
      <c r="J12" s="280" t="s">
        <v>813</v>
      </c>
      <c r="K12" s="280" t="s">
        <v>847</v>
      </c>
      <c r="L12" s="279" t="s">
        <v>848</v>
      </c>
      <c r="M12" s="280" t="s">
        <v>852</v>
      </c>
      <c r="N12" s="280" t="s">
        <v>887</v>
      </c>
      <c r="O12" s="280" t="s">
        <v>888</v>
      </c>
      <c r="P12" s="280" t="s">
        <v>733</v>
      </c>
      <c r="Q12" s="280" t="s">
        <v>907</v>
      </c>
      <c r="R12" s="280" t="s">
        <v>908</v>
      </c>
      <c r="S12" s="274" t="s">
        <v>890</v>
      </c>
      <c r="T12" s="273" t="s">
        <v>943</v>
      </c>
      <c r="U12" s="273" t="s">
        <v>944</v>
      </c>
      <c r="V12" s="274" t="s">
        <v>890</v>
      </c>
      <c r="W12" s="273" t="s">
        <v>961</v>
      </c>
      <c r="X12" s="273" t="s">
        <v>959</v>
      </c>
      <c r="Y12" s="274" t="s">
        <v>890</v>
      </c>
      <c r="Z12" s="320" t="s">
        <v>1014</v>
      </c>
      <c r="AA12" s="273" t="s">
        <v>1015</v>
      </c>
      <c r="AB12" s="274" t="s">
        <v>890</v>
      </c>
      <c r="AC12" s="320" t="s">
        <v>1055</v>
      </c>
      <c r="AD12" s="273" t="s">
        <v>1056</v>
      </c>
      <c r="AE12" s="274" t="s">
        <v>890</v>
      </c>
      <c r="AF12" s="320" t="s">
        <v>1164</v>
      </c>
      <c r="AG12" s="273" t="s">
        <v>1165</v>
      </c>
      <c r="AH12" s="274" t="s">
        <v>890</v>
      </c>
      <c r="AI12" s="273" t="s">
        <v>1300</v>
      </c>
      <c r="AJ12" s="274" t="s">
        <v>1305</v>
      </c>
    </row>
    <row r="13" spans="2:37" ht="13.5" hidden="1" customHeight="1">
      <c r="B13" s="259" t="s">
        <v>755</v>
      </c>
      <c r="C13" s="317" t="s">
        <v>756</v>
      </c>
      <c r="D13" s="317" t="s">
        <v>757</v>
      </c>
      <c r="E13" s="304">
        <v>43101</v>
      </c>
      <c r="F13" s="282">
        <v>57409.68</v>
      </c>
      <c r="G13" s="277" t="s">
        <v>758</v>
      </c>
      <c r="H13" s="283"/>
      <c r="I13" s="282">
        <f>F13-H13</f>
        <v>57409.68</v>
      </c>
      <c r="J13" s="277" t="s">
        <v>814</v>
      </c>
      <c r="K13" s="277"/>
      <c r="L13" s="292">
        <f>I13-K13</f>
        <v>57409.68</v>
      </c>
      <c r="M13" s="135" t="s">
        <v>853</v>
      </c>
      <c r="N13" s="135"/>
      <c r="O13" s="303">
        <f>L13-N13</f>
        <v>57409.68</v>
      </c>
      <c r="P13" s="135" t="s">
        <v>893</v>
      </c>
      <c r="Q13" s="135">
        <f>ROUND(1815.5/1.06,2)+(ROUND(132770/1.06,2)-69557.78)</f>
        <v>57409.68</v>
      </c>
      <c r="R13" s="292">
        <f t="shared" ref="R13:R35" si="7">O13-Q13</f>
        <v>0</v>
      </c>
      <c r="S13" s="277" t="s">
        <v>914</v>
      </c>
      <c r="T13" s="135"/>
      <c r="U13" s="292">
        <f>R13-T13</f>
        <v>0</v>
      </c>
      <c r="V13" s="277" t="s">
        <v>963</v>
      </c>
      <c r="X13" s="206">
        <f t="shared" ref="X13:X20" si="8">U13-W13</f>
        <v>0</v>
      </c>
      <c r="Y13" t="s">
        <v>1025</v>
      </c>
      <c r="AA13" s="206">
        <f t="shared" ref="AA13:AA20" si="9">X13-Z13</f>
        <v>0</v>
      </c>
      <c r="AB13" t="s">
        <v>1067</v>
      </c>
      <c r="AD13" s="206">
        <f>AA13-AC13</f>
        <v>0</v>
      </c>
      <c r="AE13" s="361" t="s">
        <v>1174</v>
      </c>
      <c r="AG13" s="206">
        <f>AD13-AF13</f>
        <v>0</v>
      </c>
      <c r="AH13" s="361" t="s">
        <v>1174</v>
      </c>
      <c r="AJ13" s="206">
        <f>AG13-AI13</f>
        <v>0</v>
      </c>
    </row>
    <row r="14" spans="2:37" ht="13.5" hidden="1" customHeight="1">
      <c r="B14" s="259" t="s">
        <v>755</v>
      </c>
      <c r="C14" s="317" t="s">
        <v>759</v>
      </c>
      <c r="D14" s="317" t="s">
        <v>760</v>
      </c>
      <c r="E14" s="304">
        <v>43101</v>
      </c>
      <c r="F14" s="282">
        <v>3126.41</v>
      </c>
      <c r="G14" s="277" t="s">
        <v>758</v>
      </c>
      <c r="H14" s="283"/>
      <c r="I14" s="282">
        <f t="shared" ref="I14:I35" si="10">F14-H14</f>
        <v>3126.41</v>
      </c>
      <c r="J14" s="277" t="s">
        <v>814</v>
      </c>
      <c r="K14" s="277"/>
      <c r="L14" s="292">
        <f t="shared" ref="L14:L35" si="11">I14-K14</f>
        <v>3126.41</v>
      </c>
      <c r="M14" s="135" t="s">
        <v>853</v>
      </c>
      <c r="N14" s="135">
        <f>3126.41</f>
        <v>3126.41</v>
      </c>
      <c r="O14" s="303">
        <f t="shared" ref="O14:O35" si="12">L14-N14</f>
        <v>0</v>
      </c>
      <c r="P14" s="135" t="s">
        <v>893</v>
      </c>
      <c r="Q14" s="135"/>
      <c r="R14" s="292">
        <f t="shared" si="7"/>
        <v>0</v>
      </c>
      <c r="S14" s="277" t="s">
        <v>914</v>
      </c>
      <c r="T14" s="135"/>
      <c r="U14" s="292">
        <f t="shared" ref="U14:U35" si="13">R14-T14</f>
        <v>0</v>
      </c>
      <c r="V14" s="277" t="s">
        <v>963</v>
      </c>
      <c r="X14" s="206">
        <f t="shared" si="8"/>
        <v>0</v>
      </c>
      <c r="Y14" t="s">
        <v>1025</v>
      </c>
      <c r="AA14" s="206">
        <f t="shared" si="9"/>
        <v>0</v>
      </c>
      <c r="AB14" t="s">
        <v>1067</v>
      </c>
      <c r="AD14" s="206">
        <f>AA14-AC14</f>
        <v>0</v>
      </c>
      <c r="AE14" s="361" t="s">
        <v>1174</v>
      </c>
      <c r="AG14" s="206">
        <f t="shared" ref="AG14:AG35" si="14">AD14-AF14</f>
        <v>0</v>
      </c>
      <c r="AH14" s="361" t="s">
        <v>1174</v>
      </c>
      <c r="AJ14" s="206">
        <f t="shared" ref="AJ14:AJ35" si="15">AG14-AI14</f>
        <v>0</v>
      </c>
    </row>
    <row r="15" spans="2:37" ht="13.5" hidden="1" customHeight="1">
      <c r="B15" s="259" t="s">
        <v>755</v>
      </c>
      <c r="C15" s="317" t="s">
        <v>761</v>
      </c>
      <c r="D15" s="317" t="s">
        <v>762</v>
      </c>
      <c r="E15" s="304">
        <v>43101</v>
      </c>
      <c r="F15" s="282">
        <v>18259.38</v>
      </c>
      <c r="G15" s="277" t="s">
        <v>758</v>
      </c>
      <c r="H15" s="283"/>
      <c r="I15" s="282">
        <f t="shared" si="10"/>
        <v>18259.38</v>
      </c>
      <c r="J15" s="277" t="s">
        <v>814</v>
      </c>
      <c r="K15" s="277"/>
      <c r="L15" s="292">
        <f t="shared" si="11"/>
        <v>18259.38</v>
      </c>
      <c r="M15" s="135" t="s">
        <v>853</v>
      </c>
      <c r="N15" s="135"/>
      <c r="O15" s="292">
        <f t="shared" si="12"/>
        <v>18259.38</v>
      </c>
      <c r="P15" s="135" t="s">
        <v>893</v>
      </c>
      <c r="Q15" s="135">
        <f>(ROUND(132770/1.06,2)-55696.94-51298.4)</f>
        <v>18259.379999999997</v>
      </c>
      <c r="R15" s="292">
        <f t="shared" si="7"/>
        <v>0</v>
      </c>
      <c r="S15" s="277" t="s">
        <v>914</v>
      </c>
      <c r="T15" s="135"/>
      <c r="U15" s="292">
        <f t="shared" si="13"/>
        <v>0</v>
      </c>
      <c r="V15" s="277" t="s">
        <v>963</v>
      </c>
      <c r="X15" s="206">
        <f t="shared" si="8"/>
        <v>0</v>
      </c>
      <c r="Y15" t="s">
        <v>1025</v>
      </c>
      <c r="AA15" s="206">
        <f t="shared" si="9"/>
        <v>0</v>
      </c>
      <c r="AB15" t="s">
        <v>1067</v>
      </c>
      <c r="AD15" s="206">
        <f>AA15-AC15</f>
        <v>0</v>
      </c>
      <c r="AE15" s="361" t="s">
        <v>1174</v>
      </c>
      <c r="AG15" s="206">
        <f t="shared" si="14"/>
        <v>0</v>
      </c>
      <c r="AH15" s="361" t="s">
        <v>1174</v>
      </c>
      <c r="AJ15" s="206">
        <f t="shared" si="15"/>
        <v>0</v>
      </c>
    </row>
    <row r="16" spans="2:37" ht="13.5" hidden="1" customHeight="1">
      <c r="B16" s="259" t="s">
        <v>755</v>
      </c>
      <c r="C16" s="317" t="s">
        <v>763</v>
      </c>
      <c r="D16" s="317" t="s">
        <v>764</v>
      </c>
      <c r="E16" s="304">
        <v>43101</v>
      </c>
      <c r="F16" s="282">
        <v>6637.46</v>
      </c>
      <c r="G16" s="277" t="s">
        <v>758</v>
      </c>
      <c r="H16" s="283"/>
      <c r="I16" s="282">
        <f t="shared" si="10"/>
        <v>6637.46</v>
      </c>
      <c r="J16" s="277" t="s">
        <v>814</v>
      </c>
      <c r="K16" s="277"/>
      <c r="L16" s="292">
        <f t="shared" si="11"/>
        <v>6637.46</v>
      </c>
      <c r="M16" s="135" t="s">
        <v>853</v>
      </c>
      <c r="N16" s="135"/>
      <c r="O16" s="292">
        <f t="shared" si="12"/>
        <v>6637.46</v>
      </c>
      <c r="P16" s="135" t="s">
        <v>893</v>
      </c>
      <c r="Q16" s="135"/>
      <c r="R16" s="292">
        <f t="shared" si="7"/>
        <v>6637.46</v>
      </c>
      <c r="S16" s="277" t="s">
        <v>914</v>
      </c>
      <c r="T16" s="323">
        <f>11880-(11880-6637.46)</f>
        <v>6637.46</v>
      </c>
      <c r="U16" s="292">
        <f t="shared" si="13"/>
        <v>0</v>
      </c>
      <c r="V16" s="277" t="s">
        <v>963</v>
      </c>
      <c r="X16" s="206">
        <f t="shared" si="8"/>
        <v>0</v>
      </c>
      <c r="Y16" t="s">
        <v>1025</v>
      </c>
      <c r="AA16" s="206">
        <f t="shared" si="9"/>
        <v>0</v>
      </c>
      <c r="AB16" t="s">
        <v>1067</v>
      </c>
      <c r="AD16" s="206">
        <f>AA16-AC16</f>
        <v>0</v>
      </c>
      <c r="AE16" s="361" t="s">
        <v>1174</v>
      </c>
      <c r="AG16" s="206">
        <f t="shared" si="14"/>
        <v>0</v>
      </c>
      <c r="AH16" s="361" t="s">
        <v>1174</v>
      </c>
      <c r="AJ16" s="206">
        <f t="shared" si="15"/>
        <v>0</v>
      </c>
    </row>
    <row r="17" spans="2:36" ht="13.5" hidden="1" customHeight="1">
      <c r="B17" s="259" t="s">
        <v>755</v>
      </c>
      <c r="C17" s="317" t="s">
        <v>765</v>
      </c>
      <c r="D17" s="317" t="s">
        <v>766</v>
      </c>
      <c r="E17" s="304">
        <v>43101</v>
      </c>
      <c r="F17" s="282">
        <v>61310.55</v>
      </c>
      <c r="G17" s="277" t="s">
        <v>758</v>
      </c>
      <c r="H17" s="283"/>
      <c r="I17" s="282">
        <f t="shared" si="10"/>
        <v>61310.55</v>
      </c>
      <c r="J17" s="277" t="s">
        <v>814</v>
      </c>
      <c r="K17" s="277"/>
      <c r="L17" s="292">
        <f t="shared" si="11"/>
        <v>61310.55</v>
      </c>
      <c r="M17" s="135" t="s">
        <v>853</v>
      </c>
      <c r="N17" s="135"/>
      <c r="O17" s="292">
        <f t="shared" si="12"/>
        <v>61310.55</v>
      </c>
      <c r="P17" s="135" t="s">
        <v>893</v>
      </c>
      <c r="Q17" s="135">
        <f>ROUND(23210/1.06,2)+ROUND(1703.4/1.17,2)</f>
        <v>23352.13</v>
      </c>
      <c r="R17" s="292">
        <f t="shared" si="7"/>
        <v>37958.42</v>
      </c>
      <c r="S17" s="277" t="s">
        <v>914</v>
      </c>
      <c r="T17" s="135"/>
      <c r="U17" s="292">
        <f t="shared" si="13"/>
        <v>37958.42</v>
      </c>
      <c r="V17" s="277" t="s">
        <v>963</v>
      </c>
      <c r="X17" s="206">
        <f t="shared" si="8"/>
        <v>37958.42</v>
      </c>
      <c r="Y17" t="s">
        <v>1025</v>
      </c>
      <c r="AA17" s="206">
        <f t="shared" si="9"/>
        <v>37958.42</v>
      </c>
      <c r="AB17" t="s">
        <v>1067</v>
      </c>
      <c r="AC17" s="132">
        <f>AA17</f>
        <v>37958.42</v>
      </c>
      <c r="AD17" s="206">
        <f>AA17-AC17</f>
        <v>0</v>
      </c>
      <c r="AE17" s="361" t="s">
        <v>1174</v>
      </c>
      <c r="AG17" s="206">
        <f t="shared" si="14"/>
        <v>0</v>
      </c>
      <c r="AH17" s="361" t="s">
        <v>1174</v>
      </c>
      <c r="AJ17" s="206">
        <f t="shared" si="15"/>
        <v>0</v>
      </c>
    </row>
    <row r="18" spans="2:36" ht="13.5" customHeight="1">
      <c r="B18" s="259" t="s">
        <v>755</v>
      </c>
      <c r="C18" s="317" t="s">
        <v>767</v>
      </c>
      <c r="D18" s="317" t="s">
        <v>768</v>
      </c>
      <c r="E18" s="304">
        <v>43101</v>
      </c>
      <c r="F18" s="282">
        <v>4435.6499999999996</v>
      </c>
      <c r="G18" s="277" t="s">
        <v>758</v>
      </c>
      <c r="H18" s="283"/>
      <c r="I18" s="282">
        <f t="shared" si="10"/>
        <v>4435.6499999999996</v>
      </c>
      <c r="J18" s="277" t="s">
        <v>814</v>
      </c>
      <c r="K18" s="277"/>
      <c r="L18" s="292">
        <f t="shared" si="11"/>
        <v>4435.6499999999996</v>
      </c>
      <c r="M18" s="135" t="s">
        <v>853</v>
      </c>
      <c r="N18" s="135"/>
      <c r="O18" s="292">
        <f t="shared" si="12"/>
        <v>4435.6499999999996</v>
      </c>
      <c r="P18" s="135" t="s">
        <v>893</v>
      </c>
      <c r="Q18" s="135"/>
      <c r="R18" s="292">
        <f t="shared" si="7"/>
        <v>4435.6499999999996</v>
      </c>
      <c r="S18" s="277" t="s">
        <v>914</v>
      </c>
      <c r="T18" s="135"/>
      <c r="U18" s="292">
        <f t="shared" si="13"/>
        <v>4435.6499999999996</v>
      </c>
      <c r="V18" s="277" t="s">
        <v>963</v>
      </c>
      <c r="X18" s="206">
        <f t="shared" si="8"/>
        <v>4435.6499999999996</v>
      </c>
      <c r="Y18" t="s">
        <v>1025</v>
      </c>
      <c r="AA18" s="206">
        <f t="shared" si="9"/>
        <v>4435.6499999999996</v>
      </c>
      <c r="AB18" t="s">
        <v>1067</v>
      </c>
      <c r="AD18" s="206">
        <f t="shared" ref="AD18:AD35" si="16">AA18-AC18</f>
        <v>4435.6499999999996</v>
      </c>
      <c r="AE18" s="361" t="s">
        <v>1174</v>
      </c>
      <c r="AG18" s="206">
        <f t="shared" si="14"/>
        <v>4435.6499999999996</v>
      </c>
      <c r="AH18" s="361" t="s">
        <v>1174</v>
      </c>
      <c r="AI18" s="379">
        <v>1935.92</v>
      </c>
      <c r="AJ18" s="206">
        <f t="shared" si="15"/>
        <v>2499.7299999999996</v>
      </c>
    </row>
    <row r="19" spans="2:36" ht="13.5" hidden="1" customHeight="1">
      <c r="B19" s="259" t="s">
        <v>755</v>
      </c>
      <c r="C19" s="317" t="s">
        <v>769</v>
      </c>
      <c r="D19" s="317" t="s">
        <v>770</v>
      </c>
      <c r="E19" s="304">
        <v>43101</v>
      </c>
      <c r="F19" s="282">
        <v>7343.46</v>
      </c>
      <c r="G19" s="277" t="s">
        <v>758</v>
      </c>
      <c r="H19" s="283"/>
      <c r="I19" s="282">
        <f t="shared" si="10"/>
        <v>7343.46</v>
      </c>
      <c r="J19" s="277" t="s">
        <v>814</v>
      </c>
      <c r="K19" s="277"/>
      <c r="L19" s="292">
        <f t="shared" si="11"/>
        <v>7343.46</v>
      </c>
      <c r="M19" s="135" t="s">
        <v>853</v>
      </c>
      <c r="N19" s="135"/>
      <c r="O19" s="292">
        <f t="shared" si="12"/>
        <v>7343.46</v>
      </c>
      <c r="P19" s="135" t="s">
        <v>893</v>
      </c>
      <c r="Q19" s="135"/>
      <c r="R19" s="292">
        <f t="shared" si="7"/>
        <v>7343.46</v>
      </c>
      <c r="S19" s="277" t="s">
        <v>914</v>
      </c>
      <c r="T19" s="135"/>
      <c r="U19" s="292">
        <f t="shared" si="13"/>
        <v>7343.46</v>
      </c>
      <c r="V19" s="277" t="s">
        <v>963</v>
      </c>
      <c r="X19" s="206">
        <f t="shared" si="8"/>
        <v>7343.46</v>
      </c>
      <c r="Y19" t="s">
        <v>1025</v>
      </c>
      <c r="AA19" s="206">
        <f t="shared" si="9"/>
        <v>7343.46</v>
      </c>
      <c r="AB19" t="s">
        <v>1067</v>
      </c>
      <c r="AC19" s="132">
        <f>AA19</f>
        <v>7343.46</v>
      </c>
      <c r="AD19" s="206">
        <f t="shared" si="16"/>
        <v>0</v>
      </c>
      <c r="AE19" s="361" t="s">
        <v>1174</v>
      </c>
      <c r="AG19" s="206">
        <f t="shared" si="14"/>
        <v>0</v>
      </c>
      <c r="AH19" s="361" t="s">
        <v>1174</v>
      </c>
      <c r="AJ19" s="206">
        <f t="shared" si="15"/>
        <v>0</v>
      </c>
    </row>
    <row r="20" spans="2:36" ht="13.5" hidden="1" customHeight="1">
      <c r="B20" s="259" t="s">
        <v>755</v>
      </c>
      <c r="C20" s="317" t="s">
        <v>771</v>
      </c>
      <c r="D20" s="317" t="s">
        <v>772</v>
      </c>
      <c r="E20" s="304">
        <v>43101</v>
      </c>
      <c r="F20" s="282">
        <v>197.14</v>
      </c>
      <c r="G20" s="277" t="s">
        <v>758</v>
      </c>
      <c r="H20" s="283"/>
      <c r="I20" s="282">
        <f t="shared" si="10"/>
        <v>197.14</v>
      </c>
      <c r="J20" s="277" t="s">
        <v>814</v>
      </c>
      <c r="K20" s="277"/>
      <c r="L20" s="292">
        <f t="shared" si="11"/>
        <v>197.14</v>
      </c>
      <c r="M20" s="135" t="s">
        <v>853</v>
      </c>
      <c r="N20" s="135"/>
      <c r="O20" s="292">
        <f t="shared" si="12"/>
        <v>197.14</v>
      </c>
      <c r="P20" s="135" t="s">
        <v>893</v>
      </c>
      <c r="Q20" s="135"/>
      <c r="R20" s="292">
        <f t="shared" si="7"/>
        <v>197.14</v>
      </c>
      <c r="S20" s="277" t="s">
        <v>914</v>
      </c>
      <c r="T20" s="135"/>
      <c r="U20" s="292">
        <f t="shared" si="13"/>
        <v>197.14</v>
      </c>
      <c r="V20" s="277" t="s">
        <v>963</v>
      </c>
      <c r="X20" s="206">
        <f t="shared" si="8"/>
        <v>197.14</v>
      </c>
      <c r="Y20" t="s">
        <v>1025</v>
      </c>
      <c r="AA20" s="206">
        <f t="shared" si="9"/>
        <v>197.14</v>
      </c>
      <c r="AB20" t="s">
        <v>1067</v>
      </c>
      <c r="AD20" s="206">
        <f t="shared" si="16"/>
        <v>197.14</v>
      </c>
      <c r="AE20" s="361" t="s">
        <v>1174</v>
      </c>
      <c r="AG20" s="206">
        <f t="shared" si="14"/>
        <v>197.14</v>
      </c>
      <c r="AH20" s="361" t="s">
        <v>1174</v>
      </c>
      <c r="AI20">
        <v>197.14</v>
      </c>
      <c r="AJ20" s="206">
        <f t="shared" si="15"/>
        <v>0</v>
      </c>
    </row>
    <row r="21" spans="2:36" ht="13.5" customHeight="1">
      <c r="B21" s="259" t="s">
        <v>755</v>
      </c>
      <c r="C21" s="317" t="s">
        <v>773</v>
      </c>
      <c r="D21" s="317" t="s">
        <v>774</v>
      </c>
      <c r="E21" s="304">
        <v>43101</v>
      </c>
      <c r="F21" s="282">
        <v>94228.63</v>
      </c>
      <c r="G21" s="277" t="s">
        <v>758</v>
      </c>
      <c r="H21" s="283"/>
      <c r="I21" s="282">
        <f t="shared" si="10"/>
        <v>94228.63</v>
      </c>
      <c r="J21" s="277" t="s">
        <v>814</v>
      </c>
      <c r="K21" s="277"/>
      <c r="L21" s="292">
        <f t="shared" si="11"/>
        <v>94228.63</v>
      </c>
      <c r="M21" s="135" t="s">
        <v>853</v>
      </c>
      <c r="N21" s="135"/>
      <c r="O21" s="292">
        <f t="shared" si="12"/>
        <v>94228.63</v>
      </c>
      <c r="P21" s="135" t="s">
        <v>893</v>
      </c>
      <c r="Q21" s="135"/>
      <c r="R21" s="292">
        <f t="shared" si="7"/>
        <v>94228.63</v>
      </c>
      <c r="S21" s="277" t="s">
        <v>914</v>
      </c>
      <c r="T21" s="323">
        <f>258+39203+2235.24</f>
        <v>41696.239999999998</v>
      </c>
      <c r="U21" s="292">
        <f t="shared" si="13"/>
        <v>52532.390000000007</v>
      </c>
      <c r="V21" s="277" t="s">
        <v>963</v>
      </c>
      <c r="W21" s="20">
        <v>27160</v>
      </c>
      <c r="X21" s="206">
        <f>U21-W21</f>
        <v>25372.390000000007</v>
      </c>
      <c r="Y21" t="s">
        <v>1025</v>
      </c>
      <c r="Z21" s="348">
        <v>10137.99</v>
      </c>
      <c r="AA21" s="206">
        <f>X21-Z21</f>
        <v>15234.400000000007</v>
      </c>
      <c r="AB21" t="s">
        <v>1067</v>
      </c>
      <c r="AD21" s="206">
        <f t="shared" si="16"/>
        <v>15234.400000000007</v>
      </c>
      <c r="AE21" s="361" t="s">
        <v>1174</v>
      </c>
      <c r="AG21" s="206">
        <f t="shared" si="14"/>
        <v>15234.400000000007</v>
      </c>
      <c r="AH21" s="361" t="s">
        <v>1174</v>
      </c>
      <c r="AJ21" s="206">
        <f t="shared" si="15"/>
        <v>15234.400000000007</v>
      </c>
    </row>
    <row r="22" spans="2:36" ht="13.5" customHeight="1">
      <c r="B22" s="259" t="s">
        <v>755</v>
      </c>
      <c r="C22" s="317" t="s">
        <v>775</v>
      </c>
      <c r="D22" s="317" t="s">
        <v>776</v>
      </c>
      <c r="E22" s="304">
        <v>43101</v>
      </c>
      <c r="F22" s="282">
        <v>26656.55</v>
      </c>
      <c r="G22" s="277" t="s">
        <v>758</v>
      </c>
      <c r="H22" s="283"/>
      <c r="I22" s="282">
        <f t="shared" si="10"/>
        <v>26656.55</v>
      </c>
      <c r="J22" s="277" t="s">
        <v>814</v>
      </c>
      <c r="K22" s="277"/>
      <c r="L22" s="292">
        <f t="shared" si="11"/>
        <v>26656.55</v>
      </c>
      <c r="M22" s="135" t="s">
        <v>853</v>
      </c>
      <c r="N22" s="135"/>
      <c r="O22" s="292">
        <f t="shared" si="12"/>
        <v>26656.55</v>
      </c>
      <c r="P22" s="135" t="s">
        <v>893</v>
      </c>
      <c r="Q22" s="135"/>
      <c r="R22" s="292">
        <f t="shared" si="7"/>
        <v>26656.55</v>
      </c>
      <c r="S22" s="277" t="s">
        <v>914</v>
      </c>
      <c r="T22" s="135"/>
      <c r="U22" s="292">
        <f t="shared" si="13"/>
        <v>26656.55</v>
      </c>
      <c r="V22" s="277" t="s">
        <v>963</v>
      </c>
      <c r="X22" s="206">
        <f t="shared" ref="X22:X35" si="17">U22-W22</f>
        <v>26656.55</v>
      </c>
      <c r="Y22" t="s">
        <v>1025</v>
      </c>
      <c r="AA22" s="206">
        <f t="shared" ref="AA22:AA35" si="18">X22-Z22</f>
        <v>26656.55</v>
      </c>
      <c r="AB22" t="s">
        <v>1067</v>
      </c>
      <c r="AD22" s="206">
        <f t="shared" si="16"/>
        <v>26656.55</v>
      </c>
      <c r="AE22" s="361" t="s">
        <v>1174</v>
      </c>
      <c r="AG22" s="206">
        <f t="shared" si="14"/>
        <v>26656.55</v>
      </c>
      <c r="AH22" s="361" t="s">
        <v>1174</v>
      </c>
      <c r="AJ22" s="206">
        <f t="shared" si="15"/>
        <v>26656.55</v>
      </c>
    </row>
    <row r="23" spans="2:36" ht="13.5" hidden="1" customHeight="1">
      <c r="B23" s="259" t="s">
        <v>755</v>
      </c>
      <c r="C23" s="317" t="s">
        <v>777</v>
      </c>
      <c r="D23" s="317" t="s">
        <v>778</v>
      </c>
      <c r="E23" s="304">
        <v>43101</v>
      </c>
      <c r="F23" s="282">
        <v>157709.82999999999</v>
      </c>
      <c r="G23" s="277" t="s">
        <v>758</v>
      </c>
      <c r="H23" s="283">
        <v>157709.82999999999</v>
      </c>
      <c r="I23" s="282">
        <f t="shared" si="10"/>
        <v>0</v>
      </c>
      <c r="J23" s="277" t="s">
        <v>814</v>
      </c>
      <c r="K23" s="277"/>
      <c r="L23" s="292">
        <f t="shared" si="11"/>
        <v>0</v>
      </c>
      <c r="M23" s="135" t="s">
        <v>853</v>
      </c>
      <c r="N23" s="135"/>
      <c r="O23" s="292">
        <f t="shared" si="12"/>
        <v>0</v>
      </c>
      <c r="P23" s="135" t="s">
        <v>893</v>
      </c>
      <c r="Q23" s="135"/>
      <c r="R23" s="292">
        <f t="shared" si="7"/>
        <v>0</v>
      </c>
      <c r="S23" s="277" t="s">
        <v>914</v>
      </c>
      <c r="T23" s="135"/>
      <c r="U23" s="292">
        <f t="shared" si="13"/>
        <v>0</v>
      </c>
      <c r="V23" s="277" t="s">
        <v>963</v>
      </c>
      <c r="X23" s="206">
        <f t="shared" si="17"/>
        <v>0</v>
      </c>
      <c r="Y23" t="s">
        <v>1025</v>
      </c>
      <c r="AA23" s="206">
        <f t="shared" si="18"/>
        <v>0</v>
      </c>
      <c r="AB23" t="s">
        <v>1067</v>
      </c>
      <c r="AD23" s="206">
        <f t="shared" si="16"/>
        <v>0</v>
      </c>
      <c r="AE23" s="361" t="s">
        <v>1174</v>
      </c>
      <c r="AG23" s="206">
        <f t="shared" si="14"/>
        <v>0</v>
      </c>
      <c r="AH23" s="361" t="s">
        <v>1174</v>
      </c>
      <c r="AJ23" s="206">
        <f t="shared" si="15"/>
        <v>0</v>
      </c>
    </row>
    <row r="24" spans="2:36" ht="13.5" hidden="1" customHeight="1">
      <c r="B24" s="259" t="s">
        <v>755</v>
      </c>
      <c r="C24" s="317" t="s">
        <v>779</v>
      </c>
      <c r="D24" s="317" t="s">
        <v>780</v>
      </c>
      <c r="E24" s="304">
        <v>43101</v>
      </c>
      <c r="F24" s="282">
        <v>558.89</v>
      </c>
      <c r="G24" s="277" t="s">
        <v>758</v>
      </c>
      <c r="H24" s="283"/>
      <c r="I24" s="282">
        <f t="shared" si="10"/>
        <v>558.89</v>
      </c>
      <c r="J24" s="277" t="s">
        <v>814</v>
      </c>
      <c r="K24" s="277"/>
      <c r="L24" s="292">
        <f t="shared" si="11"/>
        <v>558.89</v>
      </c>
      <c r="M24" s="135" t="s">
        <v>853</v>
      </c>
      <c r="N24" s="135"/>
      <c r="O24" s="292">
        <f t="shared" si="12"/>
        <v>558.89</v>
      </c>
      <c r="P24" s="135" t="s">
        <v>893</v>
      </c>
      <c r="Q24" s="135"/>
      <c r="R24" s="292">
        <f t="shared" si="7"/>
        <v>558.89</v>
      </c>
      <c r="S24" s="277" t="s">
        <v>914</v>
      </c>
      <c r="T24" s="135"/>
      <c r="U24" s="292">
        <f t="shared" si="13"/>
        <v>558.89</v>
      </c>
      <c r="V24" s="277" t="s">
        <v>963</v>
      </c>
      <c r="X24" s="206">
        <f t="shared" si="17"/>
        <v>558.89</v>
      </c>
      <c r="Y24" t="s">
        <v>1025</v>
      </c>
      <c r="AA24" s="206">
        <f t="shared" si="18"/>
        <v>558.89</v>
      </c>
      <c r="AB24" t="s">
        <v>1067</v>
      </c>
      <c r="AD24" s="206">
        <f t="shared" si="16"/>
        <v>558.89</v>
      </c>
      <c r="AE24" s="361" t="s">
        <v>1174</v>
      </c>
      <c r="AG24" s="206">
        <f t="shared" si="14"/>
        <v>558.89</v>
      </c>
      <c r="AH24" s="361" t="s">
        <v>1174</v>
      </c>
      <c r="AI24">
        <v>558.89</v>
      </c>
      <c r="AJ24" s="206">
        <f t="shared" si="15"/>
        <v>0</v>
      </c>
    </row>
    <row r="25" spans="2:36" ht="13.5" customHeight="1">
      <c r="B25" s="259" t="s">
        <v>755</v>
      </c>
      <c r="C25" s="317" t="s">
        <v>781</v>
      </c>
      <c r="D25" s="317" t="s">
        <v>782</v>
      </c>
      <c r="E25" s="304">
        <v>43101</v>
      </c>
      <c r="F25" s="282">
        <v>60577.5</v>
      </c>
      <c r="G25" s="277" t="s">
        <v>758</v>
      </c>
      <c r="H25" s="283"/>
      <c r="I25" s="282">
        <f t="shared" si="10"/>
        <v>60577.5</v>
      </c>
      <c r="J25" s="277" t="s">
        <v>814</v>
      </c>
      <c r="K25" s="277"/>
      <c r="L25" s="292">
        <f t="shared" si="11"/>
        <v>60577.5</v>
      </c>
      <c r="M25" s="135" t="s">
        <v>853</v>
      </c>
      <c r="N25" s="135"/>
      <c r="O25" s="292">
        <f t="shared" si="12"/>
        <v>60577.5</v>
      </c>
      <c r="P25" s="135" t="s">
        <v>893</v>
      </c>
      <c r="Q25" s="135"/>
      <c r="R25" s="292">
        <f t="shared" si="7"/>
        <v>60577.5</v>
      </c>
      <c r="S25" s="277" t="s">
        <v>914</v>
      </c>
      <c r="T25" s="135"/>
      <c r="U25" s="292">
        <f t="shared" si="13"/>
        <v>60577.5</v>
      </c>
      <c r="V25" s="277" t="s">
        <v>963</v>
      </c>
      <c r="X25" s="206">
        <f t="shared" si="17"/>
        <v>60577.5</v>
      </c>
      <c r="Y25" t="s">
        <v>1025</v>
      </c>
      <c r="AA25" s="206">
        <f t="shared" si="18"/>
        <v>60577.5</v>
      </c>
      <c r="AB25" t="s">
        <v>1067</v>
      </c>
      <c r="AC25" s="132">
        <f>5700+1585.08+25926/1.06+1440/1.06+10693.2+3229</f>
        <v>47024.261132075466</v>
      </c>
      <c r="AD25" s="206">
        <f t="shared" si="16"/>
        <v>13553.238867924534</v>
      </c>
      <c r="AE25" s="361" t="s">
        <v>1174</v>
      </c>
      <c r="AG25" s="206">
        <f t="shared" si="14"/>
        <v>13553.238867924534</v>
      </c>
      <c r="AH25" s="361" t="s">
        <v>1174</v>
      </c>
      <c r="AJ25" s="206">
        <f t="shared" si="15"/>
        <v>13553.238867924534</v>
      </c>
    </row>
    <row r="26" spans="2:36" ht="13.5" hidden="1" customHeight="1">
      <c r="B26" s="259" t="s">
        <v>755</v>
      </c>
      <c r="C26" s="317" t="s">
        <v>783</v>
      </c>
      <c r="D26" s="317" t="s">
        <v>784</v>
      </c>
      <c r="E26" s="304">
        <v>43101</v>
      </c>
      <c r="F26" s="282">
        <v>11005.39</v>
      </c>
      <c r="G26" s="277" t="s">
        <v>758</v>
      </c>
      <c r="H26" s="283"/>
      <c r="I26" s="282">
        <f t="shared" si="10"/>
        <v>11005.39</v>
      </c>
      <c r="J26" s="277" t="s">
        <v>814</v>
      </c>
      <c r="K26" s="277"/>
      <c r="L26" s="292">
        <f t="shared" si="11"/>
        <v>11005.39</v>
      </c>
      <c r="M26" s="135" t="s">
        <v>853</v>
      </c>
      <c r="N26" s="135"/>
      <c r="O26" s="292">
        <f t="shared" si="12"/>
        <v>11005.39</v>
      </c>
      <c r="P26" s="135" t="s">
        <v>893</v>
      </c>
      <c r="Q26" s="135"/>
      <c r="R26" s="292">
        <f t="shared" si="7"/>
        <v>11005.39</v>
      </c>
      <c r="S26" s="277" t="s">
        <v>914</v>
      </c>
      <c r="T26" s="135"/>
      <c r="U26" s="292">
        <f t="shared" si="13"/>
        <v>11005.39</v>
      </c>
      <c r="V26" s="277" t="s">
        <v>963</v>
      </c>
      <c r="X26" s="206">
        <f t="shared" si="17"/>
        <v>11005.39</v>
      </c>
      <c r="Y26" t="s">
        <v>1025</v>
      </c>
      <c r="AA26" s="206">
        <f t="shared" si="18"/>
        <v>11005.39</v>
      </c>
      <c r="AB26" t="s">
        <v>1067</v>
      </c>
      <c r="AC26" s="132">
        <v>11005.39</v>
      </c>
      <c r="AD26" s="206">
        <f t="shared" si="16"/>
        <v>0</v>
      </c>
      <c r="AE26" s="361" t="s">
        <v>1174</v>
      </c>
      <c r="AG26" s="206">
        <f t="shared" si="14"/>
        <v>0</v>
      </c>
      <c r="AH26" s="361" t="s">
        <v>1174</v>
      </c>
      <c r="AJ26" s="206">
        <f t="shared" si="15"/>
        <v>0</v>
      </c>
    </row>
    <row r="27" spans="2:36" ht="13.5" hidden="1" customHeight="1">
      <c r="B27" s="259" t="s">
        <v>755</v>
      </c>
      <c r="C27" s="317" t="s">
        <v>785</v>
      </c>
      <c r="D27" s="317" t="s">
        <v>786</v>
      </c>
      <c r="E27" s="304">
        <v>43101</v>
      </c>
      <c r="F27" s="282">
        <v>270751.76</v>
      </c>
      <c r="G27" s="277" t="s">
        <v>787</v>
      </c>
      <c r="H27" s="283"/>
      <c r="I27" s="282">
        <f t="shared" si="10"/>
        <v>270751.76</v>
      </c>
      <c r="J27" s="277" t="s">
        <v>814</v>
      </c>
      <c r="K27" s="277"/>
      <c r="L27" s="292">
        <f t="shared" si="11"/>
        <v>270751.76</v>
      </c>
      <c r="M27" s="135" t="s">
        <v>853</v>
      </c>
      <c r="N27" s="135">
        <f>90094.5/1.06+(200000-14243.05)</f>
        <v>270751.76132075471</v>
      </c>
      <c r="O27" s="292">
        <f t="shared" si="12"/>
        <v>-1.3207547017373145E-3</v>
      </c>
      <c r="P27" s="135" t="s">
        <v>893</v>
      </c>
      <c r="Q27" s="135"/>
      <c r="R27" s="292">
        <f t="shared" si="7"/>
        <v>-1.3207547017373145E-3</v>
      </c>
      <c r="S27" s="277" t="s">
        <v>914</v>
      </c>
      <c r="T27" s="135"/>
      <c r="U27" s="292">
        <f t="shared" si="13"/>
        <v>-1.3207547017373145E-3</v>
      </c>
      <c r="V27" s="277" t="s">
        <v>963</v>
      </c>
      <c r="X27" s="206">
        <f t="shared" si="17"/>
        <v>-1.3207547017373145E-3</v>
      </c>
      <c r="Y27" t="s">
        <v>1025</v>
      </c>
      <c r="AA27" s="206">
        <f t="shared" si="18"/>
        <v>-1.3207547017373145E-3</v>
      </c>
      <c r="AB27" t="s">
        <v>1067</v>
      </c>
      <c r="AD27" s="206">
        <f t="shared" si="16"/>
        <v>-1.3207547017373145E-3</v>
      </c>
      <c r="AE27" s="361" t="s">
        <v>1174</v>
      </c>
      <c r="AG27" s="206">
        <f t="shared" si="14"/>
        <v>-1.3207547017373145E-3</v>
      </c>
      <c r="AH27" s="361" t="s">
        <v>1174</v>
      </c>
      <c r="AJ27" s="206">
        <f t="shared" si="15"/>
        <v>-1.3207547017373145E-3</v>
      </c>
    </row>
    <row r="28" spans="2:36" ht="13.5" hidden="1" customHeight="1">
      <c r="B28" s="259" t="s">
        <v>788</v>
      </c>
      <c r="C28" s="317" t="s">
        <v>789</v>
      </c>
      <c r="D28" s="317" t="s">
        <v>790</v>
      </c>
      <c r="E28" s="304">
        <v>43101</v>
      </c>
      <c r="F28" s="282">
        <v>47830.38</v>
      </c>
      <c r="G28" s="277" t="s">
        <v>787</v>
      </c>
      <c r="H28" s="283"/>
      <c r="I28" s="282">
        <f t="shared" si="10"/>
        <v>47830.38</v>
      </c>
      <c r="J28" s="277" t="s">
        <v>814</v>
      </c>
      <c r="K28" s="277"/>
      <c r="L28" s="292">
        <f t="shared" si="11"/>
        <v>47830.38</v>
      </c>
      <c r="M28" s="135" t="s">
        <v>853</v>
      </c>
      <c r="N28" s="135"/>
      <c r="O28" s="292">
        <f t="shared" si="12"/>
        <v>47830.38</v>
      </c>
      <c r="P28" s="135" t="s">
        <v>893</v>
      </c>
      <c r="Q28" s="135"/>
      <c r="R28" s="292">
        <f t="shared" si="7"/>
        <v>47830.38</v>
      </c>
      <c r="S28" s="277" t="s">
        <v>914</v>
      </c>
      <c r="T28" s="323">
        <f>46839.6/1.06+(146015/1.06)-(146015/1.06-3642.08)</f>
        <v>47830.381886792427</v>
      </c>
      <c r="U28" s="292">
        <f t="shared" si="13"/>
        <v>-1.8867924300138839E-3</v>
      </c>
      <c r="V28" s="277" t="s">
        <v>963</v>
      </c>
      <c r="X28" s="206">
        <f t="shared" si="17"/>
        <v>-1.8867924300138839E-3</v>
      </c>
      <c r="Y28" t="s">
        <v>1025</v>
      </c>
      <c r="AA28" s="206">
        <f t="shared" si="18"/>
        <v>-1.8867924300138839E-3</v>
      </c>
      <c r="AB28" t="s">
        <v>1067</v>
      </c>
      <c r="AD28" s="206">
        <f t="shared" si="16"/>
        <v>-1.8867924300138839E-3</v>
      </c>
      <c r="AE28" s="361" t="s">
        <v>1174</v>
      </c>
      <c r="AG28" s="206">
        <f t="shared" si="14"/>
        <v>-1.8867924300138839E-3</v>
      </c>
      <c r="AH28" s="361" t="s">
        <v>1174</v>
      </c>
      <c r="AJ28" s="206">
        <f t="shared" si="15"/>
        <v>-1.8867924300138839E-3</v>
      </c>
    </row>
    <row r="29" spans="2:36" ht="13.5" hidden="1" customHeight="1">
      <c r="B29" s="259" t="s">
        <v>788</v>
      </c>
      <c r="C29" s="317" t="s">
        <v>791</v>
      </c>
      <c r="D29" s="317" t="s">
        <v>792</v>
      </c>
      <c r="E29" s="304">
        <v>43101</v>
      </c>
      <c r="F29" s="282">
        <v>69936.86</v>
      </c>
      <c r="G29" s="277" t="s">
        <v>787</v>
      </c>
      <c r="H29" s="283"/>
      <c r="I29" s="282">
        <f t="shared" si="10"/>
        <v>69936.86</v>
      </c>
      <c r="J29" s="277" t="s">
        <v>814</v>
      </c>
      <c r="K29" s="277"/>
      <c r="L29" s="292">
        <f t="shared" si="11"/>
        <v>69936.86</v>
      </c>
      <c r="M29" s="135" t="s">
        <v>853</v>
      </c>
      <c r="N29" s="135"/>
      <c r="O29" s="292">
        <f t="shared" si="12"/>
        <v>69936.86</v>
      </c>
      <c r="P29" s="135" t="s">
        <v>893</v>
      </c>
      <c r="Q29" s="135"/>
      <c r="R29" s="292">
        <f t="shared" si="7"/>
        <v>69936.86</v>
      </c>
      <c r="S29" s="277" t="s">
        <v>914</v>
      </c>
      <c r="T29" s="323">
        <f>146015/1.06-3642.08-64171.06</f>
        <v>69936.860000000015</v>
      </c>
      <c r="U29" s="292">
        <f t="shared" si="13"/>
        <v>0</v>
      </c>
      <c r="V29" s="277" t="s">
        <v>963</v>
      </c>
      <c r="X29" s="206">
        <f t="shared" si="17"/>
        <v>0</v>
      </c>
      <c r="Y29" t="s">
        <v>1025</v>
      </c>
      <c r="AA29" s="206">
        <f t="shared" si="18"/>
        <v>0</v>
      </c>
      <c r="AB29" t="s">
        <v>1067</v>
      </c>
      <c r="AD29" s="206">
        <f t="shared" si="16"/>
        <v>0</v>
      </c>
      <c r="AE29" s="361" t="s">
        <v>1174</v>
      </c>
      <c r="AG29" s="206">
        <f t="shared" si="14"/>
        <v>0</v>
      </c>
      <c r="AH29" s="361" t="s">
        <v>1174</v>
      </c>
      <c r="AJ29" s="206">
        <f t="shared" si="15"/>
        <v>0</v>
      </c>
    </row>
    <row r="30" spans="2:36" ht="13.5" hidden="1" customHeight="1">
      <c r="B30" s="259" t="s">
        <v>788</v>
      </c>
      <c r="C30" s="317" t="s">
        <v>793</v>
      </c>
      <c r="D30" s="317" t="s">
        <v>794</v>
      </c>
      <c r="E30" s="304">
        <v>43101</v>
      </c>
      <c r="F30" s="282">
        <v>38575.800000000003</v>
      </c>
      <c r="G30" s="277" t="s">
        <v>787</v>
      </c>
      <c r="H30" s="283"/>
      <c r="I30" s="282">
        <f t="shared" si="10"/>
        <v>38575.800000000003</v>
      </c>
      <c r="J30" s="277" t="s">
        <v>814</v>
      </c>
      <c r="K30" s="277"/>
      <c r="L30" s="292">
        <f t="shared" si="11"/>
        <v>38575.800000000003</v>
      </c>
      <c r="M30" s="135" t="s">
        <v>853</v>
      </c>
      <c r="N30" s="135"/>
      <c r="O30" s="292">
        <f t="shared" si="12"/>
        <v>38575.800000000003</v>
      </c>
      <c r="P30" s="135" t="s">
        <v>893</v>
      </c>
      <c r="Q30" s="135"/>
      <c r="R30" s="292">
        <f t="shared" si="7"/>
        <v>38575.800000000003</v>
      </c>
      <c r="S30" s="277" t="s">
        <v>914</v>
      </c>
      <c r="T30" s="135"/>
      <c r="U30" s="292">
        <f t="shared" si="13"/>
        <v>38575.800000000003</v>
      </c>
      <c r="V30" s="277" t="s">
        <v>963</v>
      </c>
      <c r="X30" s="206">
        <f t="shared" si="17"/>
        <v>38575.800000000003</v>
      </c>
      <c r="Y30" t="s">
        <v>1025</v>
      </c>
      <c r="Z30" s="348">
        <f>1585.08+5700+25926/1.06</f>
        <v>31743.570566037735</v>
      </c>
      <c r="AA30" s="206">
        <f t="shared" si="18"/>
        <v>6832.2294339622676</v>
      </c>
      <c r="AB30" t="s">
        <v>1067</v>
      </c>
      <c r="AD30" s="206">
        <f t="shared" si="16"/>
        <v>6832.2294339622676</v>
      </c>
      <c r="AE30" s="361" t="s">
        <v>1174</v>
      </c>
      <c r="AF30" s="20">
        <v>6832.23</v>
      </c>
      <c r="AG30" s="206">
        <f t="shared" si="14"/>
        <v>-5.660377319145482E-4</v>
      </c>
      <c r="AH30" s="361" t="s">
        <v>1174</v>
      </c>
      <c r="AJ30" s="206">
        <f t="shared" si="15"/>
        <v>-5.660377319145482E-4</v>
      </c>
    </row>
    <row r="31" spans="2:36" ht="13.5" hidden="1" customHeight="1">
      <c r="B31" s="259" t="s">
        <v>788</v>
      </c>
      <c r="C31" s="317" t="s">
        <v>795</v>
      </c>
      <c r="D31" s="317" t="s">
        <v>796</v>
      </c>
      <c r="E31" s="304">
        <v>43101</v>
      </c>
      <c r="F31" s="282">
        <v>14194.08</v>
      </c>
      <c r="G31" s="277" t="s">
        <v>787</v>
      </c>
      <c r="H31" s="283"/>
      <c r="I31" s="282">
        <f t="shared" si="10"/>
        <v>14194.08</v>
      </c>
      <c r="J31" s="277" t="s">
        <v>814</v>
      </c>
      <c r="K31" s="277"/>
      <c r="L31" s="292">
        <f t="shared" si="11"/>
        <v>14194.08</v>
      </c>
      <c r="M31" s="135" t="s">
        <v>853</v>
      </c>
      <c r="N31" s="135"/>
      <c r="O31" s="292">
        <f t="shared" si="12"/>
        <v>14194.08</v>
      </c>
      <c r="P31" s="135" t="s">
        <v>893</v>
      </c>
      <c r="Q31" s="135"/>
      <c r="R31" s="292">
        <f t="shared" si="7"/>
        <v>14194.08</v>
      </c>
      <c r="S31" s="277" t="s">
        <v>914</v>
      </c>
      <c r="T31" s="135"/>
      <c r="U31" s="292">
        <f t="shared" si="13"/>
        <v>14194.08</v>
      </c>
      <c r="V31" s="277" t="s">
        <v>963</v>
      </c>
      <c r="W31" s="20">
        <v>14194.08</v>
      </c>
      <c r="X31" s="206">
        <f t="shared" si="17"/>
        <v>0</v>
      </c>
      <c r="Y31" t="s">
        <v>1025</v>
      </c>
      <c r="AA31" s="206">
        <f t="shared" si="18"/>
        <v>0</v>
      </c>
      <c r="AB31" t="s">
        <v>1067</v>
      </c>
      <c r="AD31" s="206">
        <f t="shared" si="16"/>
        <v>0</v>
      </c>
      <c r="AE31" s="361" t="s">
        <v>1174</v>
      </c>
      <c r="AG31" s="206">
        <f t="shared" si="14"/>
        <v>0</v>
      </c>
      <c r="AH31" s="361" t="s">
        <v>1174</v>
      </c>
      <c r="AJ31" s="206">
        <f t="shared" si="15"/>
        <v>0</v>
      </c>
    </row>
    <row r="32" spans="2:36" ht="13.5" hidden="1" customHeight="1">
      <c r="B32" s="259" t="s">
        <v>788</v>
      </c>
      <c r="C32" s="317" t="s">
        <v>797</v>
      </c>
      <c r="D32" s="317" t="s">
        <v>798</v>
      </c>
      <c r="E32" s="304">
        <v>43101</v>
      </c>
      <c r="F32" s="282">
        <v>2406515.91</v>
      </c>
      <c r="G32" s="277" t="s">
        <v>787</v>
      </c>
      <c r="H32" s="283"/>
      <c r="I32" s="282">
        <f t="shared" si="10"/>
        <v>2406515.91</v>
      </c>
      <c r="J32" s="277" t="s">
        <v>814</v>
      </c>
      <c r="K32" s="277">
        <v>2406515.91</v>
      </c>
      <c r="L32" s="292">
        <f t="shared" si="11"/>
        <v>0</v>
      </c>
      <c r="M32" s="135" t="s">
        <v>853</v>
      </c>
      <c r="N32" s="135"/>
      <c r="O32" s="292">
        <f t="shared" si="12"/>
        <v>0</v>
      </c>
      <c r="P32" s="135" t="s">
        <v>893</v>
      </c>
      <c r="Q32" s="135"/>
      <c r="R32" s="292">
        <f t="shared" si="7"/>
        <v>0</v>
      </c>
      <c r="S32" s="277" t="s">
        <v>914</v>
      </c>
      <c r="T32" s="135"/>
      <c r="U32" s="292">
        <f t="shared" si="13"/>
        <v>0</v>
      </c>
      <c r="V32" s="277" t="s">
        <v>963</v>
      </c>
      <c r="X32" s="206">
        <f t="shared" si="17"/>
        <v>0</v>
      </c>
      <c r="Y32" t="s">
        <v>1025</v>
      </c>
      <c r="AA32" s="206">
        <f t="shared" si="18"/>
        <v>0</v>
      </c>
      <c r="AB32" t="s">
        <v>1067</v>
      </c>
      <c r="AD32" s="206">
        <f t="shared" si="16"/>
        <v>0</v>
      </c>
      <c r="AE32" s="361" t="s">
        <v>1174</v>
      </c>
      <c r="AG32" s="206">
        <f t="shared" si="14"/>
        <v>0</v>
      </c>
      <c r="AH32" s="361" t="s">
        <v>1174</v>
      </c>
      <c r="AJ32" s="206">
        <f t="shared" si="15"/>
        <v>0</v>
      </c>
    </row>
    <row r="33" spans="2:45" ht="13.5" hidden="1" customHeight="1">
      <c r="B33" s="259" t="s">
        <v>788</v>
      </c>
      <c r="C33" s="317" t="s">
        <v>799</v>
      </c>
      <c r="D33" s="317" t="s">
        <v>800</v>
      </c>
      <c r="E33" s="304">
        <v>43101</v>
      </c>
      <c r="F33" s="282">
        <f>20444/1.06</f>
        <v>19286.792452830188</v>
      </c>
      <c r="G33" s="277" t="s">
        <v>758</v>
      </c>
      <c r="H33" s="283">
        <f>20444/1.06</f>
        <v>19286.792452830188</v>
      </c>
      <c r="I33" s="282">
        <f t="shared" si="10"/>
        <v>0</v>
      </c>
      <c r="J33" s="277" t="s">
        <v>814</v>
      </c>
      <c r="K33" s="277"/>
      <c r="L33" s="292">
        <f t="shared" si="11"/>
        <v>0</v>
      </c>
      <c r="M33" s="135" t="s">
        <v>853</v>
      </c>
      <c r="N33" s="135"/>
      <c r="O33" s="292">
        <f t="shared" si="12"/>
        <v>0</v>
      </c>
      <c r="P33" s="135" t="s">
        <v>893</v>
      </c>
      <c r="Q33" s="135"/>
      <c r="R33" s="292">
        <f t="shared" si="7"/>
        <v>0</v>
      </c>
      <c r="S33" s="277" t="s">
        <v>914</v>
      </c>
      <c r="T33" s="135"/>
      <c r="U33" s="292">
        <f t="shared" si="13"/>
        <v>0</v>
      </c>
      <c r="V33" s="277" t="s">
        <v>963</v>
      </c>
      <c r="X33" s="206">
        <f t="shared" si="17"/>
        <v>0</v>
      </c>
      <c r="Y33" t="s">
        <v>1025</v>
      </c>
      <c r="AA33" s="206">
        <f t="shared" si="18"/>
        <v>0</v>
      </c>
      <c r="AB33" t="s">
        <v>1067</v>
      </c>
      <c r="AD33" s="206">
        <f t="shared" si="16"/>
        <v>0</v>
      </c>
      <c r="AE33" s="361" t="s">
        <v>1174</v>
      </c>
      <c r="AG33" s="206">
        <f t="shared" si="14"/>
        <v>0</v>
      </c>
      <c r="AH33" s="361" t="s">
        <v>1174</v>
      </c>
      <c r="AJ33" s="206">
        <f t="shared" si="15"/>
        <v>0</v>
      </c>
    </row>
    <row r="34" spans="2:45" ht="13.5" hidden="1" customHeight="1">
      <c r="B34" s="259" t="s">
        <v>755</v>
      </c>
      <c r="C34" s="317" t="s">
        <v>801</v>
      </c>
      <c r="D34" s="317" t="s">
        <v>802</v>
      </c>
      <c r="E34" s="304">
        <v>43101</v>
      </c>
      <c r="F34" s="282">
        <v>57719.28</v>
      </c>
      <c r="G34" s="277" t="s">
        <v>758</v>
      </c>
      <c r="H34" s="283">
        <v>57719.28</v>
      </c>
      <c r="I34" s="282">
        <f t="shared" si="10"/>
        <v>0</v>
      </c>
      <c r="J34" s="277" t="s">
        <v>814</v>
      </c>
      <c r="K34" s="277"/>
      <c r="L34" s="292">
        <f t="shared" si="11"/>
        <v>0</v>
      </c>
      <c r="M34" s="135" t="s">
        <v>853</v>
      </c>
      <c r="N34" s="135"/>
      <c r="O34" s="292">
        <f t="shared" si="12"/>
        <v>0</v>
      </c>
      <c r="P34" s="135" t="s">
        <v>893</v>
      </c>
      <c r="Q34" s="135"/>
      <c r="R34" s="292">
        <f t="shared" si="7"/>
        <v>0</v>
      </c>
      <c r="S34" s="277" t="s">
        <v>914</v>
      </c>
      <c r="T34" s="135"/>
      <c r="U34" s="292">
        <f t="shared" si="13"/>
        <v>0</v>
      </c>
      <c r="V34" s="277" t="s">
        <v>963</v>
      </c>
      <c r="X34" s="206">
        <f t="shared" si="17"/>
        <v>0</v>
      </c>
      <c r="Y34" t="s">
        <v>1025</v>
      </c>
      <c r="AA34" s="206">
        <f t="shared" si="18"/>
        <v>0</v>
      </c>
      <c r="AB34" t="s">
        <v>1067</v>
      </c>
      <c r="AD34" s="206">
        <f t="shared" si="16"/>
        <v>0</v>
      </c>
      <c r="AE34" s="361" t="s">
        <v>1174</v>
      </c>
      <c r="AG34" s="206">
        <f t="shared" si="14"/>
        <v>0</v>
      </c>
      <c r="AH34" s="361" t="s">
        <v>1174</v>
      </c>
      <c r="AJ34" s="206">
        <f t="shared" si="15"/>
        <v>0</v>
      </c>
    </row>
    <row r="35" spans="2:45" ht="13.5" customHeight="1">
      <c r="B35" s="259" t="s">
        <v>755</v>
      </c>
      <c r="C35" s="318" t="s">
        <v>75</v>
      </c>
      <c r="D35" s="318" t="s">
        <v>803</v>
      </c>
      <c r="E35" s="304">
        <v>43101</v>
      </c>
      <c r="F35" s="282">
        <f>43120.16*0.95</f>
        <v>40964.152000000002</v>
      </c>
      <c r="G35" s="283" t="s">
        <v>758</v>
      </c>
      <c r="H35" s="283"/>
      <c r="I35" s="282">
        <f t="shared" si="10"/>
        <v>40964.152000000002</v>
      </c>
      <c r="J35" s="277" t="s">
        <v>814</v>
      </c>
      <c r="K35" s="277">
        <f>1850</f>
        <v>1850</v>
      </c>
      <c r="L35" s="292">
        <f t="shared" si="11"/>
        <v>39114.152000000002</v>
      </c>
      <c r="M35" s="135" t="s">
        <v>853</v>
      </c>
      <c r="N35" s="135"/>
      <c r="O35" s="292">
        <f t="shared" si="12"/>
        <v>39114.152000000002</v>
      </c>
      <c r="P35" s="135" t="s">
        <v>893</v>
      </c>
      <c r="Q35" s="135"/>
      <c r="R35" s="292">
        <f t="shared" si="7"/>
        <v>39114.152000000002</v>
      </c>
      <c r="S35" s="277" t="s">
        <v>914</v>
      </c>
      <c r="T35" s="135"/>
      <c r="U35" s="292">
        <f t="shared" si="13"/>
        <v>39114.152000000002</v>
      </c>
      <c r="V35" s="277" t="s">
        <v>963</v>
      </c>
      <c r="X35" s="206">
        <f t="shared" si="17"/>
        <v>39114.152000000002</v>
      </c>
      <c r="Y35" t="s">
        <v>1025</v>
      </c>
      <c r="AA35" s="206">
        <f t="shared" si="18"/>
        <v>39114.152000000002</v>
      </c>
      <c r="AB35" t="s">
        <v>1067</v>
      </c>
      <c r="AD35" s="206">
        <f t="shared" si="16"/>
        <v>39114.152000000002</v>
      </c>
      <c r="AE35" s="361" t="s">
        <v>1174</v>
      </c>
      <c r="AG35" s="206">
        <f t="shared" si="14"/>
        <v>39114.152000000002</v>
      </c>
      <c r="AH35" s="361" t="s">
        <v>1174</v>
      </c>
      <c r="AJ35" s="206">
        <f t="shared" si="15"/>
        <v>39114.152000000002</v>
      </c>
    </row>
    <row r="36" spans="2:45" ht="27" customHeight="1">
      <c r="B36" s="271"/>
      <c r="C36" s="271"/>
      <c r="D36" s="271"/>
      <c r="E36" s="278"/>
      <c r="F36" s="284">
        <f>SUM(F13:F35)</f>
        <v>3475231.5344528304</v>
      </c>
      <c r="G36" s="285"/>
      <c r="H36" s="285">
        <f>SUM(H13:H35)</f>
        <v>234715.90245283017</v>
      </c>
      <c r="I36" s="284">
        <f>SUM(I13:I35)</f>
        <v>3240515.6320000002</v>
      </c>
      <c r="J36" s="285">
        <f>SUM(J13:J35)</f>
        <v>0</v>
      </c>
      <c r="K36" s="285">
        <f>SUM(K13:K35)</f>
        <v>2408365.91</v>
      </c>
      <c r="L36" s="284">
        <f>SUM(L13:L35)</f>
        <v>832149.72200000007</v>
      </c>
      <c r="M36" s="284"/>
      <c r="N36" s="284">
        <f>SUM(N13:N35)</f>
        <v>273878.17132075469</v>
      </c>
      <c r="O36" s="284">
        <f>SUM(O13:O35)</f>
        <v>558271.55067924527</v>
      </c>
      <c r="P36" s="284"/>
      <c r="Q36" s="284"/>
      <c r="R36" s="284">
        <f>SUM(R13:R35)</f>
        <v>459250.36067924532</v>
      </c>
      <c r="S36" s="284"/>
      <c r="T36" s="284">
        <f>SUM(T13:T35)</f>
        <v>166100.94188679243</v>
      </c>
      <c r="U36" s="284">
        <f>SUM(U13:U35)</f>
        <v>293149.4187924529</v>
      </c>
      <c r="V36" s="284"/>
      <c r="W36" s="284">
        <f>SUM(W13:W35)</f>
        <v>41354.080000000002</v>
      </c>
      <c r="X36" s="284">
        <f>SUM(X13:X35)</f>
        <v>251795.33879245288</v>
      </c>
      <c r="Y36" s="284"/>
      <c r="Z36" s="347">
        <f>SUM(Z13:Z35)</f>
        <v>41881.560566037733</v>
      </c>
      <c r="AA36" s="284">
        <f>SUM(AA13:AA35)</f>
        <v>209913.77822641516</v>
      </c>
      <c r="AB36" s="284">
        <f t="shared" ref="AB36:AD36" si="19">SUM(AB13:AB35)</f>
        <v>0</v>
      </c>
      <c r="AC36" s="284">
        <f t="shared" si="19"/>
        <v>103331.53113207546</v>
      </c>
      <c r="AD36" s="284">
        <f t="shared" si="19"/>
        <v>106582.24709433968</v>
      </c>
      <c r="AE36" s="382" t="s">
        <v>1174</v>
      </c>
      <c r="AF36" s="382"/>
      <c r="AG36" s="382">
        <f t="shared" ref="AG36:AJ36" si="20">SUM(AG13:AG35)</f>
        <v>99750.017094339681</v>
      </c>
      <c r="AH36" s="382" t="s">
        <v>1174</v>
      </c>
      <c r="AI36" s="382">
        <f t="shared" si="20"/>
        <v>2691.95</v>
      </c>
      <c r="AJ36" s="382">
        <f t="shared" si="20"/>
        <v>97058.067094339684</v>
      </c>
    </row>
    <row r="37" spans="2:45">
      <c r="O37" s="14"/>
    </row>
    <row r="38" spans="2:45" ht="33">
      <c r="B38" s="273" t="s">
        <v>749</v>
      </c>
      <c r="C38" s="273" t="s">
        <v>750</v>
      </c>
      <c r="D38" s="273" t="s">
        <v>751</v>
      </c>
      <c r="E38" s="276" t="s">
        <v>752</v>
      </c>
      <c r="F38" s="279" t="s">
        <v>753</v>
      </c>
      <c r="G38" s="280" t="s">
        <v>754</v>
      </c>
      <c r="H38" s="280" t="s">
        <v>734</v>
      </c>
      <c r="I38" s="279" t="s">
        <v>735</v>
      </c>
      <c r="J38" s="280" t="s">
        <v>813</v>
      </c>
      <c r="K38" s="280" t="s">
        <v>847</v>
      </c>
      <c r="L38" s="279" t="s">
        <v>848</v>
      </c>
      <c r="M38" s="280" t="s">
        <v>852</v>
      </c>
      <c r="N38" s="280" t="s">
        <v>887</v>
      </c>
      <c r="O38" s="280" t="s">
        <v>888</v>
      </c>
      <c r="P38" s="279" t="s">
        <v>733</v>
      </c>
      <c r="Q38" s="280" t="s">
        <v>907</v>
      </c>
      <c r="R38" s="280" t="s">
        <v>908</v>
      </c>
      <c r="S38" s="274" t="s">
        <v>890</v>
      </c>
      <c r="T38" s="273" t="s">
        <v>943</v>
      </c>
      <c r="U38" s="273" t="s">
        <v>944</v>
      </c>
      <c r="V38" s="274" t="s">
        <v>890</v>
      </c>
      <c r="W38" s="273" t="s">
        <v>958</v>
      </c>
      <c r="X38" s="273" t="s">
        <v>959</v>
      </c>
      <c r="Y38" s="274" t="s">
        <v>890</v>
      </c>
      <c r="Z38" s="320" t="s">
        <v>1011</v>
      </c>
      <c r="AA38" s="273" t="s">
        <v>1013</v>
      </c>
      <c r="AB38" s="274" t="s">
        <v>890</v>
      </c>
      <c r="AC38" s="320" t="s">
        <v>1055</v>
      </c>
      <c r="AD38" s="273" t="s">
        <v>1056</v>
      </c>
      <c r="AE38" s="274" t="s">
        <v>890</v>
      </c>
      <c r="AF38" s="320" t="s">
        <v>1164</v>
      </c>
      <c r="AG38" s="273" t="s">
        <v>1165</v>
      </c>
      <c r="AH38" s="274" t="s">
        <v>890</v>
      </c>
    </row>
    <row r="39" spans="2:45" ht="16.5" customHeight="1">
      <c r="B39" s="259" t="s">
        <v>804</v>
      </c>
      <c r="C39" s="317" t="s">
        <v>805</v>
      </c>
      <c r="D39" s="317" t="s">
        <v>806</v>
      </c>
      <c r="E39" s="304">
        <v>43101</v>
      </c>
      <c r="F39" s="282">
        <v>34079.760000000002</v>
      </c>
      <c r="G39" s="277" t="s">
        <v>807</v>
      </c>
      <c r="H39" s="283">
        <v>34079.760000000002</v>
      </c>
      <c r="I39" s="282">
        <f>F39-H39</f>
        <v>0</v>
      </c>
      <c r="J39" s="293" t="s">
        <v>815</v>
      </c>
      <c r="K39" s="277"/>
      <c r="L39" s="135"/>
      <c r="M39" s="135"/>
      <c r="N39" s="135"/>
      <c r="O39" s="277"/>
      <c r="P39" s="135"/>
      <c r="Q39" s="135"/>
      <c r="R39" s="292">
        <f>O39-Q39</f>
        <v>0</v>
      </c>
      <c r="S39" s="135"/>
      <c r="T39" s="135"/>
      <c r="U39" s="292">
        <f>R39-T39</f>
        <v>0</v>
      </c>
      <c r="V39" s="325"/>
    </row>
    <row r="40" spans="2:45" ht="16.5" customHeight="1">
      <c r="B40" s="259" t="s">
        <v>808</v>
      </c>
      <c r="C40" s="317" t="s">
        <v>809</v>
      </c>
      <c r="D40" s="317" t="s">
        <v>810</v>
      </c>
      <c r="E40" s="304">
        <v>43101</v>
      </c>
      <c r="F40" s="282">
        <f>956080.3</f>
        <v>956080.3</v>
      </c>
      <c r="G40" s="277" t="s">
        <v>807</v>
      </c>
      <c r="H40" s="283">
        <f>956080.3</f>
        <v>956080.3</v>
      </c>
      <c r="I40" s="282">
        <f>F40-H40</f>
        <v>0</v>
      </c>
      <c r="J40" s="293" t="s">
        <v>815</v>
      </c>
      <c r="K40" s="277"/>
      <c r="L40" s="135"/>
      <c r="M40" s="135"/>
      <c r="N40" s="135"/>
      <c r="O40" s="277"/>
      <c r="P40" s="135"/>
      <c r="Q40" s="135"/>
      <c r="R40" s="292">
        <f>O40-Q40</f>
        <v>0</v>
      </c>
      <c r="S40" s="135"/>
      <c r="T40" s="135"/>
      <c r="U40" s="292">
        <f>R40-T40</f>
        <v>0</v>
      </c>
      <c r="V40" s="325"/>
    </row>
    <row r="41" spans="2:45" ht="27" customHeight="1">
      <c r="B41" s="271"/>
      <c r="C41" s="271"/>
      <c r="D41" s="271"/>
      <c r="E41" s="278"/>
      <c r="F41" s="284">
        <f>SUM(F39:F40)</f>
        <v>990160.06</v>
      </c>
      <c r="G41" s="285"/>
      <c r="H41" s="285">
        <f>SUM(H39:H40)</f>
        <v>990160.06</v>
      </c>
      <c r="I41" s="284"/>
      <c r="J41" s="278"/>
      <c r="K41" s="278"/>
      <c r="L41" s="271"/>
      <c r="M41" s="271"/>
      <c r="N41" s="271"/>
      <c r="O41" s="278"/>
      <c r="P41" s="271"/>
      <c r="Q41" s="271"/>
      <c r="R41" s="319">
        <f>SUM(R39:R40)</f>
        <v>0</v>
      </c>
      <c r="S41" s="284"/>
      <c r="T41" s="319">
        <f>SUM(T39:T40)</f>
        <v>0</v>
      </c>
      <c r="U41" s="319">
        <f>SUM(U39:U40)</f>
        <v>0</v>
      </c>
      <c r="V41" s="284"/>
      <c r="W41" s="284">
        <f>SUM(W39:W40)</f>
        <v>0</v>
      </c>
      <c r="X41" s="284">
        <f>SUM(X39:X40)</f>
        <v>0</v>
      </c>
      <c r="Y41" s="284"/>
      <c r="Z41" s="284">
        <f>SUM(Z39:Z40)</f>
        <v>0</v>
      </c>
      <c r="AA41" s="284">
        <f>SUM(AA39:AA40)</f>
        <v>0</v>
      </c>
      <c r="AS41" s="206">
        <f>'201712剩余款'!AO32+'201801'!AJ36+'201802'!AG37+'201803'!AG34+'201804'!AD27+'201805'!AA33+'201806'!X33+'201807'!U33+'201808'!R35+'201809'!O49+'201810'!L30+'201811'!I39+'201712剩余款'!AO34</f>
        <v>4414341.6239660382</v>
      </c>
    </row>
    <row r="42" spans="2:45">
      <c r="AS42">
        <f>'201802'!AG44+'201803'!AG45+'201805'!AA43+'201806'!X48+'201807'!U55+'201808'!R70+'201809'!O57+'201810'!L38+'201811'!I47</f>
        <v>1026399.7641509434</v>
      </c>
    </row>
    <row r="43" spans="2:45">
      <c r="AS43" s="307">
        <f>'201801'!AJ8+'201802'!AG8+'201803'!AG8+'201804'!AD9+'201805'!AA9+'201806'!X8+'201807'!U8+'201808'!R8+'201809'!O7+'201810'!L7+'201811'!I7</f>
        <v>462228.20794150955</v>
      </c>
    </row>
    <row r="46" spans="2:45">
      <c r="Q46">
        <f>(ROUND(132770/1.06,2)-69557.78)</f>
        <v>55696.94</v>
      </c>
    </row>
  </sheetData>
  <autoFilter ref="B12:AK36">
    <filterColumn colId="34">
      <filters>
        <filter val="¥13,553.24"/>
        <filter val="¥15,234.40"/>
        <filter val="¥2,499.73"/>
        <filter val="¥26,656.55"/>
        <filter val="¥39,114.15"/>
        <filter val="97058.06709"/>
      </filters>
    </filterColumn>
  </autoFilter>
  <phoneticPr fontId="22" type="noConversion"/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1"/>
  <dimension ref="B2:AH44"/>
  <sheetViews>
    <sheetView topLeftCell="B1" workbookViewId="0">
      <pane xSplit="13" ySplit="2" topLeftCell="T21" activePane="bottomRight" state="frozen"/>
      <selection activeCell="M40" sqref="M40"/>
      <selection pane="topRight" activeCell="M40" sqref="M40"/>
      <selection pane="bottomLeft" activeCell="M40" sqref="M40"/>
      <selection pane="bottomRight" activeCell="M40" sqref="M40"/>
    </sheetView>
  </sheetViews>
  <sheetFormatPr defaultRowHeight="12.75"/>
  <cols>
    <col min="3" max="3" width="13.140625" customWidth="1"/>
    <col min="4" max="4" width="43.5703125" customWidth="1"/>
    <col min="5" max="5" width="10.7109375" customWidth="1"/>
    <col min="6" max="6" width="15.140625" hidden="1" customWidth="1"/>
    <col min="7" max="7" width="12.28515625" style="14" hidden="1" customWidth="1"/>
    <col min="8" max="9" width="11.140625" hidden="1" customWidth="1"/>
    <col min="10" max="10" width="0" hidden="1" customWidth="1"/>
    <col min="11" max="11" width="12.7109375" hidden="1" customWidth="1"/>
    <col min="12" max="12" width="12.28515625" hidden="1" customWidth="1"/>
    <col min="13" max="13" width="0" hidden="1" customWidth="1"/>
    <col min="14" max="14" width="15.5703125" hidden="1" customWidth="1"/>
    <col min="15" max="15" width="12.28515625" hidden="1" customWidth="1"/>
    <col min="16" max="16" width="0" hidden="1" customWidth="1"/>
    <col min="17" max="17" width="14.85546875" hidden="1" customWidth="1"/>
    <col min="18" max="21" width="12.28515625" hidden="1" customWidth="1"/>
    <col min="22" max="22" width="0" hidden="1" customWidth="1"/>
    <col min="23" max="23" width="11.140625" hidden="1" customWidth="1"/>
    <col min="24" max="24" width="12.28515625" hidden="1" customWidth="1"/>
    <col min="25" max="25" width="0" hidden="1" customWidth="1"/>
    <col min="26" max="27" width="12.28515625" hidden="1" customWidth="1"/>
    <col min="28" max="28" width="0" hidden="1" customWidth="1"/>
    <col min="29" max="29" width="11.140625" style="132" hidden="1" customWidth="1"/>
    <col min="30" max="30" width="12.42578125" style="132" hidden="1" customWidth="1"/>
    <col min="31" max="32" width="0" hidden="1" customWidth="1"/>
    <col min="33" max="33" width="12.28515625" bestFit="1" customWidth="1"/>
  </cols>
  <sheetData>
    <row r="2" spans="2:34" ht="33">
      <c r="B2" s="273" t="s">
        <v>728</v>
      </c>
      <c r="C2" s="273" t="s">
        <v>729</v>
      </c>
      <c r="D2" s="273" t="s">
        <v>730</v>
      </c>
      <c r="E2" s="273" t="s">
        <v>731</v>
      </c>
      <c r="F2" s="279" t="s">
        <v>818</v>
      </c>
      <c r="G2" s="280" t="s">
        <v>733</v>
      </c>
      <c r="H2" s="273" t="s">
        <v>845</v>
      </c>
      <c r="I2" s="273" t="s">
        <v>846</v>
      </c>
      <c r="J2" s="273" t="s">
        <v>857</v>
      </c>
      <c r="K2" s="273" t="s">
        <v>881</v>
      </c>
      <c r="L2" s="273" t="s">
        <v>882</v>
      </c>
      <c r="M2" s="273" t="s">
        <v>857</v>
      </c>
      <c r="N2" s="280" t="s">
        <v>907</v>
      </c>
      <c r="O2" s="280" t="s">
        <v>908</v>
      </c>
      <c r="P2" s="298" t="s">
        <v>890</v>
      </c>
      <c r="Q2" s="273" t="s">
        <v>943</v>
      </c>
      <c r="R2" s="273" t="s">
        <v>944</v>
      </c>
      <c r="S2" s="298" t="s">
        <v>890</v>
      </c>
      <c r="T2" s="273" t="s">
        <v>958</v>
      </c>
      <c r="U2" s="273" t="s">
        <v>960</v>
      </c>
      <c r="V2" s="274" t="s">
        <v>890</v>
      </c>
      <c r="W2" s="273" t="s">
        <v>1011</v>
      </c>
      <c r="X2" s="273" t="s">
        <v>1013</v>
      </c>
      <c r="Y2" s="274" t="s">
        <v>890</v>
      </c>
      <c r="Z2" s="273" t="s">
        <v>1055</v>
      </c>
      <c r="AA2" s="273" t="s">
        <v>1056</v>
      </c>
      <c r="AB2" s="274" t="s">
        <v>890</v>
      </c>
      <c r="AC2" s="320" t="s">
        <v>1164</v>
      </c>
      <c r="AD2" s="320" t="s">
        <v>1165</v>
      </c>
      <c r="AE2" s="274" t="s">
        <v>890</v>
      </c>
      <c r="AF2" s="320" t="s">
        <v>1308</v>
      </c>
      <c r="AG2" s="273" t="s">
        <v>1309</v>
      </c>
      <c r="AH2" s="274" t="s">
        <v>1310</v>
      </c>
    </row>
    <row r="3" spans="2:34" ht="16.5">
      <c r="B3" s="259" t="s">
        <v>736</v>
      </c>
      <c r="C3" s="66" t="s">
        <v>117</v>
      </c>
      <c r="D3" s="66" t="s">
        <v>118</v>
      </c>
      <c r="E3" s="261">
        <v>43132</v>
      </c>
      <c r="F3" s="282">
        <v>492.85049999999995</v>
      </c>
      <c r="G3" s="283" t="s">
        <v>835</v>
      </c>
      <c r="H3" s="135"/>
      <c r="I3" s="294">
        <f>F3-H3</f>
        <v>492.85049999999995</v>
      </c>
      <c r="J3" s="135" t="s">
        <v>858</v>
      </c>
      <c r="K3" s="135"/>
      <c r="L3" s="294">
        <f>I3-K3</f>
        <v>492.85049999999995</v>
      </c>
      <c r="M3" s="135" t="s">
        <v>896</v>
      </c>
      <c r="O3" s="206">
        <f>L3-N3</f>
        <v>492.85049999999995</v>
      </c>
      <c r="P3" t="s">
        <v>918</v>
      </c>
      <c r="Q3" s="135"/>
      <c r="R3" s="292">
        <f>O3-Q3</f>
        <v>492.85049999999995</v>
      </c>
      <c r="S3" t="s">
        <v>966</v>
      </c>
      <c r="U3" s="206">
        <f>R3-T3</f>
        <v>492.85049999999995</v>
      </c>
      <c r="V3" t="s">
        <v>1022</v>
      </c>
      <c r="X3" s="206">
        <f>U3-W3</f>
        <v>492.85049999999995</v>
      </c>
      <c r="Y3" t="s">
        <v>1060</v>
      </c>
      <c r="AA3" s="206">
        <f>X3-Z3</f>
        <v>492.85049999999995</v>
      </c>
      <c r="AB3" s="361" t="s">
        <v>1183</v>
      </c>
      <c r="AD3" s="132">
        <f>AA3-AC3</f>
        <v>492.85049999999995</v>
      </c>
      <c r="AE3" s="361" t="s">
        <v>1207</v>
      </c>
      <c r="AG3" s="287">
        <f>AD3-AF3</f>
        <v>492.85049999999995</v>
      </c>
    </row>
    <row r="4" spans="2:34" ht="16.5" hidden="1">
      <c r="B4" s="259" t="s">
        <v>736</v>
      </c>
      <c r="C4" s="66" t="s">
        <v>228</v>
      </c>
      <c r="D4" s="66" t="s">
        <v>267</v>
      </c>
      <c r="E4" s="261">
        <v>43132</v>
      </c>
      <c r="F4" s="282">
        <v>861.28899999999999</v>
      </c>
      <c r="G4" s="283" t="s">
        <v>835</v>
      </c>
      <c r="H4" s="135"/>
      <c r="I4" s="294">
        <f>F4-H4</f>
        <v>861.28899999999999</v>
      </c>
      <c r="J4" s="135" t="s">
        <v>858</v>
      </c>
      <c r="K4" s="135"/>
      <c r="L4" s="294">
        <f>I4-K4</f>
        <v>861.28899999999999</v>
      </c>
      <c r="M4" s="135" t="s">
        <v>896</v>
      </c>
      <c r="O4" s="206">
        <f>L4-N4</f>
        <v>861.28899999999999</v>
      </c>
      <c r="P4" t="s">
        <v>918</v>
      </c>
      <c r="Q4" s="135"/>
      <c r="R4" s="292">
        <f>O4-Q4</f>
        <v>861.28899999999999</v>
      </c>
      <c r="S4" t="s">
        <v>966</v>
      </c>
      <c r="U4" s="206">
        <f>R4-T4</f>
        <v>861.28899999999999</v>
      </c>
      <c r="V4" t="s">
        <v>1022</v>
      </c>
      <c r="W4" s="20">
        <v>861.29</v>
      </c>
      <c r="X4" s="206">
        <f>U4-W4</f>
        <v>-9.9999999997635314E-4</v>
      </c>
      <c r="Y4" t="s">
        <v>1060</v>
      </c>
      <c r="AA4" s="206">
        <f t="shared" ref="AA4:AA7" si="0">X4-Z4</f>
        <v>-9.9999999997635314E-4</v>
      </c>
      <c r="AB4" s="361" t="s">
        <v>1183</v>
      </c>
      <c r="AD4" s="132">
        <f t="shared" ref="AD4:AD7" si="1">AA4-AC4</f>
        <v>-9.9999999997635314E-4</v>
      </c>
      <c r="AE4" s="361" t="s">
        <v>1207</v>
      </c>
      <c r="AG4" s="287">
        <f t="shared" ref="AG4:AG7" si="2">AD4-AF4</f>
        <v>-9.9999999997635314E-4</v>
      </c>
    </row>
    <row r="5" spans="2:34" ht="16.5" hidden="1">
      <c r="B5" s="259" t="s">
        <v>736</v>
      </c>
      <c r="C5" s="66" t="s">
        <v>26</v>
      </c>
      <c r="D5" s="66" t="s">
        <v>27</v>
      </c>
      <c r="E5" s="261">
        <v>43132</v>
      </c>
      <c r="F5" s="282">
        <v>8612.9184999999998</v>
      </c>
      <c r="G5" s="283" t="s">
        <v>835</v>
      </c>
      <c r="H5" s="135"/>
      <c r="I5" s="294">
        <f>F5-H5</f>
        <v>8612.9184999999998</v>
      </c>
      <c r="J5" s="135" t="s">
        <v>858</v>
      </c>
      <c r="K5" s="135"/>
      <c r="L5" s="294">
        <f>I5-K5</f>
        <v>8612.9184999999998</v>
      </c>
      <c r="M5" s="135" t="s">
        <v>896</v>
      </c>
      <c r="O5" s="206">
        <f>L5-N5</f>
        <v>8612.9184999999998</v>
      </c>
      <c r="P5" t="s">
        <v>918</v>
      </c>
      <c r="Q5" s="135"/>
      <c r="R5" s="292">
        <f>O5-Q5</f>
        <v>8612.9184999999998</v>
      </c>
      <c r="S5" t="s">
        <v>966</v>
      </c>
      <c r="U5" s="206">
        <f>R5-T5</f>
        <v>8612.9184999999998</v>
      </c>
      <c r="V5" t="s">
        <v>1022</v>
      </c>
      <c r="W5" s="20">
        <v>8612.92</v>
      </c>
      <c r="X5" s="206">
        <f>U5-W5</f>
        <v>-1.5000000003055902E-3</v>
      </c>
      <c r="Y5" t="s">
        <v>1060</v>
      </c>
      <c r="AA5" s="206">
        <f t="shared" si="0"/>
        <v>-1.5000000003055902E-3</v>
      </c>
      <c r="AB5" s="361" t="s">
        <v>1183</v>
      </c>
      <c r="AD5" s="132">
        <f t="shared" si="1"/>
        <v>-1.5000000003055902E-3</v>
      </c>
      <c r="AE5" s="361" t="s">
        <v>1207</v>
      </c>
      <c r="AG5" s="287">
        <f t="shared" si="2"/>
        <v>-1.5000000003055902E-3</v>
      </c>
    </row>
    <row r="6" spans="2:34" ht="16.5" hidden="1">
      <c r="B6" s="259" t="s">
        <v>736</v>
      </c>
      <c r="C6" s="66" t="s">
        <v>230</v>
      </c>
      <c r="D6" s="66" t="s">
        <v>231</v>
      </c>
      <c r="E6" s="261">
        <v>43132</v>
      </c>
      <c r="F6" s="282">
        <v>8612.9184999999998</v>
      </c>
      <c r="G6" s="283" t="s">
        <v>835</v>
      </c>
      <c r="H6" s="135"/>
      <c r="I6" s="294">
        <f>F6-H6</f>
        <v>8612.9184999999998</v>
      </c>
      <c r="J6" s="135" t="s">
        <v>858</v>
      </c>
      <c r="K6" s="135"/>
      <c r="L6" s="294">
        <f>I6-K6</f>
        <v>8612.9184999999998</v>
      </c>
      <c r="M6" s="135" t="s">
        <v>896</v>
      </c>
      <c r="O6" s="206">
        <f>L6-N6</f>
        <v>8612.9184999999998</v>
      </c>
      <c r="P6" t="s">
        <v>918</v>
      </c>
      <c r="Q6" s="135"/>
      <c r="R6" s="292">
        <f>O6-Q6</f>
        <v>8612.9184999999998</v>
      </c>
      <c r="S6" t="s">
        <v>966</v>
      </c>
      <c r="U6" s="206">
        <f>R6-T6</f>
        <v>8612.9184999999998</v>
      </c>
      <c r="V6" t="s">
        <v>1022</v>
      </c>
      <c r="W6" s="20">
        <v>8612.92</v>
      </c>
      <c r="X6" s="206">
        <f>U6-W6</f>
        <v>-1.5000000003055902E-3</v>
      </c>
      <c r="Y6" t="s">
        <v>1060</v>
      </c>
      <c r="AA6" s="206">
        <f t="shared" si="0"/>
        <v>-1.5000000003055902E-3</v>
      </c>
      <c r="AB6" s="361" t="s">
        <v>1183</v>
      </c>
      <c r="AD6" s="132">
        <f t="shared" si="1"/>
        <v>-1.5000000003055902E-3</v>
      </c>
      <c r="AE6" s="361" t="s">
        <v>1207</v>
      </c>
      <c r="AG6" s="287">
        <f t="shared" si="2"/>
        <v>-1.5000000003055902E-3</v>
      </c>
    </row>
    <row r="7" spans="2:34" ht="16.5">
      <c r="B7" s="259" t="s">
        <v>736</v>
      </c>
      <c r="C7" s="66" t="s">
        <v>819</v>
      </c>
      <c r="D7" s="66" t="s">
        <v>834</v>
      </c>
      <c r="E7" s="261">
        <v>43132</v>
      </c>
      <c r="F7" s="135">
        <v>54852.790999999997</v>
      </c>
      <c r="G7" s="283" t="s">
        <v>835</v>
      </c>
      <c r="H7" s="135"/>
      <c r="I7" s="294">
        <f>F7-H7</f>
        <v>54852.790999999997</v>
      </c>
      <c r="J7" s="135" t="s">
        <v>858</v>
      </c>
      <c r="K7" s="135"/>
      <c r="L7" s="294">
        <f>I7-K7</f>
        <v>54852.790999999997</v>
      </c>
      <c r="M7" s="135" t="s">
        <v>896</v>
      </c>
      <c r="O7" s="206">
        <f>L7-N7</f>
        <v>54852.790999999997</v>
      </c>
      <c r="P7" t="s">
        <v>918</v>
      </c>
      <c r="Q7" s="135"/>
      <c r="R7" s="292">
        <f>O7-Q7</f>
        <v>54852.790999999997</v>
      </c>
      <c r="S7" t="s">
        <v>966</v>
      </c>
      <c r="U7" s="206">
        <f>R7-T7</f>
        <v>54852.790999999997</v>
      </c>
      <c r="V7" t="s">
        <v>1022</v>
      </c>
      <c r="X7" s="206">
        <f>U7-W7</f>
        <v>54852.790999999997</v>
      </c>
      <c r="Y7" t="s">
        <v>1060</v>
      </c>
      <c r="AA7" s="206">
        <f t="shared" si="0"/>
        <v>54852.790999999997</v>
      </c>
      <c r="AB7" s="361" t="s">
        <v>1183</v>
      </c>
      <c r="AD7" s="132">
        <f t="shared" si="1"/>
        <v>54852.790999999997</v>
      </c>
      <c r="AE7" s="361" t="s">
        <v>1207</v>
      </c>
      <c r="AG7" s="287">
        <f t="shared" si="2"/>
        <v>54852.790999999997</v>
      </c>
    </row>
    <row r="8" spans="2:34">
      <c r="B8" s="271"/>
      <c r="C8" s="271"/>
      <c r="D8" s="271"/>
      <c r="E8" s="271"/>
      <c r="F8" s="284">
        <f>SUM(F3:F7)</f>
        <v>73432.767499999987</v>
      </c>
      <c r="G8" s="285"/>
      <c r="H8" s="284">
        <f>SUM(H3:H7)</f>
        <v>0</v>
      </c>
      <c r="I8" s="284">
        <f>SUM(I3:I7)</f>
        <v>73432.767499999987</v>
      </c>
      <c r="J8" s="284"/>
      <c r="K8" s="284"/>
      <c r="L8" s="284">
        <f>SUM(L3:L7)</f>
        <v>73432.767499999987</v>
      </c>
      <c r="M8" s="284"/>
      <c r="N8" s="284"/>
      <c r="O8" s="284">
        <f>SUM(O3:O7)</f>
        <v>73432.767499999987</v>
      </c>
      <c r="P8" s="295"/>
      <c r="Q8" s="295"/>
      <c r="R8" s="284">
        <f>SUM(R3:R7)</f>
        <v>73432.767499999987</v>
      </c>
      <c r="S8" s="326"/>
      <c r="T8" s="284">
        <f>SUM(T3:T7)</f>
        <v>0</v>
      </c>
      <c r="U8" s="284">
        <f>SUM(U3:U7)</f>
        <v>73432.767499999987</v>
      </c>
      <c r="W8" s="284">
        <f>SUM(W3:W7)</f>
        <v>18087.129999999997</v>
      </c>
      <c r="X8" s="284">
        <f>SUM(X3:X7)</f>
        <v>55345.637499999997</v>
      </c>
      <c r="AA8" s="284">
        <f>SUM(AA3:AA7)</f>
        <v>55345.637499999997</v>
      </c>
      <c r="AB8" s="284" t="s">
        <v>1183</v>
      </c>
      <c r="AC8" s="284"/>
      <c r="AD8" s="284">
        <f>SUM(AD3:AD7)</f>
        <v>55345.637499999997</v>
      </c>
      <c r="AE8" s="284" t="s">
        <v>1207</v>
      </c>
      <c r="AF8" s="284"/>
      <c r="AG8" s="284">
        <f>SUM(AG3:AG7)</f>
        <v>55345.637499999997</v>
      </c>
      <c r="AH8" s="284"/>
    </row>
    <row r="11" spans="2:34" ht="33">
      <c r="B11" s="273" t="s">
        <v>728</v>
      </c>
      <c r="C11" s="273" t="s">
        <v>729</v>
      </c>
      <c r="D11" s="273" t="s">
        <v>730</v>
      </c>
      <c r="E11" s="273" t="s">
        <v>731</v>
      </c>
      <c r="F11" s="279" t="s">
        <v>818</v>
      </c>
      <c r="G11" s="280" t="s">
        <v>733</v>
      </c>
      <c r="H11" s="273" t="s">
        <v>845</v>
      </c>
      <c r="I11" s="273" t="s">
        <v>846</v>
      </c>
      <c r="J11" s="273" t="s">
        <v>854</v>
      </c>
      <c r="K11" s="273" t="s">
        <v>883</v>
      </c>
      <c r="L11" s="273" t="s">
        <v>884</v>
      </c>
      <c r="M11" s="273" t="s">
        <v>857</v>
      </c>
      <c r="N11" s="280" t="s">
        <v>907</v>
      </c>
      <c r="O11" s="280" t="s">
        <v>908</v>
      </c>
      <c r="P11" s="298" t="s">
        <v>890</v>
      </c>
      <c r="Q11" s="273" t="s">
        <v>943</v>
      </c>
      <c r="R11" s="273" t="s">
        <v>944</v>
      </c>
      <c r="S11" s="298" t="s">
        <v>890</v>
      </c>
      <c r="T11" s="273" t="s">
        <v>958</v>
      </c>
      <c r="U11" s="273" t="s">
        <v>960</v>
      </c>
      <c r="V11" s="274" t="s">
        <v>890</v>
      </c>
      <c r="W11" s="273" t="s">
        <v>1011</v>
      </c>
      <c r="X11" s="273" t="s">
        <v>1013</v>
      </c>
      <c r="Y11" s="274" t="s">
        <v>890</v>
      </c>
      <c r="Z11" s="273" t="s">
        <v>1055</v>
      </c>
      <c r="AA11" s="273" t="s">
        <v>1056</v>
      </c>
      <c r="AB11" s="274" t="s">
        <v>890</v>
      </c>
      <c r="AC11" s="320" t="s">
        <v>1164</v>
      </c>
      <c r="AD11" s="320" t="s">
        <v>1165</v>
      </c>
      <c r="AE11" s="274" t="s">
        <v>890</v>
      </c>
      <c r="AF11" s="320" t="s">
        <v>1308</v>
      </c>
      <c r="AG11" s="273" t="s">
        <v>1309</v>
      </c>
      <c r="AH11" s="274" t="s">
        <v>1310</v>
      </c>
    </row>
    <row r="12" spans="2:34" ht="16.5">
      <c r="B12" s="259" t="s">
        <v>755</v>
      </c>
      <c r="C12" s="281" t="s">
        <v>33</v>
      </c>
      <c r="D12" s="3" t="s">
        <v>486</v>
      </c>
      <c r="E12" s="261">
        <v>43132</v>
      </c>
      <c r="F12" s="288">
        <v>67845.73</v>
      </c>
      <c r="G12" s="277"/>
      <c r="H12" s="135">
        <f>ROUND(13465.6/1.06,2)</f>
        <v>12703.4</v>
      </c>
      <c r="I12" s="300">
        <f>F12-H12</f>
        <v>55142.329999999994</v>
      </c>
      <c r="J12" t="s">
        <v>855</v>
      </c>
      <c r="K12">
        <v>900</v>
      </c>
      <c r="L12" s="193">
        <f>I12-K12</f>
        <v>54242.329999999994</v>
      </c>
      <c r="M12" t="s">
        <v>894</v>
      </c>
      <c r="O12" s="206">
        <f>L12-N12</f>
        <v>54242.329999999994</v>
      </c>
      <c r="P12" t="s">
        <v>919</v>
      </c>
      <c r="Q12" s="135"/>
      <c r="R12" s="292">
        <f>O12-Q12</f>
        <v>54242.329999999994</v>
      </c>
      <c r="S12" t="s">
        <v>964</v>
      </c>
      <c r="T12" s="339">
        <f>50000/1.06</f>
        <v>47169.811320754714</v>
      </c>
      <c r="U12" s="206">
        <f>R12-T12</f>
        <v>7072.5186792452805</v>
      </c>
      <c r="V12" t="s">
        <v>1019</v>
      </c>
      <c r="X12" s="206">
        <f>ROUND(U12-W12,2)</f>
        <v>7072.52</v>
      </c>
      <c r="Y12" t="s">
        <v>1068</v>
      </c>
      <c r="AA12" s="206">
        <f t="shared" ref="AA12:AA21" si="3">X12-Z12</f>
        <v>7072.52</v>
      </c>
      <c r="AB12" s="361" t="s">
        <v>1175</v>
      </c>
      <c r="AD12" s="132">
        <f>AA12-AC12</f>
        <v>7072.52</v>
      </c>
      <c r="AE12" s="361" t="s">
        <v>1214</v>
      </c>
      <c r="AG12" s="287">
        <f>AD12-AF12</f>
        <v>7072.52</v>
      </c>
    </row>
    <row r="13" spans="2:34" ht="16.5">
      <c r="B13" s="259" t="s">
        <v>755</v>
      </c>
      <c r="C13" s="281" t="s">
        <v>820</v>
      </c>
      <c r="D13" s="281" t="s">
        <v>821</v>
      </c>
      <c r="E13" s="261">
        <v>43132</v>
      </c>
      <c r="F13" s="288">
        <v>26886.799999999999</v>
      </c>
      <c r="G13" s="277"/>
      <c r="H13" s="135"/>
      <c r="I13" s="299">
        <f t="shared" ref="I13:I36" si="4">F13-H13</f>
        <v>26886.799999999999</v>
      </c>
      <c r="J13" t="s">
        <v>855</v>
      </c>
      <c r="L13" s="193">
        <f t="shared" ref="L13:L36" si="5">I13-K13</f>
        <v>26886.799999999999</v>
      </c>
      <c r="M13" t="s">
        <v>894</v>
      </c>
      <c r="N13">
        <f>(ROUND(132770/1.06,2)-55696.94-18259.38-24411.6)</f>
        <v>26886.799999999996</v>
      </c>
      <c r="O13" s="206">
        <f t="shared" ref="O13:O36" si="6">L13-N13</f>
        <v>0</v>
      </c>
      <c r="P13" t="s">
        <v>919</v>
      </c>
      <c r="Q13" s="135"/>
      <c r="R13" s="292">
        <f t="shared" ref="R13:R36" si="7">O13-Q13</f>
        <v>0</v>
      </c>
      <c r="S13" t="s">
        <v>964</v>
      </c>
      <c r="U13" s="206">
        <f t="shared" ref="U13:U36" si="8">R13-T13</f>
        <v>0</v>
      </c>
      <c r="V13" t="s">
        <v>1019</v>
      </c>
      <c r="X13" s="206">
        <f t="shared" ref="X13:X36" si="9">ROUND(U13-W13,2)</f>
        <v>0</v>
      </c>
      <c r="Y13" t="s">
        <v>1068</v>
      </c>
      <c r="AA13" s="206">
        <f t="shared" si="3"/>
        <v>0</v>
      </c>
      <c r="AB13" s="361" t="s">
        <v>1175</v>
      </c>
      <c r="AD13" s="132">
        <f t="shared" ref="AD13:AD36" si="10">AA13-AC13</f>
        <v>0</v>
      </c>
      <c r="AE13" s="361" t="s">
        <v>1214</v>
      </c>
      <c r="AG13" s="287">
        <f t="shared" ref="AG13:AG36" si="11">AD13-AF13</f>
        <v>0</v>
      </c>
    </row>
    <row r="14" spans="2:34" ht="16.5">
      <c r="B14" s="259" t="s">
        <v>755</v>
      </c>
      <c r="C14" s="281" t="s">
        <v>49</v>
      </c>
      <c r="D14" s="281" t="s">
        <v>50</v>
      </c>
      <c r="E14" s="261">
        <v>43132</v>
      </c>
      <c r="F14" s="288">
        <v>33374.089999999997</v>
      </c>
      <c r="G14" s="277"/>
      <c r="H14" s="135"/>
      <c r="I14" s="299">
        <f t="shared" si="4"/>
        <v>33374.089999999997</v>
      </c>
      <c r="J14" t="s">
        <v>855</v>
      </c>
      <c r="K14">
        <v>33374.089999999997</v>
      </c>
      <c r="L14" s="206">
        <f t="shared" si="5"/>
        <v>0</v>
      </c>
      <c r="M14" t="s">
        <v>894</v>
      </c>
      <c r="O14" s="206">
        <f t="shared" si="6"/>
        <v>0</v>
      </c>
      <c r="P14" t="s">
        <v>919</v>
      </c>
      <c r="Q14" s="135"/>
      <c r="R14" s="292">
        <f t="shared" si="7"/>
        <v>0</v>
      </c>
      <c r="S14" t="s">
        <v>964</v>
      </c>
      <c r="U14" s="206">
        <f t="shared" si="8"/>
        <v>0</v>
      </c>
      <c r="V14" t="s">
        <v>1019</v>
      </c>
      <c r="X14" s="206">
        <f t="shared" si="9"/>
        <v>0</v>
      </c>
      <c r="Y14" t="s">
        <v>1068</v>
      </c>
      <c r="AA14" s="206">
        <f t="shared" si="3"/>
        <v>0</v>
      </c>
      <c r="AB14" s="361" t="s">
        <v>1175</v>
      </c>
      <c r="AD14" s="132">
        <f t="shared" si="10"/>
        <v>0</v>
      </c>
      <c r="AE14" s="361" t="s">
        <v>1214</v>
      </c>
      <c r="AG14" s="287">
        <f t="shared" si="11"/>
        <v>0</v>
      </c>
    </row>
    <row r="15" spans="2:34" ht="16.5">
      <c r="B15" s="259" t="s">
        <v>755</v>
      </c>
      <c r="C15" s="281" t="s">
        <v>578</v>
      </c>
      <c r="D15" s="281" t="s">
        <v>579</v>
      </c>
      <c r="E15" s="261">
        <v>43132</v>
      </c>
      <c r="F15" s="288">
        <v>2637.47</v>
      </c>
      <c r="G15" s="277"/>
      <c r="H15" s="135"/>
      <c r="I15" s="301">
        <f t="shared" si="4"/>
        <v>2637.47</v>
      </c>
      <c r="J15" t="s">
        <v>855</v>
      </c>
      <c r="L15" s="193">
        <f t="shared" si="5"/>
        <v>2637.47</v>
      </c>
      <c r="M15" t="s">
        <v>894</v>
      </c>
      <c r="O15" s="206">
        <f t="shared" si="6"/>
        <v>2637.47</v>
      </c>
      <c r="P15" t="s">
        <v>919</v>
      </c>
      <c r="Q15" s="135"/>
      <c r="R15" s="292">
        <f t="shared" si="7"/>
        <v>2637.47</v>
      </c>
      <c r="S15" t="s">
        <v>964</v>
      </c>
      <c r="T15" s="20">
        <v>2637.47</v>
      </c>
      <c r="U15" s="206">
        <f t="shared" si="8"/>
        <v>0</v>
      </c>
      <c r="V15" t="s">
        <v>1019</v>
      </c>
      <c r="X15" s="206">
        <f t="shared" si="9"/>
        <v>0</v>
      </c>
      <c r="Y15" t="s">
        <v>1068</v>
      </c>
      <c r="AA15" s="206">
        <f t="shared" si="3"/>
        <v>0</v>
      </c>
      <c r="AB15" s="361" t="s">
        <v>1175</v>
      </c>
      <c r="AD15" s="132">
        <f t="shared" si="10"/>
        <v>0</v>
      </c>
      <c r="AE15" s="361" t="s">
        <v>1214</v>
      </c>
      <c r="AG15" s="287">
        <f t="shared" si="11"/>
        <v>0</v>
      </c>
    </row>
    <row r="16" spans="2:34" ht="16.5">
      <c r="B16" s="259" t="s">
        <v>755</v>
      </c>
      <c r="C16" s="281" t="s">
        <v>822</v>
      </c>
      <c r="D16" s="3" t="s">
        <v>836</v>
      </c>
      <c r="E16" s="261">
        <v>43132</v>
      </c>
      <c r="F16" s="288">
        <v>8354.2199999999993</v>
      </c>
      <c r="G16" s="277"/>
      <c r="H16" s="135"/>
      <c r="I16" s="301">
        <f t="shared" si="4"/>
        <v>8354.2199999999993</v>
      </c>
      <c r="J16" t="s">
        <v>855</v>
      </c>
      <c r="L16" s="193">
        <f t="shared" si="5"/>
        <v>8354.2199999999993</v>
      </c>
      <c r="M16" t="s">
        <v>894</v>
      </c>
      <c r="N16">
        <f>(ROUND(132770/1.06,2)-55696.94-18259.38-26886.8-16057.38)</f>
        <v>8354.2199999999957</v>
      </c>
      <c r="O16" s="305">
        <f t="shared" si="6"/>
        <v>0</v>
      </c>
      <c r="P16" s="14" t="s">
        <v>919</v>
      </c>
      <c r="Q16" s="135"/>
      <c r="R16" s="292">
        <f t="shared" si="7"/>
        <v>0</v>
      </c>
      <c r="S16" t="s">
        <v>964</v>
      </c>
      <c r="U16" s="206">
        <f t="shared" si="8"/>
        <v>0</v>
      </c>
      <c r="V16" t="s">
        <v>1019</v>
      </c>
      <c r="X16" s="206">
        <f t="shared" si="9"/>
        <v>0</v>
      </c>
      <c r="Y16" t="s">
        <v>1068</v>
      </c>
      <c r="AA16" s="206">
        <f t="shared" si="3"/>
        <v>0</v>
      </c>
      <c r="AB16" s="361" t="s">
        <v>1175</v>
      </c>
      <c r="AD16" s="132">
        <f t="shared" si="10"/>
        <v>0</v>
      </c>
      <c r="AE16" s="361" t="s">
        <v>1214</v>
      </c>
      <c r="AG16" s="287">
        <f t="shared" si="11"/>
        <v>0</v>
      </c>
    </row>
    <row r="17" spans="2:33" ht="16.5">
      <c r="B17" s="259" t="s">
        <v>755</v>
      </c>
      <c r="C17" s="281" t="s">
        <v>53</v>
      </c>
      <c r="D17" s="3" t="s">
        <v>837</v>
      </c>
      <c r="E17" s="261">
        <v>43132</v>
      </c>
      <c r="F17" s="288">
        <v>2565</v>
      </c>
      <c r="G17" s="277"/>
      <c r="H17" s="135"/>
      <c r="I17" s="301">
        <f t="shared" si="4"/>
        <v>2565</v>
      </c>
      <c r="J17" t="s">
        <v>855</v>
      </c>
      <c r="L17" s="193">
        <f t="shared" si="5"/>
        <v>2565</v>
      </c>
      <c r="M17" t="s">
        <v>894</v>
      </c>
      <c r="O17" s="305">
        <f t="shared" si="6"/>
        <v>2565</v>
      </c>
      <c r="P17" s="14" t="s">
        <v>919</v>
      </c>
      <c r="Q17" s="135"/>
      <c r="R17" s="292">
        <f t="shared" si="7"/>
        <v>2565</v>
      </c>
      <c r="S17" t="s">
        <v>964</v>
      </c>
      <c r="U17" s="206">
        <f t="shared" si="8"/>
        <v>2565</v>
      </c>
      <c r="V17" t="s">
        <v>1019</v>
      </c>
      <c r="X17" s="206">
        <f t="shared" si="9"/>
        <v>2565</v>
      </c>
      <c r="Y17" t="s">
        <v>1068</v>
      </c>
      <c r="AA17" s="206">
        <f t="shared" si="3"/>
        <v>2565</v>
      </c>
      <c r="AB17" s="361" t="s">
        <v>1175</v>
      </c>
      <c r="AD17" s="132">
        <f t="shared" si="10"/>
        <v>2565</v>
      </c>
      <c r="AE17" s="361" t="s">
        <v>1214</v>
      </c>
      <c r="AG17" s="287">
        <f t="shared" si="11"/>
        <v>2565</v>
      </c>
    </row>
    <row r="18" spans="2:33" ht="16.5">
      <c r="B18" s="259" t="s">
        <v>755</v>
      </c>
      <c r="C18" s="281" t="s">
        <v>69</v>
      </c>
      <c r="D18" s="281" t="s">
        <v>70</v>
      </c>
      <c r="E18" s="261">
        <v>43132</v>
      </c>
      <c r="F18" s="288">
        <v>745.8</v>
      </c>
      <c r="G18" s="277"/>
      <c r="H18" s="135"/>
      <c r="I18" s="301">
        <f t="shared" si="4"/>
        <v>745.8</v>
      </c>
      <c r="J18" t="s">
        <v>855</v>
      </c>
      <c r="L18" s="193">
        <f t="shared" si="5"/>
        <v>745.8</v>
      </c>
      <c r="M18" t="s">
        <v>894</v>
      </c>
      <c r="O18" s="305">
        <f t="shared" si="6"/>
        <v>745.8</v>
      </c>
      <c r="P18" s="14" t="s">
        <v>919</v>
      </c>
      <c r="Q18" s="323">
        <f>11880-6637.46-4496.74</f>
        <v>745.80000000000018</v>
      </c>
      <c r="R18" s="292">
        <f t="shared" si="7"/>
        <v>0</v>
      </c>
      <c r="S18" t="s">
        <v>964</v>
      </c>
      <c r="U18" s="206">
        <f t="shared" si="8"/>
        <v>0</v>
      </c>
      <c r="V18" t="s">
        <v>1019</v>
      </c>
      <c r="X18" s="206">
        <f t="shared" si="9"/>
        <v>0</v>
      </c>
      <c r="Y18" t="s">
        <v>1068</v>
      </c>
      <c r="AA18" s="206">
        <f t="shared" si="3"/>
        <v>0</v>
      </c>
      <c r="AB18" s="361" t="s">
        <v>1175</v>
      </c>
      <c r="AD18" s="132">
        <f t="shared" si="10"/>
        <v>0</v>
      </c>
      <c r="AE18" s="361" t="s">
        <v>1214</v>
      </c>
      <c r="AG18" s="287">
        <f t="shared" si="11"/>
        <v>0</v>
      </c>
    </row>
    <row r="19" spans="2:33" ht="16.5">
      <c r="B19" s="259" t="s">
        <v>755</v>
      </c>
      <c r="C19" s="281" t="s">
        <v>18</v>
      </c>
      <c r="D19" s="3" t="s">
        <v>695</v>
      </c>
      <c r="E19" s="261">
        <v>43132</v>
      </c>
      <c r="F19" s="288">
        <v>105268.96</v>
      </c>
      <c r="G19" s="277"/>
      <c r="H19" s="135"/>
      <c r="I19" s="301">
        <f t="shared" si="4"/>
        <v>105268.96</v>
      </c>
      <c r="J19" t="s">
        <v>855</v>
      </c>
      <c r="L19" s="193">
        <f t="shared" si="5"/>
        <v>105268.96</v>
      </c>
      <c r="M19" t="s">
        <v>894</v>
      </c>
      <c r="O19" s="305">
        <f t="shared" si="6"/>
        <v>105268.96</v>
      </c>
      <c r="P19" s="14" t="s">
        <v>919</v>
      </c>
      <c r="Q19" s="135"/>
      <c r="R19" s="292">
        <f t="shared" si="7"/>
        <v>105268.96</v>
      </c>
      <c r="S19" t="s">
        <v>964</v>
      </c>
      <c r="T19" s="339">
        <f>50000/1.06</f>
        <v>47169.811320754714</v>
      </c>
      <c r="U19" s="206">
        <f t="shared" si="8"/>
        <v>58099.148679245292</v>
      </c>
      <c r="V19" t="s">
        <v>1019</v>
      </c>
      <c r="X19" s="206">
        <f t="shared" si="9"/>
        <v>58099.15</v>
      </c>
      <c r="Y19" t="s">
        <v>1068</v>
      </c>
      <c r="AA19" s="206">
        <f t="shared" si="3"/>
        <v>58099.15</v>
      </c>
      <c r="AB19" s="361" t="s">
        <v>1175</v>
      </c>
      <c r="AC19" s="364">
        <f>47287/1.06</f>
        <v>44610.377358490565</v>
      </c>
      <c r="AD19" s="132">
        <f t="shared" si="10"/>
        <v>13488.772641509437</v>
      </c>
      <c r="AE19" s="361" t="s">
        <v>1214</v>
      </c>
      <c r="AG19" s="287">
        <f t="shared" si="11"/>
        <v>13488.772641509437</v>
      </c>
    </row>
    <row r="20" spans="2:33" ht="16.5">
      <c r="B20" s="259" t="s">
        <v>755</v>
      </c>
      <c r="C20" s="281" t="s">
        <v>75</v>
      </c>
      <c r="D20" s="281" t="s">
        <v>76</v>
      </c>
      <c r="E20" s="261">
        <v>43132</v>
      </c>
      <c r="F20" s="288">
        <v>24301.599999999999</v>
      </c>
      <c r="G20" s="277"/>
      <c r="H20" s="135"/>
      <c r="I20" s="301">
        <f t="shared" si="4"/>
        <v>24301.599999999999</v>
      </c>
      <c r="J20" t="s">
        <v>855</v>
      </c>
      <c r="L20" s="193">
        <f t="shared" si="5"/>
        <v>24301.599999999999</v>
      </c>
      <c r="M20" t="s">
        <v>894</v>
      </c>
      <c r="O20" s="305">
        <f t="shared" si="6"/>
        <v>24301.599999999999</v>
      </c>
      <c r="P20" s="14" t="s">
        <v>919</v>
      </c>
      <c r="Q20" s="135"/>
      <c r="R20" s="292">
        <f t="shared" si="7"/>
        <v>24301.599999999999</v>
      </c>
      <c r="S20" t="s">
        <v>964</v>
      </c>
      <c r="U20" s="206">
        <f t="shared" si="8"/>
        <v>24301.599999999999</v>
      </c>
      <c r="V20" t="s">
        <v>1019</v>
      </c>
      <c r="X20" s="206">
        <f t="shared" si="9"/>
        <v>24301.599999999999</v>
      </c>
      <c r="Y20" t="s">
        <v>1068</v>
      </c>
      <c r="AA20" s="206">
        <f t="shared" si="3"/>
        <v>24301.599999999999</v>
      </c>
      <c r="AB20" s="361" t="s">
        <v>1175</v>
      </c>
      <c r="AD20" s="132">
        <f t="shared" si="10"/>
        <v>24301.599999999999</v>
      </c>
      <c r="AE20" s="361" t="s">
        <v>1214</v>
      </c>
      <c r="AG20" s="287">
        <f t="shared" si="11"/>
        <v>24301.599999999999</v>
      </c>
    </row>
    <row r="21" spans="2:33" ht="16.5">
      <c r="B21" s="259" t="s">
        <v>755</v>
      </c>
      <c r="C21" s="281" t="s">
        <v>77</v>
      </c>
      <c r="D21" s="3" t="s">
        <v>269</v>
      </c>
      <c r="E21" s="261">
        <v>43132</v>
      </c>
      <c r="F21" s="288">
        <v>1657.21</v>
      </c>
      <c r="G21" s="277"/>
      <c r="H21" s="135"/>
      <c r="I21" s="301">
        <f t="shared" si="4"/>
        <v>1657.21</v>
      </c>
      <c r="J21" t="s">
        <v>855</v>
      </c>
      <c r="L21" s="193">
        <f t="shared" si="5"/>
        <v>1657.21</v>
      </c>
      <c r="M21" t="s">
        <v>894</v>
      </c>
      <c r="O21" s="305">
        <f t="shared" si="6"/>
        <v>1657.21</v>
      </c>
      <c r="P21" s="14" t="s">
        <v>919</v>
      </c>
      <c r="Q21" s="135"/>
      <c r="R21" s="292">
        <f t="shared" si="7"/>
        <v>1657.21</v>
      </c>
      <c r="S21" t="s">
        <v>964</v>
      </c>
      <c r="U21" s="206">
        <f t="shared" si="8"/>
        <v>1657.21</v>
      </c>
      <c r="V21" t="s">
        <v>1019</v>
      </c>
      <c r="X21" s="206">
        <f t="shared" si="9"/>
        <v>1657.21</v>
      </c>
      <c r="Y21" t="s">
        <v>1068</v>
      </c>
      <c r="AA21" s="206">
        <f t="shared" si="3"/>
        <v>1657.21</v>
      </c>
      <c r="AB21" s="361" t="s">
        <v>1175</v>
      </c>
      <c r="AD21" s="132">
        <f t="shared" si="10"/>
        <v>1657.21</v>
      </c>
      <c r="AE21" s="361" t="s">
        <v>1214</v>
      </c>
      <c r="AG21" s="287">
        <f t="shared" si="11"/>
        <v>1657.21</v>
      </c>
    </row>
    <row r="22" spans="2:33" ht="16.5">
      <c r="B22" s="259" t="s">
        <v>755</v>
      </c>
      <c r="C22" s="281" t="s">
        <v>117</v>
      </c>
      <c r="D22" s="281" t="s">
        <v>118</v>
      </c>
      <c r="E22" s="261">
        <v>43132</v>
      </c>
      <c r="F22" s="288">
        <v>19516.87</v>
      </c>
      <c r="G22" s="277"/>
      <c r="H22" s="135"/>
      <c r="I22" s="301">
        <f t="shared" si="4"/>
        <v>19516.87</v>
      </c>
      <c r="J22" t="s">
        <v>855</v>
      </c>
      <c r="L22" s="193">
        <f t="shared" si="5"/>
        <v>19516.87</v>
      </c>
      <c r="M22" t="s">
        <v>894</v>
      </c>
      <c r="O22" s="305">
        <f t="shared" si="6"/>
        <v>19516.87</v>
      </c>
      <c r="P22" s="14" t="s">
        <v>919</v>
      </c>
      <c r="Q22" s="135"/>
      <c r="R22" s="292">
        <f t="shared" si="7"/>
        <v>19516.87</v>
      </c>
      <c r="S22" t="s">
        <v>964</v>
      </c>
      <c r="U22" s="206">
        <f t="shared" si="8"/>
        <v>19516.87</v>
      </c>
      <c r="V22" t="s">
        <v>1019</v>
      </c>
      <c r="X22" s="206">
        <f t="shared" si="9"/>
        <v>19516.87</v>
      </c>
      <c r="Y22" t="s">
        <v>1068</v>
      </c>
      <c r="Z22" s="206">
        <f>X22</f>
        <v>19516.87</v>
      </c>
      <c r="AA22" s="206">
        <f>X22-Z22</f>
        <v>0</v>
      </c>
      <c r="AB22" s="361" t="s">
        <v>1175</v>
      </c>
      <c r="AD22" s="132">
        <f t="shared" si="10"/>
        <v>0</v>
      </c>
      <c r="AE22" s="361" t="s">
        <v>1214</v>
      </c>
      <c r="AG22" s="287">
        <f t="shared" si="11"/>
        <v>0</v>
      </c>
    </row>
    <row r="23" spans="2:33" ht="16.5">
      <c r="B23" s="259" t="s">
        <v>755</v>
      </c>
      <c r="C23" s="281" t="s">
        <v>119</v>
      </c>
      <c r="D23" s="281" t="s">
        <v>120</v>
      </c>
      <c r="E23" s="261">
        <v>43132</v>
      </c>
      <c r="F23" s="288">
        <v>1675.68</v>
      </c>
      <c r="G23" s="277"/>
      <c r="H23" s="135"/>
      <c r="I23" s="301">
        <f t="shared" si="4"/>
        <v>1675.68</v>
      </c>
      <c r="J23" t="s">
        <v>855</v>
      </c>
      <c r="L23" s="193">
        <f t="shared" si="5"/>
        <v>1675.68</v>
      </c>
      <c r="M23" t="s">
        <v>894</v>
      </c>
      <c r="O23" s="305">
        <f t="shared" si="6"/>
        <v>1675.68</v>
      </c>
      <c r="P23" s="14" t="s">
        <v>919</v>
      </c>
      <c r="Q23" s="135"/>
      <c r="R23" s="292">
        <f t="shared" si="7"/>
        <v>1675.68</v>
      </c>
      <c r="S23" t="s">
        <v>964</v>
      </c>
      <c r="U23" s="206">
        <f t="shared" si="8"/>
        <v>1675.68</v>
      </c>
      <c r="V23" t="s">
        <v>1019</v>
      </c>
      <c r="X23" s="206">
        <f t="shared" si="9"/>
        <v>1675.68</v>
      </c>
      <c r="Y23" t="s">
        <v>1068</v>
      </c>
      <c r="AA23" s="206">
        <f t="shared" ref="AA23:AA36" si="12">X23-Z23</f>
        <v>1675.68</v>
      </c>
      <c r="AB23" s="361" t="s">
        <v>1175</v>
      </c>
      <c r="AD23" s="132">
        <f t="shared" si="10"/>
        <v>1675.68</v>
      </c>
      <c r="AE23" s="361" t="s">
        <v>1214</v>
      </c>
      <c r="AG23" s="287">
        <f t="shared" si="11"/>
        <v>1675.68</v>
      </c>
    </row>
    <row r="24" spans="2:33" ht="16.5">
      <c r="B24" s="259" t="s">
        <v>755</v>
      </c>
      <c r="C24" s="281" t="s">
        <v>121</v>
      </c>
      <c r="D24" s="281" t="s">
        <v>122</v>
      </c>
      <c r="E24" s="261">
        <v>43132</v>
      </c>
      <c r="F24" s="288">
        <v>2759.97</v>
      </c>
      <c r="G24" s="277"/>
      <c r="H24" s="135"/>
      <c r="I24" s="301">
        <f t="shared" si="4"/>
        <v>2759.97</v>
      </c>
      <c r="J24" t="s">
        <v>855</v>
      </c>
      <c r="L24" s="193">
        <f t="shared" si="5"/>
        <v>2759.97</v>
      </c>
      <c r="M24" t="s">
        <v>894</v>
      </c>
      <c r="O24" s="305">
        <f t="shared" si="6"/>
        <v>2759.97</v>
      </c>
      <c r="P24" s="14" t="s">
        <v>919</v>
      </c>
      <c r="Q24" s="135"/>
      <c r="R24" s="292">
        <f t="shared" si="7"/>
        <v>2759.97</v>
      </c>
      <c r="S24" t="s">
        <v>964</v>
      </c>
      <c r="U24" s="206">
        <f t="shared" si="8"/>
        <v>2759.97</v>
      </c>
      <c r="V24" t="s">
        <v>1019</v>
      </c>
      <c r="X24" s="206">
        <f t="shared" si="9"/>
        <v>2759.97</v>
      </c>
      <c r="Y24" t="s">
        <v>1068</v>
      </c>
      <c r="Z24" s="206">
        <f>X24</f>
        <v>2759.97</v>
      </c>
      <c r="AA24" s="206">
        <f t="shared" si="12"/>
        <v>0</v>
      </c>
      <c r="AB24" s="361" t="s">
        <v>1175</v>
      </c>
      <c r="AD24" s="132">
        <f t="shared" si="10"/>
        <v>0</v>
      </c>
      <c r="AE24" s="361" t="s">
        <v>1214</v>
      </c>
      <c r="AG24" s="287">
        <f t="shared" si="11"/>
        <v>0</v>
      </c>
    </row>
    <row r="25" spans="2:33" ht="16.5">
      <c r="B25" s="259" t="s">
        <v>755</v>
      </c>
      <c r="C25" s="281" t="s">
        <v>236</v>
      </c>
      <c r="D25" s="281" t="s">
        <v>237</v>
      </c>
      <c r="E25" s="261">
        <v>43132</v>
      </c>
      <c r="F25" s="288">
        <v>98.56</v>
      </c>
      <c r="G25" s="277"/>
      <c r="H25" s="135"/>
      <c r="I25" s="301">
        <f t="shared" si="4"/>
        <v>98.56</v>
      </c>
      <c r="J25" t="s">
        <v>855</v>
      </c>
      <c r="L25" s="193">
        <f t="shared" si="5"/>
        <v>98.56</v>
      </c>
      <c r="M25" t="s">
        <v>894</v>
      </c>
      <c r="O25" s="305">
        <f t="shared" si="6"/>
        <v>98.56</v>
      </c>
      <c r="P25" s="14" t="s">
        <v>919</v>
      </c>
      <c r="Q25" s="135"/>
      <c r="R25" s="292">
        <f t="shared" si="7"/>
        <v>98.56</v>
      </c>
      <c r="S25" t="s">
        <v>964</v>
      </c>
      <c r="U25" s="206">
        <f t="shared" si="8"/>
        <v>98.56</v>
      </c>
      <c r="V25" t="s">
        <v>1019</v>
      </c>
      <c r="X25" s="206">
        <f t="shared" si="9"/>
        <v>98.56</v>
      </c>
      <c r="Y25" t="s">
        <v>1068</v>
      </c>
      <c r="AA25" s="206">
        <f t="shared" si="12"/>
        <v>98.56</v>
      </c>
      <c r="AB25" s="361" t="s">
        <v>1175</v>
      </c>
      <c r="AD25" s="132">
        <f t="shared" si="10"/>
        <v>98.56</v>
      </c>
      <c r="AE25" s="361" t="s">
        <v>1214</v>
      </c>
      <c r="AF25">
        <v>98.56</v>
      </c>
      <c r="AG25" s="287">
        <f t="shared" si="11"/>
        <v>0</v>
      </c>
    </row>
    <row r="26" spans="2:33" ht="16.5">
      <c r="B26" s="259" t="s">
        <v>755</v>
      </c>
      <c r="C26" s="281" t="s">
        <v>133</v>
      </c>
      <c r="D26" s="281" t="s">
        <v>134</v>
      </c>
      <c r="E26" s="261">
        <v>43132</v>
      </c>
      <c r="F26" s="288">
        <v>16965</v>
      </c>
      <c r="G26" s="277"/>
      <c r="H26" s="135"/>
      <c r="I26" s="301">
        <f t="shared" si="4"/>
        <v>16965</v>
      </c>
      <c r="J26" t="s">
        <v>855</v>
      </c>
      <c r="L26" s="193">
        <f t="shared" si="5"/>
        <v>16965</v>
      </c>
      <c r="M26" t="s">
        <v>894</v>
      </c>
      <c r="O26" s="305">
        <f t="shared" si="6"/>
        <v>16965</v>
      </c>
      <c r="P26" s="14" t="s">
        <v>919</v>
      </c>
      <c r="Q26" s="135"/>
      <c r="R26" s="292">
        <f t="shared" si="7"/>
        <v>16965</v>
      </c>
      <c r="S26" t="s">
        <v>964</v>
      </c>
      <c r="U26" s="206">
        <f t="shared" si="8"/>
        <v>16965</v>
      </c>
      <c r="V26" t="s">
        <v>1019</v>
      </c>
      <c r="X26" s="206">
        <f t="shared" si="9"/>
        <v>16965</v>
      </c>
      <c r="Y26" t="s">
        <v>1068</v>
      </c>
      <c r="AA26" s="206">
        <f t="shared" si="12"/>
        <v>16965</v>
      </c>
      <c r="AB26" s="361" t="s">
        <v>1175</v>
      </c>
      <c r="AD26" s="132">
        <f t="shared" si="10"/>
        <v>16965</v>
      </c>
      <c r="AE26" s="361" t="s">
        <v>1214</v>
      </c>
      <c r="AG26" s="287">
        <f t="shared" si="11"/>
        <v>16965</v>
      </c>
    </row>
    <row r="27" spans="2:33" ht="16.5">
      <c r="B27" s="259" t="s">
        <v>755</v>
      </c>
      <c r="C27" s="281" t="s">
        <v>135</v>
      </c>
      <c r="D27" s="281" t="s">
        <v>136</v>
      </c>
      <c r="E27" s="261">
        <v>43132</v>
      </c>
      <c r="F27" s="288">
        <v>4381.6899999999996</v>
      </c>
      <c r="G27" s="277"/>
      <c r="H27" s="135"/>
      <c r="I27" s="301">
        <f t="shared" si="4"/>
        <v>4381.6899999999996</v>
      </c>
      <c r="J27" t="s">
        <v>855</v>
      </c>
      <c r="L27" s="193">
        <f t="shared" si="5"/>
        <v>4381.6899999999996</v>
      </c>
      <c r="M27" t="s">
        <v>894</v>
      </c>
      <c r="O27" s="305">
        <f t="shared" si="6"/>
        <v>4381.6899999999996</v>
      </c>
      <c r="P27" s="14" t="s">
        <v>919</v>
      </c>
      <c r="Q27" s="135"/>
      <c r="R27" s="292">
        <f t="shared" si="7"/>
        <v>4381.6899999999996</v>
      </c>
      <c r="S27" t="s">
        <v>964</v>
      </c>
      <c r="U27" s="206">
        <f t="shared" si="8"/>
        <v>4381.6899999999996</v>
      </c>
      <c r="V27" t="s">
        <v>1019</v>
      </c>
      <c r="X27" s="206">
        <f t="shared" si="9"/>
        <v>4381.6899999999996</v>
      </c>
      <c r="Y27" t="s">
        <v>1068</v>
      </c>
      <c r="AA27" s="206">
        <f t="shared" si="12"/>
        <v>4381.6899999999996</v>
      </c>
      <c r="AB27" s="361" t="s">
        <v>1175</v>
      </c>
      <c r="AD27" s="132">
        <f t="shared" si="10"/>
        <v>4381.6899999999996</v>
      </c>
      <c r="AE27" s="361" t="s">
        <v>1214</v>
      </c>
      <c r="AG27" s="287">
        <f t="shared" si="11"/>
        <v>4381.6899999999996</v>
      </c>
    </row>
    <row r="28" spans="2:33" ht="16.5">
      <c r="B28" s="259" t="s">
        <v>755</v>
      </c>
      <c r="C28" s="281" t="s">
        <v>167</v>
      </c>
      <c r="D28" s="281" t="s">
        <v>168</v>
      </c>
      <c r="E28" s="261">
        <v>43132</v>
      </c>
      <c r="F28" s="288">
        <v>558.89</v>
      </c>
      <c r="G28" s="277"/>
      <c r="H28" s="135"/>
      <c r="I28" s="301">
        <f t="shared" si="4"/>
        <v>558.89</v>
      </c>
      <c r="J28" t="s">
        <v>855</v>
      </c>
      <c r="L28" s="193">
        <f t="shared" si="5"/>
        <v>558.89</v>
      </c>
      <c r="M28" t="s">
        <v>894</v>
      </c>
      <c r="O28" s="305">
        <f t="shared" si="6"/>
        <v>558.89</v>
      </c>
      <c r="P28" s="14" t="s">
        <v>919</v>
      </c>
      <c r="Q28" s="135"/>
      <c r="R28" s="292">
        <f t="shared" si="7"/>
        <v>558.89</v>
      </c>
      <c r="S28" t="s">
        <v>964</v>
      </c>
      <c r="U28" s="206">
        <f t="shared" si="8"/>
        <v>558.89</v>
      </c>
      <c r="V28" t="s">
        <v>1019</v>
      </c>
      <c r="X28" s="206">
        <f t="shared" si="9"/>
        <v>558.89</v>
      </c>
      <c r="Y28" t="s">
        <v>1068</v>
      </c>
      <c r="AA28" s="206">
        <f t="shared" si="12"/>
        <v>558.89</v>
      </c>
      <c r="AB28" s="361" t="s">
        <v>1175</v>
      </c>
      <c r="AD28" s="132">
        <f t="shared" si="10"/>
        <v>558.89</v>
      </c>
      <c r="AE28" s="361" t="s">
        <v>1214</v>
      </c>
      <c r="AF28">
        <v>558.89</v>
      </c>
      <c r="AG28" s="287">
        <f t="shared" si="11"/>
        <v>0</v>
      </c>
    </row>
    <row r="29" spans="2:33" ht="16.5">
      <c r="B29" s="259" t="s">
        <v>755</v>
      </c>
      <c r="C29" s="281" t="s">
        <v>195</v>
      </c>
      <c r="D29" s="281" t="s">
        <v>196</v>
      </c>
      <c r="E29" s="261">
        <v>43132</v>
      </c>
      <c r="F29" s="288">
        <v>11196.79</v>
      </c>
      <c r="G29" s="277"/>
      <c r="H29" s="135"/>
      <c r="I29" s="301">
        <f t="shared" si="4"/>
        <v>11196.79</v>
      </c>
      <c r="J29" t="s">
        <v>855</v>
      </c>
      <c r="L29" s="193">
        <f t="shared" si="5"/>
        <v>11196.79</v>
      </c>
      <c r="M29" t="s">
        <v>894</v>
      </c>
      <c r="O29" s="305">
        <f t="shared" si="6"/>
        <v>11196.79</v>
      </c>
      <c r="P29" s="14" t="s">
        <v>919</v>
      </c>
      <c r="Q29" s="135"/>
      <c r="R29" s="292">
        <f t="shared" si="7"/>
        <v>11196.79</v>
      </c>
      <c r="S29" t="s">
        <v>964</v>
      </c>
      <c r="U29" s="206">
        <f t="shared" si="8"/>
        <v>11196.79</v>
      </c>
      <c r="V29" t="s">
        <v>1019</v>
      </c>
      <c r="X29" s="206">
        <f t="shared" si="9"/>
        <v>11196.79</v>
      </c>
      <c r="Y29" t="s">
        <v>1068</v>
      </c>
      <c r="Z29">
        <v>11196.79</v>
      </c>
      <c r="AA29" s="206">
        <f t="shared" si="12"/>
        <v>0</v>
      </c>
      <c r="AB29" s="361" t="s">
        <v>1175</v>
      </c>
      <c r="AD29" s="132">
        <f t="shared" si="10"/>
        <v>0</v>
      </c>
      <c r="AE29" s="361" t="s">
        <v>1214</v>
      </c>
      <c r="AG29" s="287">
        <f t="shared" si="11"/>
        <v>0</v>
      </c>
    </row>
    <row r="30" spans="2:33" ht="16.5">
      <c r="B30" s="259" t="s">
        <v>755</v>
      </c>
      <c r="C30" s="281" t="s">
        <v>238</v>
      </c>
      <c r="D30" s="281" t="s">
        <v>239</v>
      </c>
      <c r="E30" s="261">
        <v>43132</v>
      </c>
      <c r="F30" s="288">
        <v>141960.01999999999</v>
      </c>
      <c r="G30" s="277"/>
      <c r="H30" s="135">
        <f>100000+(17460/1.06)+9000</f>
        <v>125471.69811320755</v>
      </c>
      <c r="I30" s="301">
        <f t="shared" si="4"/>
        <v>16488.321886792444</v>
      </c>
      <c r="J30" t="s">
        <v>855</v>
      </c>
      <c r="K30">
        <v>14243.05</v>
      </c>
      <c r="L30" s="193">
        <f>I30-K30</f>
        <v>2245.271886792445</v>
      </c>
      <c r="M30" t="s">
        <v>894</v>
      </c>
      <c r="O30" s="305">
        <f t="shared" si="6"/>
        <v>2245.271886792445</v>
      </c>
      <c r="P30" s="14" t="s">
        <v>919</v>
      </c>
      <c r="Q30" s="135"/>
      <c r="R30" s="292">
        <f t="shared" si="7"/>
        <v>2245.271886792445</v>
      </c>
      <c r="S30" t="s">
        <v>964</v>
      </c>
      <c r="T30" s="20">
        <v>2245.27</v>
      </c>
      <c r="U30" s="206">
        <f t="shared" si="8"/>
        <v>1.8867924450205464E-3</v>
      </c>
      <c r="V30" t="s">
        <v>1019</v>
      </c>
      <c r="X30" s="206">
        <f t="shared" si="9"/>
        <v>0</v>
      </c>
      <c r="Y30" t="s">
        <v>1068</v>
      </c>
      <c r="AA30" s="206">
        <f t="shared" si="12"/>
        <v>0</v>
      </c>
      <c r="AB30" s="361" t="s">
        <v>1175</v>
      </c>
      <c r="AD30" s="132">
        <f t="shared" si="10"/>
        <v>0</v>
      </c>
      <c r="AE30" s="361" t="s">
        <v>1214</v>
      </c>
      <c r="AG30" s="287">
        <f t="shared" si="11"/>
        <v>0</v>
      </c>
    </row>
    <row r="31" spans="2:33" ht="16.5">
      <c r="B31" s="259" t="s">
        <v>755</v>
      </c>
      <c r="C31" s="281" t="s">
        <v>580</v>
      </c>
      <c r="D31" s="281" t="s">
        <v>581</v>
      </c>
      <c r="E31" s="261">
        <v>43132</v>
      </c>
      <c r="F31" s="288">
        <v>3115</v>
      </c>
      <c r="G31" s="277"/>
      <c r="H31" s="135"/>
      <c r="I31" s="301">
        <f t="shared" si="4"/>
        <v>3115</v>
      </c>
      <c r="J31" t="s">
        <v>855</v>
      </c>
      <c r="L31" s="193">
        <f t="shared" si="5"/>
        <v>3115</v>
      </c>
      <c r="M31" t="s">
        <v>894</v>
      </c>
      <c r="O31" s="305">
        <f t="shared" si="6"/>
        <v>3115</v>
      </c>
      <c r="P31" s="14" t="s">
        <v>919</v>
      </c>
      <c r="Q31" s="323">
        <f>146015/1.06-3642.08-69936.86-61056.06</f>
        <v>3115.0000000000146</v>
      </c>
      <c r="R31" s="292">
        <f t="shared" si="7"/>
        <v>-1.4551915228366852E-11</v>
      </c>
      <c r="S31" t="s">
        <v>964</v>
      </c>
      <c r="U31" s="206">
        <f t="shared" si="8"/>
        <v>-1.4551915228366852E-11</v>
      </c>
      <c r="V31" t="s">
        <v>1019</v>
      </c>
      <c r="X31" s="206">
        <f t="shared" si="9"/>
        <v>0</v>
      </c>
      <c r="Y31" t="s">
        <v>1068</v>
      </c>
      <c r="AA31" s="206">
        <f t="shared" si="12"/>
        <v>0</v>
      </c>
      <c r="AB31" s="361" t="s">
        <v>1175</v>
      </c>
      <c r="AD31" s="132">
        <f t="shared" si="10"/>
        <v>0</v>
      </c>
      <c r="AE31" s="361" t="s">
        <v>1214</v>
      </c>
      <c r="AG31" s="287">
        <f t="shared" si="11"/>
        <v>0</v>
      </c>
    </row>
    <row r="32" spans="2:33" ht="16.5">
      <c r="B32" s="259" t="s">
        <v>755</v>
      </c>
      <c r="C32" s="281" t="s">
        <v>582</v>
      </c>
      <c r="D32" s="281" t="s">
        <v>583</v>
      </c>
      <c r="E32" s="261">
        <v>43132</v>
      </c>
      <c r="F32" s="288">
        <v>2411.62</v>
      </c>
      <c r="G32" s="277"/>
      <c r="H32" s="135"/>
      <c r="I32" s="301">
        <f t="shared" si="4"/>
        <v>2411.62</v>
      </c>
      <c r="J32" t="s">
        <v>855</v>
      </c>
      <c r="L32" s="193">
        <f t="shared" si="5"/>
        <v>2411.62</v>
      </c>
      <c r="M32" t="s">
        <v>894</v>
      </c>
      <c r="O32" s="305">
        <f t="shared" si="6"/>
        <v>2411.62</v>
      </c>
      <c r="P32" s="14" t="s">
        <v>919</v>
      </c>
      <c r="Q32" s="323">
        <f>146015/1.06-3642.08-69936.86-3115-58644.44</f>
        <v>2411.6200000000099</v>
      </c>
      <c r="R32" s="292">
        <f t="shared" si="7"/>
        <v>-1.0004441719502211E-11</v>
      </c>
      <c r="S32" t="s">
        <v>964</v>
      </c>
      <c r="U32" s="206">
        <f t="shared" si="8"/>
        <v>-1.0004441719502211E-11</v>
      </c>
      <c r="V32" t="s">
        <v>1019</v>
      </c>
      <c r="X32" s="206">
        <f t="shared" si="9"/>
        <v>0</v>
      </c>
      <c r="Y32" t="s">
        <v>1068</v>
      </c>
      <c r="AA32" s="206">
        <f t="shared" si="12"/>
        <v>0</v>
      </c>
      <c r="AB32" s="361" t="s">
        <v>1175</v>
      </c>
      <c r="AD32" s="132">
        <f t="shared" si="10"/>
        <v>0</v>
      </c>
      <c r="AE32" s="361" t="s">
        <v>1214</v>
      </c>
      <c r="AG32" s="287">
        <f t="shared" si="11"/>
        <v>0</v>
      </c>
    </row>
    <row r="33" spans="2:34" ht="16.5">
      <c r="B33" s="259" t="s">
        <v>755</v>
      </c>
      <c r="C33" s="281" t="s">
        <v>823</v>
      </c>
      <c r="D33" s="281" t="s">
        <v>824</v>
      </c>
      <c r="E33" s="261">
        <v>43132</v>
      </c>
      <c r="F33" s="288">
        <v>2291.0300000000002</v>
      </c>
      <c r="G33" s="277"/>
      <c r="H33" s="135"/>
      <c r="I33" s="301">
        <f t="shared" si="4"/>
        <v>2291.0300000000002</v>
      </c>
      <c r="J33" t="s">
        <v>855</v>
      </c>
      <c r="L33" s="193">
        <f t="shared" si="5"/>
        <v>2291.0300000000002</v>
      </c>
      <c r="M33" t="s">
        <v>894</v>
      </c>
      <c r="O33" s="305">
        <f t="shared" si="6"/>
        <v>2291.0300000000002</v>
      </c>
      <c r="P33" s="14" t="s">
        <v>919</v>
      </c>
      <c r="Q33" s="135"/>
      <c r="R33" s="292">
        <f t="shared" si="7"/>
        <v>2291.0300000000002</v>
      </c>
      <c r="S33" t="s">
        <v>964</v>
      </c>
      <c r="U33" s="206">
        <f t="shared" si="8"/>
        <v>2291.0300000000002</v>
      </c>
      <c r="V33" t="s">
        <v>1019</v>
      </c>
      <c r="X33" s="206">
        <f t="shared" si="9"/>
        <v>2291.0300000000002</v>
      </c>
      <c r="Y33" t="s">
        <v>1068</v>
      </c>
      <c r="AA33" s="206">
        <f t="shared" si="12"/>
        <v>2291.0300000000002</v>
      </c>
      <c r="AB33" s="361" t="s">
        <v>1175</v>
      </c>
      <c r="AC33" s="364">
        <v>2291.0300000000002</v>
      </c>
      <c r="AD33" s="132">
        <f t="shared" si="10"/>
        <v>0</v>
      </c>
      <c r="AE33" s="361" t="s">
        <v>1214</v>
      </c>
      <c r="AG33" s="287">
        <f t="shared" si="11"/>
        <v>0</v>
      </c>
    </row>
    <row r="34" spans="2:34" ht="16.5">
      <c r="B34" s="259" t="s">
        <v>755</v>
      </c>
      <c r="C34" s="281" t="s">
        <v>825</v>
      </c>
      <c r="D34" s="281" t="s">
        <v>826</v>
      </c>
      <c r="E34" s="261">
        <v>43132</v>
      </c>
      <c r="F34" s="288">
        <v>425841.01</v>
      </c>
      <c r="G34" s="277"/>
      <c r="H34" s="135">
        <v>425841.01</v>
      </c>
      <c r="I34" s="301">
        <f t="shared" si="4"/>
        <v>0</v>
      </c>
      <c r="J34" t="s">
        <v>855</v>
      </c>
      <c r="L34" s="206">
        <f t="shared" si="5"/>
        <v>0</v>
      </c>
      <c r="M34" t="s">
        <v>894</v>
      </c>
      <c r="O34" s="305">
        <f t="shared" si="6"/>
        <v>0</v>
      </c>
      <c r="P34" s="14" t="s">
        <v>919</v>
      </c>
      <c r="Q34" s="135"/>
      <c r="R34" s="292">
        <f t="shared" si="7"/>
        <v>0</v>
      </c>
      <c r="S34" t="s">
        <v>964</v>
      </c>
      <c r="U34" s="206">
        <f t="shared" si="8"/>
        <v>0</v>
      </c>
      <c r="V34" t="s">
        <v>1019</v>
      </c>
      <c r="X34" s="206">
        <f t="shared" si="9"/>
        <v>0</v>
      </c>
      <c r="Y34" t="s">
        <v>1068</v>
      </c>
      <c r="AA34" s="206">
        <f t="shared" si="12"/>
        <v>0</v>
      </c>
      <c r="AB34" s="361" t="s">
        <v>1175</v>
      </c>
      <c r="AD34" s="132">
        <f t="shared" si="10"/>
        <v>0</v>
      </c>
      <c r="AE34" s="361" t="s">
        <v>1214</v>
      </c>
      <c r="AG34" s="287">
        <f t="shared" si="11"/>
        <v>0</v>
      </c>
    </row>
    <row r="35" spans="2:34" ht="16.5">
      <c r="B35" s="259" t="s">
        <v>755</v>
      </c>
      <c r="C35" s="281" t="s">
        <v>827</v>
      </c>
      <c r="D35" s="3" t="s">
        <v>838</v>
      </c>
      <c r="E35" s="261">
        <v>43132</v>
      </c>
      <c r="F35" s="291">
        <v>11532.7</v>
      </c>
      <c r="G35" s="277"/>
      <c r="H35" s="135"/>
      <c r="I35" s="301">
        <f t="shared" si="4"/>
        <v>11532.7</v>
      </c>
      <c r="J35" t="s">
        <v>855</v>
      </c>
      <c r="L35" s="193">
        <f t="shared" si="5"/>
        <v>11532.7</v>
      </c>
      <c r="M35" t="s">
        <v>894</v>
      </c>
      <c r="O35" s="305">
        <f t="shared" si="6"/>
        <v>11532.7</v>
      </c>
      <c r="P35" s="14" t="s">
        <v>919</v>
      </c>
      <c r="Q35" s="135"/>
      <c r="R35" s="292">
        <f t="shared" si="7"/>
        <v>11532.7</v>
      </c>
      <c r="S35" t="s">
        <v>964</v>
      </c>
      <c r="U35" s="206">
        <f t="shared" si="8"/>
        <v>11532.7</v>
      </c>
      <c r="V35" t="s">
        <v>1019</v>
      </c>
      <c r="X35" s="206">
        <f t="shared" si="9"/>
        <v>11532.7</v>
      </c>
      <c r="Y35" t="s">
        <v>1068</v>
      </c>
      <c r="AA35" s="206">
        <f t="shared" si="12"/>
        <v>11532.7</v>
      </c>
      <c r="AB35" s="361" t="s">
        <v>1175</v>
      </c>
      <c r="AC35" s="364">
        <v>11532.7</v>
      </c>
      <c r="AD35" s="132">
        <f t="shared" si="10"/>
        <v>0</v>
      </c>
      <c r="AE35" s="361" t="s">
        <v>1214</v>
      </c>
      <c r="AG35" s="287">
        <f t="shared" si="11"/>
        <v>0</v>
      </c>
    </row>
    <row r="36" spans="2:34" ht="16.5">
      <c r="B36" s="259" t="s">
        <v>755</v>
      </c>
      <c r="C36" s="281" t="s">
        <v>828</v>
      </c>
      <c r="D36" s="3" t="s">
        <v>829</v>
      </c>
      <c r="E36" s="261">
        <v>43132</v>
      </c>
      <c r="F36" s="288">
        <v>51650.71</v>
      </c>
      <c r="G36" s="277"/>
      <c r="H36" s="135"/>
      <c r="I36" s="301">
        <f t="shared" si="4"/>
        <v>51650.71</v>
      </c>
      <c r="J36" t="s">
        <v>855</v>
      </c>
      <c r="L36" s="193">
        <f t="shared" si="5"/>
        <v>51650.71</v>
      </c>
      <c r="M36" t="s">
        <v>894</v>
      </c>
      <c r="O36" s="305">
        <f t="shared" si="6"/>
        <v>51650.71</v>
      </c>
      <c r="P36" s="14" t="s">
        <v>919</v>
      </c>
      <c r="Q36" s="135"/>
      <c r="R36" s="292">
        <f t="shared" si="7"/>
        <v>51650.71</v>
      </c>
      <c r="S36" t="s">
        <v>964</v>
      </c>
      <c r="T36" s="339">
        <f>(32900/1.06)-14194.08</f>
        <v>16843.655849056602</v>
      </c>
      <c r="U36" s="206">
        <f t="shared" si="8"/>
        <v>34807.054150943397</v>
      </c>
      <c r="V36" t="s">
        <v>1019</v>
      </c>
      <c r="W36" s="348">
        <f>10950/1.06</f>
        <v>10330.188679245282</v>
      </c>
      <c r="X36" s="206">
        <f t="shared" si="9"/>
        <v>24476.87</v>
      </c>
      <c r="Y36" t="s">
        <v>1068</v>
      </c>
      <c r="AA36" s="206">
        <f t="shared" si="12"/>
        <v>24476.87</v>
      </c>
      <c r="AB36" s="361" t="s">
        <v>1175</v>
      </c>
      <c r="AC36" s="364">
        <v>24476.87</v>
      </c>
      <c r="AD36" s="132">
        <f t="shared" si="10"/>
        <v>0</v>
      </c>
      <c r="AE36" s="361" t="s">
        <v>1214</v>
      </c>
      <c r="AG36" s="287">
        <f t="shared" si="11"/>
        <v>0</v>
      </c>
    </row>
    <row r="37" spans="2:34" ht="27" customHeight="1">
      <c r="B37" s="271"/>
      <c r="C37" s="271"/>
      <c r="D37" s="271"/>
      <c r="E37" s="271"/>
      <c r="F37" s="284">
        <f>SUM(F12:F36)</f>
        <v>969592.41999999993</v>
      </c>
      <c r="G37" s="284">
        <f>SUM(G12:G36)</f>
        <v>0</v>
      </c>
      <c r="H37" s="284">
        <f>SUM(H12:H36)</f>
        <v>564016.10811320762</v>
      </c>
      <c r="I37" s="284">
        <f>SUM(I12:I36)</f>
        <v>405576.31188679242</v>
      </c>
      <c r="J37" s="284"/>
      <c r="K37" s="284"/>
      <c r="L37" s="284">
        <f>SUM(L12:L36)</f>
        <v>357059.17188679246</v>
      </c>
      <c r="M37" s="284">
        <f>SUM(M12:M36)</f>
        <v>0</v>
      </c>
      <c r="N37" s="284"/>
      <c r="O37" s="284">
        <f>SUM(O12:O36)</f>
        <v>321818.15188679245</v>
      </c>
      <c r="P37" s="284"/>
      <c r="Q37" s="284">
        <f>SUM(Q12:Q36)</f>
        <v>6272.4200000000246</v>
      </c>
      <c r="R37" s="284">
        <f>SUM(R12:R36)</f>
        <v>315545.73188679246</v>
      </c>
      <c r="S37" s="326"/>
      <c r="T37" s="284">
        <f>SUM(T12:T36)</f>
        <v>116066.01849056603</v>
      </c>
      <c r="U37" s="284">
        <f>SUM(U12:U36)</f>
        <v>199479.71339622646</v>
      </c>
      <c r="V37" s="326"/>
      <c r="W37" s="284">
        <f>SUM(W12:W36)</f>
        <v>10330.188679245282</v>
      </c>
      <c r="X37" s="284">
        <f>SUM(X12:X36)</f>
        <v>189149.53000000003</v>
      </c>
      <c r="Y37" s="284">
        <f t="shared" ref="Y37:AA37" si="13">SUM(Y12:Y36)</f>
        <v>0</v>
      </c>
      <c r="Z37" s="284">
        <f t="shared" si="13"/>
        <v>33473.630000000005</v>
      </c>
      <c r="AA37" s="284">
        <f t="shared" si="13"/>
        <v>155675.9</v>
      </c>
      <c r="AB37" s="284" t="s">
        <v>1175</v>
      </c>
      <c r="AC37" s="284">
        <f>SUM(AC12:AC36)</f>
        <v>82910.977358490563</v>
      </c>
      <c r="AD37" s="284">
        <f>SUM(AD12:AD36)</f>
        <v>72764.922641509431</v>
      </c>
      <c r="AE37" s="284" t="s">
        <v>1214</v>
      </c>
      <c r="AF37" s="284">
        <f>SUM(AF12:AF36)</f>
        <v>657.45</v>
      </c>
      <c r="AG37" s="284">
        <f>SUM(AG12:AG36)</f>
        <v>72107.472641509434</v>
      </c>
      <c r="AH37" s="284"/>
    </row>
    <row r="39" spans="2:34" ht="33">
      <c r="B39" s="273" t="s">
        <v>728</v>
      </c>
      <c r="C39" s="273" t="s">
        <v>729</v>
      </c>
      <c r="D39" s="273" t="s">
        <v>730</v>
      </c>
      <c r="E39" s="273" t="s">
        <v>731</v>
      </c>
      <c r="F39" s="279" t="s">
        <v>732</v>
      </c>
      <c r="G39" s="280" t="s">
        <v>733</v>
      </c>
      <c r="H39" s="273" t="s">
        <v>845</v>
      </c>
      <c r="I39" s="273" t="s">
        <v>846</v>
      </c>
      <c r="J39" s="273" t="s">
        <v>857</v>
      </c>
      <c r="K39" s="273" t="s">
        <v>881</v>
      </c>
      <c r="L39" s="273" t="s">
        <v>882</v>
      </c>
      <c r="M39" s="273" t="s">
        <v>857</v>
      </c>
      <c r="N39" s="280" t="s">
        <v>907</v>
      </c>
      <c r="O39" s="302" t="s">
        <v>908</v>
      </c>
      <c r="P39" s="274" t="s">
        <v>890</v>
      </c>
      <c r="Q39" s="273" t="s">
        <v>943</v>
      </c>
      <c r="R39" s="273" t="s">
        <v>944</v>
      </c>
      <c r="S39" s="274" t="s">
        <v>890</v>
      </c>
      <c r="T39" s="273" t="s">
        <v>958</v>
      </c>
      <c r="U39" s="273" t="s">
        <v>960</v>
      </c>
      <c r="V39" s="274" t="s">
        <v>890</v>
      </c>
      <c r="W39" s="273" t="s">
        <v>1011</v>
      </c>
      <c r="X39" s="273" t="s">
        <v>1013</v>
      </c>
      <c r="Y39" s="274" t="s">
        <v>890</v>
      </c>
      <c r="Z39" s="273" t="s">
        <v>1055</v>
      </c>
      <c r="AA39" s="273" t="s">
        <v>1056</v>
      </c>
      <c r="AB39" s="274" t="s">
        <v>890</v>
      </c>
      <c r="AC39" s="320" t="s">
        <v>1164</v>
      </c>
      <c r="AD39" s="320" t="s">
        <v>1165</v>
      </c>
      <c r="AE39" s="274" t="s">
        <v>890</v>
      </c>
      <c r="AF39" s="320" t="s">
        <v>1308</v>
      </c>
      <c r="AG39" s="273" t="s">
        <v>1309</v>
      </c>
      <c r="AH39" s="274" t="s">
        <v>1310</v>
      </c>
    </row>
    <row r="40" spans="2:34" ht="16.5">
      <c r="B40" s="259" t="s">
        <v>804</v>
      </c>
      <c r="C40" s="3" t="s">
        <v>420</v>
      </c>
      <c r="D40" s="3" t="s">
        <v>419</v>
      </c>
      <c r="E40" s="261">
        <v>43132</v>
      </c>
      <c r="F40" s="279">
        <v>75921.960000000006</v>
      </c>
      <c r="G40" s="280" t="s">
        <v>463</v>
      </c>
      <c r="H40" s="135"/>
      <c r="I40" s="294">
        <f>F40-H40</f>
        <v>75921.960000000006</v>
      </c>
      <c r="J40" t="s">
        <v>859</v>
      </c>
      <c r="L40" s="287">
        <f>I40-K40</f>
        <v>75921.960000000006</v>
      </c>
      <c r="M40" t="s">
        <v>897</v>
      </c>
      <c r="O40" s="305">
        <f>L40-N40</f>
        <v>75921.960000000006</v>
      </c>
      <c r="P40" s="135" t="s">
        <v>920</v>
      </c>
      <c r="Q40" s="324">
        <f>1913.19/1.06</f>
        <v>1804.8962264150944</v>
      </c>
      <c r="R40" s="292">
        <f>O40-Q40</f>
        <v>74117.063773584916</v>
      </c>
      <c r="S40" s="135" t="s">
        <v>967</v>
      </c>
      <c r="U40" s="206">
        <f>R40-T40</f>
        <v>74117.063773584916</v>
      </c>
      <c r="V40" t="s">
        <v>1018</v>
      </c>
      <c r="X40" s="206">
        <f>U40-W40</f>
        <v>74117.063773584916</v>
      </c>
      <c r="Y40" t="s">
        <v>1074</v>
      </c>
      <c r="AA40" s="206">
        <f>X40-Z40</f>
        <v>74117.063773584916</v>
      </c>
      <c r="AB40" s="361" t="s">
        <v>1190</v>
      </c>
      <c r="AC40" s="364">
        <v>74117.063773584916</v>
      </c>
      <c r="AD40" s="132">
        <f>AA40-AC40</f>
        <v>0</v>
      </c>
      <c r="AE40" s="361" t="s">
        <v>1198</v>
      </c>
      <c r="AG40" s="287">
        <f>AD40-AF40</f>
        <v>0</v>
      </c>
    </row>
    <row r="41" spans="2:34" ht="16.5">
      <c r="B41" s="259" t="s">
        <v>804</v>
      </c>
      <c r="C41" s="281" t="s">
        <v>77</v>
      </c>
      <c r="D41" s="3" t="s">
        <v>269</v>
      </c>
      <c r="E41" s="261">
        <v>43132</v>
      </c>
      <c r="F41" s="279">
        <v>5833.5</v>
      </c>
      <c r="G41" s="280" t="s">
        <v>463</v>
      </c>
      <c r="H41" s="135"/>
      <c r="I41" s="294">
        <f>F41-H41</f>
        <v>5833.5</v>
      </c>
      <c r="J41" t="s">
        <v>859</v>
      </c>
      <c r="L41" s="287">
        <f>I41-K41</f>
        <v>5833.5</v>
      </c>
      <c r="M41" t="s">
        <v>897</v>
      </c>
      <c r="O41" s="305">
        <f>L41-N41</f>
        <v>5833.5</v>
      </c>
      <c r="P41" s="135" t="s">
        <v>920</v>
      </c>
      <c r="Q41" s="135"/>
      <c r="R41" s="292">
        <f>O41-Q41</f>
        <v>5833.5</v>
      </c>
      <c r="S41" s="135" t="s">
        <v>967</v>
      </c>
      <c r="U41" s="206">
        <f>R41-T41</f>
        <v>5833.5</v>
      </c>
      <c r="V41" t="s">
        <v>1018</v>
      </c>
      <c r="X41" s="206">
        <f>U41-W41</f>
        <v>5833.5</v>
      </c>
      <c r="Y41" t="s">
        <v>1074</v>
      </c>
      <c r="AA41" s="206">
        <f t="shared" ref="AA41:AA43" si="14">X41-Z41</f>
        <v>5833.5</v>
      </c>
      <c r="AB41" s="361" t="s">
        <v>1190</v>
      </c>
      <c r="AC41" s="364">
        <v>5833.5</v>
      </c>
      <c r="AD41" s="132">
        <f>AA41-AC41</f>
        <v>0</v>
      </c>
      <c r="AE41" s="361" t="s">
        <v>1198</v>
      </c>
      <c r="AG41" s="287">
        <f t="shared" ref="AG41:AG43" si="15">AD41-AF41</f>
        <v>0</v>
      </c>
    </row>
    <row r="42" spans="2:34" ht="16.5">
      <c r="B42" s="259" t="s">
        <v>804</v>
      </c>
      <c r="C42" s="281" t="s">
        <v>830</v>
      </c>
      <c r="D42" s="3" t="s">
        <v>832</v>
      </c>
      <c r="E42" s="261">
        <v>43132</v>
      </c>
      <c r="F42" s="279">
        <v>331788</v>
      </c>
      <c r="G42" s="280" t="s">
        <v>463</v>
      </c>
      <c r="H42" s="135"/>
      <c r="I42" s="294">
        <f>F42-H42</f>
        <v>331788</v>
      </c>
      <c r="J42" t="s">
        <v>859</v>
      </c>
      <c r="L42" s="287">
        <f>I42-K42</f>
        <v>331788</v>
      </c>
      <c r="M42" t="s">
        <v>897</v>
      </c>
      <c r="O42" s="305">
        <f>L42-N42</f>
        <v>331788</v>
      </c>
      <c r="P42" s="135" t="s">
        <v>920</v>
      </c>
      <c r="Q42" s="135"/>
      <c r="R42" s="292">
        <f>O42-Q42</f>
        <v>331788</v>
      </c>
      <c r="S42" s="135" t="s">
        <v>967</v>
      </c>
      <c r="U42" s="206">
        <f>R42-T42</f>
        <v>331788</v>
      </c>
      <c r="V42" t="s">
        <v>1018</v>
      </c>
      <c r="X42" s="206">
        <f>U42-W42</f>
        <v>331788</v>
      </c>
      <c r="Y42" t="s">
        <v>1074</v>
      </c>
      <c r="AA42" s="206">
        <f t="shared" si="14"/>
        <v>331788</v>
      </c>
      <c r="AB42" s="361" t="s">
        <v>1190</v>
      </c>
      <c r="AD42" s="132">
        <f t="shared" ref="AD42:AD43" si="16">AA42-AC42</f>
        <v>331788</v>
      </c>
      <c r="AE42" s="361" t="s">
        <v>1198</v>
      </c>
      <c r="AG42" s="287">
        <f t="shared" si="15"/>
        <v>331788</v>
      </c>
    </row>
    <row r="43" spans="2:34" ht="16.5">
      <c r="B43" s="259" t="s">
        <v>804</v>
      </c>
      <c r="C43" s="281" t="s">
        <v>831</v>
      </c>
      <c r="D43" s="3" t="s">
        <v>833</v>
      </c>
      <c r="E43" s="261">
        <v>43132</v>
      </c>
      <c r="F43" s="279">
        <v>2575.0499999999956</v>
      </c>
      <c r="G43" s="280" t="s">
        <v>463</v>
      </c>
      <c r="H43" s="135"/>
      <c r="I43" s="294">
        <f>F43-H43</f>
        <v>2575.0499999999956</v>
      </c>
      <c r="J43" t="s">
        <v>859</v>
      </c>
      <c r="L43" s="287">
        <f>I43-K43</f>
        <v>2575.0499999999956</v>
      </c>
      <c r="M43" t="s">
        <v>897</v>
      </c>
      <c r="O43" s="305">
        <f>L43-N43</f>
        <v>2575.0499999999956</v>
      </c>
      <c r="P43" s="135" t="s">
        <v>920</v>
      </c>
      <c r="Q43" s="135"/>
      <c r="R43" s="292">
        <f>O43-Q43</f>
        <v>2575.0499999999956</v>
      </c>
      <c r="S43" s="135" t="s">
        <v>967</v>
      </c>
      <c r="U43" s="206">
        <f>R43-T43</f>
        <v>2575.0499999999956</v>
      </c>
      <c r="V43" t="s">
        <v>1018</v>
      </c>
      <c r="X43" s="206">
        <f>U43-W43</f>
        <v>2575.0499999999956</v>
      </c>
      <c r="Y43" t="s">
        <v>1074</v>
      </c>
      <c r="AA43" s="206">
        <f t="shared" si="14"/>
        <v>2575.0499999999956</v>
      </c>
      <c r="AB43" s="361" t="s">
        <v>1190</v>
      </c>
      <c r="AD43" s="132">
        <f t="shared" si="16"/>
        <v>2575.0499999999956</v>
      </c>
      <c r="AE43" s="361" t="s">
        <v>1198</v>
      </c>
      <c r="AG43" s="287">
        <f t="shared" si="15"/>
        <v>2575.0499999999956</v>
      </c>
    </row>
    <row r="44" spans="2:34" ht="27" customHeight="1">
      <c r="B44" s="271"/>
      <c r="C44" s="271"/>
      <c r="D44" s="271"/>
      <c r="E44" s="271"/>
      <c r="F44" s="284">
        <f>SUM(F40:F43)</f>
        <v>416118.51</v>
      </c>
      <c r="G44" s="285"/>
      <c r="H44" s="284">
        <f>SUM(H40:H43)</f>
        <v>0</v>
      </c>
      <c r="I44" s="284">
        <f>SUM(I40:I43)</f>
        <v>416118.51</v>
      </c>
      <c r="J44" s="284"/>
      <c r="K44" s="284"/>
      <c r="L44" s="284">
        <f>SUM(L40:L43)</f>
        <v>416118.51</v>
      </c>
      <c r="M44" s="284"/>
      <c r="N44" s="284"/>
      <c r="O44" s="295">
        <f>SUM(O40:O43)</f>
        <v>416118.51</v>
      </c>
      <c r="P44" s="284"/>
      <c r="Q44" s="295">
        <f>SUM(Q40:Q43)</f>
        <v>1804.8962264150944</v>
      </c>
      <c r="R44" s="284">
        <f>O44-Q44</f>
        <v>414313.61377358489</v>
      </c>
      <c r="S44" s="284"/>
      <c r="T44" s="295">
        <f>SUM(T40:T43)</f>
        <v>0</v>
      </c>
      <c r="U44" s="284">
        <f>R44-T44</f>
        <v>414313.61377358489</v>
      </c>
      <c r="V44" s="284"/>
      <c r="W44" s="295">
        <f>SUM(W40:W43)</f>
        <v>0</v>
      </c>
      <c r="X44" s="284">
        <f>U44-W44</f>
        <v>414313.61377358489</v>
      </c>
      <c r="Y44" s="284"/>
      <c r="Z44" s="295">
        <f>SUM(Z40:Z43)</f>
        <v>0</v>
      </c>
      <c r="AA44" s="284">
        <f>SUM(AA40:AA43)</f>
        <v>414313.61377358489</v>
      </c>
      <c r="AB44" s="382" t="s">
        <v>1190</v>
      </c>
      <c r="AC44" s="382"/>
      <c r="AD44" s="382">
        <f>SUM(AD40:AD43)</f>
        <v>334363.05</v>
      </c>
      <c r="AE44" s="382" t="s">
        <v>1198</v>
      </c>
      <c r="AF44" s="382"/>
      <c r="AG44" s="382">
        <f>SUM(AG40:AG43)</f>
        <v>334363.05</v>
      </c>
      <c r="AH44" s="382"/>
    </row>
  </sheetData>
  <autoFilter ref="B2:AH8">
    <filterColumn colId="31">
      <filters>
        <filter val="492.85"/>
        <filter val="54,852.79"/>
        <filter val="55,345.64"/>
      </filters>
    </filterColumn>
  </autoFilter>
  <phoneticPr fontId="4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1"/>
  <dimension ref="B2:AH45"/>
  <sheetViews>
    <sheetView topLeftCell="B1" workbookViewId="0">
      <pane xSplit="12" ySplit="2" topLeftCell="AB3" activePane="bottomRight" state="frozen"/>
      <selection activeCell="M40" sqref="M40"/>
      <selection pane="topRight" activeCell="M40" sqref="M40"/>
      <selection pane="bottomLeft" activeCell="M40" sqref="M40"/>
      <selection pane="bottomRight" activeCell="M40" sqref="M40"/>
    </sheetView>
  </sheetViews>
  <sheetFormatPr defaultRowHeight="12.75"/>
  <cols>
    <col min="2" max="2" width="20.7109375" customWidth="1"/>
    <col min="3" max="3" width="12.5703125" customWidth="1"/>
    <col min="4" max="4" width="42.42578125" bestFit="1" customWidth="1"/>
    <col min="5" max="5" width="13.7109375" customWidth="1"/>
    <col min="6" max="6" width="15.85546875" style="132" hidden="1" customWidth="1"/>
    <col min="7" max="7" width="11.5703125" hidden="1" customWidth="1"/>
    <col min="8" max="8" width="13.28515625" hidden="1" customWidth="1"/>
    <col min="9" max="9" width="14.42578125" hidden="1" customWidth="1"/>
    <col min="10" max="10" width="9.140625" hidden="1" customWidth="1"/>
    <col min="11" max="11" width="11.85546875" hidden="1" customWidth="1"/>
    <col min="12" max="12" width="13.28515625" hidden="1" customWidth="1"/>
    <col min="13" max="13" width="9.140625" hidden="1" customWidth="1"/>
    <col min="14" max="14" width="13" hidden="1" customWidth="1"/>
    <col min="15" max="15" width="12.28515625" hidden="1" customWidth="1"/>
    <col min="16" max="16" width="9.140625" hidden="1" customWidth="1"/>
    <col min="17" max="17" width="13.28515625" hidden="1" customWidth="1"/>
    <col min="18" max="18" width="12.28515625" hidden="1" customWidth="1"/>
    <col min="19" max="19" width="9.140625" hidden="1" customWidth="1"/>
    <col min="20" max="20" width="13" hidden="1" customWidth="1"/>
    <col min="21" max="21" width="12.28515625" hidden="1" customWidth="1"/>
    <col min="22" max="22" width="9.140625" hidden="1" customWidth="1"/>
    <col min="23" max="23" width="11.140625" hidden="1" customWidth="1"/>
    <col min="24" max="24" width="12.28515625" hidden="1" customWidth="1"/>
    <col min="25" max="25" width="9.140625" hidden="1" customWidth="1"/>
    <col min="26" max="26" width="13" hidden="1" customWidth="1"/>
    <col min="27" max="27" width="12.28515625" hidden="1" customWidth="1"/>
    <col min="28" max="28" width="9.140625" hidden="1" customWidth="1"/>
    <col min="29" max="29" width="12.28515625" hidden="1" customWidth="1"/>
    <col min="30" max="30" width="13.28515625" hidden="1" customWidth="1"/>
    <col min="31" max="31" width="9.140625" hidden="1" customWidth="1"/>
    <col min="32" max="32" width="0" hidden="1" customWidth="1"/>
    <col min="33" max="33" width="11.140625" bestFit="1" customWidth="1"/>
  </cols>
  <sheetData>
    <row r="2" spans="2:34" ht="33">
      <c r="B2" s="273" t="s">
        <v>728</v>
      </c>
      <c r="C2" s="273" t="s">
        <v>729</v>
      </c>
      <c r="D2" s="273" t="s">
        <v>730</v>
      </c>
      <c r="E2" s="273" t="s">
        <v>731</v>
      </c>
      <c r="F2" s="298" t="s">
        <v>860</v>
      </c>
      <c r="G2" s="280" t="s">
        <v>733</v>
      </c>
      <c r="H2" s="273" t="s">
        <v>881</v>
      </c>
      <c r="I2" s="273" t="s">
        <v>882</v>
      </c>
      <c r="J2" s="273" t="s">
        <v>857</v>
      </c>
      <c r="K2" s="316" t="s">
        <v>911</v>
      </c>
      <c r="L2" s="273" t="s">
        <v>912</v>
      </c>
      <c r="M2" s="274" t="s">
        <v>890</v>
      </c>
      <c r="N2" s="273" t="s">
        <v>943</v>
      </c>
      <c r="O2" s="273" t="s">
        <v>944</v>
      </c>
      <c r="P2" s="274" t="s">
        <v>890</v>
      </c>
      <c r="Q2" s="273" t="s">
        <v>958</v>
      </c>
      <c r="R2" s="273" t="s">
        <v>959</v>
      </c>
      <c r="S2" s="274" t="s">
        <v>890</v>
      </c>
      <c r="T2" s="273" t="s">
        <v>1010</v>
      </c>
      <c r="U2" s="273" t="s">
        <v>1012</v>
      </c>
      <c r="V2" s="274" t="s">
        <v>890</v>
      </c>
      <c r="W2" s="273" t="s">
        <v>1055</v>
      </c>
      <c r="X2" s="273" t="s">
        <v>1056</v>
      </c>
      <c r="Y2" s="274" t="s">
        <v>890</v>
      </c>
      <c r="Z2" s="273" t="s">
        <v>1164</v>
      </c>
      <c r="AA2" s="273" t="s">
        <v>1165</v>
      </c>
      <c r="AB2" s="274" t="s">
        <v>890</v>
      </c>
      <c r="AC2" s="273" t="s">
        <v>1255</v>
      </c>
      <c r="AD2" s="273" t="s">
        <v>1256</v>
      </c>
      <c r="AE2" s="274" t="s">
        <v>890</v>
      </c>
      <c r="AF2" s="273" t="s">
        <v>1298</v>
      </c>
      <c r="AG2" s="273" t="s">
        <v>1299</v>
      </c>
      <c r="AH2" s="274" t="s">
        <v>890</v>
      </c>
    </row>
    <row r="3" spans="2:34" ht="16.5">
      <c r="B3" s="259" t="s">
        <v>736</v>
      </c>
      <c r="C3" t="s">
        <v>438</v>
      </c>
      <c r="D3" s="149" t="s">
        <v>436</v>
      </c>
      <c r="E3" s="261">
        <v>43160</v>
      </c>
      <c r="F3" s="132">
        <v>155364.91</v>
      </c>
      <c r="G3" s="135" t="s">
        <v>875</v>
      </c>
      <c r="I3" s="206">
        <f>F3-H3</f>
        <v>155364.91</v>
      </c>
      <c r="J3" t="s">
        <v>691</v>
      </c>
      <c r="K3" s="307">
        <f>100000-6503.02-46887.54+ROUND(9400/1.06,2)+ROUND(3873.6/1.06,2)+25000+50000</f>
        <v>134131.70000000001</v>
      </c>
      <c r="L3" s="292">
        <f>I3-K3</f>
        <v>21233.209999999992</v>
      </c>
      <c r="M3" s="135" t="s">
        <v>874</v>
      </c>
      <c r="N3" s="323">
        <f>14956.4/1.06+3197.87/1.06</f>
        <v>17126.669811320753</v>
      </c>
      <c r="O3" s="292">
        <f>L3-N3</f>
        <v>4106.5401886792388</v>
      </c>
      <c r="P3" s="135" t="s">
        <v>905</v>
      </c>
      <c r="Q3" s="20">
        <v>4106.54</v>
      </c>
      <c r="R3" s="206">
        <f>O3-Q3</f>
        <v>1.8867923881771276E-4</v>
      </c>
      <c r="S3" t="s">
        <v>1023</v>
      </c>
      <c r="U3" s="206">
        <f>R3-T3</f>
        <v>1.8867923881771276E-4</v>
      </c>
      <c r="V3" t="s">
        <v>1061</v>
      </c>
      <c r="X3" s="206">
        <f>U3-W3</f>
        <v>1.8867923881771276E-4</v>
      </c>
      <c r="Y3" s="361" t="s">
        <v>1184</v>
      </c>
      <c r="AA3" s="206">
        <f>X3-Z3</f>
        <v>1.8867923881771276E-4</v>
      </c>
      <c r="AB3" s="361" t="s">
        <v>1208</v>
      </c>
      <c r="AG3" s="206">
        <f>AA3-AF3</f>
        <v>1.8867923881771276E-4</v>
      </c>
    </row>
    <row r="4" spans="2:34" ht="16.5">
      <c r="B4" s="259" t="s">
        <v>736</v>
      </c>
      <c r="C4" t="s">
        <v>228</v>
      </c>
      <c r="D4" s="135" t="s">
        <v>229</v>
      </c>
      <c r="E4" s="261">
        <v>43160</v>
      </c>
      <c r="F4" s="132">
        <v>13503.14</v>
      </c>
      <c r="G4" s="135" t="s">
        <v>875</v>
      </c>
      <c r="I4" s="206">
        <f>F4-H4</f>
        <v>13503.14</v>
      </c>
      <c r="J4" t="s">
        <v>691</v>
      </c>
      <c r="L4" s="292">
        <f>I4-K4</f>
        <v>13503.14</v>
      </c>
      <c r="M4" s="135" t="s">
        <v>874</v>
      </c>
      <c r="N4" s="135"/>
      <c r="O4" s="292">
        <f>L4-N4</f>
        <v>13503.14</v>
      </c>
      <c r="P4" s="135" t="s">
        <v>905</v>
      </c>
      <c r="R4" s="206">
        <f>O4-Q4</f>
        <v>13503.14</v>
      </c>
      <c r="S4" t="s">
        <v>1023</v>
      </c>
      <c r="T4" s="20">
        <v>13503.14</v>
      </c>
      <c r="U4" s="206">
        <f>R4-T4</f>
        <v>0</v>
      </c>
      <c r="V4" t="s">
        <v>1061</v>
      </c>
      <c r="X4" s="206">
        <f t="shared" ref="X4:X7" si="0">U4-W4</f>
        <v>0</v>
      </c>
      <c r="Y4" s="361" t="s">
        <v>1184</v>
      </c>
      <c r="AA4" s="206">
        <f t="shared" ref="AA4:AA7" si="1">X4-Z4</f>
        <v>0</v>
      </c>
      <c r="AB4" s="361" t="s">
        <v>1208</v>
      </c>
      <c r="AG4" s="206">
        <f t="shared" ref="AG4:AG8" si="2">AA4-AF4</f>
        <v>0</v>
      </c>
    </row>
    <row r="5" spans="2:34" ht="16.5">
      <c r="B5" s="259" t="s">
        <v>736</v>
      </c>
      <c r="C5" t="s">
        <v>26</v>
      </c>
      <c r="D5" s="135" t="s">
        <v>27</v>
      </c>
      <c r="E5" s="261">
        <v>43160</v>
      </c>
      <c r="F5" s="132">
        <v>14501.28</v>
      </c>
      <c r="G5" s="135" t="s">
        <v>875</v>
      </c>
      <c r="I5" s="206">
        <f>F5-H5</f>
        <v>14501.28</v>
      </c>
      <c r="J5" t="s">
        <v>691</v>
      </c>
      <c r="L5" s="292">
        <f>I5-K5</f>
        <v>14501.28</v>
      </c>
      <c r="M5" s="135" t="s">
        <v>874</v>
      </c>
      <c r="N5" s="135"/>
      <c r="O5" s="292">
        <f>L5-N5</f>
        <v>14501.28</v>
      </c>
      <c r="P5" s="135" t="s">
        <v>905</v>
      </c>
      <c r="R5" s="206">
        <f>O5-Q5</f>
        <v>14501.28</v>
      </c>
      <c r="S5" t="s">
        <v>1023</v>
      </c>
      <c r="T5" s="20">
        <v>14501.28</v>
      </c>
      <c r="U5" s="206">
        <f>R5-T5</f>
        <v>0</v>
      </c>
      <c r="V5" t="s">
        <v>1061</v>
      </c>
      <c r="X5" s="206">
        <f t="shared" si="0"/>
        <v>0</v>
      </c>
      <c r="Y5" s="361" t="s">
        <v>1184</v>
      </c>
      <c r="AA5" s="206">
        <f t="shared" si="1"/>
        <v>0</v>
      </c>
      <c r="AB5" s="361" t="s">
        <v>1208</v>
      </c>
      <c r="AG5" s="206">
        <f t="shared" si="2"/>
        <v>0</v>
      </c>
    </row>
    <row r="6" spans="2:34" ht="16.5">
      <c r="B6" s="259" t="s">
        <v>736</v>
      </c>
      <c r="C6" t="s">
        <v>230</v>
      </c>
      <c r="D6" s="135" t="s">
        <v>231</v>
      </c>
      <c r="E6" s="261">
        <v>43160</v>
      </c>
      <c r="F6" s="132">
        <v>13694.54</v>
      </c>
      <c r="G6" s="135" t="s">
        <v>875</v>
      </c>
      <c r="I6" s="206">
        <f>F6-H6</f>
        <v>13694.54</v>
      </c>
      <c r="J6" t="s">
        <v>691</v>
      </c>
      <c r="L6" s="292">
        <f>I6-K6</f>
        <v>13694.54</v>
      </c>
      <c r="M6" s="135" t="s">
        <v>874</v>
      </c>
      <c r="N6" s="135"/>
      <c r="O6" s="292">
        <f>L6-N6</f>
        <v>13694.54</v>
      </c>
      <c r="P6" s="135" t="s">
        <v>905</v>
      </c>
      <c r="R6" s="206">
        <f>O6-Q6</f>
        <v>13694.54</v>
      </c>
      <c r="S6" t="s">
        <v>1023</v>
      </c>
      <c r="T6" s="20">
        <v>13694.54</v>
      </c>
      <c r="U6" s="206">
        <f>R6-T6</f>
        <v>0</v>
      </c>
      <c r="V6" t="s">
        <v>1061</v>
      </c>
      <c r="X6" s="206">
        <f t="shared" si="0"/>
        <v>0</v>
      </c>
      <c r="Y6" s="361" t="s">
        <v>1184</v>
      </c>
      <c r="AA6" s="206">
        <f t="shared" si="1"/>
        <v>0</v>
      </c>
      <c r="AB6" s="361" t="s">
        <v>1208</v>
      </c>
      <c r="AG6" s="206">
        <f t="shared" si="2"/>
        <v>0</v>
      </c>
    </row>
    <row r="7" spans="2:34" ht="16.5">
      <c r="B7" s="259" t="s">
        <v>736</v>
      </c>
      <c r="C7" t="s">
        <v>819</v>
      </c>
      <c r="D7" s="149" t="s">
        <v>834</v>
      </c>
      <c r="E7" s="261">
        <v>43160</v>
      </c>
      <c r="F7" s="132">
        <v>26527.78</v>
      </c>
      <c r="G7" s="135" t="s">
        <v>875</v>
      </c>
      <c r="I7" s="206">
        <f>F7-H7</f>
        <v>26527.78</v>
      </c>
      <c r="J7" t="s">
        <v>691</v>
      </c>
      <c r="L7" s="292">
        <f>I7-K7</f>
        <v>26527.78</v>
      </c>
      <c r="M7" s="135" t="s">
        <v>874</v>
      </c>
      <c r="N7" s="135"/>
      <c r="O7" s="292">
        <f>L7-N7</f>
        <v>26527.78</v>
      </c>
      <c r="P7" s="135" t="s">
        <v>905</v>
      </c>
      <c r="R7" s="206">
        <f>O7-Q7</f>
        <v>26527.78</v>
      </c>
      <c r="S7" t="s">
        <v>1023</v>
      </c>
      <c r="U7" s="206">
        <f>R7-T7</f>
        <v>26527.78</v>
      </c>
      <c r="V7" t="s">
        <v>1061</v>
      </c>
      <c r="X7" s="206">
        <f t="shared" si="0"/>
        <v>26527.78</v>
      </c>
      <c r="Y7" s="361" t="s">
        <v>1184</v>
      </c>
      <c r="AA7" s="206">
        <f t="shared" si="1"/>
        <v>26527.78</v>
      </c>
      <c r="AB7" s="361" t="s">
        <v>1208</v>
      </c>
      <c r="AG7" s="206">
        <f t="shared" si="2"/>
        <v>26527.78</v>
      </c>
    </row>
    <row r="8" spans="2:34">
      <c r="B8" s="271"/>
      <c r="C8" s="271"/>
      <c r="D8" s="271"/>
      <c r="E8" s="271"/>
      <c r="F8" s="284">
        <f>SUM(F3:F7)</f>
        <v>223591.65</v>
      </c>
      <c r="G8" s="285"/>
      <c r="H8" s="285"/>
      <c r="I8" s="284">
        <f>SUM(I3:I7)</f>
        <v>223591.65</v>
      </c>
      <c r="J8" s="285"/>
      <c r="K8" s="295"/>
      <c r="L8" s="284">
        <f>SUM(L3:L7)</f>
        <v>89459.949999999983</v>
      </c>
      <c r="M8" s="284"/>
      <c r="N8" s="284">
        <f>SUM(N3:N7)</f>
        <v>17126.669811320753</v>
      </c>
      <c r="O8" s="284">
        <f>SUM(O3:O7)</f>
        <v>72333.280188679229</v>
      </c>
      <c r="P8" s="284"/>
      <c r="Q8" s="284">
        <f>SUM(Q3:Q7)</f>
        <v>4106.54</v>
      </c>
      <c r="R8" s="284">
        <f>SUM(R3:R7)</f>
        <v>68226.740188679236</v>
      </c>
      <c r="S8" s="284"/>
      <c r="T8" s="284">
        <f>SUM(T3:T7)</f>
        <v>41698.959999999999</v>
      </c>
      <c r="U8" s="284">
        <f>SUM(U3:U7)</f>
        <v>26527.780188679237</v>
      </c>
      <c r="W8" s="382"/>
      <c r="X8" s="382">
        <f>SUM(X3:X7)</f>
        <v>26527.780188679237</v>
      </c>
      <c r="Y8" s="382" t="s">
        <v>1184</v>
      </c>
      <c r="Z8" s="382"/>
      <c r="AA8" s="382">
        <f>SUM(AA3:AA7)</f>
        <v>26527.780188679237</v>
      </c>
      <c r="AB8" s="382" t="s">
        <v>1208</v>
      </c>
      <c r="AC8" s="382"/>
      <c r="AD8" s="382"/>
      <c r="AE8" s="382"/>
      <c r="AF8" s="382"/>
      <c r="AG8" s="382">
        <f t="shared" si="2"/>
        <v>26527.780188679237</v>
      </c>
      <c r="AH8" s="382"/>
    </row>
    <row r="11" spans="2:34" ht="33">
      <c r="B11" s="273" t="s">
        <v>728</v>
      </c>
      <c r="C11" s="273" t="s">
        <v>729</v>
      </c>
      <c r="D11" s="273" t="s">
        <v>730</v>
      </c>
      <c r="E11" s="273" t="s">
        <v>731</v>
      </c>
      <c r="F11" s="274" t="s">
        <v>860</v>
      </c>
      <c r="G11" s="280" t="s">
        <v>733</v>
      </c>
      <c r="H11" s="273" t="s">
        <v>881</v>
      </c>
      <c r="I11" s="273" t="s">
        <v>882</v>
      </c>
      <c r="J11" s="273" t="s">
        <v>857</v>
      </c>
      <c r="K11" s="273" t="s">
        <v>911</v>
      </c>
      <c r="L11" s="273" t="s">
        <v>912</v>
      </c>
      <c r="M11" s="274" t="s">
        <v>890</v>
      </c>
      <c r="N11" s="273" t="s">
        <v>943</v>
      </c>
      <c r="O11" s="273" t="s">
        <v>944</v>
      </c>
      <c r="P11" s="274" t="s">
        <v>890</v>
      </c>
      <c r="Q11" s="273" t="s">
        <v>958</v>
      </c>
      <c r="R11" s="273" t="s">
        <v>959</v>
      </c>
      <c r="S11" s="274" t="s">
        <v>890</v>
      </c>
      <c r="T11" s="273" t="s">
        <v>1010</v>
      </c>
      <c r="U11" s="273" t="s">
        <v>1012</v>
      </c>
      <c r="V11" s="274" t="s">
        <v>890</v>
      </c>
      <c r="W11" s="273" t="s">
        <v>1055</v>
      </c>
      <c r="X11" s="273" t="s">
        <v>1056</v>
      </c>
      <c r="Y11" s="274" t="s">
        <v>890</v>
      </c>
      <c r="Z11" s="273" t="s">
        <v>1164</v>
      </c>
      <c r="AA11" s="273" t="s">
        <v>1165</v>
      </c>
      <c r="AB11" s="274" t="s">
        <v>890</v>
      </c>
      <c r="AC11" s="273" t="s">
        <v>1255</v>
      </c>
      <c r="AD11" s="273" t="s">
        <v>1256</v>
      </c>
      <c r="AE11" s="274" t="s">
        <v>890</v>
      </c>
      <c r="AF11" s="273" t="s">
        <v>1298</v>
      </c>
      <c r="AG11" s="273" t="s">
        <v>1299</v>
      </c>
      <c r="AH11" s="274" t="s">
        <v>890</v>
      </c>
    </row>
    <row r="12" spans="2:34" ht="16.5" hidden="1">
      <c r="B12" s="259" t="s">
        <v>755</v>
      </c>
      <c r="C12" s="66" t="s">
        <v>820</v>
      </c>
      <c r="D12" s="306" t="s">
        <v>821</v>
      </c>
      <c r="E12" s="261">
        <v>43160</v>
      </c>
      <c r="F12" s="297">
        <v>22149.39</v>
      </c>
      <c r="G12" s="294" t="s">
        <v>880</v>
      </c>
      <c r="H12" s="135">
        <v>6479.25</v>
      </c>
      <c r="I12" s="294">
        <f>F12-H12</f>
        <v>15670.14</v>
      </c>
      <c r="J12" s="135" t="s">
        <v>880</v>
      </c>
      <c r="K12" s="135">
        <f>(ROUND(132770/1.06,2)-55696.94-18259.38-26886.8-8354.22-387.24)</f>
        <v>15670.139999999996</v>
      </c>
      <c r="L12" s="292">
        <f>I12-K12</f>
        <v>0</v>
      </c>
      <c r="M12" s="135" t="s">
        <v>915</v>
      </c>
      <c r="N12" s="135"/>
      <c r="O12" s="292">
        <f>L12-N12</f>
        <v>0</v>
      </c>
      <c r="P12" s="135" t="s">
        <v>463</v>
      </c>
      <c r="R12" s="206">
        <f>O12-Q12</f>
        <v>0</v>
      </c>
      <c r="S12" t="s">
        <v>1026</v>
      </c>
      <c r="U12" s="206">
        <f>ROUND(R12-T12,2)</f>
        <v>0</v>
      </c>
      <c r="V12" t="s">
        <v>1069</v>
      </c>
      <c r="X12" s="206">
        <f t="shared" ref="X12:X25" si="3">U12-W12</f>
        <v>0</v>
      </c>
      <c r="Y12" s="361" t="s">
        <v>1176</v>
      </c>
      <c r="AA12" s="206">
        <f>X12-Z12</f>
        <v>0</v>
      </c>
      <c r="AB12" s="361" t="s">
        <v>1176</v>
      </c>
      <c r="AD12" s="206">
        <f t="shared" ref="AD12:AD33" si="4">AA12-AC12</f>
        <v>0</v>
      </c>
      <c r="AG12">
        <f>AD12-AF12</f>
        <v>0</v>
      </c>
    </row>
    <row r="13" spans="2:34" ht="16.5" hidden="1">
      <c r="B13" s="259" t="s">
        <v>755</v>
      </c>
      <c r="C13" s="66" t="s">
        <v>49</v>
      </c>
      <c r="D13" s="306" t="s">
        <v>50</v>
      </c>
      <c r="E13" s="261">
        <v>43160</v>
      </c>
      <c r="F13" s="297">
        <v>202114.1</v>
      </c>
      <c r="G13" s="294" t="s">
        <v>880</v>
      </c>
      <c r="H13" s="135">
        <f>208593.35-6479.25</f>
        <v>202114.1</v>
      </c>
      <c r="I13" s="294">
        <f t="shared" ref="I13:I33" si="5">F13-H13</f>
        <v>0</v>
      </c>
      <c r="J13" s="135" t="s">
        <v>880</v>
      </c>
      <c r="K13" s="135"/>
      <c r="L13" s="292">
        <f t="shared" ref="L13:L33" si="6">I13-K13</f>
        <v>0</v>
      </c>
      <c r="M13" s="135" t="s">
        <v>915</v>
      </c>
      <c r="N13" s="135"/>
      <c r="O13" s="292">
        <f t="shared" ref="O13:O33" si="7">L13-N13</f>
        <v>0</v>
      </c>
      <c r="P13" s="135" t="s">
        <v>463</v>
      </c>
      <c r="R13" s="206">
        <f t="shared" ref="R13:R33" si="8">O13-Q13</f>
        <v>0</v>
      </c>
      <c r="S13" t="s">
        <v>1026</v>
      </c>
      <c r="U13" s="206">
        <f t="shared" ref="U13:U33" si="9">ROUND(R13-T13,2)</f>
        <v>0</v>
      </c>
      <c r="V13" t="s">
        <v>1069</v>
      </c>
      <c r="X13" s="206">
        <f t="shared" si="3"/>
        <v>0</v>
      </c>
      <c r="Y13" s="361" t="s">
        <v>1176</v>
      </c>
      <c r="AA13" s="206">
        <f t="shared" ref="AA13:AA33" si="10">X13-Z13</f>
        <v>0</v>
      </c>
      <c r="AB13" s="361" t="s">
        <v>1176</v>
      </c>
      <c r="AD13" s="206">
        <f t="shared" si="4"/>
        <v>0</v>
      </c>
      <c r="AG13" s="379">
        <f t="shared" ref="AG13:AG33" si="11">AD13-AF13</f>
        <v>0</v>
      </c>
    </row>
    <row r="14" spans="2:34" ht="16.5" hidden="1">
      <c r="B14" s="259" t="s">
        <v>755</v>
      </c>
      <c r="C14" s="66" t="s">
        <v>31</v>
      </c>
      <c r="D14" s="306" t="s">
        <v>692</v>
      </c>
      <c r="E14" s="261">
        <v>43160</v>
      </c>
      <c r="F14" s="297">
        <v>836.43</v>
      </c>
      <c r="G14" s="294" t="s">
        <v>880</v>
      </c>
      <c r="H14" s="135"/>
      <c r="I14" s="294">
        <f t="shared" si="5"/>
        <v>836.43</v>
      </c>
      <c r="J14" s="135" t="s">
        <v>880</v>
      </c>
      <c r="K14" s="135"/>
      <c r="L14" s="292">
        <f t="shared" si="6"/>
        <v>836.43</v>
      </c>
      <c r="M14" s="135" t="s">
        <v>915</v>
      </c>
      <c r="N14" s="135"/>
      <c r="O14" s="292">
        <f t="shared" si="7"/>
        <v>836.43</v>
      </c>
      <c r="P14" s="135" t="s">
        <v>463</v>
      </c>
      <c r="R14" s="206">
        <f t="shared" si="8"/>
        <v>836.43</v>
      </c>
      <c r="S14" t="s">
        <v>1026</v>
      </c>
      <c r="U14" s="206">
        <f t="shared" si="9"/>
        <v>836.43</v>
      </c>
      <c r="V14" t="s">
        <v>1069</v>
      </c>
      <c r="X14" s="206">
        <f t="shared" si="3"/>
        <v>836.43</v>
      </c>
      <c r="Y14" s="361" t="s">
        <v>1176</v>
      </c>
      <c r="AA14" s="206">
        <f t="shared" si="10"/>
        <v>836.43</v>
      </c>
      <c r="AB14" s="361" t="s">
        <v>1176</v>
      </c>
      <c r="AC14">
        <v>836.43</v>
      </c>
      <c r="AD14" s="206">
        <f t="shared" si="4"/>
        <v>0</v>
      </c>
      <c r="AG14" s="379">
        <f t="shared" si="11"/>
        <v>0</v>
      </c>
    </row>
    <row r="15" spans="2:34" ht="16.5">
      <c r="B15" s="259" t="s">
        <v>755</v>
      </c>
      <c r="C15" s="394" t="s">
        <v>1306</v>
      </c>
      <c r="D15" s="306" t="s">
        <v>486</v>
      </c>
      <c r="E15" s="261">
        <v>43160</v>
      </c>
      <c r="F15" s="297">
        <v>22762</v>
      </c>
      <c r="G15" s="294" t="s">
        <v>880</v>
      </c>
      <c r="H15" s="135"/>
      <c r="I15" s="294">
        <f t="shared" si="5"/>
        <v>22762</v>
      </c>
      <c r="J15" s="135" t="s">
        <v>880</v>
      </c>
      <c r="K15" s="135"/>
      <c r="L15" s="292">
        <f t="shared" si="6"/>
        <v>22762</v>
      </c>
      <c r="M15" s="135" t="s">
        <v>915</v>
      </c>
      <c r="N15" s="135"/>
      <c r="O15" s="292">
        <f t="shared" si="7"/>
        <v>22762</v>
      </c>
      <c r="P15" s="135" t="s">
        <v>463</v>
      </c>
      <c r="R15" s="206">
        <f t="shared" si="8"/>
        <v>22762</v>
      </c>
      <c r="S15" t="s">
        <v>1026</v>
      </c>
      <c r="U15" s="206">
        <f t="shared" si="9"/>
        <v>22762</v>
      </c>
      <c r="V15" t="s">
        <v>1069</v>
      </c>
      <c r="X15" s="206">
        <f t="shared" si="3"/>
        <v>22762</v>
      </c>
      <c r="Y15" s="361" t="s">
        <v>1176</v>
      </c>
      <c r="AA15" s="206">
        <f t="shared" si="10"/>
        <v>22762</v>
      </c>
      <c r="AB15" s="361" t="s">
        <v>1176</v>
      </c>
      <c r="AC15" s="206"/>
      <c r="AD15" s="206">
        <f t="shared" si="4"/>
        <v>22762</v>
      </c>
      <c r="AG15" s="379">
        <f t="shared" si="11"/>
        <v>22762</v>
      </c>
    </row>
    <row r="16" spans="2:34" ht="16.5" hidden="1">
      <c r="B16" s="259" t="s">
        <v>755</v>
      </c>
      <c r="C16" s="66" t="s">
        <v>822</v>
      </c>
      <c r="D16" s="306" t="s">
        <v>861</v>
      </c>
      <c r="E16" s="261">
        <v>43160</v>
      </c>
      <c r="F16" s="297">
        <v>32257.22</v>
      </c>
      <c r="G16" s="294" t="s">
        <v>880</v>
      </c>
      <c r="H16" s="135"/>
      <c r="I16" s="294">
        <f t="shared" si="5"/>
        <v>32257.22</v>
      </c>
      <c r="J16" s="135" t="s">
        <v>880</v>
      </c>
      <c r="K16" s="135">
        <f>(ROUND(132770/1.06,2)-55696.94-18259.38-26886.8-8354.22-15670.14)</f>
        <v>387.23999999999614</v>
      </c>
      <c r="L16" s="292">
        <f t="shared" si="6"/>
        <v>31869.980000000003</v>
      </c>
      <c r="M16" s="135" t="s">
        <v>915</v>
      </c>
      <c r="N16" s="135"/>
      <c r="O16" s="292">
        <f t="shared" si="7"/>
        <v>31869.980000000003</v>
      </c>
      <c r="P16" s="135" t="s">
        <v>463</v>
      </c>
      <c r="R16" s="206">
        <f t="shared" si="8"/>
        <v>31869.980000000003</v>
      </c>
      <c r="S16" t="s">
        <v>1026</v>
      </c>
      <c r="U16" s="206">
        <f t="shared" si="9"/>
        <v>31869.98</v>
      </c>
      <c r="V16" t="s">
        <v>1069</v>
      </c>
      <c r="X16" s="206">
        <f t="shared" si="3"/>
        <v>31869.98</v>
      </c>
      <c r="Y16" s="361" t="s">
        <v>1176</v>
      </c>
      <c r="AA16" s="206">
        <f t="shared" si="10"/>
        <v>31869.98</v>
      </c>
      <c r="AB16" s="361" t="s">
        <v>1176</v>
      </c>
      <c r="AC16" s="206">
        <f>AA16</f>
        <v>31869.98</v>
      </c>
      <c r="AD16" s="206">
        <f t="shared" si="4"/>
        <v>0</v>
      </c>
      <c r="AG16" s="379">
        <f t="shared" si="11"/>
        <v>0</v>
      </c>
    </row>
    <row r="17" spans="2:33" ht="16.5">
      <c r="B17" s="259" t="s">
        <v>755</v>
      </c>
      <c r="C17" s="66" t="s">
        <v>53</v>
      </c>
      <c r="D17" s="306" t="s">
        <v>54</v>
      </c>
      <c r="E17" s="261">
        <v>43160</v>
      </c>
      <c r="F17" s="297">
        <v>285</v>
      </c>
      <c r="G17" s="294" t="s">
        <v>880</v>
      </c>
      <c r="H17" s="135"/>
      <c r="I17" s="294">
        <f t="shared" si="5"/>
        <v>285</v>
      </c>
      <c r="J17" s="135" t="s">
        <v>880</v>
      </c>
      <c r="K17" s="135"/>
      <c r="L17" s="292">
        <f t="shared" si="6"/>
        <v>285</v>
      </c>
      <c r="M17" s="135" t="s">
        <v>915</v>
      </c>
      <c r="N17" s="135"/>
      <c r="O17" s="292">
        <f t="shared" si="7"/>
        <v>285</v>
      </c>
      <c r="P17" s="135" t="s">
        <v>463</v>
      </c>
      <c r="R17" s="206">
        <f t="shared" si="8"/>
        <v>285</v>
      </c>
      <c r="S17" t="s">
        <v>1026</v>
      </c>
      <c r="U17" s="206">
        <f t="shared" si="9"/>
        <v>285</v>
      </c>
      <c r="V17" t="s">
        <v>1069</v>
      </c>
      <c r="X17" s="206">
        <f t="shared" si="3"/>
        <v>285</v>
      </c>
      <c r="Y17" s="361" t="s">
        <v>1176</v>
      </c>
      <c r="AA17" s="206">
        <f t="shared" si="10"/>
        <v>285</v>
      </c>
      <c r="AB17" s="361" t="s">
        <v>1176</v>
      </c>
      <c r="AD17" s="206">
        <f t="shared" si="4"/>
        <v>285</v>
      </c>
      <c r="AG17" s="379">
        <f t="shared" si="11"/>
        <v>285</v>
      </c>
    </row>
    <row r="18" spans="2:33" ht="16.5" hidden="1">
      <c r="B18" s="259" t="s">
        <v>755</v>
      </c>
      <c r="C18" s="66" t="s">
        <v>59</v>
      </c>
      <c r="D18" s="306" t="s">
        <v>879</v>
      </c>
      <c r="E18" s="261">
        <v>43160</v>
      </c>
      <c r="F18" s="297">
        <v>5170.28</v>
      </c>
      <c r="G18" s="294" t="s">
        <v>880</v>
      </c>
      <c r="H18" s="135"/>
      <c r="I18" s="294">
        <f t="shared" si="5"/>
        <v>5170.28</v>
      </c>
      <c r="J18" s="135" t="s">
        <v>880</v>
      </c>
      <c r="K18" s="135"/>
      <c r="L18" s="292">
        <f t="shared" si="6"/>
        <v>5170.28</v>
      </c>
      <c r="M18" s="135" t="s">
        <v>915</v>
      </c>
      <c r="N18" s="324">
        <f>11880-6637.46-745.8+(1125/1.06-387.78)</f>
        <v>5170.2807547169814</v>
      </c>
      <c r="O18" s="292">
        <f t="shared" si="7"/>
        <v>-7.5471698164619738E-4</v>
      </c>
      <c r="P18" s="135" t="s">
        <v>463</v>
      </c>
      <c r="R18" s="206">
        <f t="shared" si="8"/>
        <v>-7.5471698164619738E-4</v>
      </c>
      <c r="S18" t="s">
        <v>1026</v>
      </c>
      <c r="U18" s="206">
        <f t="shared" si="9"/>
        <v>0</v>
      </c>
      <c r="V18" t="s">
        <v>1069</v>
      </c>
      <c r="X18" s="206">
        <f t="shared" si="3"/>
        <v>0</v>
      </c>
      <c r="Y18" s="361" t="s">
        <v>1176</v>
      </c>
      <c r="AA18" s="206">
        <f t="shared" si="10"/>
        <v>0</v>
      </c>
      <c r="AB18" s="361" t="s">
        <v>1176</v>
      </c>
      <c r="AD18" s="206">
        <f t="shared" si="4"/>
        <v>0</v>
      </c>
      <c r="AG18" s="379">
        <f t="shared" si="11"/>
        <v>0</v>
      </c>
    </row>
    <row r="19" spans="2:33" ht="16.5" hidden="1">
      <c r="B19" s="259" t="s">
        <v>755</v>
      </c>
      <c r="C19" s="66" t="s">
        <v>117</v>
      </c>
      <c r="D19" s="306" t="s">
        <v>118</v>
      </c>
      <c r="E19" s="261">
        <v>43160</v>
      </c>
      <c r="F19" s="297">
        <v>2562.8200000000002</v>
      </c>
      <c r="G19" s="294" t="s">
        <v>880</v>
      </c>
      <c r="H19" s="135"/>
      <c r="I19" s="294">
        <f t="shared" si="5"/>
        <v>2562.8200000000002</v>
      </c>
      <c r="J19" s="135" t="s">
        <v>880</v>
      </c>
      <c r="K19" s="135"/>
      <c r="L19" s="292">
        <f t="shared" si="6"/>
        <v>2562.8200000000002</v>
      </c>
      <c r="M19" s="135" t="s">
        <v>915</v>
      </c>
      <c r="N19" s="135"/>
      <c r="O19" s="292">
        <f t="shared" si="7"/>
        <v>2562.8200000000002</v>
      </c>
      <c r="P19" s="135" t="s">
        <v>463</v>
      </c>
      <c r="R19" s="206">
        <f t="shared" si="8"/>
        <v>2562.8200000000002</v>
      </c>
      <c r="S19" t="s">
        <v>1026</v>
      </c>
      <c r="U19" s="206">
        <f t="shared" si="9"/>
        <v>2562.8200000000002</v>
      </c>
      <c r="V19" t="s">
        <v>1069</v>
      </c>
      <c r="W19" s="206">
        <f>U19</f>
        <v>2562.8200000000002</v>
      </c>
      <c r="X19" s="206">
        <f t="shared" si="3"/>
        <v>0</v>
      </c>
      <c r="Y19" s="361" t="s">
        <v>1176</v>
      </c>
      <c r="AA19" s="206">
        <f t="shared" si="10"/>
        <v>0</v>
      </c>
      <c r="AB19" s="361" t="s">
        <v>1176</v>
      </c>
      <c r="AD19" s="206">
        <f t="shared" si="4"/>
        <v>0</v>
      </c>
      <c r="AG19" s="379">
        <f t="shared" si="11"/>
        <v>0</v>
      </c>
    </row>
    <row r="20" spans="2:33" ht="16.5">
      <c r="B20" s="259" t="s">
        <v>755</v>
      </c>
      <c r="C20" s="66" t="s">
        <v>119</v>
      </c>
      <c r="D20" s="306" t="s">
        <v>120</v>
      </c>
      <c r="E20" s="261">
        <v>43160</v>
      </c>
      <c r="F20" s="297">
        <v>295.70999999999998</v>
      </c>
      <c r="G20" s="294" t="s">
        <v>880</v>
      </c>
      <c r="H20" s="135"/>
      <c r="I20" s="294">
        <f t="shared" si="5"/>
        <v>295.70999999999998</v>
      </c>
      <c r="J20" s="135" t="s">
        <v>880</v>
      </c>
      <c r="K20" s="135"/>
      <c r="L20" s="292">
        <f t="shared" si="6"/>
        <v>295.70999999999998</v>
      </c>
      <c r="M20" s="135" t="s">
        <v>915</v>
      </c>
      <c r="N20" s="135"/>
      <c r="O20" s="292">
        <f t="shared" si="7"/>
        <v>295.70999999999998</v>
      </c>
      <c r="P20" s="135" t="s">
        <v>463</v>
      </c>
      <c r="R20" s="206">
        <f t="shared" si="8"/>
        <v>295.70999999999998</v>
      </c>
      <c r="S20" t="s">
        <v>1026</v>
      </c>
      <c r="U20" s="206">
        <f t="shared" si="9"/>
        <v>295.70999999999998</v>
      </c>
      <c r="V20" t="s">
        <v>1069</v>
      </c>
      <c r="X20" s="206">
        <f t="shared" si="3"/>
        <v>295.70999999999998</v>
      </c>
      <c r="Y20" s="361" t="s">
        <v>1176</v>
      </c>
      <c r="AA20" s="206">
        <f t="shared" si="10"/>
        <v>295.70999999999998</v>
      </c>
      <c r="AB20" s="361" t="s">
        <v>1176</v>
      </c>
      <c r="AD20" s="206">
        <f t="shared" si="4"/>
        <v>295.70999999999998</v>
      </c>
      <c r="AG20" s="379">
        <f t="shared" si="11"/>
        <v>295.70999999999998</v>
      </c>
    </row>
    <row r="21" spans="2:33" ht="16.5" hidden="1">
      <c r="B21" s="259" t="s">
        <v>755</v>
      </c>
      <c r="C21" s="66" t="s">
        <v>121</v>
      </c>
      <c r="D21" s="306" t="s">
        <v>122</v>
      </c>
      <c r="E21" s="261">
        <v>43160</v>
      </c>
      <c r="F21" s="297">
        <v>295.70999999999998</v>
      </c>
      <c r="G21" s="294" t="s">
        <v>880</v>
      </c>
      <c r="H21" s="135"/>
      <c r="I21" s="294">
        <f t="shared" si="5"/>
        <v>295.70999999999998</v>
      </c>
      <c r="J21" s="135" t="s">
        <v>880</v>
      </c>
      <c r="K21" s="135"/>
      <c r="L21" s="292">
        <f t="shared" si="6"/>
        <v>295.70999999999998</v>
      </c>
      <c r="M21" s="135" t="s">
        <v>915</v>
      </c>
      <c r="N21" s="135"/>
      <c r="O21" s="292">
        <f t="shared" si="7"/>
        <v>295.70999999999998</v>
      </c>
      <c r="P21" s="135" t="s">
        <v>463</v>
      </c>
      <c r="R21" s="206">
        <f t="shared" si="8"/>
        <v>295.70999999999998</v>
      </c>
      <c r="S21" t="s">
        <v>1026</v>
      </c>
      <c r="U21" s="206">
        <f t="shared" si="9"/>
        <v>295.70999999999998</v>
      </c>
      <c r="V21" t="s">
        <v>1069</v>
      </c>
      <c r="W21" s="206">
        <f>U21</f>
        <v>295.70999999999998</v>
      </c>
      <c r="X21" s="206">
        <f t="shared" si="3"/>
        <v>0</v>
      </c>
      <c r="Y21" s="361" t="s">
        <v>1176</v>
      </c>
      <c r="AA21" s="206">
        <f t="shared" si="10"/>
        <v>0</v>
      </c>
      <c r="AB21" s="361" t="s">
        <v>1176</v>
      </c>
      <c r="AD21" s="206">
        <f t="shared" si="4"/>
        <v>0</v>
      </c>
      <c r="AG21" s="379">
        <f t="shared" si="11"/>
        <v>0</v>
      </c>
    </row>
    <row r="22" spans="2:33" ht="16.5">
      <c r="B22" s="259" t="s">
        <v>755</v>
      </c>
      <c r="C22" s="66" t="s">
        <v>133</v>
      </c>
      <c r="D22" s="306" t="s">
        <v>134</v>
      </c>
      <c r="E22" s="261">
        <v>43160</v>
      </c>
      <c r="F22" s="297">
        <v>16235.3</v>
      </c>
      <c r="G22" s="294" t="s">
        <v>880</v>
      </c>
      <c r="H22" s="135"/>
      <c r="I22" s="294">
        <f t="shared" si="5"/>
        <v>16235.3</v>
      </c>
      <c r="J22" s="135" t="s">
        <v>880</v>
      </c>
      <c r="K22" s="135"/>
      <c r="L22" s="292">
        <f t="shared" si="6"/>
        <v>16235.3</v>
      </c>
      <c r="M22" s="135" t="s">
        <v>915</v>
      </c>
      <c r="N22" s="135"/>
      <c r="O22" s="292">
        <f t="shared" si="7"/>
        <v>16235.3</v>
      </c>
      <c r="P22" s="135" t="s">
        <v>463</v>
      </c>
      <c r="R22" s="206">
        <f t="shared" si="8"/>
        <v>16235.3</v>
      </c>
      <c r="S22" t="s">
        <v>1026</v>
      </c>
      <c r="U22" s="206">
        <f t="shared" si="9"/>
        <v>16235.3</v>
      </c>
      <c r="V22" t="s">
        <v>1069</v>
      </c>
      <c r="X22" s="206">
        <f t="shared" si="3"/>
        <v>16235.3</v>
      </c>
      <c r="Y22" s="361" t="s">
        <v>1176</v>
      </c>
      <c r="AA22" s="206">
        <f t="shared" si="10"/>
        <v>16235.3</v>
      </c>
      <c r="AB22" s="361" t="s">
        <v>1176</v>
      </c>
      <c r="AD22" s="206">
        <f t="shared" si="4"/>
        <v>16235.3</v>
      </c>
      <c r="AG22" s="379">
        <f t="shared" si="11"/>
        <v>16235.3</v>
      </c>
    </row>
    <row r="23" spans="2:33" ht="16.5">
      <c r="B23" s="259" t="s">
        <v>755</v>
      </c>
      <c r="C23" s="66" t="s">
        <v>135</v>
      </c>
      <c r="D23" s="306" t="s">
        <v>136</v>
      </c>
      <c r="E23" s="261">
        <v>43160</v>
      </c>
      <c r="F23" s="297">
        <v>4314.28</v>
      </c>
      <c r="G23" s="294" t="s">
        <v>880</v>
      </c>
      <c r="H23" s="135"/>
      <c r="I23" s="294">
        <f t="shared" si="5"/>
        <v>4314.28</v>
      </c>
      <c r="J23" s="135" t="s">
        <v>880</v>
      </c>
      <c r="K23" s="135"/>
      <c r="L23" s="292">
        <f t="shared" si="6"/>
        <v>4314.28</v>
      </c>
      <c r="M23" s="135" t="s">
        <v>915</v>
      </c>
      <c r="N23" s="135"/>
      <c r="O23" s="292">
        <f t="shared" si="7"/>
        <v>4314.28</v>
      </c>
      <c r="P23" s="135" t="s">
        <v>463</v>
      </c>
      <c r="R23" s="206">
        <f t="shared" si="8"/>
        <v>4314.28</v>
      </c>
      <c r="S23" t="s">
        <v>1026</v>
      </c>
      <c r="U23" s="206">
        <f t="shared" si="9"/>
        <v>4314.28</v>
      </c>
      <c r="V23" t="s">
        <v>1069</v>
      </c>
      <c r="X23" s="206">
        <f t="shared" si="3"/>
        <v>4314.28</v>
      </c>
      <c r="Y23" s="361" t="s">
        <v>1176</v>
      </c>
      <c r="AA23" s="206">
        <f t="shared" si="10"/>
        <v>4314.28</v>
      </c>
      <c r="AB23" s="361" t="s">
        <v>1176</v>
      </c>
      <c r="AD23" s="206">
        <f t="shared" si="4"/>
        <v>4314.28</v>
      </c>
      <c r="AG23" s="379">
        <f t="shared" si="11"/>
        <v>4314.28</v>
      </c>
    </row>
    <row r="24" spans="2:33" ht="16.5" hidden="1">
      <c r="B24" s="259" t="s">
        <v>755</v>
      </c>
      <c r="C24" s="66" t="s">
        <v>167</v>
      </c>
      <c r="D24" s="306" t="s">
        <v>168</v>
      </c>
      <c r="E24" s="261">
        <v>43160</v>
      </c>
      <c r="F24" s="297">
        <v>564.77</v>
      </c>
      <c r="G24" s="294" t="s">
        <v>880</v>
      </c>
      <c r="H24" s="135"/>
      <c r="I24" s="294">
        <f t="shared" si="5"/>
        <v>564.77</v>
      </c>
      <c r="J24" s="135" t="s">
        <v>880</v>
      </c>
      <c r="K24" s="135"/>
      <c r="L24" s="292">
        <f t="shared" si="6"/>
        <v>564.77</v>
      </c>
      <c r="M24" s="135" t="s">
        <v>915</v>
      </c>
      <c r="N24" s="135"/>
      <c r="O24" s="292">
        <f t="shared" si="7"/>
        <v>564.77</v>
      </c>
      <c r="P24" s="135" t="s">
        <v>463</v>
      </c>
      <c r="R24" s="206">
        <f t="shared" si="8"/>
        <v>564.77</v>
      </c>
      <c r="S24" t="s">
        <v>1026</v>
      </c>
      <c r="U24" s="206">
        <f t="shared" si="9"/>
        <v>564.77</v>
      </c>
      <c r="V24" t="s">
        <v>1069</v>
      </c>
      <c r="X24" s="206">
        <f t="shared" si="3"/>
        <v>564.77</v>
      </c>
      <c r="Y24" s="361" t="s">
        <v>1176</v>
      </c>
      <c r="AA24" s="206">
        <f t="shared" si="10"/>
        <v>564.77</v>
      </c>
      <c r="AB24" s="361" t="s">
        <v>1176</v>
      </c>
      <c r="AD24" s="206">
        <f t="shared" si="4"/>
        <v>564.77</v>
      </c>
      <c r="AF24">
        <v>564.77</v>
      </c>
      <c r="AG24" s="379">
        <f t="shared" si="11"/>
        <v>0</v>
      </c>
    </row>
    <row r="25" spans="2:33" ht="16.5" hidden="1">
      <c r="B25" s="259" t="s">
        <v>755</v>
      </c>
      <c r="C25" s="66" t="s">
        <v>191</v>
      </c>
      <c r="D25" s="306" t="s">
        <v>876</v>
      </c>
      <c r="E25" s="261">
        <v>43160</v>
      </c>
      <c r="F25" s="297">
        <v>55371.38</v>
      </c>
      <c r="G25" s="294" t="s">
        <v>880</v>
      </c>
      <c r="H25" s="135">
        <v>55371.38</v>
      </c>
      <c r="I25" s="294">
        <f t="shared" si="5"/>
        <v>0</v>
      </c>
      <c r="J25" s="135" t="s">
        <v>880</v>
      </c>
      <c r="K25" s="135"/>
      <c r="L25" s="292">
        <f t="shared" si="6"/>
        <v>0</v>
      </c>
      <c r="M25" s="135" t="s">
        <v>915</v>
      </c>
      <c r="N25" s="135"/>
      <c r="O25" s="292">
        <f t="shared" si="7"/>
        <v>0</v>
      </c>
      <c r="P25" s="135" t="s">
        <v>463</v>
      </c>
      <c r="R25" s="206">
        <f t="shared" si="8"/>
        <v>0</v>
      </c>
      <c r="S25" t="s">
        <v>1026</v>
      </c>
      <c r="U25" s="206">
        <f t="shared" si="9"/>
        <v>0</v>
      </c>
      <c r="V25" t="s">
        <v>1069</v>
      </c>
      <c r="X25" s="206">
        <f t="shared" si="3"/>
        <v>0</v>
      </c>
      <c r="Y25" s="361" t="s">
        <v>1176</v>
      </c>
      <c r="AA25" s="206">
        <f t="shared" si="10"/>
        <v>0</v>
      </c>
      <c r="AB25" s="361" t="s">
        <v>1176</v>
      </c>
      <c r="AD25" s="206">
        <f t="shared" si="4"/>
        <v>0</v>
      </c>
      <c r="AG25" s="379">
        <f t="shared" si="11"/>
        <v>0</v>
      </c>
    </row>
    <row r="26" spans="2:33" ht="16.5" hidden="1">
      <c r="B26" s="259" t="s">
        <v>755</v>
      </c>
      <c r="C26" s="66" t="s">
        <v>197</v>
      </c>
      <c r="D26" s="306" t="s">
        <v>198</v>
      </c>
      <c r="E26" s="261">
        <v>43160</v>
      </c>
      <c r="F26" s="297">
        <v>21053.8</v>
      </c>
      <c r="G26" s="294" t="s">
        <v>880</v>
      </c>
      <c r="H26" s="135"/>
      <c r="I26" s="294">
        <f t="shared" si="5"/>
        <v>21053.8</v>
      </c>
      <c r="J26" s="135" t="s">
        <v>880</v>
      </c>
      <c r="K26" s="135"/>
      <c r="L26" s="292">
        <f t="shared" si="6"/>
        <v>21053.8</v>
      </c>
      <c r="M26" s="135" t="s">
        <v>915</v>
      </c>
      <c r="N26" s="135"/>
      <c r="O26" s="292">
        <f t="shared" si="7"/>
        <v>21053.8</v>
      </c>
      <c r="P26" s="135" t="s">
        <v>463</v>
      </c>
      <c r="R26" s="206">
        <f t="shared" si="8"/>
        <v>21053.8</v>
      </c>
      <c r="S26" t="s">
        <v>1026</v>
      </c>
      <c r="U26" s="206">
        <f t="shared" si="9"/>
        <v>21053.8</v>
      </c>
      <c r="V26" t="s">
        <v>1069</v>
      </c>
      <c r="W26">
        <v>21053.8</v>
      </c>
      <c r="X26" s="206">
        <f>U26-W26</f>
        <v>0</v>
      </c>
      <c r="Y26" s="361" t="s">
        <v>1176</v>
      </c>
      <c r="AA26" s="206">
        <f t="shared" si="10"/>
        <v>0</v>
      </c>
      <c r="AB26" s="361" t="s">
        <v>1176</v>
      </c>
      <c r="AD26" s="206">
        <f t="shared" si="4"/>
        <v>0</v>
      </c>
      <c r="AG26" s="379">
        <f t="shared" si="11"/>
        <v>0</v>
      </c>
    </row>
    <row r="27" spans="2:33" ht="16.5">
      <c r="B27" s="259" t="s">
        <v>755</v>
      </c>
      <c r="C27" s="66" t="s">
        <v>199</v>
      </c>
      <c r="D27" s="306" t="s">
        <v>423</v>
      </c>
      <c r="E27" s="261">
        <v>43160</v>
      </c>
      <c r="F27" s="297">
        <v>21758.71</v>
      </c>
      <c r="G27" s="294" t="s">
        <v>880</v>
      </c>
      <c r="H27" s="135">
        <v>2146.23</v>
      </c>
      <c r="I27" s="294">
        <f t="shared" si="5"/>
        <v>19612.48</v>
      </c>
      <c r="J27" s="135" t="s">
        <v>880</v>
      </c>
      <c r="K27" s="135"/>
      <c r="L27" s="292">
        <f t="shared" si="6"/>
        <v>19612.48</v>
      </c>
      <c r="M27" s="135" t="s">
        <v>915</v>
      </c>
      <c r="N27" s="135"/>
      <c r="O27" s="292">
        <f t="shared" si="7"/>
        <v>19612.48</v>
      </c>
      <c r="P27" s="135" t="s">
        <v>463</v>
      </c>
      <c r="R27" s="206">
        <f t="shared" si="8"/>
        <v>19612.48</v>
      </c>
      <c r="S27" t="s">
        <v>1026</v>
      </c>
      <c r="T27" s="348">
        <f>8475+6693.75+4216/1.06</f>
        <v>19146.108490566039</v>
      </c>
      <c r="U27" s="206">
        <f t="shared" si="9"/>
        <v>466.37</v>
      </c>
      <c r="V27" t="s">
        <v>1069</v>
      </c>
      <c r="X27" s="206">
        <f t="shared" ref="X27:X33" si="12">U27-W27</f>
        <v>466.37</v>
      </c>
      <c r="Y27" s="361" t="s">
        <v>1176</v>
      </c>
      <c r="AA27" s="206">
        <f t="shared" si="10"/>
        <v>466.37</v>
      </c>
      <c r="AB27" s="361" t="s">
        <v>1176</v>
      </c>
      <c r="AD27" s="206">
        <f t="shared" si="4"/>
        <v>466.37</v>
      </c>
      <c r="AG27" s="379">
        <f t="shared" si="11"/>
        <v>466.37</v>
      </c>
    </row>
    <row r="28" spans="2:33" ht="16.5" hidden="1">
      <c r="B28" s="259" t="s">
        <v>755</v>
      </c>
      <c r="C28" s="66" t="s">
        <v>580</v>
      </c>
      <c r="D28" s="306" t="s">
        <v>581</v>
      </c>
      <c r="E28" s="261">
        <v>43160</v>
      </c>
      <c r="F28" s="297">
        <v>12985.55</v>
      </c>
      <c r="G28" s="294" t="s">
        <v>880</v>
      </c>
      <c r="H28" s="135"/>
      <c r="I28" s="294">
        <f t="shared" si="5"/>
        <v>12985.55</v>
      </c>
      <c r="J28" s="135" t="s">
        <v>880</v>
      </c>
      <c r="K28" s="135"/>
      <c r="L28" s="292">
        <f t="shared" si="6"/>
        <v>12985.55</v>
      </c>
      <c r="M28" s="135" t="s">
        <v>915</v>
      </c>
      <c r="N28" s="323">
        <f>146015/1.06-3642.08-69936.86-3115-2411.62-45658.89</f>
        <v>12985.55000000001</v>
      </c>
      <c r="O28" s="292">
        <f t="shared" si="7"/>
        <v>0</v>
      </c>
      <c r="P28" s="135" t="s">
        <v>463</v>
      </c>
      <c r="R28" s="206">
        <f t="shared" si="8"/>
        <v>0</v>
      </c>
      <c r="S28" t="s">
        <v>1026</v>
      </c>
      <c r="U28" s="206">
        <f t="shared" si="9"/>
        <v>0</v>
      </c>
      <c r="V28" t="s">
        <v>1069</v>
      </c>
      <c r="X28" s="206">
        <f t="shared" si="12"/>
        <v>0</v>
      </c>
      <c r="Y28" s="361" t="s">
        <v>1176</v>
      </c>
      <c r="AA28" s="206">
        <f t="shared" si="10"/>
        <v>0</v>
      </c>
      <c r="AB28" s="361" t="s">
        <v>1176</v>
      </c>
      <c r="AD28" s="206">
        <f t="shared" si="4"/>
        <v>0</v>
      </c>
      <c r="AG28" s="379">
        <f t="shared" si="11"/>
        <v>0</v>
      </c>
    </row>
    <row r="29" spans="2:33" ht="16.5" hidden="1">
      <c r="B29" s="259" t="s">
        <v>755</v>
      </c>
      <c r="C29" s="66" t="s">
        <v>582</v>
      </c>
      <c r="D29" s="306" t="s">
        <v>583</v>
      </c>
      <c r="E29" s="261">
        <v>43160</v>
      </c>
      <c r="F29" s="297">
        <v>9286.73</v>
      </c>
      <c r="G29" s="294" t="s">
        <v>880</v>
      </c>
      <c r="H29" s="135"/>
      <c r="I29" s="294">
        <f t="shared" si="5"/>
        <v>9286.73</v>
      </c>
      <c r="J29" s="135" t="s">
        <v>880</v>
      </c>
      <c r="K29" s="135"/>
      <c r="L29" s="292">
        <f t="shared" si="6"/>
        <v>9286.73</v>
      </c>
      <c r="M29" s="135" t="s">
        <v>915</v>
      </c>
      <c r="N29" s="323">
        <f>146015/1.06-3642.08-69936.86-3115-2411.62-12985.55-36372.16</f>
        <v>9286.7300000000105</v>
      </c>
      <c r="O29" s="292">
        <f t="shared" si="7"/>
        <v>0</v>
      </c>
      <c r="P29" s="135" t="s">
        <v>463</v>
      </c>
      <c r="R29" s="206">
        <f t="shared" si="8"/>
        <v>0</v>
      </c>
      <c r="S29" t="s">
        <v>1026</v>
      </c>
      <c r="U29" s="206">
        <f t="shared" si="9"/>
        <v>0</v>
      </c>
      <c r="V29" t="s">
        <v>1069</v>
      </c>
      <c r="X29" s="206">
        <f t="shared" si="12"/>
        <v>0</v>
      </c>
      <c r="Y29" s="361" t="s">
        <v>1176</v>
      </c>
      <c r="AA29" s="206">
        <f t="shared" si="10"/>
        <v>0</v>
      </c>
      <c r="AB29" s="361" t="s">
        <v>1176</v>
      </c>
      <c r="AD29" s="206">
        <f t="shared" si="4"/>
        <v>0</v>
      </c>
      <c r="AG29" s="379">
        <f t="shared" si="11"/>
        <v>0</v>
      </c>
    </row>
    <row r="30" spans="2:33" ht="16.5" hidden="1">
      <c r="B30" s="259" t="s">
        <v>755</v>
      </c>
      <c r="C30" s="66" t="s">
        <v>823</v>
      </c>
      <c r="D30" s="306" t="s">
        <v>824</v>
      </c>
      <c r="E30" s="261">
        <v>43160</v>
      </c>
      <c r="F30" s="297">
        <v>30597.38</v>
      </c>
      <c r="G30" s="294" t="s">
        <v>880</v>
      </c>
      <c r="H30" s="135"/>
      <c r="I30" s="294">
        <f t="shared" si="5"/>
        <v>30597.38</v>
      </c>
      <c r="J30" s="135" t="s">
        <v>880</v>
      </c>
      <c r="K30" s="135"/>
      <c r="L30" s="292">
        <f t="shared" si="6"/>
        <v>30597.38</v>
      </c>
      <c r="M30" s="135" t="s">
        <v>915</v>
      </c>
      <c r="N30" s="135"/>
      <c r="O30" s="292">
        <f t="shared" si="7"/>
        <v>30597.38</v>
      </c>
      <c r="P30" s="135" t="s">
        <v>463</v>
      </c>
      <c r="R30" s="206">
        <f t="shared" si="8"/>
        <v>30597.38</v>
      </c>
      <c r="S30" t="s">
        <v>1026</v>
      </c>
      <c r="U30" s="206">
        <f t="shared" si="9"/>
        <v>30597.38</v>
      </c>
      <c r="V30" t="s">
        <v>1069</v>
      </c>
      <c r="X30" s="206">
        <f t="shared" si="12"/>
        <v>30597.38</v>
      </c>
      <c r="Y30" s="361" t="s">
        <v>1176</v>
      </c>
      <c r="Z30" s="20">
        <v>30597.38</v>
      </c>
      <c r="AA30" s="206">
        <f t="shared" si="10"/>
        <v>0</v>
      </c>
      <c r="AB30" s="361" t="s">
        <v>1176</v>
      </c>
      <c r="AD30" s="206">
        <f t="shared" si="4"/>
        <v>0</v>
      </c>
      <c r="AG30" s="379">
        <f t="shared" si="11"/>
        <v>0</v>
      </c>
    </row>
    <row r="31" spans="2:33" ht="16.5" hidden="1">
      <c r="B31" s="259" t="s">
        <v>755</v>
      </c>
      <c r="C31" s="66" t="s">
        <v>862</v>
      </c>
      <c r="D31" s="306" t="s">
        <v>877</v>
      </c>
      <c r="E31" s="261">
        <v>43160</v>
      </c>
      <c r="F31" s="297">
        <v>4041.38</v>
      </c>
      <c r="G31" s="294" t="s">
        <v>880</v>
      </c>
      <c r="H31" s="135"/>
      <c r="I31" s="294">
        <f t="shared" si="5"/>
        <v>4041.38</v>
      </c>
      <c r="J31" s="135" t="s">
        <v>880</v>
      </c>
      <c r="K31" s="135"/>
      <c r="L31" s="292">
        <f t="shared" si="6"/>
        <v>4041.38</v>
      </c>
      <c r="M31" s="135" t="s">
        <v>915</v>
      </c>
      <c r="N31" s="135"/>
      <c r="O31" s="292">
        <f t="shared" si="7"/>
        <v>4041.38</v>
      </c>
      <c r="P31" s="135" t="s">
        <v>463</v>
      </c>
      <c r="R31" s="206">
        <f t="shared" si="8"/>
        <v>4041.38</v>
      </c>
      <c r="S31" t="s">
        <v>1026</v>
      </c>
      <c r="U31" s="206">
        <f t="shared" si="9"/>
        <v>4041.38</v>
      </c>
      <c r="V31" t="s">
        <v>1069</v>
      </c>
      <c r="X31" s="206">
        <f t="shared" si="12"/>
        <v>4041.38</v>
      </c>
      <c r="Y31" s="361" t="s">
        <v>1176</v>
      </c>
      <c r="Z31" s="20">
        <v>4041.38</v>
      </c>
      <c r="AA31" s="206">
        <f t="shared" si="10"/>
        <v>0</v>
      </c>
      <c r="AB31" s="361" t="s">
        <v>1176</v>
      </c>
      <c r="AD31" s="206">
        <f t="shared" si="4"/>
        <v>0</v>
      </c>
      <c r="AG31" s="379">
        <f t="shared" si="11"/>
        <v>0</v>
      </c>
    </row>
    <row r="32" spans="2:33" ht="16.5" hidden="1">
      <c r="B32" s="259" t="s">
        <v>755</v>
      </c>
      <c r="C32" s="66" t="s">
        <v>828</v>
      </c>
      <c r="D32" s="306" t="s">
        <v>829</v>
      </c>
      <c r="E32" s="261">
        <v>43160</v>
      </c>
      <c r="F32" s="297">
        <v>4435.6499999999996</v>
      </c>
      <c r="G32" s="294" t="s">
        <v>880</v>
      </c>
      <c r="H32" s="135"/>
      <c r="I32" s="294">
        <f t="shared" si="5"/>
        <v>4435.6499999999996</v>
      </c>
      <c r="J32" s="135" t="s">
        <v>880</v>
      </c>
      <c r="K32" s="135"/>
      <c r="L32" s="292">
        <f t="shared" si="6"/>
        <v>4435.6499999999996</v>
      </c>
      <c r="M32" s="135" t="s">
        <v>915</v>
      </c>
      <c r="N32" s="135"/>
      <c r="O32" s="292">
        <f t="shared" si="7"/>
        <v>4435.6499999999996</v>
      </c>
      <c r="P32" s="135" t="s">
        <v>463</v>
      </c>
      <c r="R32" s="206">
        <f t="shared" si="8"/>
        <v>4435.6499999999996</v>
      </c>
      <c r="S32" t="s">
        <v>1026</v>
      </c>
      <c r="U32" s="206">
        <f t="shared" si="9"/>
        <v>4435.6499999999996</v>
      </c>
      <c r="V32" t="s">
        <v>1069</v>
      </c>
      <c r="X32" s="206">
        <f t="shared" si="12"/>
        <v>4435.6499999999996</v>
      </c>
      <c r="Y32" s="361" t="s">
        <v>1176</v>
      </c>
      <c r="Z32" s="20">
        <v>4435.6499999999996</v>
      </c>
      <c r="AA32" s="206">
        <f t="shared" si="10"/>
        <v>0</v>
      </c>
      <c r="AB32" s="361" t="s">
        <v>1176</v>
      </c>
      <c r="AD32" s="206">
        <f t="shared" si="4"/>
        <v>0</v>
      </c>
      <c r="AG32" s="379">
        <f t="shared" si="11"/>
        <v>0</v>
      </c>
    </row>
    <row r="33" spans="2:34" ht="16.5" hidden="1">
      <c r="B33" s="259" t="s">
        <v>755</v>
      </c>
      <c r="C33" s="66" t="s">
        <v>863</v>
      </c>
      <c r="D33" s="306" t="s">
        <v>878</v>
      </c>
      <c r="E33" s="261">
        <v>43160</v>
      </c>
      <c r="F33" s="297">
        <v>887.13</v>
      </c>
      <c r="G33" s="294" t="s">
        <v>880</v>
      </c>
      <c r="H33" s="135"/>
      <c r="I33" s="294">
        <f t="shared" si="5"/>
        <v>887.13</v>
      </c>
      <c r="J33" s="135" t="s">
        <v>880</v>
      </c>
      <c r="K33" s="135"/>
      <c r="L33" s="292">
        <f t="shared" si="6"/>
        <v>887.13</v>
      </c>
      <c r="M33" s="135" t="s">
        <v>915</v>
      </c>
      <c r="N33" s="135"/>
      <c r="O33" s="292">
        <f t="shared" si="7"/>
        <v>887.13</v>
      </c>
      <c r="P33" s="135" t="s">
        <v>463</v>
      </c>
      <c r="R33" s="206">
        <f t="shared" si="8"/>
        <v>887.13</v>
      </c>
      <c r="S33" t="s">
        <v>1026</v>
      </c>
      <c r="U33" s="206">
        <f t="shared" si="9"/>
        <v>887.13</v>
      </c>
      <c r="V33" t="s">
        <v>1069</v>
      </c>
      <c r="X33" s="206">
        <f t="shared" si="12"/>
        <v>887.13</v>
      </c>
      <c r="Y33" s="361" t="s">
        <v>1176</v>
      </c>
      <c r="Z33" s="20">
        <v>887.13</v>
      </c>
      <c r="AA33" s="206">
        <f t="shared" si="10"/>
        <v>0</v>
      </c>
      <c r="AB33" s="361" t="s">
        <v>1176</v>
      </c>
      <c r="AD33" s="206">
        <f t="shared" si="4"/>
        <v>0</v>
      </c>
      <c r="AG33" s="379">
        <f t="shared" si="11"/>
        <v>0</v>
      </c>
    </row>
    <row r="34" spans="2:34">
      <c r="B34" s="271"/>
      <c r="C34" s="271"/>
      <c r="D34" s="271"/>
      <c r="E34" s="271"/>
      <c r="F34" s="284">
        <f>SUM(F12:F33)</f>
        <v>470260.72000000015</v>
      </c>
      <c r="G34" s="285"/>
      <c r="H34" s="284">
        <f>SUM(H12:H33)</f>
        <v>266110.95999999996</v>
      </c>
      <c r="I34" s="284">
        <f>SUM(I12:I33)</f>
        <v>204149.76000000004</v>
      </c>
      <c r="J34" s="284"/>
      <c r="K34" s="284"/>
      <c r="L34" s="284">
        <f>SUM(L12:L33)</f>
        <v>188092.38</v>
      </c>
      <c r="M34" s="271"/>
      <c r="N34" s="284">
        <f>SUM(N12:N33)</f>
        <v>27442.560754717</v>
      </c>
      <c r="O34" s="284">
        <f>SUM(O12:O33)</f>
        <v>160649.81924528303</v>
      </c>
      <c r="P34" s="271"/>
      <c r="Q34" s="284">
        <f>SUM(Q12:Q33)</f>
        <v>0</v>
      </c>
      <c r="R34" s="284">
        <f>SUM(R12:R33)</f>
        <v>160649.81924528303</v>
      </c>
      <c r="S34" s="271"/>
      <c r="T34" s="284">
        <f>SUM(T12:T33)</f>
        <v>19146.108490566039</v>
      </c>
      <c r="U34" s="284">
        <f>SUM(U12:U33)</f>
        <v>141503.71</v>
      </c>
      <c r="V34" s="284">
        <f t="shared" ref="V34:AG34" si="13">SUM(V12:V33)</f>
        <v>0</v>
      </c>
      <c r="W34" s="284">
        <f t="shared" si="13"/>
        <v>23912.329999999998</v>
      </c>
      <c r="X34" s="284">
        <f t="shared" si="13"/>
        <v>117591.38</v>
      </c>
      <c r="Y34" s="361" t="s">
        <v>1176</v>
      </c>
      <c r="Z34" s="284">
        <f t="shared" si="13"/>
        <v>39961.54</v>
      </c>
      <c r="AA34" s="284">
        <f t="shared" si="13"/>
        <v>77629.84</v>
      </c>
      <c r="AB34" s="361" t="s">
        <v>1176</v>
      </c>
      <c r="AC34" s="284">
        <f t="shared" si="13"/>
        <v>32706.41</v>
      </c>
      <c r="AD34" s="284">
        <f t="shared" si="13"/>
        <v>44923.429999999993</v>
      </c>
      <c r="AE34" s="284">
        <f t="shared" si="13"/>
        <v>0</v>
      </c>
      <c r="AF34" s="284">
        <f t="shared" si="13"/>
        <v>564.77</v>
      </c>
      <c r="AG34" s="284">
        <f t="shared" si="13"/>
        <v>44358.659999999996</v>
      </c>
    </row>
    <row r="36" spans="2:34" ht="33">
      <c r="B36" s="273" t="s">
        <v>728</v>
      </c>
      <c r="C36" s="273" t="s">
        <v>729</v>
      </c>
      <c r="D36" s="273" t="s">
        <v>730</v>
      </c>
      <c r="E36" s="273" t="s">
        <v>731</v>
      </c>
      <c r="F36" s="274" t="s">
        <v>860</v>
      </c>
      <c r="G36" s="280" t="s">
        <v>733</v>
      </c>
      <c r="H36" s="273" t="s">
        <v>881</v>
      </c>
      <c r="I36" s="273" t="s">
        <v>882</v>
      </c>
      <c r="J36" s="273" t="s">
        <v>857</v>
      </c>
      <c r="K36" s="273" t="s">
        <v>911</v>
      </c>
      <c r="L36" s="273" t="s">
        <v>912</v>
      </c>
      <c r="M36" s="274" t="s">
        <v>890</v>
      </c>
      <c r="N36" s="273" t="s">
        <v>943</v>
      </c>
      <c r="O36" s="273" t="s">
        <v>944</v>
      </c>
      <c r="P36" s="274" t="s">
        <v>890</v>
      </c>
      <c r="Q36" s="273" t="s">
        <v>958</v>
      </c>
      <c r="R36" s="273" t="s">
        <v>959</v>
      </c>
      <c r="S36" s="274" t="s">
        <v>890</v>
      </c>
      <c r="T36" s="273" t="s">
        <v>1010</v>
      </c>
      <c r="U36" s="273" t="s">
        <v>1012</v>
      </c>
      <c r="V36" s="274" t="s">
        <v>890</v>
      </c>
      <c r="W36" s="273" t="s">
        <v>1055</v>
      </c>
      <c r="X36" s="273" t="s">
        <v>1056</v>
      </c>
      <c r="Y36" s="274" t="s">
        <v>890</v>
      </c>
      <c r="Z36" s="273" t="s">
        <v>1164</v>
      </c>
      <c r="AA36" s="273" t="s">
        <v>1165</v>
      </c>
      <c r="AB36" s="274" t="s">
        <v>890</v>
      </c>
      <c r="AC36" s="273" t="s">
        <v>1255</v>
      </c>
      <c r="AD36" s="273" t="s">
        <v>1256</v>
      </c>
      <c r="AE36" s="274" t="s">
        <v>890</v>
      </c>
      <c r="AF36" s="273" t="s">
        <v>1298</v>
      </c>
      <c r="AG36" s="273" t="s">
        <v>1299</v>
      </c>
      <c r="AH36" s="274" t="s">
        <v>890</v>
      </c>
    </row>
    <row r="37" spans="2:34" ht="16.5">
      <c r="B37" s="259" t="s">
        <v>804</v>
      </c>
      <c r="C37" s="3" t="s">
        <v>75</v>
      </c>
      <c r="D37" s="296" t="s">
        <v>76</v>
      </c>
      <c r="E37" s="261">
        <v>43160</v>
      </c>
      <c r="F37" s="185">
        <v>42822.23</v>
      </c>
      <c r="G37" s="148" t="s">
        <v>874</v>
      </c>
      <c r="I37" s="148">
        <f>F37-H37</f>
        <v>42822.23</v>
      </c>
      <c r="J37" t="s">
        <v>898</v>
      </c>
      <c r="K37" s="135"/>
      <c r="L37" s="292">
        <f t="shared" ref="L37:L44" si="14">I37-K37</f>
        <v>42822.23</v>
      </c>
      <c r="M37" s="135" t="s">
        <v>921</v>
      </c>
      <c r="N37" s="135"/>
      <c r="O37" s="292">
        <f>L37-N37</f>
        <v>42822.23</v>
      </c>
      <c r="P37" s="135" t="s">
        <v>855</v>
      </c>
      <c r="R37" s="206">
        <f t="shared" ref="R37:R44" si="15">O37-Q37</f>
        <v>42822.23</v>
      </c>
      <c r="S37" t="s">
        <v>1019</v>
      </c>
      <c r="U37" s="206">
        <f>R37-T37</f>
        <v>42822.23</v>
      </c>
      <c r="V37" t="s">
        <v>1075</v>
      </c>
      <c r="X37" s="206">
        <f>U37-W37</f>
        <v>42822.23</v>
      </c>
      <c r="Y37" s="361" t="s">
        <v>1191</v>
      </c>
      <c r="Z37" s="20">
        <v>20049.436226415084</v>
      </c>
      <c r="AA37" s="206">
        <f>X37-Z37</f>
        <v>22772.793773584919</v>
      </c>
      <c r="AB37" s="361" t="s">
        <v>1199</v>
      </c>
      <c r="AD37" s="206">
        <f>AA37-AC37</f>
        <v>22772.793773584919</v>
      </c>
      <c r="AF37">
        <v>22772.793773584919</v>
      </c>
      <c r="AG37" s="206">
        <f>AD37-AF37</f>
        <v>0</v>
      </c>
    </row>
    <row r="38" spans="2:34" ht="16.5">
      <c r="B38" s="259" t="s">
        <v>804</v>
      </c>
      <c r="C38" s="3" t="s">
        <v>77</v>
      </c>
      <c r="D38" s="296" t="s">
        <v>78</v>
      </c>
      <c r="E38" s="261">
        <v>43160</v>
      </c>
      <c r="F38" s="77">
        <v>2808.72</v>
      </c>
      <c r="G38" s="148" t="s">
        <v>874</v>
      </c>
      <c r="I38" s="148">
        <f t="shared" ref="I38:I44" si="16">F38-H38</f>
        <v>2808.72</v>
      </c>
      <c r="J38" t="s">
        <v>898</v>
      </c>
      <c r="K38" s="135"/>
      <c r="L38" s="292">
        <f t="shared" si="14"/>
        <v>2808.72</v>
      </c>
      <c r="M38" s="135" t="s">
        <v>921</v>
      </c>
      <c r="N38" s="135"/>
      <c r="O38" s="292">
        <f t="shared" ref="O38:O44" si="17">L38-N38</f>
        <v>2808.72</v>
      </c>
      <c r="P38" s="135" t="s">
        <v>855</v>
      </c>
      <c r="R38" s="206">
        <f t="shared" si="15"/>
        <v>2808.72</v>
      </c>
      <c r="S38" t="s">
        <v>1019</v>
      </c>
      <c r="U38" s="206">
        <f t="shared" ref="U38:U44" si="18">R38-T38</f>
        <v>2808.72</v>
      </c>
      <c r="V38" t="s">
        <v>1075</v>
      </c>
      <c r="X38" s="206">
        <f t="shared" ref="X38:X44" si="19">U38-W38</f>
        <v>2808.72</v>
      </c>
      <c r="Y38" s="361" t="s">
        <v>1191</v>
      </c>
      <c r="AA38" s="206">
        <f t="shared" ref="AA38:AA44" si="20">X38-Z38</f>
        <v>2808.72</v>
      </c>
      <c r="AB38" s="361" t="s">
        <v>1199</v>
      </c>
      <c r="AD38" s="206">
        <f>AA38-AC38</f>
        <v>2808.72</v>
      </c>
      <c r="AF38">
        <v>2808.72</v>
      </c>
      <c r="AG38" s="206">
        <f t="shared" ref="AG38:AG44" si="21">AD38-AF38</f>
        <v>0</v>
      </c>
    </row>
    <row r="39" spans="2:34" ht="16.5">
      <c r="B39" s="259" t="s">
        <v>804</v>
      </c>
      <c r="C39" s="3" t="s">
        <v>864</v>
      </c>
      <c r="D39" s="296" t="s">
        <v>869</v>
      </c>
      <c r="E39" s="261">
        <v>43160</v>
      </c>
      <c r="F39" s="77">
        <v>34079.760000000002</v>
      </c>
      <c r="G39" s="148" t="s">
        <v>874</v>
      </c>
      <c r="H39">
        <v>34079.760000000002</v>
      </c>
      <c r="I39" s="148">
        <f t="shared" si="16"/>
        <v>0</v>
      </c>
      <c r="J39" t="s">
        <v>898</v>
      </c>
      <c r="K39" s="135"/>
      <c r="L39" s="292">
        <f t="shared" si="14"/>
        <v>0</v>
      </c>
      <c r="M39" s="135" t="s">
        <v>921</v>
      </c>
      <c r="N39" s="135"/>
      <c r="O39" s="292">
        <f t="shared" si="17"/>
        <v>0</v>
      </c>
      <c r="P39" s="135" t="s">
        <v>855</v>
      </c>
      <c r="R39" s="206">
        <f t="shared" si="15"/>
        <v>0</v>
      </c>
      <c r="S39" t="s">
        <v>1019</v>
      </c>
      <c r="U39" s="206">
        <f t="shared" si="18"/>
        <v>0</v>
      </c>
      <c r="V39" t="s">
        <v>1075</v>
      </c>
      <c r="X39" s="206">
        <f t="shared" si="19"/>
        <v>0</v>
      </c>
      <c r="Y39" s="361" t="s">
        <v>1191</v>
      </c>
      <c r="AA39" s="206">
        <f t="shared" si="20"/>
        <v>0</v>
      </c>
      <c r="AB39" s="361" t="s">
        <v>1199</v>
      </c>
      <c r="AD39" s="206">
        <f t="shared" ref="AD39:AD44" si="22">AA39-AC39</f>
        <v>0</v>
      </c>
      <c r="AG39" s="206">
        <f t="shared" si="21"/>
        <v>0</v>
      </c>
    </row>
    <row r="40" spans="2:34" ht="16.5">
      <c r="B40" s="259" t="s">
        <v>804</v>
      </c>
      <c r="C40" s="3" t="s">
        <v>831</v>
      </c>
      <c r="D40" s="296" t="s">
        <v>833</v>
      </c>
      <c r="E40" s="261">
        <v>43160</v>
      </c>
      <c r="F40" s="77">
        <v>5125.4399999999996</v>
      </c>
      <c r="G40" s="148" t="s">
        <v>874</v>
      </c>
      <c r="I40" s="148">
        <f t="shared" si="16"/>
        <v>5125.4399999999996</v>
      </c>
      <c r="J40" t="s">
        <v>898</v>
      </c>
      <c r="K40" s="135"/>
      <c r="L40" s="292">
        <f t="shared" si="14"/>
        <v>5125.4399999999996</v>
      </c>
      <c r="M40" s="135" t="s">
        <v>921</v>
      </c>
      <c r="N40" s="135"/>
      <c r="O40" s="292">
        <f t="shared" si="17"/>
        <v>5125.4399999999996</v>
      </c>
      <c r="P40" s="135" t="s">
        <v>855</v>
      </c>
      <c r="R40" s="206">
        <f t="shared" si="15"/>
        <v>5125.4399999999996</v>
      </c>
      <c r="S40" t="s">
        <v>1019</v>
      </c>
      <c r="U40" s="206">
        <f t="shared" si="18"/>
        <v>5125.4399999999996</v>
      </c>
      <c r="V40" t="s">
        <v>1075</v>
      </c>
      <c r="X40" s="206">
        <f t="shared" si="19"/>
        <v>5125.4399999999996</v>
      </c>
      <c r="Y40" s="361" t="s">
        <v>1191</v>
      </c>
      <c r="AA40" s="206">
        <f t="shared" si="20"/>
        <v>5125.4399999999996</v>
      </c>
      <c r="AB40" s="361" t="s">
        <v>1199</v>
      </c>
      <c r="AD40" s="206">
        <f t="shared" si="22"/>
        <v>5125.4399999999996</v>
      </c>
      <c r="AG40" s="206">
        <f t="shared" si="21"/>
        <v>5125.4399999999996</v>
      </c>
    </row>
    <row r="41" spans="2:34" ht="16.5">
      <c r="B41" s="259" t="s">
        <v>804</v>
      </c>
      <c r="C41" s="3" t="s">
        <v>865</v>
      </c>
      <c r="D41" s="296" t="s">
        <v>870</v>
      </c>
      <c r="E41" s="261">
        <v>43160</v>
      </c>
      <c r="F41" s="185">
        <v>102578.3</v>
      </c>
      <c r="G41" s="148" t="s">
        <v>874</v>
      </c>
      <c r="H41">
        <f>108733/1.06</f>
        <v>102578.30188679245</v>
      </c>
      <c r="I41" s="148">
        <f t="shared" si="16"/>
        <v>-1.8867924518417567E-3</v>
      </c>
      <c r="J41" t="s">
        <v>898</v>
      </c>
      <c r="K41" s="135"/>
      <c r="L41" s="292">
        <f t="shared" si="14"/>
        <v>-1.8867924518417567E-3</v>
      </c>
      <c r="M41" s="135" t="s">
        <v>921</v>
      </c>
      <c r="N41" s="135"/>
      <c r="O41" s="292">
        <f t="shared" si="17"/>
        <v>-1.8867924518417567E-3</v>
      </c>
      <c r="P41" s="135" t="s">
        <v>855</v>
      </c>
      <c r="R41" s="206">
        <f t="shared" si="15"/>
        <v>-1.8867924518417567E-3</v>
      </c>
      <c r="S41" t="s">
        <v>1019</v>
      </c>
      <c r="U41" s="206">
        <f t="shared" si="18"/>
        <v>-1.8867924518417567E-3</v>
      </c>
      <c r="V41" t="s">
        <v>1075</v>
      </c>
      <c r="X41" s="206">
        <f t="shared" si="19"/>
        <v>-1.8867924518417567E-3</v>
      </c>
      <c r="Y41" s="361" t="s">
        <v>1191</v>
      </c>
      <c r="AA41" s="206">
        <f t="shared" si="20"/>
        <v>-1.8867924518417567E-3</v>
      </c>
      <c r="AB41" s="361" t="s">
        <v>1199</v>
      </c>
      <c r="AD41" s="206">
        <f t="shared" si="22"/>
        <v>-1.8867924518417567E-3</v>
      </c>
      <c r="AG41" s="206">
        <f t="shared" si="21"/>
        <v>-1.8867924518417567E-3</v>
      </c>
    </row>
    <row r="42" spans="2:34" ht="16.5">
      <c r="B42" s="259" t="s">
        <v>804</v>
      </c>
      <c r="C42" s="3" t="s">
        <v>866</v>
      </c>
      <c r="D42" s="296" t="s">
        <v>871</v>
      </c>
      <c r="E42" s="261">
        <v>43160</v>
      </c>
      <c r="F42" s="185">
        <v>159840.39000000001</v>
      </c>
      <c r="G42" s="148" t="s">
        <v>874</v>
      </c>
      <c r="I42" s="148">
        <f t="shared" si="16"/>
        <v>159840.39000000001</v>
      </c>
      <c r="J42" t="s">
        <v>898</v>
      </c>
      <c r="K42" s="135"/>
      <c r="L42" s="292">
        <f t="shared" si="14"/>
        <v>159840.39000000001</v>
      </c>
      <c r="M42" s="135" t="s">
        <v>921</v>
      </c>
      <c r="N42" s="323">
        <f>15495</f>
        <v>15495</v>
      </c>
      <c r="O42" s="292">
        <f t="shared" si="17"/>
        <v>144345.39000000001</v>
      </c>
      <c r="P42" s="135" t="s">
        <v>855</v>
      </c>
      <c r="Q42" s="20">
        <f>500+143845.39</f>
        <v>144345.39000000001</v>
      </c>
      <c r="R42" s="206">
        <f t="shared" si="15"/>
        <v>0</v>
      </c>
      <c r="S42" t="s">
        <v>1019</v>
      </c>
      <c r="U42" s="206">
        <f t="shared" si="18"/>
        <v>0</v>
      </c>
      <c r="V42" t="s">
        <v>1075</v>
      </c>
      <c r="X42" s="206">
        <f t="shared" si="19"/>
        <v>0</v>
      </c>
      <c r="Y42" s="361" t="s">
        <v>1191</v>
      </c>
      <c r="AA42" s="206">
        <f t="shared" si="20"/>
        <v>0</v>
      </c>
      <c r="AB42" s="361" t="s">
        <v>1199</v>
      </c>
      <c r="AD42" s="206">
        <f t="shared" si="22"/>
        <v>0</v>
      </c>
      <c r="AG42" s="206">
        <f t="shared" si="21"/>
        <v>0</v>
      </c>
    </row>
    <row r="43" spans="2:34" ht="16.5">
      <c r="B43" s="259" t="s">
        <v>804</v>
      </c>
      <c r="C43" s="3" t="s">
        <v>867</v>
      </c>
      <c r="D43" s="296" t="s">
        <v>872</v>
      </c>
      <c r="E43" s="261">
        <v>43160</v>
      </c>
      <c r="F43" s="185">
        <v>60711.45</v>
      </c>
      <c r="G43" s="148" t="s">
        <v>874</v>
      </c>
      <c r="I43" s="148">
        <f t="shared" si="16"/>
        <v>60711.45</v>
      </c>
      <c r="J43" t="s">
        <v>898</v>
      </c>
      <c r="K43" s="135"/>
      <c r="L43" s="292">
        <f t="shared" si="14"/>
        <v>60711.45</v>
      </c>
      <c r="M43" s="135" t="s">
        <v>921</v>
      </c>
      <c r="N43" s="135"/>
      <c r="O43" s="292">
        <f t="shared" si="17"/>
        <v>60711.45</v>
      </c>
      <c r="P43" s="135" t="s">
        <v>855</v>
      </c>
      <c r="Q43" s="20">
        <v>60711.45</v>
      </c>
      <c r="R43" s="206">
        <f t="shared" si="15"/>
        <v>0</v>
      </c>
      <c r="S43" t="s">
        <v>1019</v>
      </c>
      <c r="U43" s="206">
        <f t="shared" si="18"/>
        <v>0</v>
      </c>
      <c r="V43" t="s">
        <v>1075</v>
      </c>
      <c r="X43" s="206">
        <f t="shared" si="19"/>
        <v>0</v>
      </c>
      <c r="Y43" s="361" t="s">
        <v>1191</v>
      </c>
      <c r="AA43" s="206">
        <f t="shared" si="20"/>
        <v>0</v>
      </c>
      <c r="AB43" s="361" t="s">
        <v>1199</v>
      </c>
      <c r="AD43" s="206">
        <f t="shared" si="22"/>
        <v>0</v>
      </c>
      <c r="AG43" s="206">
        <f t="shared" si="21"/>
        <v>0</v>
      </c>
    </row>
    <row r="44" spans="2:34" ht="16.5">
      <c r="B44" s="259" t="s">
        <v>804</v>
      </c>
      <c r="C44" s="3" t="s">
        <v>868</v>
      </c>
      <c r="D44" s="296" t="s">
        <v>873</v>
      </c>
      <c r="E44" s="261">
        <v>43160</v>
      </c>
      <c r="F44" s="185">
        <v>10947.97</v>
      </c>
      <c r="G44" s="148" t="s">
        <v>874</v>
      </c>
      <c r="I44" s="148">
        <f t="shared" si="16"/>
        <v>10947.97</v>
      </c>
      <c r="J44" t="s">
        <v>898</v>
      </c>
      <c r="K44" s="135"/>
      <c r="L44" s="292">
        <f t="shared" si="14"/>
        <v>10947.97</v>
      </c>
      <c r="M44" s="135" t="s">
        <v>921</v>
      </c>
      <c r="N44" s="135"/>
      <c r="O44" s="292">
        <f t="shared" si="17"/>
        <v>10947.97</v>
      </c>
      <c r="P44" s="135" t="s">
        <v>855</v>
      </c>
      <c r="Q44" s="20">
        <v>10947.97</v>
      </c>
      <c r="R44" s="206">
        <f t="shared" si="15"/>
        <v>0</v>
      </c>
      <c r="S44" t="s">
        <v>1019</v>
      </c>
      <c r="U44" s="206">
        <f t="shared" si="18"/>
        <v>0</v>
      </c>
      <c r="V44" t="s">
        <v>1075</v>
      </c>
      <c r="X44" s="206">
        <f t="shared" si="19"/>
        <v>0</v>
      </c>
      <c r="Y44" s="361" t="s">
        <v>1191</v>
      </c>
      <c r="AA44" s="206">
        <f t="shared" si="20"/>
        <v>0</v>
      </c>
      <c r="AB44" s="361" t="s">
        <v>1199</v>
      </c>
      <c r="AD44" s="206">
        <f t="shared" si="22"/>
        <v>0</v>
      </c>
      <c r="AG44" s="206">
        <f t="shared" si="21"/>
        <v>0</v>
      </c>
    </row>
    <row r="45" spans="2:34">
      <c r="B45" s="271"/>
      <c r="C45" s="271"/>
      <c r="D45" s="271"/>
      <c r="E45" s="271"/>
      <c r="F45" s="284">
        <f>SUM(F37:F44)</f>
        <v>418914.26</v>
      </c>
      <c r="G45" s="285"/>
      <c r="H45" s="285"/>
      <c r="I45" s="284">
        <f>SUM(I37:I44)</f>
        <v>282256.19811320753</v>
      </c>
      <c r="J45" s="285"/>
      <c r="K45" s="284"/>
      <c r="L45" s="284">
        <f>SUM(L37:L44)</f>
        <v>282256.19811320753</v>
      </c>
      <c r="M45" s="284"/>
      <c r="N45" s="284">
        <f>SUM(N37:N44)</f>
        <v>15495</v>
      </c>
      <c r="O45" s="284">
        <f>SUM(O37:O44)</f>
        <v>266761.19811320753</v>
      </c>
      <c r="P45" s="284"/>
      <c r="Q45" s="284">
        <f>SUM(Q37:Q44)</f>
        <v>216004.81000000003</v>
      </c>
      <c r="R45" s="284">
        <f>SUM(R37:R44)</f>
        <v>50756.388113207555</v>
      </c>
      <c r="S45" s="284"/>
      <c r="T45" s="284">
        <f>SUM(T37:T44)</f>
        <v>0</v>
      </c>
      <c r="U45" s="284">
        <f>SUM(U37:U44)</f>
        <v>50756.388113207555</v>
      </c>
      <c r="V45" s="284"/>
      <c r="W45" s="284">
        <f>SUM(W37:W44)</f>
        <v>0</v>
      </c>
      <c r="X45" s="284">
        <f>SUM(X37:X44)</f>
        <v>50756.388113207555</v>
      </c>
      <c r="Y45" s="284" t="s">
        <v>1191</v>
      </c>
      <c r="Z45" s="284"/>
      <c r="AA45" s="284">
        <f>SUM(AA37:AA44)</f>
        <v>30706.951886792467</v>
      </c>
      <c r="AB45" s="284" t="s">
        <v>1199</v>
      </c>
      <c r="AC45" s="284"/>
      <c r="AD45" s="284"/>
      <c r="AE45" s="284"/>
      <c r="AF45" s="284"/>
      <c r="AG45" s="284">
        <f>SUM(AG37:AG44)</f>
        <v>5125.4381132075478</v>
      </c>
      <c r="AH45" s="284"/>
    </row>
  </sheetData>
  <autoFilter ref="B11:AH34">
    <filterColumn colId="31">
      <filters>
        <filter val="16235.3"/>
        <filter val="22762"/>
        <filter val="285"/>
        <filter val="295.71"/>
        <filter val="4314.28"/>
        <filter val="44,358.66"/>
        <filter val="466.37"/>
      </filters>
    </filterColumn>
  </autoFilter>
  <phoneticPr fontId="4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1"/>
  <dimension ref="B2:AE36"/>
  <sheetViews>
    <sheetView workbookViewId="0">
      <pane xSplit="4" ySplit="2" topLeftCell="W3" activePane="bottomRight" state="frozen"/>
      <selection activeCell="M40" sqref="M40"/>
      <selection pane="topRight" activeCell="M40" sqref="M40"/>
      <selection pane="bottomLeft" activeCell="M40" sqref="M40"/>
      <selection pane="bottomRight" activeCell="M40" sqref="M40"/>
    </sheetView>
  </sheetViews>
  <sheetFormatPr defaultRowHeight="12.75"/>
  <cols>
    <col min="2" max="2" width="20.7109375" customWidth="1"/>
    <col min="3" max="3" width="12.5703125" customWidth="1"/>
    <col min="4" max="4" width="42.42578125" bestFit="1" customWidth="1"/>
    <col min="5" max="5" width="13.7109375" hidden="1" customWidth="1"/>
    <col min="6" max="6" width="15.85546875" style="132" hidden="1" customWidth="1"/>
    <col min="7" max="8" width="11.5703125" hidden="1" customWidth="1"/>
    <col min="9" max="9" width="12.28515625" hidden="1" customWidth="1"/>
    <col min="10" max="10" width="0" hidden="1" customWidth="1"/>
    <col min="11" max="14" width="12.28515625" hidden="1" customWidth="1"/>
    <col min="15" max="15" width="14" hidden="1" customWidth="1"/>
    <col min="16" max="16" width="0" hidden="1" customWidth="1"/>
    <col min="17" max="17" width="13" hidden="1" customWidth="1"/>
    <col min="18" max="18" width="12.28515625" hidden="1" customWidth="1"/>
    <col min="19" max="19" width="0" hidden="1" customWidth="1"/>
    <col min="21" max="21" width="12.28515625" bestFit="1" customWidth="1"/>
    <col min="23" max="23" width="0" hidden="1" customWidth="1"/>
    <col min="24" max="24" width="12.28515625" hidden="1" customWidth="1"/>
    <col min="25" max="26" width="0" hidden="1" customWidth="1"/>
    <col min="27" max="27" width="12.28515625" hidden="1" customWidth="1"/>
    <col min="28" max="29" width="0" hidden="1" customWidth="1"/>
    <col min="30" max="30" width="12.28515625" bestFit="1" customWidth="1"/>
  </cols>
  <sheetData>
    <row r="2" spans="2:31" ht="33">
      <c r="B2" s="273" t="s">
        <v>728</v>
      </c>
      <c r="C2" s="273" t="s">
        <v>729</v>
      </c>
      <c r="D2" s="273" t="s">
        <v>730</v>
      </c>
      <c r="E2" s="273" t="s">
        <v>731</v>
      </c>
      <c r="F2" s="298" t="s">
        <v>899</v>
      </c>
      <c r="G2" s="280" t="s">
        <v>733</v>
      </c>
      <c r="H2" s="273" t="s">
        <v>911</v>
      </c>
      <c r="I2" s="273" t="s">
        <v>912</v>
      </c>
      <c r="J2" s="274" t="s">
        <v>890</v>
      </c>
      <c r="K2" s="273" t="s">
        <v>943</v>
      </c>
      <c r="L2" s="273" t="s">
        <v>944</v>
      </c>
      <c r="M2" s="274" t="s">
        <v>890</v>
      </c>
      <c r="N2" s="273" t="s">
        <v>958</v>
      </c>
      <c r="O2" s="273" t="s">
        <v>959</v>
      </c>
      <c r="P2" s="274" t="s">
        <v>890</v>
      </c>
      <c r="Q2" s="273" t="s">
        <v>1011</v>
      </c>
      <c r="R2" s="273" t="s">
        <v>1013</v>
      </c>
      <c r="S2" s="274" t="s">
        <v>890</v>
      </c>
      <c r="T2" s="273" t="s">
        <v>1055</v>
      </c>
      <c r="U2" s="273" t="s">
        <v>1056</v>
      </c>
      <c r="V2" s="274" t="s">
        <v>890</v>
      </c>
      <c r="W2" s="273" t="s">
        <v>1164</v>
      </c>
      <c r="X2" s="273" t="s">
        <v>1165</v>
      </c>
      <c r="Y2" s="274" t="s">
        <v>890</v>
      </c>
      <c r="Z2" s="273" t="s">
        <v>1255</v>
      </c>
      <c r="AA2" s="273" t="s">
        <v>1256</v>
      </c>
      <c r="AB2" s="274" t="s">
        <v>890</v>
      </c>
      <c r="AC2" s="273" t="s">
        <v>1298</v>
      </c>
      <c r="AD2" s="273" t="s">
        <v>1299</v>
      </c>
      <c r="AE2" s="274" t="s">
        <v>890</v>
      </c>
    </row>
    <row r="3" spans="2:31" ht="16.5" hidden="1">
      <c r="B3" s="259" t="s">
        <v>736</v>
      </c>
      <c r="C3" s="135" t="s">
        <v>900</v>
      </c>
      <c r="D3" s="149" t="s">
        <v>436</v>
      </c>
      <c r="E3" s="261">
        <v>43191</v>
      </c>
      <c r="F3" s="265">
        <v>405046.24</v>
      </c>
      <c r="G3" s="135" t="s">
        <v>458</v>
      </c>
      <c r="H3" s="135"/>
      <c r="I3" s="294">
        <f t="shared" ref="I3:I8" si="0">F3-H3</f>
        <v>405046.24</v>
      </c>
      <c r="J3" s="277" t="s">
        <v>880</v>
      </c>
      <c r="K3" s="323">
        <v>200000</v>
      </c>
      <c r="L3" s="294">
        <f t="shared" ref="L3:L8" si="1">I3-K3</f>
        <v>205046.24</v>
      </c>
      <c r="M3" s="277" t="s">
        <v>874</v>
      </c>
      <c r="N3" s="339">
        <f>50000+50000-4106.54+3167.09+(15800/1.06)</f>
        <v>113966.2103773585</v>
      </c>
      <c r="O3" s="206">
        <f t="shared" ref="O3:O8" si="2">L3-N3</f>
        <v>91080.029622641494</v>
      </c>
      <c r="P3" t="s">
        <v>376</v>
      </c>
      <c r="Q3" s="348">
        <f>80000+9400/1.06+2212.11</f>
        <v>91080.034528301883</v>
      </c>
      <c r="R3" s="206">
        <f t="shared" ref="R3:R8" si="3">O3-Q3</f>
        <v>-4.9056603893404827E-3</v>
      </c>
      <c r="S3" t="s">
        <v>1062</v>
      </c>
      <c r="U3" s="206">
        <f>R3-T3</f>
        <v>-4.9056603893404827E-3</v>
      </c>
      <c r="V3" s="361" t="s">
        <v>1185</v>
      </c>
      <c r="X3" s="206">
        <f>U3-W3</f>
        <v>-4.9056603893404827E-3</v>
      </c>
      <c r="Y3" s="361" t="s">
        <v>1209</v>
      </c>
      <c r="AD3" s="206">
        <f>X3-AC3</f>
        <v>-4.9056603893404827E-3</v>
      </c>
    </row>
    <row r="4" spans="2:31" ht="16.5">
      <c r="B4" s="259" t="s">
        <v>736</v>
      </c>
      <c r="C4" s="135" t="s">
        <v>901</v>
      </c>
      <c r="D4" s="149" t="s">
        <v>413</v>
      </c>
      <c r="E4" s="261">
        <v>43191</v>
      </c>
      <c r="F4" s="265">
        <v>329.41</v>
      </c>
      <c r="G4" s="135" t="s">
        <v>458</v>
      </c>
      <c r="H4" s="135"/>
      <c r="I4" s="294">
        <f t="shared" si="0"/>
        <v>329.41</v>
      </c>
      <c r="J4" s="277" t="s">
        <v>880</v>
      </c>
      <c r="K4" s="135"/>
      <c r="L4" s="294">
        <f t="shared" si="1"/>
        <v>329.41</v>
      </c>
      <c r="M4" s="277" t="s">
        <v>874</v>
      </c>
      <c r="O4" s="206">
        <f t="shared" si="2"/>
        <v>329.41</v>
      </c>
      <c r="P4" t="s">
        <v>376</v>
      </c>
      <c r="R4" s="206">
        <f t="shared" si="3"/>
        <v>329.41</v>
      </c>
      <c r="S4" t="s">
        <v>1062</v>
      </c>
      <c r="U4" s="206">
        <f t="shared" ref="U4:U8" si="4">R4-T4</f>
        <v>329.41</v>
      </c>
      <c r="V4" s="361" t="s">
        <v>1185</v>
      </c>
      <c r="X4" s="206">
        <f t="shared" ref="X4:X8" si="5">U4-W4</f>
        <v>329.41</v>
      </c>
      <c r="Y4" s="361" t="s">
        <v>1209</v>
      </c>
      <c r="AD4" s="206">
        <f t="shared" ref="AD4:AD9" si="6">X4-AC4</f>
        <v>329.41</v>
      </c>
    </row>
    <row r="5" spans="2:31" ht="16.5" hidden="1">
      <c r="B5" s="259" t="s">
        <v>736</v>
      </c>
      <c r="C5" s="135" t="s">
        <v>434</v>
      </c>
      <c r="D5" s="149" t="s">
        <v>267</v>
      </c>
      <c r="E5" s="261">
        <v>43191</v>
      </c>
      <c r="F5" s="265">
        <v>14460.13</v>
      </c>
      <c r="G5" s="135" t="s">
        <v>458</v>
      </c>
      <c r="H5" s="135"/>
      <c r="I5" s="294">
        <f t="shared" si="0"/>
        <v>14460.13</v>
      </c>
      <c r="J5" s="277" t="s">
        <v>880</v>
      </c>
      <c r="K5" s="135"/>
      <c r="L5" s="294">
        <f t="shared" si="1"/>
        <v>14460.13</v>
      </c>
      <c r="M5" s="277" t="s">
        <v>874</v>
      </c>
      <c r="O5" s="206">
        <f t="shared" si="2"/>
        <v>14460.13</v>
      </c>
      <c r="P5" t="s">
        <v>376</v>
      </c>
      <c r="Q5" s="20">
        <v>14460.13</v>
      </c>
      <c r="R5" s="206">
        <f t="shared" si="3"/>
        <v>0</v>
      </c>
      <c r="S5" t="s">
        <v>1062</v>
      </c>
      <c r="U5" s="206">
        <f t="shared" si="4"/>
        <v>0</v>
      </c>
      <c r="V5" s="361" t="s">
        <v>1185</v>
      </c>
      <c r="X5" s="206">
        <f t="shared" si="5"/>
        <v>0</v>
      </c>
      <c r="Y5" s="361" t="s">
        <v>1209</v>
      </c>
      <c r="AD5" s="206">
        <f t="shared" si="6"/>
        <v>0</v>
      </c>
    </row>
    <row r="6" spans="2:31" ht="16.5" hidden="1">
      <c r="B6" s="259" t="s">
        <v>736</v>
      </c>
      <c r="C6" s="135" t="s">
        <v>432</v>
      </c>
      <c r="D6" s="149" t="s">
        <v>360</v>
      </c>
      <c r="E6" s="261">
        <v>43191</v>
      </c>
      <c r="F6" s="265">
        <v>30432.3</v>
      </c>
      <c r="G6" s="135" t="s">
        <v>458</v>
      </c>
      <c r="H6" s="135"/>
      <c r="I6" s="294">
        <f t="shared" si="0"/>
        <v>30432.3</v>
      </c>
      <c r="J6" s="277" t="s">
        <v>880</v>
      </c>
      <c r="K6" s="135"/>
      <c r="L6" s="294">
        <f t="shared" si="1"/>
        <v>30432.3</v>
      </c>
      <c r="M6" s="277" t="s">
        <v>874</v>
      </c>
      <c r="O6" s="206">
        <f t="shared" si="2"/>
        <v>30432.3</v>
      </c>
      <c r="P6" t="s">
        <v>376</v>
      </c>
      <c r="Q6" s="20">
        <v>30432.3</v>
      </c>
      <c r="R6" s="206">
        <f t="shared" si="3"/>
        <v>0</v>
      </c>
      <c r="S6" t="s">
        <v>1062</v>
      </c>
      <c r="U6" s="206">
        <f t="shared" si="4"/>
        <v>0</v>
      </c>
      <c r="V6" s="361" t="s">
        <v>1185</v>
      </c>
      <c r="X6" s="206">
        <f t="shared" si="5"/>
        <v>0</v>
      </c>
      <c r="Y6" s="361" t="s">
        <v>1209</v>
      </c>
      <c r="AD6" s="206">
        <f t="shared" si="6"/>
        <v>0</v>
      </c>
    </row>
    <row r="7" spans="2:31" ht="16.5" hidden="1">
      <c r="B7" s="259" t="s">
        <v>736</v>
      </c>
      <c r="C7" s="135" t="s">
        <v>435</v>
      </c>
      <c r="D7" s="149" t="s">
        <v>365</v>
      </c>
      <c r="E7" s="261">
        <v>43191</v>
      </c>
      <c r="F7" s="265">
        <v>861.29</v>
      </c>
      <c r="G7" s="135" t="s">
        <v>458</v>
      </c>
      <c r="H7" s="135"/>
      <c r="I7" s="294">
        <f t="shared" si="0"/>
        <v>861.29</v>
      </c>
      <c r="J7" s="277" t="s">
        <v>880</v>
      </c>
      <c r="K7" s="135"/>
      <c r="L7" s="294">
        <f t="shared" si="1"/>
        <v>861.29</v>
      </c>
      <c r="M7" s="277" t="s">
        <v>874</v>
      </c>
      <c r="O7" s="206">
        <f t="shared" si="2"/>
        <v>861.29</v>
      </c>
      <c r="P7" t="s">
        <v>376</v>
      </c>
      <c r="Q7" s="20">
        <v>861.29</v>
      </c>
      <c r="R7" s="206">
        <f t="shared" si="3"/>
        <v>0</v>
      </c>
      <c r="S7" t="s">
        <v>1062</v>
      </c>
      <c r="U7" s="206">
        <f t="shared" si="4"/>
        <v>0</v>
      </c>
      <c r="V7" s="361" t="s">
        <v>1185</v>
      </c>
      <c r="X7" s="206">
        <f t="shared" si="5"/>
        <v>0</v>
      </c>
      <c r="Y7" s="361" t="s">
        <v>1209</v>
      </c>
      <c r="AD7" s="206">
        <f t="shared" si="6"/>
        <v>0</v>
      </c>
    </row>
    <row r="8" spans="2:31" ht="16.5">
      <c r="B8" s="259" t="s">
        <v>736</v>
      </c>
      <c r="C8" s="135" t="s">
        <v>902</v>
      </c>
      <c r="D8" s="149" t="s">
        <v>834</v>
      </c>
      <c r="E8" s="261">
        <v>43191</v>
      </c>
      <c r="F8" s="265">
        <v>24285.39</v>
      </c>
      <c r="G8" s="135" t="s">
        <v>458</v>
      </c>
      <c r="H8" s="135"/>
      <c r="I8" s="294">
        <f t="shared" si="0"/>
        <v>24285.39</v>
      </c>
      <c r="J8" s="277" t="s">
        <v>880</v>
      </c>
      <c r="K8" s="135"/>
      <c r="L8" s="294">
        <f t="shared" si="1"/>
        <v>24285.39</v>
      </c>
      <c r="M8" s="277" t="s">
        <v>874</v>
      </c>
      <c r="O8" s="206">
        <f t="shared" si="2"/>
        <v>24285.39</v>
      </c>
      <c r="P8" t="s">
        <v>376</v>
      </c>
      <c r="R8" s="206">
        <f t="shared" si="3"/>
        <v>24285.39</v>
      </c>
      <c r="S8" t="s">
        <v>1062</v>
      </c>
      <c r="U8" s="206">
        <f t="shared" si="4"/>
        <v>24285.39</v>
      </c>
      <c r="V8" s="361" t="s">
        <v>1185</v>
      </c>
      <c r="X8" s="206">
        <f t="shared" si="5"/>
        <v>24285.39</v>
      </c>
      <c r="Y8" s="361" t="s">
        <v>1209</v>
      </c>
      <c r="AD8" s="206">
        <f t="shared" si="6"/>
        <v>24285.39</v>
      </c>
    </row>
    <row r="9" spans="2:31">
      <c r="B9" s="271"/>
      <c r="C9" s="271"/>
      <c r="D9" s="271"/>
      <c r="E9" s="271"/>
      <c r="F9" s="284">
        <f>SUM(F3:F8)</f>
        <v>475414.75999999995</v>
      </c>
      <c r="G9" s="285"/>
      <c r="H9" s="284">
        <f>SUM(H3:H8)</f>
        <v>0</v>
      </c>
      <c r="I9" s="284">
        <f>SUM(I3:I8)</f>
        <v>475414.75999999995</v>
      </c>
      <c r="J9" s="285"/>
      <c r="K9" s="284">
        <f>SUM(K3:K8)</f>
        <v>200000</v>
      </c>
      <c r="L9" s="284">
        <f>SUM(L3:L8)</f>
        <v>275414.76</v>
      </c>
      <c r="M9" s="285"/>
      <c r="N9" s="284">
        <f>SUM(N3:N8)</f>
        <v>113966.2103773585</v>
      </c>
      <c r="O9" s="284">
        <f>SUM(O3:O8)</f>
        <v>161448.54962264153</v>
      </c>
      <c r="P9" s="285"/>
      <c r="Q9" s="284">
        <f>SUM(Q3:Q8)</f>
        <v>136833.75452830188</v>
      </c>
      <c r="R9" s="284">
        <f>SUM(R3:R8)</f>
        <v>24614.79509433961</v>
      </c>
      <c r="U9" s="284">
        <f>SUM(U3:U8)</f>
        <v>24614.79509433961</v>
      </c>
      <c r="V9" s="361" t="s">
        <v>1185</v>
      </c>
      <c r="W9" s="382"/>
      <c r="X9" s="382">
        <f>SUM(X3:X8)</f>
        <v>24614.79509433961</v>
      </c>
      <c r="Y9" s="382" t="s">
        <v>1209</v>
      </c>
      <c r="Z9" s="382"/>
      <c r="AA9" s="382"/>
      <c r="AB9" s="382"/>
      <c r="AC9" s="382"/>
      <c r="AD9" s="382">
        <f t="shared" si="6"/>
        <v>24614.79509433961</v>
      </c>
      <c r="AE9" s="382"/>
    </row>
    <row r="12" spans="2:31" ht="33">
      <c r="B12" s="273" t="s">
        <v>728</v>
      </c>
      <c r="C12" s="273" t="s">
        <v>729</v>
      </c>
      <c r="D12" s="273" t="s">
        <v>730</v>
      </c>
      <c r="E12" s="273" t="s">
        <v>731</v>
      </c>
      <c r="F12" s="298" t="s">
        <v>899</v>
      </c>
      <c r="G12" s="280" t="s">
        <v>733</v>
      </c>
      <c r="H12" s="273" t="s">
        <v>911</v>
      </c>
      <c r="I12" s="273" t="s">
        <v>912</v>
      </c>
      <c r="J12" s="274" t="s">
        <v>890</v>
      </c>
      <c r="K12" s="273" t="s">
        <v>943</v>
      </c>
      <c r="L12" s="273" t="s">
        <v>944</v>
      </c>
      <c r="M12" s="274" t="s">
        <v>890</v>
      </c>
      <c r="N12" s="273" t="s">
        <v>958</v>
      </c>
      <c r="O12" s="273" t="s">
        <v>959</v>
      </c>
      <c r="P12" s="274" t="s">
        <v>890</v>
      </c>
      <c r="Q12" s="273" t="s">
        <v>1011</v>
      </c>
      <c r="R12" s="273" t="s">
        <v>1013</v>
      </c>
      <c r="S12" s="274" t="s">
        <v>890</v>
      </c>
      <c r="T12" s="273" t="s">
        <v>1055</v>
      </c>
      <c r="U12" s="273" t="s">
        <v>1056</v>
      </c>
      <c r="V12" s="274" t="s">
        <v>890</v>
      </c>
      <c r="W12" s="273" t="s">
        <v>1164</v>
      </c>
      <c r="X12" s="273" t="s">
        <v>1165</v>
      </c>
      <c r="Y12" s="274" t="s">
        <v>890</v>
      </c>
      <c r="Z12" s="273" t="s">
        <v>1255</v>
      </c>
      <c r="AA12" s="273" t="s">
        <v>1256</v>
      </c>
      <c r="AB12" s="274" t="s">
        <v>890</v>
      </c>
      <c r="AC12" s="273" t="s">
        <v>1298</v>
      </c>
      <c r="AD12" s="273" t="s">
        <v>1299</v>
      </c>
      <c r="AE12" s="274" t="s">
        <v>890</v>
      </c>
    </row>
    <row r="13" spans="2:31" ht="16.5">
      <c r="B13" s="259" t="s">
        <v>755</v>
      </c>
      <c r="C13" s="3" t="s">
        <v>820</v>
      </c>
      <c r="D13" s="296" t="s">
        <v>904</v>
      </c>
      <c r="E13" s="261">
        <v>43191</v>
      </c>
      <c r="F13" s="297">
        <v>1187.5</v>
      </c>
      <c r="G13" s="294" t="s">
        <v>463</v>
      </c>
      <c r="H13" s="294"/>
      <c r="I13" s="294">
        <f t="shared" ref="I13:I26" si="7">F13-H13</f>
        <v>1187.5</v>
      </c>
      <c r="J13" s="135" t="s">
        <v>916</v>
      </c>
      <c r="K13" s="135"/>
      <c r="L13" s="294">
        <f>I13-K13</f>
        <v>1187.5</v>
      </c>
      <c r="M13" s="135" t="s">
        <v>858</v>
      </c>
      <c r="N13" s="20">
        <v>1187.5</v>
      </c>
      <c r="O13" s="287">
        <f>L13-N13</f>
        <v>0</v>
      </c>
      <c r="P13" t="s">
        <v>880</v>
      </c>
      <c r="R13" s="287">
        <f>ROUND(O13-Q13,2)</f>
        <v>0</v>
      </c>
      <c r="S13" t="s">
        <v>1070</v>
      </c>
      <c r="U13" s="287">
        <f>R13-T13</f>
        <v>0</v>
      </c>
      <c r="V13" s="361" t="s">
        <v>1177</v>
      </c>
      <c r="X13" s="287">
        <f>U13-W13</f>
        <v>0</v>
      </c>
      <c r="Y13" s="361" t="s">
        <v>1177</v>
      </c>
      <c r="AA13" s="287">
        <f>X13-Z13</f>
        <v>0</v>
      </c>
      <c r="AD13" s="206">
        <f>AA13-AC13</f>
        <v>0</v>
      </c>
    </row>
    <row r="14" spans="2:31" ht="16.5">
      <c r="B14" s="259" t="s">
        <v>755</v>
      </c>
      <c r="C14" s="3" t="s">
        <v>31</v>
      </c>
      <c r="D14" s="296" t="s">
        <v>692</v>
      </c>
      <c r="E14" s="261">
        <v>43191</v>
      </c>
      <c r="F14" s="297">
        <v>3071.94</v>
      </c>
      <c r="G14" s="294" t="s">
        <v>463</v>
      </c>
      <c r="H14" s="294"/>
      <c r="I14" s="294">
        <f t="shared" si="7"/>
        <v>3071.94</v>
      </c>
      <c r="J14" s="135" t="s">
        <v>916</v>
      </c>
      <c r="K14" s="135"/>
      <c r="L14" s="294">
        <f t="shared" ref="L14:L26" si="8">I14-K14</f>
        <v>3071.94</v>
      </c>
      <c r="M14" s="135" t="s">
        <v>858</v>
      </c>
      <c r="O14" s="287">
        <f t="shared" ref="O14:O26" si="9">L14-N14</f>
        <v>3071.94</v>
      </c>
      <c r="P14" t="s">
        <v>880</v>
      </c>
      <c r="R14" s="287">
        <f t="shared" ref="R14:R26" si="10">ROUND(O14-Q14,2)</f>
        <v>3071.94</v>
      </c>
      <c r="S14" t="s">
        <v>1070</v>
      </c>
      <c r="U14" s="287">
        <f t="shared" ref="U14:U26" si="11">R14-T14</f>
        <v>3071.94</v>
      </c>
      <c r="V14" s="361" t="s">
        <v>1177</v>
      </c>
      <c r="X14" s="287">
        <f t="shared" ref="X14:X26" si="12">U14-W14</f>
        <v>3071.94</v>
      </c>
      <c r="Y14" s="361" t="s">
        <v>1177</v>
      </c>
      <c r="Z14">
        <v>3071.94</v>
      </c>
      <c r="AA14" s="287">
        <f t="shared" ref="AA14:AA26" si="13">X14-Z14</f>
        <v>0</v>
      </c>
      <c r="AD14" s="206">
        <f t="shared" ref="AD14:AD26" si="14">AA14-AC14</f>
        <v>0</v>
      </c>
    </row>
    <row r="15" spans="2:31" ht="16.5">
      <c r="B15" s="259" t="s">
        <v>755</v>
      </c>
      <c r="C15" s="3" t="s">
        <v>117</v>
      </c>
      <c r="D15" s="296" t="s">
        <v>118</v>
      </c>
      <c r="E15" s="261">
        <v>43191</v>
      </c>
      <c r="F15" s="297">
        <v>10251.280000000001</v>
      </c>
      <c r="G15" s="294" t="s">
        <v>463</v>
      </c>
      <c r="H15" s="294"/>
      <c r="I15" s="294">
        <f t="shared" si="7"/>
        <v>10251.280000000001</v>
      </c>
      <c r="J15" s="135" t="s">
        <v>916</v>
      </c>
      <c r="K15" s="135"/>
      <c r="L15" s="294">
        <f t="shared" si="8"/>
        <v>10251.280000000001</v>
      </c>
      <c r="M15" s="135" t="s">
        <v>858</v>
      </c>
      <c r="O15" s="287">
        <f t="shared" si="9"/>
        <v>10251.280000000001</v>
      </c>
      <c r="P15" t="s">
        <v>880</v>
      </c>
      <c r="R15" s="287">
        <f t="shared" si="10"/>
        <v>10251.280000000001</v>
      </c>
      <c r="S15" t="s">
        <v>1070</v>
      </c>
      <c r="T15">
        <v>9562.75</v>
      </c>
      <c r="U15" s="287">
        <f t="shared" si="11"/>
        <v>688.53000000000065</v>
      </c>
      <c r="V15" s="361" t="s">
        <v>1177</v>
      </c>
      <c r="X15" s="287">
        <f t="shared" si="12"/>
        <v>688.53000000000065</v>
      </c>
      <c r="Y15" s="361" t="s">
        <v>1177</v>
      </c>
      <c r="AA15" s="287">
        <f t="shared" si="13"/>
        <v>688.53000000000065</v>
      </c>
      <c r="AC15">
        <v>688.53</v>
      </c>
      <c r="AD15" s="206">
        <f t="shared" si="14"/>
        <v>0</v>
      </c>
    </row>
    <row r="16" spans="2:31" ht="16.5">
      <c r="B16" s="259" t="s">
        <v>755</v>
      </c>
      <c r="C16" s="3" t="s">
        <v>121</v>
      </c>
      <c r="D16" s="296" t="s">
        <v>122</v>
      </c>
      <c r="E16" s="261">
        <v>43191</v>
      </c>
      <c r="F16" s="297">
        <v>1675.7</v>
      </c>
      <c r="G16" s="294" t="s">
        <v>463</v>
      </c>
      <c r="H16" s="294"/>
      <c r="I16" s="294">
        <f t="shared" si="7"/>
        <v>1675.7</v>
      </c>
      <c r="J16" s="135" t="s">
        <v>916</v>
      </c>
      <c r="K16" s="135"/>
      <c r="L16" s="294">
        <f t="shared" si="8"/>
        <v>1675.7</v>
      </c>
      <c r="M16" s="135" t="s">
        <v>858</v>
      </c>
      <c r="O16" s="287">
        <f t="shared" si="9"/>
        <v>1675.7</v>
      </c>
      <c r="P16" t="s">
        <v>880</v>
      </c>
      <c r="R16" s="287">
        <f t="shared" si="10"/>
        <v>1675.7</v>
      </c>
      <c r="S16" t="s">
        <v>1070</v>
      </c>
      <c r="U16" s="287">
        <f t="shared" si="11"/>
        <v>1675.7</v>
      </c>
      <c r="V16" s="361" t="s">
        <v>1177</v>
      </c>
      <c r="X16" s="287">
        <f t="shared" si="12"/>
        <v>1675.7</v>
      </c>
      <c r="Y16" s="361" t="s">
        <v>1177</v>
      </c>
      <c r="AA16" s="287">
        <f t="shared" si="13"/>
        <v>1675.7</v>
      </c>
      <c r="AC16">
        <v>1675.7</v>
      </c>
      <c r="AD16" s="206">
        <f t="shared" si="14"/>
        <v>0</v>
      </c>
    </row>
    <row r="17" spans="2:31" ht="16.5">
      <c r="B17" s="259" t="s">
        <v>755</v>
      </c>
      <c r="C17" s="3" t="s">
        <v>133</v>
      </c>
      <c r="D17" s="296" t="s">
        <v>134</v>
      </c>
      <c r="E17" s="261">
        <v>43191</v>
      </c>
      <c r="F17" s="297">
        <v>16515.59</v>
      </c>
      <c r="G17" s="294" t="s">
        <v>463</v>
      </c>
      <c r="H17" s="294"/>
      <c r="I17" s="294">
        <f t="shared" si="7"/>
        <v>16515.59</v>
      </c>
      <c r="J17" s="135" t="s">
        <v>916</v>
      </c>
      <c r="K17" s="135"/>
      <c r="L17" s="294">
        <f t="shared" si="8"/>
        <v>16515.59</v>
      </c>
      <c r="M17" s="135" t="s">
        <v>858</v>
      </c>
      <c r="O17" s="287">
        <f t="shared" si="9"/>
        <v>16515.59</v>
      </c>
      <c r="P17" t="s">
        <v>880</v>
      </c>
      <c r="R17" s="287">
        <f t="shared" si="10"/>
        <v>16515.59</v>
      </c>
      <c r="S17" t="s">
        <v>1070</v>
      </c>
      <c r="U17" s="287">
        <f t="shared" si="11"/>
        <v>16515.59</v>
      </c>
      <c r="V17" s="361" t="s">
        <v>1177</v>
      </c>
      <c r="X17" s="287">
        <f t="shared" si="12"/>
        <v>16515.59</v>
      </c>
      <c r="Y17" s="361" t="s">
        <v>1177</v>
      </c>
      <c r="AA17" s="287">
        <f t="shared" si="13"/>
        <v>16515.59</v>
      </c>
      <c r="AD17" s="206">
        <f t="shared" si="14"/>
        <v>16515.59</v>
      </c>
    </row>
    <row r="18" spans="2:31" ht="16.5">
      <c r="B18" s="259" t="s">
        <v>755</v>
      </c>
      <c r="C18" s="3" t="s">
        <v>135</v>
      </c>
      <c r="D18" s="296" t="s">
        <v>136</v>
      </c>
      <c r="E18" s="261">
        <v>43191</v>
      </c>
      <c r="F18" s="297">
        <v>3482.88</v>
      </c>
      <c r="G18" s="294" t="s">
        <v>463</v>
      </c>
      <c r="H18" s="294"/>
      <c r="I18" s="294">
        <f t="shared" si="7"/>
        <v>3482.88</v>
      </c>
      <c r="J18" s="135" t="s">
        <v>916</v>
      </c>
      <c r="K18" s="135"/>
      <c r="L18" s="294">
        <f t="shared" si="8"/>
        <v>3482.88</v>
      </c>
      <c r="M18" s="135" t="s">
        <v>858</v>
      </c>
      <c r="O18" s="287">
        <f t="shared" si="9"/>
        <v>3482.88</v>
      </c>
      <c r="P18" t="s">
        <v>880</v>
      </c>
      <c r="R18" s="287">
        <f t="shared" si="10"/>
        <v>3482.88</v>
      </c>
      <c r="S18" t="s">
        <v>1070</v>
      </c>
      <c r="U18" s="287">
        <f t="shared" si="11"/>
        <v>3482.88</v>
      </c>
      <c r="V18" s="361" t="s">
        <v>1177</v>
      </c>
      <c r="X18" s="287">
        <f t="shared" si="12"/>
        <v>3482.88</v>
      </c>
      <c r="Y18" s="361" t="s">
        <v>1177</v>
      </c>
      <c r="AA18" s="287">
        <f t="shared" si="13"/>
        <v>3482.88</v>
      </c>
      <c r="AD18" s="206">
        <f t="shared" si="14"/>
        <v>3482.88</v>
      </c>
    </row>
    <row r="19" spans="2:31" ht="16.5">
      <c r="B19" s="259" t="s">
        <v>755</v>
      </c>
      <c r="C19" s="3" t="s">
        <v>159</v>
      </c>
      <c r="D19" s="296" t="s">
        <v>427</v>
      </c>
      <c r="E19" s="261">
        <v>43191</v>
      </c>
      <c r="F19" s="297">
        <v>47866.27</v>
      </c>
      <c r="G19" s="294" t="s">
        <v>463</v>
      </c>
      <c r="H19" s="294"/>
      <c r="I19" s="294">
        <f t="shared" si="7"/>
        <v>47866.27</v>
      </c>
      <c r="J19" s="135" t="s">
        <v>916</v>
      </c>
      <c r="K19" s="135"/>
      <c r="L19" s="294">
        <f t="shared" si="8"/>
        <v>47866.27</v>
      </c>
      <c r="M19" s="135" t="s">
        <v>858</v>
      </c>
      <c r="O19" s="287">
        <f t="shared" si="9"/>
        <v>47866.27</v>
      </c>
      <c r="P19" t="s">
        <v>880</v>
      </c>
      <c r="R19" s="287">
        <f t="shared" si="10"/>
        <v>47866.27</v>
      </c>
      <c r="S19" t="s">
        <v>1070</v>
      </c>
      <c r="U19" s="287">
        <f t="shared" si="11"/>
        <v>47866.27</v>
      </c>
      <c r="V19" s="361" t="s">
        <v>1177</v>
      </c>
      <c r="X19" s="287">
        <f t="shared" si="12"/>
        <v>47866.27</v>
      </c>
      <c r="Y19" s="361" t="s">
        <v>1177</v>
      </c>
      <c r="AA19" s="287">
        <f t="shared" si="13"/>
        <v>47866.27</v>
      </c>
      <c r="AD19" s="206">
        <f t="shared" si="14"/>
        <v>47866.27</v>
      </c>
    </row>
    <row r="20" spans="2:31" ht="16.5">
      <c r="B20" s="259" t="s">
        <v>755</v>
      </c>
      <c r="C20" s="3" t="s">
        <v>167</v>
      </c>
      <c r="D20" s="296" t="s">
        <v>168</v>
      </c>
      <c r="E20" s="261">
        <v>43191</v>
      </c>
      <c r="F20" s="297">
        <v>558.89</v>
      </c>
      <c r="G20" s="294" t="s">
        <v>463</v>
      </c>
      <c r="H20" s="294"/>
      <c r="I20" s="294">
        <f t="shared" si="7"/>
        <v>558.89</v>
      </c>
      <c r="J20" s="135" t="s">
        <v>916</v>
      </c>
      <c r="K20" s="135"/>
      <c r="L20" s="294">
        <f t="shared" si="8"/>
        <v>558.89</v>
      </c>
      <c r="M20" s="135" t="s">
        <v>858</v>
      </c>
      <c r="O20" s="287">
        <f t="shared" si="9"/>
        <v>558.89</v>
      </c>
      <c r="P20" t="s">
        <v>880</v>
      </c>
      <c r="R20" s="287">
        <f t="shared" si="10"/>
        <v>558.89</v>
      </c>
      <c r="S20" t="s">
        <v>1070</v>
      </c>
      <c r="U20" s="287">
        <f t="shared" si="11"/>
        <v>558.89</v>
      </c>
      <c r="V20" s="361" t="s">
        <v>1177</v>
      </c>
      <c r="X20" s="287">
        <f t="shared" si="12"/>
        <v>558.89</v>
      </c>
      <c r="Y20" s="361" t="s">
        <v>1177</v>
      </c>
      <c r="AA20" s="287">
        <f t="shared" si="13"/>
        <v>558.89</v>
      </c>
      <c r="AC20">
        <v>558.89</v>
      </c>
      <c r="AD20" s="206">
        <f t="shared" si="14"/>
        <v>0</v>
      </c>
    </row>
    <row r="21" spans="2:31" ht="16.5">
      <c r="B21" s="259" t="s">
        <v>755</v>
      </c>
      <c r="C21" s="3" t="s">
        <v>191</v>
      </c>
      <c r="D21" s="340" t="s">
        <v>876</v>
      </c>
      <c r="E21" s="261">
        <v>43191</v>
      </c>
      <c r="F21" s="297">
        <v>13406.96</v>
      </c>
      <c r="G21" s="294" t="s">
        <v>463</v>
      </c>
      <c r="H21" s="294"/>
      <c r="I21" s="294">
        <f t="shared" si="7"/>
        <v>13406.96</v>
      </c>
      <c r="J21" s="135" t="s">
        <v>916</v>
      </c>
      <c r="K21" s="135"/>
      <c r="L21" s="294">
        <f t="shared" si="8"/>
        <v>13406.96</v>
      </c>
      <c r="M21" s="135" t="s">
        <v>858</v>
      </c>
      <c r="O21" s="287">
        <f t="shared" si="9"/>
        <v>13406.96</v>
      </c>
      <c r="P21" t="s">
        <v>880</v>
      </c>
      <c r="R21" s="287"/>
      <c r="S21" t="s">
        <v>1070</v>
      </c>
      <c r="U21" s="287">
        <f t="shared" si="11"/>
        <v>0</v>
      </c>
      <c r="V21" s="361" t="s">
        <v>1177</v>
      </c>
      <c r="X21" s="287">
        <f t="shared" si="12"/>
        <v>0</v>
      </c>
      <c r="Y21" s="361" t="s">
        <v>1177</v>
      </c>
      <c r="AA21" s="287">
        <f t="shared" si="13"/>
        <v>0</v>
      </c>
      <c r="AD21" s="206">
        <f t="shared" si="14"/>
        <v>0</v>
      </c>
    </row>
    <row r="22" spans="2:31" ht="16.5">
      <c r="B22" s="259" t="s">
        <v>755</v>
      </c>
      <c r="C22" s="3" t="s">
        <v>197</v>
      </c>
      <c r="D22" s="296" t="s">
        <v>198</v>
      </c>
      <c r="E22" s="261">
        <v>43191</v>
      </c>
      <c r="F22" s="297">
        <v>57672.79</v>
      </c>
      <c r="G22" s="294" t="s">
        <v>463</v>
      </c>
      <c r="H22" s="294"/>
      <c r="I22" s="294">
        <f t="shared" si="7"/>
        <v>57672.79</v>
      </c>
      <c r="J22" s="135" t="s">
        <v>916</v>
      </c>
      <c r="K22" s="135"/>
      <c r="L22" s="294">
        <f t="shared" si="8"/>
        <v>57672.79</v>
      </c>
      <c r="M22" s="135" t="s">
        <v>858</v>
      </c>
      <c r="O22" s="287">
        <f t="shared" si="9"/>
        <v>57672.79</v>
      </c>
      <c r="P22" t="s">
        <v>880</v>
      </c>
      <c r="R22" s="287">
        <f t="shared" si="10"/>
        <v>57672.79</v>
      </c>
      <c r="S22" t="s">
        <v>1070</v>
      </c>
      <c r="T22">
        <f>56744.02+928.77</f>
        <v>57672.789999999994</v>
      </c>
      <c r="U22" s="287">
        <f t="shared" si="11"/>
        <v>0</v>
      </c>
      <c r="V22" s="361" t="s">
        <v>1177</v>
      </c>
      <c r="X22" s="287">
        <f t="shared" si="12"/>
        <v>0</v>
      </c>
      <c r="Y22" s="361" t="s">
        <v>1177</v>
      </c>
      <c r="AA22" s="287">
        <f t="shared" si="13"/>
        <v>0</v>
      </c>
      <c r="AD22" s="206">
        <f t="shared" si="14"/>
        <v>0</v>
      </c>
    </row>
    <row r="23" spans="2:31" ht="16.5">
      <c r="B23" s="259" t="s">
        <v>755</v>
      </c>
      <c r="C23" s="281" t="s">
        <v>238</v>
      </c>
      <c r="D23" s="3" t="s">
        <v>418</v>
      </c>
      <c r="E23" s="261">
        <v>43191</v>
      </c>
      <c r="F23" s="297">
        <v>26355.52</v>
      </c>
      <c r="G23" s="294" t="s">
        <v>463</v>
      </c>
      <c r="H23" s="294"/>
      <c r="I23" s="294">
        <f t="shared" si="7"/>
        <v>26355.52</v>
      </c>
      <c r="J23" s="135" t="s">
        <v>916</v>
      </c>
      <c r="K23" s="135"/>
      <c r="L23" s="294">
        <f t="shared" si="8"/>
        <v>26355.52</v>
      </c>
      <c r="M23" s="135" t="s">
        <v>858</v>
      </c>
      <c r="N23" s="20">
        <f>4954.73+21400.79</f>
        <v>26355.52</v>
      </c>
      <c r="O23" s="287">
        <f t="shared" si="9"/>
        <v>0</v>
      </c>
      <c r="P23" t="s">
        <v>880</v>
      </c>
      <c r="R23" s="287">
        <f t="shared" si="10"/>
        <v>0</v>
      </c>
      <c r="S23" t="s">
        <v>1070</v>
      </c>
      <c r="U23" s="287">
        <f t="shared" si="11"/>
        <v>0</v>
      </c>
      <c r="V23" s="361" t="s">
        <v>1177</v>
      </c>
      <c r="X23" s="287">
        <f t="shared" si="12"/>
        <v>0</v>
      </c>
      <c r="Y23" s="361" t="s">
        <v>1177</v>
      </c>
      <c r="AA23" s="287">
        <f t="shared" si="13"/>
        <v>0</v>
      </c>
      <c r="AD23" s="206">
        <f t="shared" si="14"/>
        <v>0</v>
      </c>
    </row>
    <row r="24" spans="2:31" ht="16.5">
      <c r="B24" s="259" t="s">
        <v>755</v>
      </c>
      <c r="C24" s="3" t="s">
        <v>580</v>
      </c>
      <c r="D24" s="296" t="s">
        <v>581</v>
      </c>
      <c r="E24" s="261">
        <v>43191</v>
      </c>
      <c r="F24" s="297">
        <v>18941.23</v>
      </c>
      <c r="G24" s="294" t="s">
        <v>463</v>
      </c>
      <c r="H24" s="294"/>
      <c r="I24" s="294">
        <f t="shared" si="7"/>
        <v>18941.23</v>
      </c>
      <c r="J24" s="135" t="s">
        <v>916</v>
      </c>
      <c r="K24" s="323">
        <f>146015/1.06-3642.08-69936.86-3115-2411.62-12985.55-9286.73-17430.93</f>
        <v>18941.230000000018</v>
      </c>
      <c r="L24" s="294">
        <f t="shared" si="8"/>
        <v>0</v>
      </c>
      <c r="M24" s="135" t="s">
        <v>858</v>
      </c>
      <c r="O24" s="287">
        <f t="shared" si="9"/>
        <v>0</v>
      </c>
      <c r="P24" t="s">
        <v>880</v>
      </c>
      <c r="R24" s="287">
        <f t="shared" si="10"/>
        <v>0</v>
      </c>
      <c r="S24" t="s">
        <v>1070</v>
      </c>
      <c r="U24" s="287">
        <f t="shared" si="11"/>
        <v>0</v>
      </c>
      <c r="V24" s="361" t="s">
        <v>1177</v>
      </c>
      <c r="X24" s="287">
        <f t="shared" si="12"/>
        <v>0</v>
      </c>
      <c r="Y24" s="361" t="s">
        <v>1177</v>
      </c>
      <c r="AA24" s="287">
        <f t="shared" si="13"/>
        <v>0</v>
      </c>
      <c r="AD24" s="206">
        <f t="shared" si="14"/>
        <v>0</v>
      </c>
    </row>
    <row r="25" spans="2:31" ht="16.5">
      <c r="B25" s="259" t="s">
        <v>755</v>
      </c>
      <c r="C25" s="3" t="s">
        <v>582</v>
      </c>
      <c r="D25" s="296" t="s">
        <v>583</v>
      </c>
      <c r="E25" s="261">
        <v>43191</v>
      </c>
      <c r="F25" s="297">
        <v>26276.57</v>
      </c>
      <c r="G25" s="294" t="s">
        <v>463</v>
      </c>
      <c r="H25" s="294"/>
      <c r="I25" s="294">
        <f t="shared" si="7"/>
        <v>26276.57</v>
      </c>
      <c r="J25" s="135" t="s">
        <v>916</v>
      </c>
      <c r="K25" s="323">
        <f>146015/1.06-3642.08-69936.86-3115-2411.62-12985.55-9286.73-18941.23</f>
        <v>17430.930000000018</v>
      </c>
      <c r="L25" s="294">
        <f t="shared" si="8"/>
        <v>8845.6399999999812</v>
      </c>
      <c r="M25" s="135" t="s">
        <v>858</v>
      </c>
      <c r="N25" s="20">
        <v>8845.64</v>
      </c>
      <c r="O25" s="287">
        <f t="shared" si="9"/>
        <v>-1.8189894035458565E-11</v>
      </c>
      <c r="P25" t="s">
        <v>880</v>
      </c>
      <c r="R25" s="287">
        <f t="shared" si="10"/>
        <v>0</v>
      </c>
      <c r="S25" t="s">
        <v>1070</v>
      </c>
      <c r="U25" s="287">
        <f t="shared" si="11"/>
        <v>0</v>
      </c>
      <c r="V25" s="361" t="s">
        <v>1177</v>
      </c>
      <c r="X25" s="287">
        <f t="shared" si="12"/>
        <v>0</v>
      </c>
      <c r="Y25" s="361" t="s">
        <v>1177</v>
      </c>
      <c r="AA25" s="287">
        <f t="shared" si="13"/>
        <v>0</v>
      </c>
      <c r="AD25" s="206">
        <f t="shared" si="14"/>
        <v>0</v>
      </c>
    </row>
    <row r="26" spans="2:31" ht="16.5">
      <c r="B26" s="259" t="s">
        <v>755</v>
      </c>
      <c r="C26" s="3" t="s">
        <v>823</v>
      </c>
      <c r="D26" s="296" t="s">
        <v>824</v>
      </c>
      <c r="E26" s="261">
        <v>43191</v>
      </c>
      <c r="F26" s="297">
        <v>5627.1</v>
      </c>
      <c r="G26" s="294" t="s">
        <v>463</v>
      </c>
      <c r="H26" s="294"/>
      <c r="I26" s="294">
        <f t="shared" si="7"/>
        <v>5627.1</v>
      </c>
      <c r="J26" s="135" t="s">
        <v>916</v>
      </c>
      <c r="K26" s="135"/>
      <c r="L26" s="294">
        <f t="shared" si="8"/>
        <v>5627.1</v>
      </c>
      <c r="M26" s="135" t="s">
        <v>858</v>
      </c>
      <c r="O26" s="287">
        <f t="shared" si="9"/>
        <v>5627.1</v>
      </c>
      <c r="P26" t="s">
        <v>880</v>
      </c>
      <c r="R26" s="287">
        <f t="shared" si="10"/>
        <v>5627.1</v>
      </c>
      <c r="S26" t="s">
        <v>1070</v>
      </c>
      <c r="U26" s="287">
        <f t="shared" si="11"/>
        <v>5627.1</v>
      </c>
      <c r="V26" s="361" t="s">
        <v>1177</v>
      </c>
      <c r="W26" s="20">
        <v>5627.1</v>
      </c>
      <c r="X26" s="287">
        <f t="shared" si="12"/>
        <v>0</v>
      </c>
      <c r="Y26" s="361" t="s">
        <v>1177</v>
      </c>
      <c r="AA26" s="287">
        <f t="shared" si="13"/>
        <v>0</v>
      </c>
      <c r="AD26" s="206">
        <f t="shared" si="14"/>
        <v>0</v>
      </c>
    </row>
    <row r="27" spans="2:31">
      <c r="B27" s="271"/>
      <c r="C27" s="271"/>
      <c r="D27" s="271"/>
      <c r="E27" s="271"/>
      <c r="F27" s="284">
        <f>SUM(F13:F26)</f>
        <v>232890.22000000003</v>
      </c>
      <c r="G27" s="285"/>
      <c r="H27" s="284">
        <f>SUM(H13:H26)</f>
        <v>0</v>
      </c>
      <c r="I27" s="284">
        <f>SUM(I13:I26)</f>
        <v>232890.22000000003</v>
      </c>
      <c r="J27" s="284"/>
      <c r="K27" s="284">
        <f>SUM(K13:K26)</f>
        <v>36372.160000000033</v>
      </c>
      <c r="L27" s="284">
        <f>SUM(L13:L26)</f>
        <v>196518.06</v>
      </c>
      <c r="M27" s="284"/>
      <c r="N27" s="284">
        <f>SUM(N13:N26)</f>
        <v>36388.660000000003</v>
      </c>
      <c r="O27" s="284">
        <f>SUM(O13:O26)</f>
        <v>160129.4</v>
      </c>
      <c r="P27" s="284"/>
      <c r="Q27" s="284">
        <f>SUM(Q13:Q26)</f>
        <v>0</v>
      </c>
      <c r="R27" s="284">
        <f>SUM(R13:R26)</f>
        <v>146722.44</v>
      </c>
      <c r="S27" s="284">
        <f t="shared" ref="S27:U27" si="15">SUM(S13:S26)</f>
        <v>0</v>
      </c>
      <c r="T27" s="284">
        <f t="shared" si="15"/>
        <v>67235.539999999994</v>
      </c>
      <c r="U27" s="284">
        <f t="shared" si="15"/>
        <v>79486.900000000009</v>
      </c>
      <c r="V27" s="361" t="s">
        <v>1177</v>
      </c>
      <c r="X27" s="284">
        <f t="shared" ref="X27:AD27" si="16">SUM(X13:X26)</f>
        <v>73859.8</v>
      </c>
      <c r="Y27" s="361" t="s">
        <v>1177</v>
      </c>
      <c r="Z27" s="284">
        <f t="shared" si="16"/>
        <v>3071.94</v>
      </c>
      <c r="AA27" s="284">
        <f t="shared" si="16"/>
        <v>70787.86</v>
      </c>
      <c r="AB27" s="284">
        <f t="shared" si="16"/>
        <v>0</v>
      </c>
      <c r="AC27" s="284">
        <f t="shared" si="16"/>
        <v>2923.12</v>
      </c>
      <c r="AD27" s="284">
        <f t="shared" si="16"/>
        <v>67864.739999999991</v>
      </c>
    </row>
    <row r="29" spans="2:31" ht="33">
      <c r="B29" s="273" t="s">
        <v>728</v>
      </c>
      <c r="C29" s="273" t="s">
        <v>729</v>
      </c>
      <c r="D29" s="273" t="s">
        <v>730</v>
      </c>
      <c r="E29" s="273" t="s">
        <v>731</v>
      </c>
      <c r="F29" s="298" t="s">
        <v>899</v>
      </c>
      <c r="G29" s="280" t="s">
        <v>733</v>
      </c>
      <c r="H29" s="273" t="s">
        <v>911</v>
      </c>
      <c r="I29" s="273" t="s">
        <v>912</v>
      </c>
      <c r="J29" s="274" t="s">
        <v>890</v>
      </c>
      <c r="K29" s="273" t="s">
        <v>943</v>
      </c>
      <c r="L29" s="273" t="s">
        <v>944</v>
      </c>
      <c r="M29" s="274" t="s">
        <v>890</v>
      </c>
      <c r="N29" s="273" t="s">
        <v>958</v>
      </c>
      <c r="O29" s="273" t="s">
        <v>959</v>
      </c>
      <c r="P29" s="274" t="s">
        <v>890</v>
      </c>
      <c r="Q29" s="273" t="s">
        <v>1011</v>
      </c>
      <c r="R29" s="273" t="s">
        <v>1013</v>
      </c>
      <c r="S29" s="274" t="s">
        <v>890</v>
      </c>
      <c r="T29" s="273" t="s">
        <v>1055</v>
      </c>
      <c r="U29" s="273" t="s">
        <v>1056</v>
      </c>
      <c r="V29" s="274" t="s">
        <v>890</v>
      </c>
      <c r="W29" s="273" t="s">
        <v>1164</v>
      </c>
      <c r="X29" s="273" t="s">
        <v>1165</v>
      </c>
      <c r="Y29" s="274" t="s">
        <v>890</v>
      </c>
      <c r="Z29" s="273" t="s">
        <v>1255</v>
      </c>
      <c r="AA29" s="273" t="s">
        <v>1256</v>
      </c>
      <c r="AB29" s="274" t="s">
        <v>890</v>
      </c>
      <c r="AC29" s="273" t="s">
        <v>1298</v>
      </c>
      <c r="AD29" s="273" t="s">
        <v>1299</v>
      </c>
      <c r="AE29" s="274" t="s">
        <v>890</v>
      </c>
    </row>
    <row r="30" spans="2:31" ht="16.5">
      <c r="B30" s="259" t="s">
        <v>804</v>
      </c>
      <c r="C30" s="3" t="s">
        <v>75</v>
      </c>
      <c r="D30" s="296" t="s">
        <v>76</v>
      </c>
      <c r="E30" s="261">
        <v>43191</v>
      </c>
      <c r="F30" s="185">
        <v>43340.77</v>
      </c>
      <c r="G30" s="148" t="s">
        <v>905</v>
      </c>
      <c r="H30" s="148"/>
      <c r="I30" s="294">
        <f t="shared" ref="I30:I35" si="17">F30-H30</f>
        <v>43340.77</v>
      </c>
      <c r="J30" s="135" t="s">
        <v>922</v>
      </c>
      <c r="K30" s="135"/>
      <c r="L30" s="294">
        <f t="shared" ref="L30:L35" si="18">I30-K30</f>
        <v>43340.77</v>
      </c>
      <c r="M30" s="135" t="s">
        <v>968</v>
      </c>
      <c r="O30" s="206">
        <f t="shared" ref="O30:O35" si="19">L30-N30</f>
        <v>43340.77</v>
      </c>
      <c r="P30" t="s">
        <v>874</v>
      </c>
      <c r="R30" s="206">
        <f t="shared" ref="R30:R35" si="20">O30-Q30</f>
        <v>43340.77</v>
      </c>
      <c r="S30" t="s">
        <v>1076</v>
      </c>
      <c r="U30" s="206">
        <f>R30-T30</f>
        <v>43340.77</v>
      </c>
      <c r="V30" s="361" t="s">
        <v>1192</v>
      </c>
      <c r="X30" s="206">
        <f>U30-W30</f>
        <v>43340.77</v>
      </c>
      <c r="Y30" s="361" t="s">
        <v>1200</v>
      </c>
      <c r="AA30" s="206">
        <f>X30-Z30</f>
        <v>43340.77</v>
      </c>
      <c r="AC30">
        <v>43340.77</v>
      </c>
      <c r="AD30" s="206">
        <f>AA30-AC30</f>
        <v>0</v>
      </c>
    </row>
    <row r="31" spans="2:31" ht="16.5">
      <c r="B31" s="259" t="s">
        <v>804</v>
      </c>
      <c r="C31" s="3" t="s">
        <v>77</v>
      </c>
      <c r="D31" s="296" t="s">
        <v>78</v>
      </c>
      <c r="E31" s="261">
        <v>43191</v>
      </c>
      <c r="F31" s="77">
        <v>2981.57</v>
      </c>
      <c r="G31" s="148" t="s">
        <v>905</v>
      </c>
      <c r="H31" s="148"/>
      <c r="I31" s="294">
        <f t="shared" si="17"/>
        <v>2981.57</v>
      </c>
      <c r="J31" s="135" t="s">
        <v>922</v>
      </c>
      <c r="K31" s="135"/>
      <c r="L31" s="294">
        <f t="shared" si="18"/>
        <v>2981.57</v>
      </c>
      <c r="M31" s="135" t="s">
        <v>968</v>
      </c>
      <c r="O31" s="206">
        <f t="shared" si="19"/>
        <v>2981.57</v>
      </c>
      <c r="P31" t="s">
        <v>874</v>
      </c>
      <c r="R31" s="206">
        <f t="shared" si="20"/>
        <v>2981.57</v>
      </c>
      <c r="S31" t="s">
        <v>1076</v>
      </c>
      <c r="U31" s="206">
        <f t="shared" ref="U31:U35" si="21">R31-T31</f>
        <v>2981.57</v>
      </c>
      <c r="V31" s="361" t="s">
        <v>1192</v>
      </c>
      <c r="X31" s="206">
        <f t="shared" ref="X31:X35" si="22">U31-W31</f>
        <v>2981.57</v>
      </c>
      <c r="Y31" s="361" t="s">
        <v>1200</v>
      </c>
      <c r="AA31" s="206">
        <f>X31-Z31</f>
        <v>2981.57</v>
      </c>
      <c r="AC31">
        <v>2981.57</v>
      </c>
      <c r="AD31" s="206">
        <f>AA31-AC31</f>
        <v>0</v>
      </c>
    </row>
    <row r="32" spans="2:31" ht="16.5">
      <c r="B32" s="259" t="s">
        <v>804</v>
      </c>
      <c r="C32" s="3" t="s">
        <v>866</v>
      </c>
      <c r="D32" s="296" t="s">
        <v>871</v>
      </c>
      <c r="E32" s="261">
        <v>43191</v>
      </c>
      <c r="F32" s="185">
        <v>189499.45</v>
      </c>
      <c r="G32" s="148" t="s">
        <v>905</v>
      </c>
      <c r="H32" s="148"/>
      <c r="I32" s="294">
        <f t="shared" si="17"/>
        <v>189499.45</v>
      </c>
      <c r="J32" s="135" t="s">
        <v>922</v>
      </c>
      <c r="K32" s="135"/>
      <c r="L32" s="294">
        <f t="shared" si="18"/>
        <v>189499.45</v>
      </c>
      <c r="M32" s="135" t="s">
        <v>968</v>
      </c>
      <c r="N32" s="20">
        <v>189499.45</v>
      </c>
      <c r="O32" s="206">
        <f t="shared" si="19"/>
        <v>0</v>
      </c>
      <c r="P32" t="s">
        <v>874</v>
      </c>
      <c r="R32" s="206">
        <f t="shared" si="20"/>
        <v>0</v>
      </c>
      <c r="S32" t="s">
        <v>1076</v>
      </c>
      <c r="U32" s="206">
        <f t="shared" si="21"/>
        <v>0</v>
      </c>
      <c r="V32" s="361" t="s">
        <v>1192</v>
      </c>
      <c r="X32" s="206">
        <f t="shared" si="22"/>
        <v>0</v>
      </c>
      <c r="Y32" s="361" t="s">
        <v>1200</v>
      </c>
      <c r="AA32" s="206">
        <f t="shared" ref="AA32:AA35" si="23">X32-Z32</f>
        <v>0</v>
      </c>
      <c r="AD32" s="206">
        <f t="shared" ref="AD32:AD35" si="24">AA32-AC32</f>
        <v>0</v>
      </c>
    </row>
    <row r="33" spans="2:31" ht="16.5">
      <c r="B33" s="259" t="s">
        <v>804</v>
      </c>
      <c r="C33" s="3" t="s">
        <v>867</v>
      </c>
      <c r="D33" s="296" t="s">
        <v>872</v>
      </c>
      <c r="E33" s="261">
        <v>43191</v>
      </c>
      <c r="F33" s="185">
        <v>51754.04</v>
      </c>
      <c r="G33" s="148" t="s">
        <v>905</v>
      </c>
      <c r="H33" s="148"/>
      <c r="I33" s="294">
        <f t="shared" si="17"/>
        <v>51754.04</v>
      </c>
      <c r="J33" s="135" t="s">
        <v>922</v>
      </c>
      <c r="K33" s="135"/>
      <c r="L33" s="294">
        <f t="shared" si="18"/>
        <v>51754.04</v>
      </c>
      <c r="M33" s="135" t="s">
        <v>968</v>
      </c>
      <c r="N33" s="20">
        <v>30995.74</v>
      </c>
      <c r="O33" s="206">
        <f t="shared" si="19"/>
        <v>20758.3</v>
      </c>
      <c r="P33" t="s">
        <v>874</v>
      </c>
      <c r="R33" s="206">
        <f t="shared" si="20"/>
        <v>20758.3</v>
      </c>
      <c r="S33" t="s">
        <v>1076</v>
      </c>
      <c r="T33">
        <v>20758.3</v>
      </c>
      <c r="U33" s="206">
        <f t="shared" si="21"/>
        <v>0</v>
      </c>
      <c r="V33" s="361" t="s">
        <v>1192</v>
      </c>
      <c r="X33" s="206">
        <f t="shared" si="22"/>
        <v>0</v>
      </c>
      <c r="Y33" s="361" t="s">
        <v>1200</v>
      </c>
      <c r="AA33" s="206">
        <f t="shared" si="23"/>
        <v>0</v>
      </c>
      <c r="AD33" s="206">
        <f t="shared" si="24"/>
        <v>0</v>
      </c>
    </row>
    <row r="34" spans="2:31" ht="16.5">
      <c r="B34" s="259" t="s">
        <v>804</v>
      </c>
      <c r="C34" s="3" t="s">
        <v>868</v>
      </c>
      <c r="D34" s="296" t="s">
        <v>873</v>
      </c>
      <c r="E34" s="261">
        <v>43191</v>
      </c>
      <c r="F34" s="185">
        <v>4777.3</v>
      </c>
      <c r="G34" s="148" t="s">
        <v>905</v>
      </c>
      <c r="H34" s="148"/>
      <c r="I34" s="294">
        <f t="shared" si="17"/>
        <v>4777.3</v>
      </c>
      <c r="J34" s="135" t="s">
        <v>922</v>
      </c>
      <c r="K34" s="135"/>
      <c r="L34" s="294">
        <f t="shared" si="18"/>
        <v>4777.3</v>
      </c>
      <c r="M34" s="135" t="s">
        <v>968</v>
      </c>
      <c r="O34" s="206">
        <f t="shared" si="19"/>
        <v>4777.3</v>
      </c>
      <c r="P34" t="s">
        <v>874</v>
      </c>
      <c r="R34" s="206">
        <f t="shared" si="20"/>
        <v>4777.3</v>
      </c>
      <c r="S34" t="s">
        <v>1076</v>
      </c>
      <c r="T34">
        <v>4777.3</v>
      </c>
      <c r="U34" s="206">
        <f t="shared" si="21"/>
        <v>0</v>
      </c>
      <c r="V34" s="361" t="s">
        <v>1192</v>
      </c>
      <c r="X34" s="206">
        <f t="shared" si="22"/>
        <v>0</v>
      </c>
      <c r="Y34" s="361" t="s">
        <v>1200</v>
      </c>
      <c r="AA34" s="206">
        <f t="shared" si="23"/>
        <v>0</v>
      </c>
      <c r="AD34" s="206">
        <f t="shared" si="24"/>
        <v>0</v>
      </c>
    </row>
    <row r="35" spans="2:31" ht="16.5">
      <c r="B35" s="259" t="s">
        <v>804</v>
      </c>
      <c r="C35" s="3" t="s">
        <v>903</v>
      </c>
      <c r="D35" s="3" t="s">
        <v>906</v>
      </c>
      <c r="E35" s="261">
        <v>43191</v>
      </c>
      <c r="F35" s="185">
        <v>226465.09</v>
      </c>
      <c r="G35" s="148" t="s">
        <v>905</v>
      </c>
      <c r="H35" s="148">
        <v>226465.09</v>
      </c>
      <c r="I35" s="294">
        <f t="shared" si="17"/>
        <v>0</v>
      </c>
      <c r="J35" s="135" t="s">
        <v>922</v>
      </c>
      <c r="K35" s="135"/>
      <c r="L35" s="294">
        <f t="shared" si="18"/>
        <v>0</v>
      </c>
      <c r="M35" s="135" t="s">
        <v>968</v>
      </c>
      <c r="O35" s="206">
        <f t="shared" si="19"/>
        <v>0</v>
      </c>
      <c r="P35" t="s">
        <v>874</v>
      </c>
      <c r="R35" s="206">
        <f t="shared" si="20"/>
        <v>0</v>
      </c>
      <c r="S35" t="s">
        <v>1076</v>
      </c>
      <c r="U35" s="206">
        <f t="shared" si="21"/>
        <v>0</v>
      </c>
      <c r="V35" s="361" t="s">
        <v>1192</v>
      </c>
      <c r="X35" s="206">
        <f t="shared" si="22"/>
        <v>0</v>
      </c>
      <c r="Y35" s="361" t="s">
        <v>1200</v>
      </c>
      <c r="AA35" s="206">
        <f t="shared" si="23"/>
        <v>0</v>
      </c>
      <c r="AD35" s="206">
        <f t="shared" si="24"/>
        <v>0</v>
      </c>
    </row>
    <row r="36" spans="2:31">
      <c r="B36" s="271"/>
      <c r="C36" s="271"/>
      <c r="D36" s="271"/>
      <c r="E36" s="271"/>
      <c r="F36" s="284">
        <f>SUM(F30:F35)</f>
        <v>518818.22</v>
      </c>
      <c r="G36" s="285"/>
      <c r="H36" s="284">
        <f>SUM(H30:H35)</f>
        <v>226465.09</v>
      </c>
      <c r="I36" s="284">
        <f>SUM(I30:I35)</f>
        <v>292353.13</v>
      </c>
      <c r="J36" s="284"/>
      <c r="K36" s="284">
        <f>SUM(K30:K35)</f>
        <v>0</v>
      </c>
      <c r="L36" s="284">
        <f>SUM(L30:L35)</f>
        <v>292353.13</v>
      </c>
      <c r="M36" s="284"/>
      <c r="N36" s="284">
        <f>SUM(N30:N35)</f>
        <v>220495.19</v>
      </c>
      <c r="O36" s="284">
        <f>SUM(O30:O35)</f>
        <v>71857.94</v>
      </c>
      <c r="P36" s="284"/>
      <c r="Q36" s="284">
        <f>SUM(Q30:Q35)</f>
        <v>0</v>
      </c>
      <c r="R36" s="284">
        <f>SUM(R30:R35)</f>
        <v>71857.94</v>
      </c>
      <c r="U36" s="284">
        <f>SUM(U30:U35)</f>
        <v>46322.34</v>
      </c>
      <c r="V36" s="361" t="s">
        <v>1192</v>
      </c>
      <c r="X36" s="284">
        <f>SUM(X30:X35)</f>
        <v>46322.34</v>
      </c>
      <c r="Y36" s="361" t="s">
        <v>1200</v>
      </c>
      <c r="AC36" s="382">
        <f>SUM(AC30:AC35)</f>
        <v>46322.34</v>
      </c>
      <c r="AD36" s="382">
        <f t="shared" ref="AD36:AE36" si="25">SUM(AD30:AD35)</f>
        <v>0</v>
      </c>
      <c r="AE36" s="382">
        <f t="shared" si="25"/>
        <v>0</v>
      </c>
    </row>
  </sheetData>
  <autoFilter ref="B2:AE9">
    <filterColumn colId="28">
      <filters>
        <filter val="¥24,285.39"/>
        <filter val="¥329.41"/>
        <filter val="24614.79509"/>
      </filters>
    </filterColumn>
  </autoFilter>
  <phoneticPr fontId="4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97"/>
  <sheetViews>
    <sheetView workbookViewId="0">
      <selection activeCell="H34" sqref="H34"/>
    </sheetView>
  </sheetViews>
  <sheetFormatPr defaultRowHeight="12.75"/>
  <cols>
    <col min="1" max="4" width="15.42578125" customWidth="1"/>
    <col min="5" max="5" width="29.5703125" customWidth="1"/>
    <col min="6" max="6" width="15.42578125" customWidth="1"/>
    <col min="7" max="7" width="35.7109375" customWidth="1"/>
    <col min="8" max="8" width="15" customWidth="1"/>
    <col min="9" max="9" width="11.5703125" customWidth="1"/>
  </cols>
  <sheetData>
    <row r="1" spans="1:9" s="14" customFormat="1" ht="20.100000000000001" customHeight="1">
      <c r="A1" s="576" t="s">
        <v>0</v>
      </c>
      <c r="B1" s="576" t="s">
        <v>1</v>
      </c>
      <c r="C1" s="576" t="s">
        <v>2</v>
      </c>
      <c r="D1" s="576" t="s">
        <v>210</v>
      </c>
      <c r="E1" s="576" t="s">
        <v>211</v>
      </c>
      <c r="F1" s="576" t="s">
        <v>5</v>
      </c>
      <c r="G1" s="576" t="s">
        <v>6</v>
      </c>
      <c r="H1" s="577" t="s">
        <v>241</v>
      </c>
      <c r="I1" s="579" t="s">
        <v>240</v>
      </c>
    </row>
    <row r="2" spans="1:9" s="14" customFormat="1" ht="20.100000000000001" customHeight="1">
      <c r="A2" s="576" t="s">
        <v>0</v>
      </c>
      <c r="B2" s="576" t="s">
        <v>1</v>
      </c>
      <c r="C2" s="576" t="s">
        <v>2</v>
      </c>
      <c r="D2" s="576" t="s">
        <v>210</v>
      </c>
      <c r="E2" s="576" t="s">
        <v>211</v>
      </c>
      <c r="F2" s="576" t="s">
        <v>5</v>
      </c>
      <c r="G2" s="576" t="s">
        <v>6</v>
      </c>
      <c r="H2" s="578"/>
      <c r="I2" s="580"/>
    </row>
    <row r="3" spans="1:9" ht="20.100000000000001" customHeight="1">
      <c r="A3" s="3" t="s">
        <v>209</v>
      </c>
      <c r="B3" s="4">
        <v>6001</v>
      </c>
      <c r="C3" s="3" t="s">
        <v>212</v>
      </c>
      <c r="D3" s="4">
        <v>71</v>
      </c>
      <c r="E3" s="3" t="s">
        <v>213</v>
      </c>
      <c r="F3" s="3" t="s">
        <v>137</v>
      </c>
      <c r="G3" s="3" t="s">
        <v>138</v>
      </c>
      <c r="H3" s="7">
        <v>-946.11</v>
      </c>
      <c r="I3">
        <v>0</v>
      </c>
    </row>
    <row r="4" spans="1:9" ht="20.100000000000001" customHeight="1">
      <c r="A4" s="17" t="s">
        <v>208</v>
      </c>
      <c r="B4" s="18">
        <v>6001</v>
      </c>
      <c r="C4" s="17" t="s">
        <v>212</v>
      </c>
      <c r="D4" s="18">
        <v>71</v>
      </c>
      <c r="E4" s="17" t="s">
        <v>213</v>
      </c>
      <c r="F4" s="17" t="s">
        <v>407</v>
      </c>
      <c r="G4" s="17" t="s">
        <v>23</v>
      </c>
      <c r="H4" s="19">
        <v>423.09</v>
      </c>
      <c r="I4" s="20">
        <v>0</v>
      </c>
    </row>
    <row r="5" spans="1:9" ht="20.100000000000001" customHeight="1">
      <c r="A5" s="3" t="s">
        <v>209</v>
      </c>
      <c r="B5" s="4">
        <v>6001</v>
      </c>
      <c r="C5" s="3" t="s">
        <v>212</v>
      </c>
      <c r="D5" s="4">
        <v>71</v>
      </c>
      <c r="E5" s="3" t="s">
        <v>213</v>
      </c>
      <c r="F5" s="3" t="s">
        <v>167</v>
      </c>
      <c r="G5" s="3" t="s">
        <v>168</v>
      </c>
      <c r="H5" s="7">
        <v>882.45</v>
      </c>
      <c r="I5">
        <v>0</v>
      </c>
    </row>
    <row r="6" spans="1:9" ht="20.100000000000001" customHeight="1">
      <c r="A6" s="3" t="s">
        <v>208</v>
      </c>
      <c r="B6" s="4">
        <v>6001</v>
      </c>
      <c r="C6" s="3" t="s">
        <v>212</v>
      </c>
      <c r="D6" s="4">
        <v>71</v>
      </c>
      <c r="E6" s="3" t="s">
        <v>213</v>
      </c>
      <c r="F6" s="3" t="s">
        <v>226</v>
      </c>
      <c r="G6" s="3" t="s">
        <v>227</v>
      </c>
      <c r="H6" s="6">
        <v>1511.04</v>
      </c>
      <c r="I6">
        <v>0</v>
      </c>
    </row>
    <row r="7" spans="1:9" ht="20.100000000000001" customHeight="1">
      <c r="A7" s="3" t="s">
        <v>209</v>
      </c>
      <c r="B7" s="4">
        <v>6001</v>
      </c>
      <c r="C7" s="3" t="s">
        <v>212</v>
      </c>
      <c r="D7" s="4">
        <v>71</v>
      </c>
      <c r="E7" s="3" t="s">
        <v>213</v>
      </c>
      <c r="F7" s="3" t="s">
        <v>81</v>
      </c>
      <c r="G7" s="3" t="s">
        <v>82</v>
      </c>
      <c r="H7" s="6">
        <v>1890</v>
      </c>
      <c r="I7">
        <v>0</v>
      </c>
    </row>
    <row r="8" spans="1:9" ht="20.100000000000001" customHeight="1">
      <c r="A8" s="3" t="s">
        <v>208</v>
      </c>
      <c r="B8" s="4">
        <v>6001</v>
      </c>
      <c r="C8" s="3" t="s">
        <v>212</v>
      </c>
      <c r="D8" s="4">
        <v>71</v>
      </c>
      <c r="E8" s="3" t="s">
        <v>213</v>
      </c>
      <c r="F8" s="3" t="s">
        <v>224</v>
      </c>
      <c r="G8" s="3" t="s">
        <v>225</v>
      </c>
      <c r="H8" s="6">
        <v>3022.08</v>
      </c>
      <c r="I8">
        <v>0</v>
      </c>
    </row>
    <row r="9" spans="1:9" ht="20.100000000000001" customHeight="1">
      <c r="A9" s="3" t="s">
        <v>208</v>
      </c>
      <c r="B9" s="4">
        <v>6001</v>
      </c>
      <c r="C9" s="3" t="s">
        <v>212</v>
      </c>
      <c r="D9" s="4">
        <v>71</v>
      </c>
      <c r="E9" s="3" t="s">
        <v>213</v>
      </c>
      <c r="F9" s="3" t="s">
        <v>222</v>
      </c>
      <c r="G9" s="3" t="s">
        <v>223</v>
      </c>
      <c r="H9" s="6">
        <v>4029.44</v>
      </c>
      <c r="I9">
        <v>0</v>
      </c>
    </row>
    <row r="10" spans="1:9" ht="20.100000000000001" customHeight="1">
      <c r="A10" s="3" t="s">
        <v>208</v>
      </c>
      <c r="B10" s="4">
        <v>6001</v>
      </c>
      <c r="C10" s="3" t="s">
        <v>212</v>
      </c>
      <c r="D10" s="4">
        <v>71</v>
      </c>
      <c r="E10" s="3" t="s">
        <v>213</v>
      </c>
      <c r="F10" s="3" t="s">
        <v>216</v>
      </c>
      <c r="G10" s="3" t="s">
        <v>217</v>
      </c>
      <c r="H10" s="6">
        <v>4533.12</v>
      </c>
      <c r="I10">
        <v>0</v>
      </c>
    </row>
    <row r="11" spans="1:9" ht="20.100000000000001" customHeight="1">
      <c r="A11" s="3" t="s">
        <v>209</v>
      </c>
      <c r="B11" s="4">
        <v>6001</v>
      </c>
      <c r="C11" s="3" t="s">
        <v>212</v>
      </c>
      <c r="D11" s="4">
        <v>71</v>
      </c>
      <c r="E11" s="3" t="s">
        <v>213</v>
      </c>
      <c r="F11" s="3" t="s">
        <v>77</v>
      </c>
      <c r="G11" s="3" t="s">
        <v>78</v>
      </c>
      <c r="H11" s="6">
        <v>4982.49</v>
      </c>
      <c r="I11">
        <v>0</v>
      </c>
    </row>
    <row r="12" spans="1:9" ht="20.100000000000001" customHeight="1">
      <c r="A12" s="3" t="s">
        <v>208</v>
      </c>
      <c r="B12" s="4">
        <v>6001</v>
      </c>
      <c r="C12" s="3" t="s">
        <v>212</v>
      </c>
      <c r="D12" s="4">
        <v>71</v>
      </c>
      <c r="E12" s="3" t="s">
        <v>213</v>
      </c>
      <c r="F12" s="3" t="s">
        <v>220</v>
      </c>
      <c r="G12" s="3" t="s">
        <v>221</v>
      </c>
      <c r="H12" s="6">
        <v>5036.8</v>
      </c>
      <c r="I12">
        <v>0</v>
      </c>
    </row>
    <row r="13" spans="1:9" ht="20.100000000000001" customHeight="1">
      <c r="A13" s="3" t="s">
        <v>209</v>
      </c>
      <c r="B13" s="4">
        <v>6001</v>
      </c>
      <c r="C13" s="3" t="s">
        <v>212</v>
      </c>
      <c r="D13" s="4">
        <v>71</v>
      </c>
      <c r="E13" s="3" t="s">
        <v>213</v>
      </c>
      <c r="F13" s="3" t="s">
        <v>135</v>
      </c>
      <c r="G13" s="3" t="s">
        <v>136</v>
      </c>
      <c r="H13" s="6">
        <v>5676.68</v>
      </c>
      <c r="I13">
        <v>0</v>
      </c>
    </row>
    <row r="14" spans="1:9" ht="20.100000000000001" customHeight="1">
      <c r="A14" s="3" t="s">
        <v>208</v>
      </c>
      <c r="B14" s="4">
        <v>6001</v>
      </c>
      <c r="C14" s="3" t="s">
        <v>212</v>
      </c>
      <c r="D14" s="4">
        <v>71</v>
      </c>
      <c r="E14" s="3" t="s">
        <v>213</v>
      </c>
      <c r="F14" s="3" t="s">
        <v>218</v>
      </c>
      <c r="G14" s="3" t="s">
        <v>219</v>
      </c>
      <c r="H14" s="6">
        <v>6044.16</v>
      </c>
      <c r="I14">
        <v>0</v>
      </c>
    </row>
    <row r="15" spans="1:9" ht="20.100000000000001" customHeight="1">
      <c r="A15" s="17" t="s">
        <v>209</v>
      </c>
      <c r="B15" s="18">
        <v>6001</v>
      </c>
      <c r="C15" s="17" t="s">
        <v>212</v>
      </c>
      <c r="D15" s="18">
        <v>71</v>
      </c>
      <c r="E15" s="17" t="s">
        <v>213</v>
      </c>
      <c r="F15" s="17" t="s">
        <v>406</v>
      </c>
      <c r="G15" s="17" t="s">
        <v>23</v>
      </c>
      <c r="H15" s="21">
        <v>10657.85</v>
      </c>
      <c r="I15">
        <v>0</v>
      </c>
    </row>
    <row r="16" spans="1:9" ht="20.100000000000001" customHeight="1">
      <c r="A16" s="3" t="s">
        <v>208</v>
      </c>
      <c r="B16" s="4">
        <v>6001</v>
      </c>
      <c r="C16" s="3" t="s">
        <v>212</v>
      </c>
      <c r="D16" s="4">
        <v>71</v>
      </c>
      <c r="E16" s="3" t="s">
        <v>213</v>
      </c>
      <c r="F16" s="3" t="s">
        <v>228</v>
      </c>
      <c r="G16" s="3" t="s">
        <v>229</v>
      </c>
      <c r="H16" s="6">
        <v>10879.47</v>
      </c>
      <c r="I16">
        <v>0</v>
      </c>
    </row>
    <row r="17" spans="1:9" ht="20.100000000000001" customHeight="1">
      <c r="A17" s="3" t="s">
        <v>209</v>
      </c>
      <c r="B17" s="4">
        <v>6001</v>
      </c>
      <c r="C17" s="3" t="s">
        <v>212</v>
      </c>
      <c r="D17" s="4">
        <v>71</v>
      </c>
      <c r="E17" s="3" t="s">
        <v>213</v>
      </c>
      <c r="F17" s="3" t="s">
        <v>191</v>
      </c>
      <c r="G17" s="3" t="s">
        <v>192</v>
      </c>
      <c r="H17" s="6">
        <v>14103.02</v>
      </c>
      <c r="I17">
        <v>13406.35</v>
      </c>
    </row>
    <row r="18" spans="1:9" ht="20.100000000000001" customHeight="1">
      <c r="A18" s="3" t="s">
        <v>208</v>
      </c>
      <c r="B18" s="4">
        <v>6001</v>
      </c>
      <c r="C18" s="3" t="s">
        <v>212</v>
      </c>
      <c r="D18" s="4">
        <v>71</v>
      </c>
      <c r="E18" s="3" t="s">
        <v>213</v>
      </c>
      <c r="F18" s="3" t="s">
        <v>26</v>
      </c>
      <c r="G18" s="3" t="s">
        <v>27</v>
      </c>
      <c r="H18" s="6">
        <v>16375.62</v>
      </c>
      <c r="I18">
        <v>0</v>
      </c>
    </row>
    <row r="19" spans="1:9" ht="20.100000000000001" customHeight="1">
      <c r="A19" s="3" t="s">
        <v>209</v>
      </c>
      <c r="B19" s="4">
        <v>6001</v>
      </c>
      <c r="C19" s="3" t="s">
        <v>212</v>
      </c>
      <c r="D19" s="4">
        <v>71</v>
      </c>
      <c r="E19" s="3" t="s">
        <v>213</v>
      </c>
      <c r="F19" s="3" t="s">
        <v>232</v>
      </c>
      <c r="G19" s="3" t="s">
        <v>233</v>
      </c>
      <c r="H19" s="6">
        <v>17620.580000000002</v>
      </c>
      <c r="I19">
        <v>0</v>
      </c>
    </row>
    <row r="20" spans="1:9" ht="20.100000000000001" customHeight="1">
      <c r="A20" s="3" t="s">
        <v>209</v>
      </c>
      <c r="B20" s="4">
        <v>6001</v>
      </c>
      <c r="C20" s="3" t="s">
        <v>212</v>
      </c>
      <c r="D20" s="4">
        <v>71</v>
      </c>
      <c r="E20" s="3" t="s">
        <v>213</v>
      </c>
      <c r="F20" s="3" t="s">
        <v>133</v>
      </c>
      <c r="G20" s="3" t="s">
        <v>134</v>
      </c>
      <c r="H20" s="6">
        <v>18567.47</v>
      </c>
      <c r="I20">
        <v>0</v>
      </c>
    </row>
    <row r="21" spans="1:9" ht="20.100000000000001" customHeight="1">
      <c r="A21" s="3" t="s">
        <v>208</v>
      </c>
      <c r="B21" s="4">
        <v>6001</v>
      </c>
      <c r="C21" s="3" t="s">
        <v>212</v>
      </c>
      <c r="D21" s="4">
        <v>71</v>
      </c>
      <c r="E21" s="3" t="s">
        <v>213</v>
      </c>
      <c r="F21" s="3" t="s">
        <v>230</v>
      </c>
      <c r="G21" s="3" t="s">
        <v>231</v>
      </c>
      <c r="H21" s="6">
        <v>19039.07</v>
      </c>
      <c r="I21">
        <v>0</v>
      </c>
    </row>
    <row r="22" spans="1:9" ht="20.100000000000001" customHeight="1">
      <c r="A22" s="3" t="s">
        <v>209</v>
      </c>
      <c r="B22" s="4">
        <v>6001</v>
      </c>
      <c r="C22" s="3" t="s">
        <v>212</v>
      </c>
      <c r="D22" s="4">
        <v>71</v>
      </c>
      <c r="E22" s="3" t="s">
        <v>213</v>
      </c>
      <c r="F22" s="3" t="s">
        <v>183</v>
      </c>
      <c r="G22" s="3" t="s">
        <v>184</v>
      </c>
      <c r="H22" s="6">
        <v>19663.13</v>
      </c>
      <c r="I22">
        <v>18870.599999999999</v>
      </c>
    </row>
    <row r="23" spans="1:9" ht="20.100000000000001" customHeight="1">
      <c r="A23" s="3" t="s">
        <v>209</v>
      </c>
      <c r="B23" s="4">
        <v>6001</v>
      </c>
      <c r="C23" s="3" t="s">
        <v>212</v>
      </c>
      <c r="D23" s="4">
        <v>71</v>
      </c>
      <c r="E23" s="3" t="s">
        <v>213</v>
      </c>
      <c r="F23" s="3" t="s">
        <v>189</v>
      </c>
      <c r="G23" s="3" t="s">
        <v>190</v>
      </c>
      <c r="H23" s="6">
        <v>20147.169999999998</v>
      </c>
      <c r="I23">
        <v>19151.78</v>
      </c>
    </row>
    <row r="24" spans="1:9" ht="20.100000000000001" customHeight="1">
      <c r="A24" s="3" t="s">
        <v>209</v>
      </c>
      <c r="B24" s="4">
        <v>6001</v>
      </c>
      <c r="C24" s="3" t="s">
        <v>212</v>
      </c>
      <c r="D24" s="4">
        <v>71</v>
      </c>
      <c r="E24" s="3" t="s">
        <v>213</v>
      </c>
      <c r="F24" s="3" t="s">
        <v>185</v>
      </c>
      <c r="G24" s="3" t="s">
        <v>186</v>
      </c>
      <c r="H24" s="6">
        <v>21356</v>
      </c>
      <c r="I24">
        <v>20377.36</v>
      </c>
    </row>
    <row r="25" spans="1:9" ht="20.100000000000001" customHeight="1">
      <c r="A25" s="3" t="s">
        <v>209</v>
      </c>
      <c r="B25" s="4">
        <v>6001</v>
      </c>
      <c r="C25" s="3" t="s">
        <v>212</v>
      </c>
      <c r="D25" s="4">
        <v>71</v>
      </c>
      <c r="E25" s="3" t="s">
        <v>213</v>
      </c>
      <c r="F25" s="3" t="s">
        <v>83</v>
      </c>
      <c r="G25" s="3" t="s">
        <v>84</v>
      </c>
      <c r="H25" s="6">
        <v>23100</v>
      </c>
      <c r="I25">
        <v>0</v>
      </c>
    </row>
    <row r="26" spans="1:9" ht="20.100000000000001" customHeight="1">
      <c r="A26" s="3" t="s">
        <v>209</v>
      </c>
      <c r="B26" s="4">
        <v>6001</v>
      </c>
      <c r="C26" s="3" t="s">
        <v>212</v>
      </c>
      <c r="D26" s="4">
        <v>71</v>
      </c>
      <c r="E26" s="3" t="s">
        <v>213</v>
      </c>
      <c r="F26" s="3" t="s">
        <v>238</v>
      </c>
      <c r="G26" s="3" t="s">
        <v>239</v>
      </c>
      <c r="H26" s="6">
        <v>41424.300000000003</v>
      </c>
      <c r="I26">
        <v>0</v>
      </c>
    </row>
    <row r="27" spans="1:9" ht="20.100000000000001" customHeight="1">
      <c r="A27" s="3" t="s">
        <v>209</v>
      </c>
      <c r="B27" s="4">
        <v>6001</v>
      </c>
      <c r="C27" s="3" t="s">
        <v>212</v>
      </c>
      <c r="D27" s="4">
        <v>71</v>
      </c>
      <c r="E27" s="3" t="s">
        <v>213</v>
      </c>
      <c r="F27" s="3" t="s">
        <v>195</v>
      </c>
      <c r="G27" s="3" t="s">
        <v>196</v>
      </c>
      <c r="H27" s="6">
        <v>63594.43</v>
      </c>
      <c r="I27">
        <v>92364.15</v>
      </c>
    </row>
    <row r="28" spans="1:9" ht="20.100000000000001" customHeight="1">
      <c r="A28" s="3" t="s">
        <v>209</v>
      </c>
      <c r="B28" s="4">
        <v>6001</v>
      </c>
      <c r="C28" s="3" t="s">
        <v>212</v>
      </c>
      <c r="D28" s="4">
        <v>71</v>
      </c>
      <c r="E28" s="3" t="s">
        <v>213</v>
      </c>
      <c r="F28" s="3" t="s">
        <v>131</v>
      </c>
      <c r="G28" s="3" t="s">
        <v>132</v>
      </c>
      <c r="H28" s="6">
        <v>64943.59</v>
      </c>
      <c r="I28">
        <v>61738.04</v>
      </c>
    </row>
    <row r="29" spans="1:9" ht="20.100000000000001" customHeight="1">
      <c r="A29" s="3" t="s">
        <v>208</v>
      </c>
      <c r="B29" s="4">
        <v>6001</v>
      </c>
      <c r="C29" s="3" t="s">
        <v>212</v>
      </c>
      <c r="D29" s="4">
        <v>71</v>
      </c>
      <c r="E29" s="3" t="s">
        <v>213</v>
      </c>
      <c r="F29" s="3" t="s">
        <v>214</v>
      </c>
      <c r="G29" s="3" t="s">
        <v>215</v>
      </c>
      <c r="H29" s="6">
        <v>67241.179999999993</v>
      </c>
      <c r="I29">
        <v>0</v>
      </c>
    </row>
    <row r="30" spans="1:9" ht="20.100000000000001" customHeight="1">
      <c r="A30" s="3" t="s">
        <v>209</v>
      </c>
      <c r="B30" s="4">
        <v>6001</v>
      </c>
      <c r="C30" s="3" t="s">
        <v>212</v>
      </c>
      <c r="D30" s="4">
        <v>71</v>
      </c>
      <c r="E30" s="3" t="s">
        <v>213</v>
      </c>
      <c r="F30" s="3" t="s">
        <v>199</v>
      </c>
      <c r="G30" s="3" t="s">
        <v>200</v>
      </c>
      <c r="H30" s="6">
        <v>68480.23</v>
      </c>
      <c r="I30">
        <v>59415.58</v>
      </c>
    </row>
    <row r="31" spans="1:9" ht="20.100000000000001" customHeight="1">
      <c r="A31" s="3" t="s">
        <v>209</v>
      </c>
      <c r="B31" s="4">
        <v>6001</v>
      </c>
      <c r="C31" s="3" t="s">
        <v>212</v>
      </c>
      <c r="D31" s="4">
        <v>71</v>
      </c>
      <c r="E31" s="3" t="s">
        <v>213</v>
      </c>
      <c r="F31" s="3" t="s">
        <v>163</v>
      </c>
      <c r="G31" s="3" t="s">
        <v>164</v>
      </c>
      <c r="H31" s="6">
        <v>73979.509999999995</v>
      </c>
      <c r="I31">
        <v>67257.100000000006</v>
      </c>
    </row>
    <row r="32" spans="1:9" ht="20.100000000000001" customHeight="1">
      <c r="A32" s="3" t="s">
        <v>209</v>
      </c>
      <c r="B32" s="4">
        <v>6001</v>
      </c>
      <c r="C32" s="3" t="s">
        <v>212</v>
      </c>
      <c r="D32" s="4">
        <v>71</v>
      </c>
      <c r="E32" s="3" t="s">
        <v>213</v>
      </c>
      <c r="F32" s="3" t="s">
        <v>161</v>
      </c>
      <c r="G32" s="3" t="s">
        <v>162</v>
      </c>
      <c r="H32" s="6">
        <v>81144</v>
      </c>
      <c r="I32">
        <v>79583.399999999994</v>
      </c>
    </row>
    <row r="33" spans="1:9" ht="20.100000000000001" customHeight="1">
      <c r="A33" s="3" t="s">
        <v>209</v>
      </c>
      <c r="B33" s="4">
        <v>6001</v>
      </c>
      <c r="C33" s="3" t="s">
        <v>212</v>
      </c>
      <c r="D33" s="4">
        <v>71</v>
      </c>
      <c r="E33" s="3" t="s">
        <v>213</v>
      </c>
      <c r="F33" s="3" t="s">
        <v>75</v>
      </c>
      <c r="G33" s="3" t="s">
        <v>76</v>
      </c>
      <c r="H33" s="6">
        <v>86060.13</v>
      </c>
      <c r="I33">
        <v>26300</v>
      </c>
    </row>
    <row r="34" spans="1:9" ht="20.100000000000001" customHeight="1">
      <c r="A34" s="3" t="s">
        <v>208</v>
      </c>
      <c r="B34" s="4">
        <v>6001</v>
      </c>
      <c r="C34" s="3" t="s">
        <v>212</v>
      </c>
      <c r="D34" s="4">
        <v>71</v>
      </c>
      <c r="E34" s="3" t="s">
        <v>213</v>
      </c>
      <c r="F34" s="3" t="s">
        <v>12</v>
      </c>
      <c r="G34" s="3" t="s">
        <v>13</v>
      </c>
      <c r="H34" s="6">
        <v>103673.3</v>
      </c>
      <c r="I34">
        <v>105943.4</v>
      </c>
    </row>
    <row r="35" spans="1:9" ht="20.100000000000001" customHeight="1">
      <c r="A35" s="3" t="s">
        <v>209</v>
      </c>
      <c r="B35" s="4">
        <v>6001</v>
      </c>
      <c r="C35" s="3" t="s">
        <v>212</v>
      </c>
      <c r="D35" s="4">
        <v>71</v>
      </c>
      <c r="E35" s="3" t="s">
        <v>213</v>
      </c>
      <c r="F35" s="3" t="s">
        <v>139</v>
      </c>
      <c r="G35" s="3" t="s">
        <v>140</v>
      </c>
      <c r="H35" s="6">
        <v>110426.64</v>
      </c>
      <c r="I35">
        <v>103415.09</v>
      </c>
    </row>
    <row r="36" spans="1:9" ht="20.100000000000001" customHeight="1">
      <c r="A36" s="3" t="s">
        <v>208</v>
      </c>
      <c r="B36" s="4">
        <v>6001</v>
      </c>
      <c r="C36" s="3" t="s">
        <v>212</v>
      </c>
      <c r="D36" s="4">
        <v>71</v>
      </c>
      <c r="E36" s="3" t="s">
        <v>213</v>
      </c>
      <c r="F36" s="3" t="s">
        <v>14</v>
      </c>
      <c r="G36" s="3" t="s">
        <v>15</v>
      </c>
      <c r="H36" s="6">
        <v>128633.64</v>
      </c>
      <c r="I36">
        <v>0</v>
      </c>
    </row>
    <row r="37" spans="1:9" ht="20.100000000000001" customHeight="1">
      <c r="A37" s="3" t="s">
        <v>209</v>
      </c>
      <c r="B37" s="4">
        <v>6001</v>
      </c>
      <c r="C37" s="3" t="s">
        <v>212</v>
      </c>
      <c r="D37" s="4">
        <v>71</v>
      </c>
      <c r="E37" s="3" t="s">
        <v>213</v>
      </c>
      <c r="F37" s="3" t="s">
        <v>175</v>
      </c>
      <c r="G37" s="3" t="s">
        <v>176</v>
      </c>
      <c r="H37" s="6">
        <v>150079.07</v>
      </c>
      <c r="I37">
        <v>90523.07</v>
      </c>
    </row>
    <row r="38" spans="1:9" ht="20.100000000000001" customHeight="1">
      <c r="A38" s="3" t="s">
        <v>209</v>
      </c>
      <c r="B38" s="4">
        <v>6001</v>
      </c>
      <c r="C38" s="3" t="s">
        <v>212</v>
      </c>
      <c r="D38" s="4">
        <v>71</v>
      </c>
      <c r="E38" s="3" t="s">
        <v>213</v>
      </c>
      <c r="F38" s="3" t="s">
        <v>177</v>
      </c>
      <c r="G38" s="3" t="s">
        <v>178</v>
      </c>
      <c r="H38" s="6">
        <v>156985.57</v>
      </c>
      <c r="I38">
        <v>96433.95</v>
      </c>
    </row>
    <row r="39" spans="1:9" ht="20.100000000000001" customHeight="1">
      <c r="A39" s="3" t="s">
        <v>209</v>
      </c>
      <c r="B39" s="4">
        <v>6001</v>
      </c>
      <c r="C39" s="3" t="s">
        <v>212</v>
      </c>
      <c r="D39" s="4">
        <v>71</v>
      </c>
      <c r="E39" s="3" t="s">
        <v>213</v>
      </c>
      <c r="F39" s="3" t="s">
        <v>49</v>
      </c>
      <c r="G39" s="3" t="s">
        <v>50</v>
      </c>
      <c r="H39" s="6">
        <v>285855.39</v>
      </c>
      <c r="I39">
        <v>0</v>
      </c>
    </row>
    <row r="40" spans="1:9" ht="20.100000000000001" customHeight="1">
      <c r="A40" s="3" t="s">
        <v>209</v>
      </c>
      <c r="B40" s="4">
        <v>6001</v>
      </c>
      <c r="C40" s="3" t="s">
        <v>212</v>
      </c>
      <c r="D40" s="4">
        <v>71</v>
      </c>
      <c r="E40" s="3" t="s">
        <v>213</v>
      </c>
      <c r="F40" s="3" t="s">
        <v>113</v>
      </c>
      <c r="G40" s="3" t="s">
        <v>114</v>
      </c>
      <c r="H40" s="6">
        <v>401089.85</v>
      </c>
      <c r="I40">
        <v>386354.7</v>
      </c>
    </row>
    <row r="41" spans="1:9" ht="20.100000000000001" customHeight="1">
      <c r="A41" s="3" t="s">
        <v>209</v>
      </c>
      <c r="B41" s="4">
        <v>6001</v>
      </c>
      <c r="C41" s="3" t="s">
        <v>212</v>
      </c>
      <c r="D41" s="4">
        <v>71</v>
      </c>
      <c r="E41" s="3" t="s">
        <v>213</v>
      </c>
      <c r="F41" s="3" t="s">
        <v>97</v>
      </c>
      <c r="G41" s="3" t="s">
        <v>98</v>
      </c>
      <c r="H41" s="6">
        <v>401936.03</v>
      </c>
      <c r="I41">
        <v>387169.77</v>
      </c>
    </row>
    <row r="42" spans="1:9" ht="20.100000000000001" customHeight="1">
      <c r="A42" s="3" t="s">
        <v>209</v>
      </c>
      <c r="B42" s="4">
        <v>6001</v>
      </c>
      <c r="C42" s="3" t="s">
        <v>212</v>
      </c>
      <c r="D42" s="4">
        <v>71</v>
      </c>
      <c r="E42" s="3" t="s">
        <v>213</v>
      </c>
      <c r="F42" s="3" t="s">
        <v>173</v>
      </c>
      <c r="G42" s="3" t="s">
        <v>174</v>
      </c>
      <c r="H42" s="6">
        <v>436895.74</v>
      </c>
      <c r="I42">
        <v>0</v>
      </c>
    </row>
    <row r="43" spans="1:9" ht="20.100000000000001" customHeight="1">
      <c r="A43" s="3" t="s">
        <v>209</v>
      </c>
      <c r="B43" s="4">
        <v>6001</v>
      </c>
      <c r="C43" s="3" t="s">
        <v>212</v>
      </c>
      <c r="D43" s="4">
        <v>71</v>
      </c>
      <c r="E43" s="3" t="s">
        <v>213</v>
      </c>
      <c r="F43" s="3" t="s">
        <v>197</v>
      </c>
      <c r="G43" s="3" t="s">
        <v>198</v>
      </c>
      <c r="H43" s="6">
        <v>734529.02</v>
      </c>
      <c r="I43">
        <v>235849.06</v>
      </c>
    </row>
    <row r="44" spans="1:9" ht="20.100000000000001" customHeight="1">
      <c r="A44" s="3" t="s">
        <v>209</v>
      </c>
      <c r="B44" s="4">
        <v>6001</v>
      </c>
      <c r="C44" s="3" t="s">
        <v>212</v>
      </c>
      <c r="D44" s="4">
        <v>71</v>
      </c>
      <c r="E44" s="3" t="s">
        <v>213</v>
      </c>
      <c r="F44" s="3" t="s">
        <v>159</v>
      </c>
      <c r="G44" s="3" t="s">
        <v>160</v>
      </c>
      <c r="H44" s="6">
        <v>835948.79</v>
      </c>
      <c r="I44">
        <v>774902.68</v>
      </c>
    </row>
    <row r="45" spans="1:9" ht="20.100000000000001" customHeight="1">
      <c r="A45" s="3" t="s">
        <v>209</v>
      </c>
      <c r="B45" s="4">
        <v>6001</v>
      </c>
      <c r="C45" s="3" t="s">
        <v>212</v>
      </c>
      <c r="D45" s="4">
        <v>71</v>
      </c>
      <c r="E45" s="3" t="s">
        <v>213</v>
      </c>
      <c r="F45" s="3" t="s">
        <v>242</v>
      </c>
      <c r="G45" s="3" t="s">
        <v>182</v>
      </c>
      <c r="H45" s="6">
        <v>1163838.6499999999</v>
      </c>
      <c r="I45">
        <v>1138324.55</v>
      </c>
    </row>
    <row r="46" spans="1:9" ht="20.100000000000001" customHeight="1">
      <c r="A46" s="3" t="s">
        <v>209</v>
      </c>
      <c r="B46" s="4">
        <v>6001</v>
      </c>
      <c r="C46" s="3" t="s">
        <v>212</v>
      </c>
      <c r="D46" s="4">
        <v>71</v>
      </c>
      <c r="E46" s="3" t="s">
        <v>213</v>
      </c>
      <c r="F46" s="3" t="s">
        <v>31</v>
      </c>
      <c r="G46" s="3" t="s">
        <v>32</v>
      </c>
      <c r="H46" s="5"/>
      <c r="I46">
        <v>0</v>
      </c>
    </row>
    <row r="47" spans="1:9" ht="20.100000000000001" customHeight="1">
      <c r="A47" s="3" t="s">
        <v>209</v>
      </c>
      <c r="B47" s="4">
        <v>6001</v>
      </c>
      <c r="C47" s="3" t="s">
        <v>212</v>
      </c>
      <c r="D47" s="4">
        <v>71</v>
      </c>
      <c r="E47" s="3" t="s">
        <v>213</v>
      </c>
      <c r="F47" s="3" t="s">
        <v>33</v>
      </c>
      <c r="G47" s="3" t="s">
        <v>34</v>
      </c>
      <c r="H47" s="5"/>
      <c r="I47">
        <v>0</v>
      </c>
    </row>
    <row r="48" spans="1:9" ht="20.100000000000001" customHeight="1">
      <c r="A48" s="3" t="s">
        <v>209</v>
      </c>
      <c r="B48" s="4">
        <v>6001</v>
      </c>
      <c r="C48" s="3" t="s">
        <v>212</v>
      </c>
      <c r="D48" s="4">
        <v>71</v>
      </c>
      <c r="E48" s="3" t="s">
        <v>213</v>
      </c>
      <c r="F48" s="3" t="s">
        <v>37</v>
      </c>
      <c r="G48" s="3" t="s">
        <v>38</v>
      </c>
      <c r="H48" s="5"/>
      <c r="I48">
        <v>0</v>
      </c>
    </row>
    <row r="49" spans="1:9" ht="20.100000000000001" customHeight="1">
      <c r="A49" s="3" t="s">
        <v>208</v>
      </c>
      <c r="B49" s="4">
        <v>6001</v>
      </c>
      <c r="C49" s="3" t="s">
        <v>212</v>
      </c>
      <c r="D49" s="4">
        <v>71</v>
      </c>
      <c r="E49" s="3" t="s">
        <v>213</v>
      </c>
      <c r="F49" s="3" t="s">
        <v>10</v>
      </c>
      <c r="G49" s="3" t="s">
        <v>11</v>
      </c>
      <c r="H49" s="5"/>
      <c r="I49">
        <v>0</v>
      </c>
    </row>
    <row r="50" spans="1:9" ht="20.100000000000001" customHeight="1">
      <c r="A50" s="3" t="s">
        <v>209</v>
      </c>
      <c r="B50" s="4">
        <v>6001</v>
      </c>
      <c r="C50" s="3" t="s">
        <v>212</v>
      </c>
      <c r="D50" s="4">
        <v>71</v>
      </c>
      <c r="E50" s="3" t="s">
        <v>213</v>
      </c>
      <c r="F50" s="3" t="s">
        <v>53</v>
      </c>
      <c r="G50" s="3" t="s">
        <v>54</v>
      </c>
      <c r="H50" s="5"/>
      <c r="I50">
        <v>0</v>
      </c>
    </row>
    <row r="51" spans="1:9" ht="20.100000000000001" customHeight="1">
      <c r="A51" s="3" t="s">
        <v>209</v>
      </c>
      <c r="B51" s="4">
        <v>6001</v>
      </c>
      <c r="C51" s="3" t="s">
        <v>212</v>
      </c>
      <c r="D51" s="4">
        <v>71</v>
      </c>
      <c r="E51" s="3" t="s">
        <v>213</v>
      </c>
      <c r="F51" s="3" t="s">
        <v>55</v>
      </c>
      <c r="G51" s="3" t="s">
        <v>56</v>
      </c>
      <c r="H51" s="5"/>
      <c r="I51">
        <v>0</v>
      </c>
    </row>
    <row r="52" spans="1:9" ht="20.100000000000001" customHeight="1">
      <c r="A52" s="3" t="s">
        <v>208</v>
      </c>
      <c r="B52" s="4">
        <v>6001</v>
      </c>
      <c r="C52" s="3" t="s">
        <v>212</v>
      </c>
      <c r="D52" s="4">
        <v>71</v>
      </c>
      <c r="E52" s="3" t="s">
        <v>213</v>
      </c>
      <c r="F52" s="3" t="s">
        <v>16</v>
      </c>
      <c r="G52" s="3" t="s">
        <v>17</v>
      </c>
      <c r="H52" s="5"/>
      <c r="I52">
        <v>0</v>
      </c>
    </row>
    <row r="53" spans="1:9" ht="20.100000000000001" customHeight="1">
      <c r="A53" s="3" t="s">
        <v>209</v>
      </c>
      <c r="B53" s="4">
        <v>6001</v>
      </c>
      <c r="C53" s="3" t="s">
        <v>212</v>
      </c>
      <c r="D53" s="4">
        <v>71</v>
      </c>
      <c r="E53" s="3" t="s">
        <v>213</v>
      </c>
      <c r="F53" s="3" t="s">
        <v>16</v>
      </c>
      <c r="G53" s="3" t="s">
        <v>17</v>
      </c>
      <c r="H53" s="5"/>
      <c r="I53">
        <v>0</v>
      </c>
    </row>
    <row r="54" spans="1:9" ht="20.100000000000001" customHeight="1">
      <c r="A54" s="3" t="s">
        <v>209</v>
      </c>
      <c r="B54" s="4">
        <v>6001</v>
      </c>
      <c r="C54" s="3" t="s">
        <v>212</v>
      </c>
      <c r="D54" s="4">
        <v>71</v>
      </c>
      <c r="E54" s="3" t="s">
        <v>213</v>
      </c>
      <c r="F54" s="3" t="s">
        <v>57</v>
      </c>
      <c r="G54" s="3" t="s">
        <v>58</v>
      </c>
      <c r="H54" s="5"/>
      <c r="I54">
        <v>0</v>
      </c>
    </row>
    <row r="55" spans="1:9" ht="20.100000000000001" customHeight="1">
      <c r="A55" s="3" t="s">
        <v>209</v>
      </c>
      <c r="B55" s="4">
        <v>6001</v>
      </c>
      <c r="C55" s="3" t="s">
        <v>212</v>
      </c>
      <c r="D55" s="4">
        <v>71</v>
      </c>
      <c r="E55" s="3" t="s">
        <v>213</v>
      </c>
      <c r="F55" s="3" t="s">
        <v>59</v>
      </c>
      <c r="G55" s="3" t="s">
        <v>60</v>
      </c>
      <c r="H55" s="5"/>
      <c r="I55">
        <v>212264.15</v>
      </c>
    </row>
    <row r="56" spans="1:9" ht="20.100000000000001" customHeight="1">
      <c r="A56" s="3" t="s">
        <v>209</v>
      </c>
      <c r="B56" s="4">
        <v>6001</v>
      </c>
      <c r="C56" s="3" t="s">
        <v>212</v>
      </c>
      <c r="D56" s="4">
        <v>71</v>
      </c>
      <c r="E56" s="3" t="s">
        <v>213</v>
      </c>
      <c r="F56" s="3" t="s">
        <v>234</v>
      </c>
      <c r="G56" s="3" t="s">
        <v>235</v>
      </c>
      <c r="H56" s="5"/>
      <c r="I56">
        <v>0</v>
      </c>
    </row>
    <row r="57" spans="1:9" ht="20.100000000000001" customHeight="1">
      <c r="A57" s="3" t="s">
        <v>209</v>
      </c>
      <c r="B57" s="4">
        <v>6001</v>
      </c>
      <c r="C57" s="3" t="s">
        <v>212</v>
      </c>
      <c r="D57" s="4">
        <v>71</v>
      </c>
      <c r="E57" s="3" t="s">
        <v>213</v>
      </c>
      <c r="F57" s="3" t="s">
        <v>63</v>
      </c>
      <c r="G57" s="3" t="s">
        <v>64</v>
      </c>
      <c r="H57" s="5"/>
      <c r="I57">
        <v>0</v>
      </c>
    </row>
    <row r="58" spans="1:9" ht="20.100000000000001" customHeight="1">
      <c r="A58" s="3" t="s">
        <v>209</v>
      </c>
      <c r="B58" s="4">
        <v>6001</v>
      </c>
      <c r="C58" s="3" t="s">
        <v>212</v>
      </c>
      <c r="D58" s="4">
        <v>71</v>
      </c>
      <c r="E58" s="3" t="s">
        <v>213</v>
      </c>
      <c r="F58" s="3" t="s">
        <v>65</v>
      </c>
      <c r="G58" s="3" t="s">
        <v>66</v>
      </c>
      <c r="H58" s="5"/>
      <c r="I58">
        <v>0</v>
      </c>
    </row>
    <row r="59" spans="1:9" ht="20.100000000000001" customHeight="1">
      <c r="A59" s="3" t="s">
        <v>209</v>
      </c>
      <c r="B59" s="4">
        <v>6001</v>
      </c>
      <c r="C59" s="3" t="s">
        <v>212</v>
      </c>
      <c r="D59" s="4">
        <v>71</v>
      </c>
      <c r="E59" s="3" t="s">
        <v>213</v>
      </c>
      <c r="F59" s="3" t="s">
        <v>67</v>
      </c>
      <c r="G59" s="3" t="s">
        <v>68</v>
      </c>
      <c r="H59" s="5"/>
      <c r="I59">
        <v>84706.240000000005</v>
      </c>
    </row>
    <row r="60" spans="1:9" ht="20.100000000000001" customHeight="1">
      <c r="A60" s="3" t="s">
        <v>209</v>
      </c>
      <c r="B60" s="4">
        <v>6001</v>
      </c>
      <c r="C60" s="3" t="s">
        <v>212</v>
      </c>
      <c r="D60" s="4">
        <v>71</v>
      </c>
      <c r="E60" s="3" t="s">
        <v>213</v>
      </c>
      <c r="F60" s="3" t="s">
        <v>69</v>
      </c>
      <c r="G60" s="3" t="s">
        <v>70</v>
      </c>
      <c r="H60" s="5"/>
      <c r="I60">
        <v>-3029.4</v>
      </c>
    </row>
    <row r="61" spans="1:9" ht="20.100000000000001" customHeight="1">
      <c r="A61" s="3" t="s">
        <v>209</v>
      </c>
      <c r="B61" s="4">
        <v>6001</v>
      </c>
      <c r="C61" s="3" t="s">
        <v>212</v>
      </c>
      <c r="D61" s="4">
        <v>71</v>
      </c>
      <c r="E61" s="3" t="s">
        <v>213</v>
      </c>
      <c r="F61" s="3" t="s">
        <v>18</v>
      </c>
      <c r="G61" s="3" t="s">
        <v>19</v>
      </c>
      <c r="H61" s="5"/>
      <c r="I61">
        <v>0</v>
      </c>
    </row>
    <row r="62" spans="1:9" ht="20.100000000000001" customHeight="1">
      <c r="A62" s="3" t="s">
        <v>209</v>
      </c>
      <c r="B62" s="4">
        <v>6001</v>
      </c>
      <c r="C62" s="3" t="s">
        <v>212</v>
      </c>
      <c r="D62" s="4">
        <v>71</v>
      </c>
      <c r="E62" s="3" t="s">
        <v>213</v>
      </c>
      <c r="F62" s="3" t="s">
        <v>73</v>
      </c>
      <c r="G62" s="3" t="s">
        <v>74</v>
      </c>
      <c r="H62" s="5"/>
      <c r="I62">
        <v>0</v>
      </c>
    </row>
    <row r="63" spans="1:9" ht="20.100000000000001" customHeight="1">
      <c r="A63" s="3" t="s">
        <v>209</v>
      </c>
      <c r="B63" s="4">
        <v>6001</v>
      </c>
      <c r="C63" s="3" t="s">
        <v>212</v>
      </c>
      <c r="D63" s="4">
        <v>71</v>
      </c>
      <c r="E63" s="3" t="s">
        <v>213</v>
      </c>
      <c r="F63" s="3" t="s">
        <v>85</v>
      </c>
      <c r="G63" s="3" t="s">
        <v>86</v>
      </c>
      <c r="H63" s="5"/>
      <c r="I63">
        <v>0</v>
      </c>
    </row>
    <row r="64" spans="1:9" ht="20.100000000000001" customHeight="1">
      <c r="A64" s="3" t="s">
        <v>209</v>
      </c>
      <c r="B64" s="4">
        <v>6001</v>
      </c>
      <c r="C64" s="3" t="s">
        <v>212</v>
      </c>
      <c r="D64" s="4">
        <v>71</v>
      </c>
      <c r="E64" s="3" t="s">
        <v>213</v>
      </c>
      <c r="F64" s="3" t="s">
        <v>87</v>
      </c>
      <c r="G64" s="3" t="s">
        <v>88</v>
      </c>
      <c r="H64" s="5"/>
      <c r="I64">
        <v>0</v>
      </c>
    </row>
    <row r="65" spans="1:9" ht="20.100000000000001" customHeight="1">
      <c r="A65" s="3" t="s">
        <v>209</v>
      </c>
      <c r="B65" s="4">
        <v>6001</v>
      </c>
      <c r="C65" s="3" t="s">
        <v>212</v>
      </c>
      <c r="D65" s="4">
        <v>71</v>
      </c>
      <c r="E65" s="3" t="s">
        <v>213</v>
      </c>
      <c r="F65" s="3" t="s">
        <v>91</v>
      </c>
      <c r="G65" s="3" t="s">
        <v>92</v>
      </c>
      <c r="H65" s="5"/>
      <c r="I65">
        <v>0</v>
      </c>
    </row>
    <row r="66" spans="1:9" s="20" customFormat="1" ht="20.100000000000001" customHeight="1">
      <c r="A66" s="3" t="s">
        <v>209</v>
      </c>
      <c r="B66" s="4">
        <v>6001</v>
      </c>
      <c r="C66" s="3" t="s">
        <v>212</v>
      </c>
      <c r="D66" s="4">
        <v>71</v>
      </c>
      <c r="E66" s="3" t="s">
        <v>213</v>
      </c>
      <c r="F66" s="3" t="s">
        <v>93</v>
      </c>
      <c r="G66" s="3" t="s">
        <v>94</v>
      </c>
      <c r="H66" s="5"/>
      <c r="I66">
        <v>0</v>
      </c>
    </row>
    <row r="67" spans="1:9" s="20" customFormat="1" ht="20.100000000000001" customHeight="1">
      <c r="A67" s="3" t="s">
        <v>209</v>
      </c>
      <c r="B67" s="4">
        <v>6001</v>
      </c>
      <c r="C67" s="3" t="s">
        <v>212</v>
      </c>
      <c r="D67" s="4">
        <v>71</v>
      </c>
      <c r="E67" s="3" t="s">
        <v>213</v>
      </c>
      <c r="F67" s="3" t="s">
        <v>95</v>
      </c>
      <c r="G67" s="3" t="s">
        <v>96</v>
      </c>
      <c r="H67" s="5"/>
      <c r="I67">
        <v>0</v>
      </c>
    </row>
    <row r="68" spans="1:9" ht="20.100000000000001" customHeight="1">
      <c r="A68" s="3" t="s">
        <v>209</v>
      </c>
      <c r="B68" s="4">
        <v>6001</v>
      </c>
      <c r="C68" s="3" t="s">
        <v>212</v>
      </c>
      <c r="D68" s="4">
        <v>71</v>
      </c>
      <c r="E68" s="3" t="s">
        <v>213</v>
      </c>
      <c r="F68" s="3" t="s">
        <v>99</v>
      </c>
      <c r="G68" s="3" t="s">
        <v>100</v>
      </c>
      <c r="H68" s="5"/>
      <c r="I68">
        <v>0</v>
      </c>
    </row>
    <row r="69" spans="1:9" ht="20.100000000000001" customHeight="1">
      <c r="A69" s="3" t="s">
        <v>209</v>
      </c>
      <c r="B69" s="4">
        <v>6001</v>
      </c>
      <c r="C69" s="3" t="s">
        <v>212</v>
      </c>
      <c r="D69" s="4">
        <v>71</v>
      </c>
      <c r="E69" s="3" t="s">
        <v>213</v>
      </c>
      <c r="F69" s="3" t="s">
        <v>101</v>
      </c>
      <c r="G69" s="3" t="s">
        <v>102</v>
      </c>
      <c r="H69" s="5"/>
      <c r="I69">
        <v>0</v>
      </c>
    </row>
    <row r="70" spans="1:9" ht="20.100000000000001" customHeight="1">
      <c r="A70" s="3" t="s">
        <v>209</v>
      </c>
      <c r="B70" s="4">
        <v>6001</v>
      </c>
      <c r="C70" s="3" t="s">
        <v>212</v>
      </c>
      <c r="D70" s="4">
        <v>71</v>
      </c>
      <c r="E70" s="3" t="s">
        <v>213</v>
      </c>
      <c r="F70" s="3" t="s">
        <v>103</v>
      </c>
      <c r="G70" s="3" t="s">
        <v>104</v>
      </c>
      <c r="H70" s="5"/>
      <c r="I70">
        <v>0</v>
      </c>
    </row>
    <row r="71" spans="1:9" ht="20.100000000000001" customHeight="1">
      <c r="A71" s="3" t="s">
        <v>209</v>
      </c>
      <c r="B71" s="4">
        <v>6001</v>
      </c>
      <c r="C71" s="3" t="s">
        <v>212</v>
      </c>
      <c r="D71" s="4">
        <v>71</v>
      </c>
      <c r="E71" s="3" t="s">
        <v>213</v>
      </c>
      <c r="F71" s="3" t="s">
        <v>105</v>
      </c>
      <c r="G71" s="3" t="s">
        <v>106</v>
      </c>
      <c r="H71" s="5"/>
      <c r="I71">
        <v>0</v>
      </c>
    </row>
    <row r="72" spans="1:9" ht="20.100000000000001" customHeight="1">
      <c r="A72" s="3" t="s">
        <v>209</v>
      </c>
      <c r="B72" s="4">
        <v>6001</v>
      </c>
      <c r="C72" s="3" t="s">
        <v>212</v>
      </c>
      <c r="D72" s="4">
        <v>71</v>
      </c>
      <c r="E72" s="3" t="s">
        <v>213</v>
      </c>
      <c r="F72" s="3" t="s">
        <v>107</v>
      </c>
      <c r="G72" s="3" t="s">
        <v>108</v>
      </c>
      <c r="H72" s="5"/>
      <c r="I72">
        <v>0</v>
      </c>
    </row>
    <row r="73" spans="1:9" ht="20.100000000000001" customHeight="1">
      <c r="A73" s="3" t="s">
        <v>209</v>
      </c>
      <c r="B73" s="4">
        <v>6001</v>
      </c>
      <c r="C73" s="3" t="s">
        <v>212</v>
      </c>
      <c r="D73" s="4">
        <v>71</v>
      </c>
      <c r="E73" s="3" t="s">
        <v>213</v>
      </c>
      <c r="F73" s="3" t="s">
        <v>109</v>
      </c>
      <c r="G73" s="3" t="s">
        <v>110</v>
      </c>
      <c r="H73" s="5"/>
      <c r="I73">
        <v>0</v>
      </c>
    </row>
    <row r="74" spans="1:9" ht="20.100000000000001" customHeight="1">
      <c r="A74" s="3" t="s">
        <v>209</v>
      </c>
      <c r="B74" s="4">
        <v>6001</v>
      </c>
      <c r="C74" s="3" t="s">
        <v>212</v>
      </c>
      <c r="D74" s="4">
        <v>71</v>
      </c>
      <c r="E74" s="3" t="s">
        <v>213</v>
      </c>
      <c r="F74" s="3" t="s">
        <v>111</v>
      </c>
      <c r="G74" s="3" t="s">
        <v>112</v>
      </c>
      <c r="H74" s="5"/>
      <c r="I74">
        <v>0</v>
      </c>
    </row>
    <row r="75" spans="1:9" ht="20.100000000000001" customHeight="1">
      <c r="A75" s="3" t="s">
        <v>209</v>
      </c>
      <c r="B75" s="4">
        <v>6001</v>
      </c>
      <c r="C75" s="3" t="s">
        <v>212</v>
      </c>
      <c r="D75" s="4">
        <v>71</v>
      </c>
      <c r="E75" s="3" t="s">
        <v>213</v>
      </c>
      <c r="F75" s="3" t="s">
        <v>117</v>
      </c>
      <c r="G75" s="3" t="s">
        <v>118</v>
      </c>
      <c r="H75" s="5"/>
      <c r="I75">
        <v>0</v>
      </c>
    </row>
    <row r="76" spans="1:9" ht="20.100000000000001" customHeight="1">
      <c r="A76" s="3" t="s">
        <v>209</v>
      </c>
      <c r="B76" s="4">
        <v>6001</v>
      </c>
      <c r="C76" s="3" t="s">
        <v>212</v>
      </c>
      <c r="D76" s="4">
        <v>71</v>
      </c>
      <c r="E76" s="3" t="s">
        <v>213</v>
      </c>
      <c r="F76" s="3" t="s">
        <v>119</v>
      </c>
      <c r="G76" s="3" t="s">
        <v>120</v>
      </c>
      <c r="H76" s="5"/>
      <c r="I76">
        <v>0</v>
      </c>
    </row>
    <row r="77" spans="1:9" ht="20.100000000000001" customHeight="1">
      <c r="A77" s="3" t="s">
        <v>209</v>
      </c>
      <c r="B77" s="4">
        <v>6001</v>
      </c>
      <c r="C77" s="3" t="s">
        <v>212</v>
      </c>
      <c r="D77" s="4">
        <v>71</v>
      </c>
      <c r="E77" s="3" t="s">
        <v>213</v>
      </c>
      <c r="F77" s="3" t="s">
        <v>121</v>
      </c>
      <c r="G77" s="3" t="s">
        <v>122</v>
      </c>
      <c r="H77" s="5"/>
      <c r="I77">
        <v>0</v>
      </c>
    </row>
    <row r="78" spans="1:9" ht="20.100000000000001" customHeight="1">
      <c r="A78" s="3" t="s">
        <v>209</v>
      </c>
      <c r="B78" s="4">
        <v>6001</v>
      </c>
      <c r="C78" s="3" t="s">
        <v>212</v>
      </c>
      <c r="D78" s="4">
        <v>71</v>
      </c>
      <c r="E78" s="3" t="s">
        <v>213</v>
      </c>
      <c r="F78" s="3" t="s">
        <v>236</v>
      </c>
      <c r="G78" s="3" t="s">
        <v>237</v>
      </c>
      <c r="H78" s="5"/>
      <c r="I78">
        <v>0</v>
      </c>
    </row>
    <row r="79" spans="1:9" ht="20.100000000000001" customHeight="1">
      <c r="A79" s="3" t="s">
        <v>209</v>
      </c>
      <c r="B79" s="4">
        <v>6001</v>
      </c>
      <c r="C79" s="3" t="s">
        <v>212</v>
      </c>
      <c r="D79" s="4">
        <v>71</v>
      </c>
      <c r="E79" s="3" t="s">
        <v>213</v>
      </c>
      <c r="F79" s="3" t="s">
        <v>123</v>
      </c>
      <c r="G79" s="3" t="s">
        <v>124</v>
      </c>
      <c r="H79" s="5"/>
      <c r="I79">
        <v>0</v>
      </c>
    </row>
    <row r="80" spans="1:9" ht="20.100000000000001" customHeight="1">
      <c r="A80" s="3" t="s">
        <v>209</v>
      </c>
      <c r="B80" s="4">
        <v>6001</v>
      </c>
      <c r="C80" s="3" t="s">
        <v>212</v>
      </c>
      <c r="D80" s="4">
        <v>71</v>
      </c>
      <c r="E80" s="3" t="s">
        <v>213</v>
      </c>
      <c r="F80" s="3" t="s">
        <v>127</v>
      </c>
      <c r="G80" s="3" t="s">
        <v>128</v>
      </c>
      <c r="H80" s="5"/>
      <c r="I80">
        <v>341880.35</v>
      </c>
    </row>
    <row r="81" spans="1:9" ht="20.100000000000001" customHeight="1">
      <c r="A81" s="3" t="s">
        <v>209</v>
      </c>
      <c r="B81" s="4">
        <v>6001</v>
      </c>
      <c r="C81" s="3" t="s">
        <v>212</v>
      </c>
      <c r="D81" s="4">
        <v>71</v>
      </c>
      <c r="E81" s="3" t="s">
        <v>213</v>
      </c>
      <c r="F81" s="3" t="s">
        <v>129</v>
      </c>
      <c r="G81" s="3" t="s">
        <v>130</v>
      </c>
      <c r="H81" s="5"/>
      <c r="I81">
        <v>0</v>
      </c>
    </row>
    <row r="82" spans="1:9" ht="20.100000000000001" customHeight="1">
      <c r="A82" s="3" t="s">
        <v>209</v>
      </c>
      <c r="B82" s="4">
        <v>6001</v>
      </c>
      <c r="C82" s="3" t="s">
        <v>212</v>
      </c>
      <c r="D82" s="4">
        <v>71</v>
      </c>
      <c r="E82" s="3" t="s">
        <v>213</v>
      </c>
      <c r="F82" s="3" t="s">
        <v>143</v>
      </c>
      <c r="G82" s="3" t="s">
        <v>144</v>
      </c>
      <c r="H82" s="5"/>
      <c r="I82">
        <v>0</v>
      </c>
    </row>
    <row r="83" spans="1:9" ht="20.100000000000001" customHeight="1">
      <c r="A83" s="3" t="s">
        <v>209</v>
      </c>
      <c r="B83" s="4">
        <v>6001</v>
      </c>
      <c r="C83" s="3" t="s">
        <v>212</v>
      </c>
      <c r="D83" s="4">
        <v>71</v>
      </c>
      <c r="E83" s="3" t="s">
        <v>213</v>
      </c>
      <c r="F83" s="3" t="s">
        <v>147</v>
      </c>
      <c r="G83" s="3" t="s">
        <v>148</v>
      </c>
      <c r="H83" s="5"/>
      <c r="I83">
        <v>0</v>
      </c>
    </row>
    <row r="84" spans="1:9" ht="20.100000000000001" customHeight="1">
      <c r="A84" s="3" t="s">
        <v>209</v>
      </c>
      <c r="B84" s="4">
        <v>6001</v>
      </c>
      <c r="C84" s="3" t="s">
        <v>212</v>
      </c>
      <c r="D84" s="4">
        <v>71</v>
      </c>
      <c r="E84" s="3" t="s">
        <v>213</v>
      </c>
      <c r="F84" s="3" t="s">
        <v>149</v>
      </c>
      <c r="G84" s="3" t="s">
        <v>150</v>
      </c>
      <c r="H84" s="5"/>
      <c r="I84">
        <v>0</v>
      </c>
    </row>
    <row r="85" spans="1:9" ht="20.100000000000001" customHeight="1">
      <c r="A85" s="3" t="s">
        <v>209</v>
      </c>
      <c r="B85" s="4">
        <v>6001</v>
      </c>
      <c r="C85" s="3" t="s">
        <v>212</v>
      </c>
      <c r="D85" s="4">
        <v>71</v>
      </c>
      <c r="E85" s="3" t="s">
        <v>213</v>
      </c>
      <c r="F85" s="3" t="s">
        <v>151</v>
      </c>
      <c r="G85" s="3" t="s">
        <v>152</v>
      </c>
      <c r="H85" s="5"/>
      <c r="I85">
        <v>0</v>
      </c>
    </row>
    <row r="86" spans="1:9" ht="20.100000000000001" customHeight="1">
      <c r="A86" s="3" t="s">
        <v>209</v>
      </c>
      <c r="B86" s="4">
        <v>6001</v>
      </c>
      <c r="C86" s="3" t="s">
        <v>212</v>
      </c>
      <c r="D86" s="4">
        <v>71</v>
      </c>
      <c r="E86" s="3" t="s">
        <v>213</v>
      </c>
      <c r="F86" s="3" t="s">
        <v>155</v>
      </c>
      <c r="G86" s="3" t="s">
        <v>156</v>
      </c>
      <c r="H86" s="5"/>
      <c r="I86">
        <v>0</v>
      </c>
    </row>
    <row r="87" spans="1:9" ht="20.100000000000001" customHeight="1">
      <c r="A87" s="3" t="s">
        <v>209</v>
      </c>
      <c r="B87" s="4">
        <v>6001</v>
      </c>
      <c r="C87" s="3" t="s">
        <v>212</v>
      </c>
      <c r="D87" s="4">
        <v>71</v>
      </c>
      <c r="E87" s="3" t="s">
        <v>213</v>
      </c>
      <c r="F87" s="3" t="s">
        <v>157</v>
      </c>
      <c r="G87" s="3" t="s">
        <v>158</v>
      </c>
      <c r="H87" s="5"/>
      <c r="I87">
        <v>0</v>
      </c>
    </row>
    <row r="88" spans="1:9" ht="20.100000000000001" customHeight="1">
      <c r="A88" s="3" t="s">
        <v>209</v>
      </c>
      <c r="B88" s="4">
        <v>6001</v>
      </c>
      <c r="C88" s="3" t="s">
        <v>212</v>
      </c>
      <c r="D88" s="4">
        <v>71</v>
      </c>
      <c r="E88" s="3" t="s">
        <v>213</v>
      </c>
      <c r="F88" s="3" t="s">
        <v>165</v>
      </c>
      <c r="G88" s="3" t="s">
        <v>166</v>
      </c>
      <c r="H88" s="5"/>
      <c r="I88">
        <v>0</v>
      </c>
    </row>
    <row r="89" spans="1:9" ht="20.100000000000001" customHeight="1">
      <c r="A89" s="3" t="s">
        <v>209</v>
      </c>
      <c r="B89" s="4">
        <v>6001</v>
      </c>
      <c r="C89" s="3" t="s">
        <v>212</v>
      </c>
      <c r="D89" s="4">
        <v>71</v>
      </c>
      <c r="E89" s="3" t="s">
        <v>213</v>
      </c>
      <c r="F89" s="3" t="s">
        <v>169</v>
      </c>
      <c r="G89" s="3" t="s">
        <v>170</v>
      </c>
      <c r="H89" s="5"/>
      <c r="I89">
        <v>19591.32</v>
      </c>
    </row>
    <row r="90" spans="1:9" ht="20.100000000000001" customHeight="1">
      <c r="A90" s="3" t="s">
        <v>209</v>
      </c>
      <c r="B90" s="4">
        <v>6001</v>
      </c>
      <c r="C90" s="3" t="s">
        <v>212</v>
      </c>
      <c r="D90" s="4">
        <v>71</v>
      </c>
      <c r="E90" s="3" t="s">
        <v>213</v>
      </c>
      <c r="F90" s="3" t="s">
        <v>171</v>
      </c>
      <c r="G90" s="3" t="s">
        <v>172</v>
      </c>
      <c r="H90" s="5"/>
      <c r="I90">
        <v>0</v>
      </c>
    </row>
    <row r="91" spans="1:9" ht="20.100000000000001" customHeight="1">
      <c r="A91" s="3" t="s">
        <v>209</v>
      </c>
      <c r="B91" s="4">
        <v>6001</v>
      </c>
      <c r="C91" s="3" t="s">
        <v>212</v>
      </c>
      <c r="D91" s="4">
        <v>71</v>
      </c>
      <c r="E91" s="3" t="s">
        <v>213</v>
      </c>
      <c r="F91" s="3" t="s">
        <v>179</v>
      </c>
      <c r="G91" s="3" t="s">
        <v>180</v>
      </c>
      <c r="H91" s="5"/>
      <c r="I91">
        <v>0</v>
      </c>
    </row>
    <row r="92" spans="1:9" ht="20.100000000000001" customHeight="1">
      <c r="A92" s="3" t="s">
        <v>209</v>
      </c>
      <c r="B92" s="4">
        <v>6001</v>
      </c>
      <c r="C92" s="3" t="s">
        <v>212</v>
      </c>
      <c r="D92" s="4">
        <v>71</v>
      </c>
      <c r="E92" s="3" t="s">
        <v>213</v>
      </c>
      <c r="F92" s="3" t="s">
        <v>187</v>
      </c>
      <c r="G92" s="3" t="s">
        <v>188</v>
      </c>
      <c r="H92" s="5"/>
      <c r="I92">
        <v>0</v>
      </c>
    </row>
    <row r="93" spans="1:9" ht="20.100000000000001" customHeight="1">
      <c r="A93" s="3" t="s">
        <v>209</v>
      </c>
      <c r="B93" s="4">
        <v>6001</v>
      </c>
      <c r="C93" s="3" t="s">
        <v>212</v>
      </c>
      <c r="D93" s="4">
        <v>71</v>
      </c>
      <c r="E93" s="3" t="s">
        <v>213</v>
      </c>
      <c r="F93" s="3" t="s">
        <v>193</v>
      </c>
      <c r="G93" s="3" t="s">
        <v>194</v>
      </c>
      <c r="H93" s="5"/>
      <c r="I93">
        <v>0</v>
      </c>
    </row>
    <row r="94" spans="1:9" ht="24">
      <c r="A94" s="3" t="s">
        <v>209</v>
      </c>
      <c r="B94" s="4">
        <v>6401</v>
      </c>
      <c r="C94" s="3" t="s">
        <v>8</v>
      </c>
      <c r="D94" s="4">
        <v>3704</v>
      </c>
      <c r="E94" s="3" t="s">
        <v>9</v>
      </c>
      <c r="F94" s="3" t="s">
        <v>39</v>
      </c>
      <c r="G94" s="3" t="s">
        <v>40</v>
      </c>
      <c r="I94" s="11">
        <v>-14529.92</v>
      </c>
    </row>
    <row r="95" spans="1:9" ht="20.100000000000001" customHeight="1">
      <c r="A95" s="3" t="s">
        <v>28</v>
      </c>
      <c r="B95" s="3"/>
      <c r="C95" s="3"/>
      <c r="D95" s="3"/>
      <c r="E95" s="3"/>
      <c r="F95" s="3"/>
      <c r="G95" s="3"/>
      <c r="H95" s="6">
        <f>SUM(H3:H93)</f>
        <v>5685353.6800000016</v>
      </c>
    </row>
    <row r="96" spans="1:9" ht="20.100000000000001" customHeight="1">
      <c r="A96" s="8" t="s">
        <v>204</v>
      </c>
      <c r="B96" s="574" t="s">
        <v>205</v>
      </c>
      <c r="C96" s="574" t="s">
        <v>205</v>
      </c>
      <c r="D96" s="574" t="s">
        <v>205</v>
      </c>
      <c r="E96" s="574" t="s">
        <v>205</v>
      </c>
      <c r="F96" s="574" t="s">
        <v>205</v>
      </c>
      <c r="G96" s="574" t="s">
        <v>205</v>
      </c>
      <c r="H96" s="8"/>
    </row>
    <row r="97" spans="1:8" ht="20.100000000000001" customHeight="1">
      <c r="A97" s="1" t="s">
        <v>206</v>
      </c>
      <c r="B97" s="575" t="s">
        <v>207</v>
      </c>
      <c r="C97" s="575" t="s">
        <v>207</v>
      </c>
      <c r="D97" s="575" t="s">
        <v>207</v>
      </c>
      <c r="E97" s="575" t="s">
        <v>207</v>
      </c>
      <c r="F97" s="575" t="s">
        <v>207</v>
      </c>
      <c r="G97" s="575" t="s">
        <v>207</v>
      </c>
      <c r="H97" s="1"/>
    </row>
  </sheetData>
  <autoFilter ref="A2:I97"/>
  <mergeCells count="11">
    <mergeCell ref="B96:G96"/>
    <mergeCell ref="B97:G97"/>
    <mergeCell ref="H1:H2"/>
    <mergeCell ref="I1:I2"/>
    <mergeCell ref="A1:A2"/>
    <mergeCell ref="B1:B2"/>
    <mergeCell ref="C1:C2"/>
    <mergeCell ref="D1:D2"/>
    <mergeCell ref="E1:E2"/>
    <mergeCell ref="F1:F2"/>
    <mergeCell ref="G1:G2"/>
  </mergeCells>
  <phoneticPr fontId="4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1"/>
  <dimension ref="B2:AB47"/>
  <sheetViews>
    <sheetView topLeftCell="B1" workbookViewId="0">
      <pane xSplit="3" ySplit="2" topLeftCell="K3" activePane="bottomRight" state="frozen"/>
      <selection activeCell="M40" sqref="M40"/>
      <selection pane="topRight" activeCell="M40" sqref="M40"/>
      <selection pane="bottomLeft" activeCell="M40" sqref="M40"/>
      <selection pane="bottomRight" activeCell="M40" sqref="M40"/>
    </sheetView>
  </sheetViews>
  <sheetFormatPr defaultRowHeight="12.75"/>
  <cols>
    <col min="2" max="2" width="11.7109375" customWidth="1"/>
    <col min="3" max="3" width="12.5703125" customWidth="1"/>
    <col min="4" max="4" width="42.42578125" bestFit="1" customWidth="1"/>
    <col min="5" max="5" width="13.7109375" hidden="1" customWidth="1"/>
    <col min="6" max="6" width="15.85546875" style="132" hidden="1" customWidth="1"/>
    <col min="7" max="7" width="11.5703125" hidden="1" customWidth="1"/>
    <col min="8" max="8" width="14" style="132" hidden="1" customWidth="1"/>
    <col min="9" max="10" width="13.28515625" hidden="1" customWidth="1"/>
    <col min="11" max="11" width="12.28515625" hidden="1" customWidth="1"/>
    <col min="12" max="12" width="13.28515625" hidden="1" customWidth="1"/>
    <col min="13" max="13" width="0" hidden="1" customWidth="1"/>
    <col min="14" max="14" width="12.140625" hidden="1" customWidth="1"/>
    <col min="15" max="15" width="12.28515625" hidden="1" customWidth="1"/>
    <col min="16" max="16" width="0" hidden="1" customWidth="1"/>
    <col min="17" max="18" width="11.140625" hidden="1" customWidth="1"/>
    <col min="19" max="20" width="0" hidden="1" customWidth="1"/>
    <col min="21" max="21" width="11.140625" hidden="1" customWidth="1"/>
    <col min="22" max="22" width="0" hidden="1" customWidth="1"/>
    <col min="23" max="23" width="11.140625" hidden="1" customWidth="1"/>
    <col min="24" max="24" width="12.28515625" hidden="1" customWidth="1"/>
    <col min="25" max="25" width="0" hidden="1" customWidth="1"/>
    <col min="26" max="26" width="13" hidden="1" customWidth="1"/>
    <col min="27" max="27" width="12.28515625" bestFit="1" customWidth="1"/>
  </cols>
  <sheetData>
    <row r="2" spans="2:28" ht="33">
      <c r="B2" s="273" t="s">
        <v>728</v>
      </c>
      <c r="C2" s="273" t="s">
        <v>729</v>
      </c>
      <c r="D2" s="273" t="s">
        <v>730</v>
      </c>
      <c r="E2" s="273" t="s">
        <v>731</v>
      </c>
      <c r="F2" s="274" t="s">
        <v>923</v>
      </c>
      <c r="G2" s="280" t="s">
        <v>733</v>
      </c>
      <c r="H2" s="320" t="s">
        <v>943</v>
      </c>
      <c r="I2" s="273" t="s">
        <v>944</v>
      </c>
      <c r="J2" s="280" t="s">
        <v>733</v>
      </c>
      <c r="K2" s="322" t="s">
        <v>956</v>
      </c>
      <c r="L2" s="280" t="s">
        <v>957</v>
      </c>
      <c r="M2" s="280" t="s">
        <v>733</v>
      </c>
      <c r="N2" s="322" t="s">
        <v>1010</v>
      </c>
      <c r="O2" s="280" t="s">
        <v>1012</v>
      </c>
      <c r="P2" s="280" t="s">
        <v>733</v>
      </c>
      <c r="Q2" s="322" t="s">
        <v>1055</v>
      </c>
      <c r="R2" s="280" t="s">
        <v>1056</v>
      </c>
      <c r="S2" s="274" t="s">
        <v>890</v>
      </c>
      <c r="T2" s="273" t="s">
        <v>1164</v>
      </c>
      <c r="U2" s="273" t="s">
        <v>1165</v>
      </c>
      <c r="V2" s="274" t="s">
        <v>890</v>
      </c>
      <c r="W2" s="273" t="s">
        <v>1261</v>
      </c>
      <c r="X2" s="273" t="s">
        <v>1262</v>
      </c>
      <c r="Y2" s="274" t="s">
        <v>890</v>
      </c>
      <c r="Z2" s="273" t="s">
        <v>1295</v>
      </c>
      <c r="AA2" s="273" t="s">
        <v>1297</v>
      </c>
      <c r="AB2" s="274" t="s">
        <v>890</v>
      </c>
    </row>
    <row r="3" spans="2:28" ht="16.5">
      <c r="B3" s="259" t="s">
        <v>736</v>
      </c>
      <c r="C3" s="3" t="s">
        <v>438</v>
      </c>
      <c r="D3" s="3" t="s">
        <v>436</v>
      </c>
      <c r="E3" s="261">
        <v>43221</v>
      </c>
      <c r="F3" s="265">
        <v>158612.31</v>
      </c>
      <c r="G3" s="135" t="s">
        <v>458</v>
      </c>
      <c r="H3" s="265"/>
      <c r="I3" s="292">
        <f t="shared" ref="I3:I8" si="0">F3-H3</f>
        <v>158612.31</v>
      </c>
      <c r="J3" s="135" t="s">
        <v>880</v>
      </c>
      <c r="L3" s="292">
        <f t="shared" ref="L3:L8" si="1">I3-K3</f>
        <v>158612.31</v>
      </c>
      <c r="M3" t="s">
        <v>377</v>
      </c>
      <c r="N3" s="348">
        <f>62000-2212.11+(10300/1.06)</f>
        <v>69504.871132075466</v>
      </c>
      <c r="O3" s="206">
        <f t="shared" ref="O3:O8" si="2">L3-N3</f>
        <v>89107.438867924531</v>
      </c>
      <c r="P3" t="s">
        <v>1063</v>
      </c>
      <c r="Q3" s="132">
        <f>76700/1.06+16748.95</f>
        <v>89107.440566037723</v>
      </c>
      <c r="R3" s="132">
        <f>O3-Q3</f>
        <v>-1.6981131921056658E-3</v>
      </c>
      <c r="S3" s="361" t="s">
        <v>1186</v>
      </c>
      <c r="U3" s="287">
        <f>R3-T3</f>
        <v>-1.6981131921056658E-3</v>
      </c>
      <c r="V3" s="361" t="s">
        <v>1210</v>
      </c>
      <c r="AA3" s="287">
        <f>U3-Z3</f>
        <v>-1.6981131921056658E-3</v>
      </c>
    </row>
    <row r="4" spans="2:28" ht="16.5">
      <c r="B4" s="259" t="s">
        <v>736</v>
      </c>
      <c r="C4" s="3" t="s">
        <v>228</v>
      </c>
      <c r="D4" s="3" t="s">
        <v>229</v>
      </c>
      <c r="E4" s="261">
        <v>43221</v>
      </c>
      <c r="F4" s="148">
        <v>789.77</v>
      </c>
      <c r="G4" s="135" t="s">
        <v>458</v>
      </c>
      <c r="H4" s="265"/>
      <c r="I4" s="292">
        <f t="shared" si="0"/>
        <v>789.77</v>
      </c>
      <c r="J4" s="135" t="s">
        <v>880</v>
      </c>
      <c r="L4" s="292">
        <f t="shared" si="1"/>
        <v>789.77</v>
      </c>
      <c r="M4" t="s">
        <v>377</v>
      </c>
      <c r="N4" s="20">
        <v>789.77</v>
      </c>
      <c r="O4" s="206">
        <f t="shared" si="2"/>
        <v>0</v>
      </c>
      <c r="P4" t="s">
        <v>1063</v>
      </c>
      <c r="R4" s="132">
        <f t="shared" ref="R4:R8" si="3">O4-Q4</f>
        <v>0</v>
      </c>
      <c r="S4" s="361" t="s">
        <v>1186</v>
      </c>
      <c r="U4" s="287">
        <f t="shared" ref="U4:U8" si="4">R4-T4</f>
        <v>0</v>
      </c>
      <c r="V4" s="361" t="s">
        <v>1210</v>
      </c>
      <c r="AA4" s="287">
        <f t="shared" ref="AA4:AA9" si="5">U4-Z4</f>
        <v>0</v>
      </c>
    </row>
    <row r="5" spans="2:28" ht="16.5">
      <c r="B5" s="259" t="s">
        <v>736</v>
      </c>
      <c r="C5" s="3" t="s">
        <v>26</v>
      </c>
      <c r="D5" s="3" t="s">
        <v>27</v>
      </c>
      <c r="E5" s="261">
        <v>43221</v>
      </c>
      <c r="F5" s="148">
        <v>26358.54</v>
      </c>
      <c r="G5" s="135" t="s">
        <v>458</v>
      </c>
      <c r="H5" s="265"/>
      <c r="I5" s="292">
        <f t="shared" si="0"/>
        <v>26358.54</v>
      </c>
      <c r="J5" s="135" t="s">
        <v>880</v>
      </c>
      <c r="L5" s="292">
        <f t="shared" si="1"/>
        <v>26358.54</v>
      </c>
      <c r="M5" t="s">
        <v>377</v>
      </c>
      <c r="N5" s="20">
        <v>26358.54</v>
      </c>
      <c r="O5" s="206">
        <f t="shared" si="2"/>
        <v>0</v>
      </c>
      <c r="P5" t="s">
        <v>1063</v>
      </c>
      <c r="R5" s="132">
        <f t="shared" si="3"/>
        <v>0</v>
      </c>
      <c r="S5" s="361" t="s">
        <v>1186</v>
      </c>
      <c r="U5" s="287">
        <f t="shared" si="4"/>
        <v>0</v>
      </c>
      <c r="V5" s="361" t="s">
        <v>1210</v>
      </c>
      <c r="AA5" s="287">
        <f t="shared" si="5"/>
        <v>0</v>
      </c>
    </row>
    <row r="6" spans="2:28" ht="16.5">
      <c r="B6" s="259" t="s">
        <v>736</v>
      </c>
      <c r="C6" s="3" t="s">
        <v>230</v>
      </c>
      <c r="D6" s="3" t="s">
        <v>231</v>
      </c>
      <c r="E6" s="261">
        <v>43221</v>
      </c>
      <c r="F6" s="148">
        <v>10760.61</v>
      </c>
      <c r="G6" s="135" t="s">
        <v>458</v>
      </c>
      <c r="H6" s="265"/>
      <c r="I6" s="292">
        <f t="shared" si="0"/>
        <v>10760.61</v>
      </c>
      <c r="J6" s="135" t="s">
        <v>880</v>
      </c>
      <c r="L6" s="292">
        <f t="shared" si="1"/>
        <v>10760.61</v>
      </c>
      <c r="M6" t="s">
        <v>377</v>
      </c>
      <c r="N6" s="20">
        <v>10760.61</v>
      </c>
      <c r="O6" s="206">
        <f t="shared" si="2"/>
        <v>0</v>
      </c>
      <c r="P6" t="s">
        <v>1063</v>
      </c>
      <c r="R6" s="132">
        <f t="shared" si="3"/>
        <v>0</v>
      </c>
      <c r="S6" s="361" t="s">
        <v>1186</v>
      </c>
      <c r="U6" s="287">
        <f t="shared" si="4"/>
        <v>0</v>
      </c>
      <c r="V6" s="361" t="s">
        <v>1210</v>
      </c>
      <c r="AA6" s="287">
        <f t="shared" si="5"/>
        <v>0</v>
      </c>
    </row>
    <row r="7" spans="2:28" ht="17.25" thickBot="1">
      <c r="B7" s="259" t="s">
        <v>947</v>
      </c>
      <c r="C7" s="310" t="s">
        <v>22</v>
      </c>
      <c r="D7" s="310" t="s">
        <v>23</v>
      </c>
      <c r="E7" s="261">
        <v>43221</v>
      </c>
      <c r="F7" s="314">
        <v>510.03</v>
      </c>
      <c r="G7" s="135" t="s">
        <v>458</v>
      </c>
      <c r="H7" s="265"/>
      <c r="I7" s="292">
        <f t="shared" si="0"/>
        <v>510.03</v>
      </c>
      <c r="J7" s="135" t="s">
        <v>880</v>
      </c>
      <c r="K7" s="20">
        <v>510.03</v>
      </c>
      <c r="L7" s="206">
        <f t="shared" si="1"/>
        <v>0</v>
      </c>
      <c r="M7" t="s">
        <v>377</v>
      </c>
      <c r="O7" s="206">
        <f t="shared" si="2"/>
        <v>0</v>
      </c>
      <c r="P7" t="s">
        <v>1063</v>
      </c>
      <c r="R7" s="132">
        <f t="shared" si="3"/>
        <v>0</v>
      </c>
      <c r="S7" s="361" t="s">
        <v>1186</v>
      </c>
      <c r="U7" s="287">
        <f t="shared" si="4"/>
        <v>0</v>
      </c>
      <c r="V7" s="361" t="s">
        <v>1210</v>
      </c>
      <c r="AA7" s="287">
        <f t="shared" si="5"/>
        <v>0</v>
      </c>
    </row>
    <row r="8" spans="2:28" ht="17.25" thickBot="1">
      <c r="B8" s="259" t="s">
        <v>947</v>
      </c>
      <c r="C8" s="310" t="s">
        <v>819</v>
      </c>
      <c r="D8" s="310" t="s">
        <v>948</v>
      </c>
      <c r="E8" s="261">
        <v>43221</v>
      </c>
      <c r="F8" s="315">
        <v>24176.6</v>
      </c>
      <c r="G8" s="135" t="s">
        <v>458</v>
      </c>
      <c r="H8" s="265"/>
      <c r="I8" s="292">
        <f t="shared" si="0"/>
        <v>24176.6</v>
      </c>
      <c r="J8" s="135" t="s">
        <v>880</v>
      </c>
      <c r="L8" s="206">
        <f t="shared" si="1"/>
        <v>24176.6</v>
      </c>
      <c r="M8" t="s">
        <v>377</v>
      </c>
      <c r="O8" s="206">
        <f t="shared" si="2"/>
        <v>24176.6</v>
      </c>
      <c r="P8" t="s">
        <v>1063</v>
      </c>
      <c r="R8" s="132">
        <f t="shared" si="3"/>
        <v>24176.6</v>
      </c>
      <c r="S8" s="361" t="s">
        <v>1186</v>
      </c>
      <c r="U8" s="287">
        <f t="shared" si="4"/>
        <v>24176.6</v>
      </c>
      <c r="V8" s="361" t="s">
        <v>1210</v>
      </c>
      <c r="AA8" s="287">
        <f t="shared" si="5"/>
        <v>24176.6</v>
      </c>
    </row>
    <row r="9" spans="2:28">
      <c r="B9" s="271"/>
      <c r="C9" s="271"/>
      <c r="D9" s="271"/>
      <c r="E9" s="271"/>
      <c r="F9" s="284">
        <f>SUM(F3:F8)</f>
        <v>221207.86</v>
      </c>
      <c r="G9" s="285"/>
      <c r="H9" s="321">
        <f>SUM(H3:H8)</f>
        <v>0</v>
      </c>
      <c r="I9" s="284">
        <f>SUM(I3:I8)</f>
        <v>221207.86</v>
      </c>
      <c r="J9" s="326"/>
      <c r="K9" s="321">
        <f>SUM(K3:K8)</f>
        <v>510.03</v>
      </c>
      <c r="L9" s="284">
        <f>SUM(L3:L8)</f>
        <v>220697.83</v>
      </c>
      <c r="M9" s="326"/>
      <c r="N9" s="338">
        <f>SUM(N3:N8)</f>
        <v>107413.79113207546</v>
      </c>
      <c r="O9" s="284">
        <f>SUM(O3:O8)</f>
        <v>113284.03886792454</v>
      </c>
      <c r="P9" s="284"/>
      <c r="Q9" s="284"/>
      <c r="R9" s="284">
        <f>SUM(R3:R8)</f>
        <v>24176.598301886806</v>
      </c>
      <c r="S9" s="284" t="s">
        <v>1186</v>
      </c>
      <c r="T9" s="284"/>
      <c r="U9" s="284">
        <f>SUM(U3:U8)</f>
        <v>24176.598301886806</v>
      </c>
      <c r="V9" s="284" t="s">
        <v>1210</v>
      </c>
      <c r="W9" s="284"/>
      <c r="X9" s="284"/>
      <c r="Y9" s="284"/>
      <c r="Z9" s="284"/>
      <c r="AA9" s="284">
        <f t="shared" si="5"/>
        <v>24176.598301886806</v>
      </c>
      <c r="AB9" s="284"/>
    </row>
    <row r="12" spans="2:28" ht="33">
      <c r="B12" s="273" t="s">
        <v>728</v>
      </c>
      <c r="C12" s="273" t="s">
        <v>729</v>
      </c>
      <c r="D12" s="273" t="s">
        <v>730</v>
      </c>
      <c r="E12" s="273" t="s">
        <v>731</v>
      </c>
      <c r="F12" s="298" t="s">
        <v>923</v>
      </c>
      <c r="G12" s="280" t="s">
        <v>733</v>
      </c>
      <c r="H12" s="322" t="s">
        <v>945</v>
      </c>
      <c r="I12" s="280" t="s">
        <v>946</v>
      </c>
      <c r="J12" s="280" t="s">
        <v>733</v>
      </c>
      <c r="K12" s="322" t="s">
        <v>956</v>
      </c>
      <c r="L12" s="280" t="s">
        <v>957</v>
      </c>
      <c r="M12" s="280" t="s">
        <v>733</v>
      </c>
      <c r="N12" s="322" t="s">
        <v>1010</v>
      </c>
      <c r="O12" s="280" t="s">
        <v>1012</v>
      </c>
      <c r="P12" s="280" t="s">
        <v>733</v>
      </c>
      <c r="Q12" s="322" t="s">
        <v>1055</v>
      </c>
      <c r="R12" s="280" t="s">
        <v>1056</v>
      </c>
      <c r="S12" s="274" t="s">
        <v>890</v>
      </c>
      <c r="T12" s="273" t="s">
        <v>1164</v>
      </c>
      <c r="U12" s="273" t="s">
        <v>1165</v>
      </c>
      <c r="V12" s="274" t="s">
        <v>890</v>
      </c>
      <c r="W12" s="273" t="s">
        <v>1261</v>
      </c>
      <c r="X12" s="273" t="s">
        <v>1262</v>
      </c>
      <c r="Y12" s="274" t="s">
        <v>890</v>
      </c>
      <c r="Z12" s="273" t="s">
        <v>1295</v>
      </c>
      <c r="AA12" s="273" t="s">
        <v>1297</v>
      </c>
      <c r="AB12" s="274" t="s">
        <v>890</v>
      </c>
    </row>
    <row r="13" spans="2:28" ht="16.5" hidden="1">
      <c r="B13" s="259" t="s">
        <v>755</v>
      </c>
      <c r="C13" s="3" t="s">
        <v>822</v>
      </c>
      <c r="D13" s="308" t="s">
        <v>836</v>
      </c>
      <c r="E13" s="261">
        <v>43221</v>
      </c>
      <c r="F13" s="297">
        <f>21564.83+45925.75</f>
        <v>67490.58</v>
      </c>
      <c r="G13" s="294" t="s">
        <v>939</v>
      </c>
      <c r="H13" s="265"/>
      <c r="I13" s="294">
        <f>F13-H13</f>
        <v>67490.58</v>
      </c>
      <c r="J13" s="294" t="s">
        <v>462</v>
      </c>
      <c r="K13" s="20">
        <v>43344.84</v>
      </c>
      <c r="L13" s="206">
        <f>I13-K13</f>
        <v>24145.740000000005</v>
      </c>
      <c r="M13" t="s">
        <v>691</v>
      </c>
      <c r="O13" s="206">
        <f t="shared" ref="O13:O26" si="6">L13-N13</f>
        <v>24145.740000000005</v>
      </c>
      <c r="P13" t="s">
        <v>1071</v>
      </c>
      <c r="R13" s="132">
        <f t="shared" ref="R13:R26" si="7">O13-Q13</f>
        <v>24145.740000000005</v>
      </c>
      <c r="S13" s="361" t="s">
        <v>1178</v>
      </c>
      <c r="U13" s="287">
        <f>R13-T13</f>
        <v>24145.740000000005</v>
      </c>
      <c r="V13" s="361" t="s">
        <v>1178</v>
      </c>
      <c r="W13" s="287">
        <f>U13</f>
        <v>24145.740000000005</v>
      </c>
      <c r="X13" s="206">
        <f>U13-W13</f>
        <v>0</v>
      </c>
      <c r="AA13" s="206">
        <f>X13-Z13</f>
        <v>0</v>
      </c>
    </row>
    <row r="14" spans="2:28" ht="16.5" hidden="1">
      <c r="B14" s="259" t="s">
        <v>755</v>
      </c>
      <c r="C14" s="3" t="s">
        <v>16</v>
      </c>
      <c r="D14" s="308" t="s">
        <v>929</v>
      </c>
      <c r="E14" s="261">
        <v>43221</v>
      </c>
      <c r="F14" s="297">
        <v>47603.4</v>
      </c>
      <c r="G14" s="294" t="s">
        <v>939</v>
      </c>
      <c r="H14" s="324">
        <f>(1125/1.06-673.54)+251412.06-204196.44</f>
        <v>47603.400754716975</v>
      </c>
      <c r="I14" s="294">
        <f t="shared" ref="I14:I32" si="8">F14-H14</f>
        <v>-7.5471697346074507E-4</v>
      </c>
      <c r="J14" s="294" t="s">
        <v>462</v>
      </c>
      <c r="L14" s="206">
        <f t="shared" ref="L14:L32" si="9">I14-K14</f>
        <v>-7.5471697346074507E-4</v>
      </c>
      <c r="M14" t="s">
        <v>691</v>
      </c>
      <c r="O14" s="206">
        <f t="shared" si="6"/>
        <v>-7.5471697346074507E-4</v>
      </c>
      <c r="P14" t="s">
        <v>1071</v>
      </c>
      <c r="R14" s="132">
        <f t="shared" si="7"/>
        <v>-7.5471697346074507E-4</v>
      </c>
      <c r="S14" s="361" t="s">
        <v>1178</v>
      </c>
      <c r="U14" s="287">
        <f t="shared" ref="U14:U32" si="10">R14-T14</f>
        <v>-7.5471697346074507E-4</v>
      </c>
      <c r="V14" s="361" t="s">
        <v>1178</v>
      </c>
      <c r="X14" s="206">
        <f t="shared" ref="X14:X32" si="11">U14-W14</f>
        <v>-7.5471697346074507E-4</v>
      </c>
      <c r="AA14" s="206">
        <f t="shared" ref="AA14:AA32" si="12">X14-Z14</f>
        <v>-7.5471697346074507E-4</v>
      </c>
    </row>
    <row r="15" spans="2:28" ht="16.5" hidden="1">
      <c r="B15" s="259" t="s">
        <v>755</v>
      </c>
      <c r="C15" s="3" t="s">
        <v>57</v>
      </c>
      <c r="D15" s="308" t="s">
        <v>933</v>
      </c>
      <c r="E15" s="261">
        <v>43222</v>
      </c>
      <c r="F15" s="297">
        <v>99326.89</v>
      </c>
      <c r="G15" s="294" t="s">
        <v>939</v>
      </c>
      <c r="H15" s="324">
        <f>251412.06-47215.62-99326.89-5542.66</f>
        <v>99326.89</v>
      </c>
      <c r="I15" s="294">
        <f t="shared" si="8"/>
        <v>0</v>
      </c>
      <c r="J15" s="294" t="s">
        <v>462</v>
      </c>
      <c r="L15" s="206">
        <f t="shared" si="9"/>
        <v>0</v>
      </c>
      <c r="M15" t="s">
        <v>691</v>
      </c>
      <c r="O15" s="206">
        <f t="shared" si="6"/>
        <v>0</v>
      </c>
      <c r="P15" t="s">
        <v>1071</v>
      </c>
      <c r="R15" s="132">
        <f t="shared" si="7"/>
        <v>0</v>
      </c>
      <c r="S15" s="361" t="s">
        <v>1178</v>
      </c>
      <c r="U15" s="287">
        <f t="shared" si="10"/>
        <v>0</v>
      </c>
      <c r="V15" s="361" t="s">
        <v>1178</v>
      </c>
      <c r="X15" s="206">
        <f t="shared" si="11"/>
        <v>0</v>
      </c>
      <c r="AA15" s="206">
        <f t="shared" si="12"/>
        <v>0</v>
      </c>
    </row>
    <row r="16" spans="2:28" ht="16.5" hidden="1">
      <c r="B16" s="259" t="s">
        <v>755</v>
      </c>
      <c r="C16" s="3" t="s">
        <v>59</v>
      </c>
      <c r="D16" s="308" t="s">
        <v>879</v>
      </c>
      <c r="E16" s="261">
        <v>43223</v>
      </c>
      <c r="F16" s="297">
        <v>232052.26</v>
      </c>
      <c r="G16" s="294" t="s">
        <v>939</v>
      </c>
      <c r="H16" s="324">
        <f>251412.06-47215.62-99326.89+170+665/1.06</f>
        <v>105666.90849056604</v>
      </c>
      <c r="I16" s="294">
        <f t="shared" si="8"/>
        <v>126385.35150943397</v>
      </c>
      <c r="J16" s="294" t="s">
        <v>462</v>
      </c>
      <c r="K16" s="20">
        <f>3800+122585.35</f>
        <v>126385.35</v>
      </c>
      <c r="L16" s="206">
        <f t="shared" si="9"/>
        <v>1.5094339614734054E-3</v>
      </c>
      <c r="M16" t="s">
        <v>691</v>
      </c>
      <c r="O16" s="206">
        <f t="shared" si="6"/>
        <v>1.5094339614734054E-3</v>
      </c>
      <c r="P16" t="s">
        <v>1071</v>
      </c>
      <c r="R16" s="132">
        <f t="shared" si="7"/>
        <v>1.5094339614734054E-3</v>
      </c>
      <c r="S16" s="361" t="s">
        <v>1178</v>
      </c>
      <c r="U16" s="287">
        <f t="shared" si="10"/>
        <v>1.5094339614734054E-3</v>
      </c>
      <c r="V16" s="361" t="s">
        <v>1178</v>
      </c>
      <c r="X16" s="206">
        <f t="shared" si="11"/>
        <v>1.5094339614734054E-3</v>
      </c>
      <c r="AA16" s="206">
        <f t="shared" si="12"/>
        <v>1.5094339614734054E-3</v>
      </c>
    </row>
    <row r="17" spans="2:27" ht="16.5" hidden="1">
      <c r="B17" s="259" t="s">
        <v>755</v>
      </c>
      <c r="C17" s="3" t="s">
        <v>234</v>
      </c>
      <c r="D17" s="308" t="s">
        <v>934</v>
      </c>
      <c r="E17" s="261">
        <v>43224</v>
      </c>
      <c r="F17" s="297">
        <v>65255.94</v>
      </c>
      <c r="G17" s="294" t="s">
        <v>939</v>
      </c>
      <c r="H17" s="324">
        <f>26575/1.06</f>
        <v>25070.75471698113</v>
      </c>
      <c r="I17" s="294">
        <f t="shared" si="8"/>
        <v>40185.185283018873</v>
      </c>
      <c r="J17" s="294" t="s">
        <v>462</v>
      </c>
      <c r="K17" s="20">
        <v>40185.19</v>
      </c>
      <c r="L17" s="206">
        <f t="shared" si="9"/>
        <v>-4.7169811296043918E-3</v>
      </c>
      <c r="M17" t="s">
        <v>691</v>
      </c>
      <c r="O17" s="206">
        <f t="shared" si="6"/>
        <v>-4.7169811296043918E-3</v>
      </c>
      <c r="P17" t="s">
        <v>1071</v>
      </c>
      <c r="R17" s="132">
        <f t="shared" si="7"/>
        <v>-4.7169811296043918E-3</v>
      </c>
      <c r="S17" s="361" t="s">
        <v>1178</v>
      </c>
      <c r="U17" s="287">
        <f t="shared" si="10"/>
        <v>-4.7169811296043918E-3</v>
      </c>
      <c r="V17" s="361" t="s">
        <v>1178</v>
      </c>
      <c r="X17" s="206">
        <f t="shared" si="11"/>
        <v>-4.7169811296043918E-3</v>
      </c>
      <c r="AA17" s="206">
        <f t="shared" si="12"/>
        <v>-4.7169811296043918E-3</v>
      </c>
    </row>
    <row r="18" spans="2:27" ht="16.5" hidden="1">
      <c r="B18" s="259" t="s">
        <v>755</v>
      </c>
      <c r="C18" s="3" t="s">
        <v>65</v>
      </c>
      <c r="D18" s="308" t="s">
        <v>935</v>
      </c>
      <c r="E18" s="261">
        <v>43225</v>
      </c>
      <c r="F18" s="297">
        <v>14345.66</v>
      </c>
      <c r="G18" s="294" t="s">
        <v>939</v>
      </c>
      <c r="H18" s="265"/>
      <c r="I18" s="294">
        <f t="shared" si="8"/>
        <v>14345.66</v>
      </c>
      <c r="J18" s="294" t="s">
        <v>462</v>
      </c>
      <c r="K18" s="20">
        <v>14345.66</v>
      </c>
      <c r="L18" s="206">
        <f t="shared" si="9"/>
        <v>0</v>
      </c>
      <c r="M18" t="s">
        <v>691</v>
      </c>
      <c r="O18" s="206">
        <f t="shared" si="6"/>
        <v>0</v>
      </c>
      <c r="P18" t="s">
        <v>1071</v>
      </c>
      <c r="R18" s="132">
        <f t="shared" si="7"/>
        <v>0</v>
      </c>
      <c r="S18" s="361" t="s">
        <v>1178</v>
      </c>
      <c r="U18" s="287">
        <f t="shared" si="10"/>
        <v>0</v>
      </c>
      <c r="V18" s="361" t="s">
        <v>1178</v>
      </c>
      <c r="X18" s="206">
        <f t="shared" si="11"/>
        <v>0</v>
      </c>
      <c r="AA18" s="206">
        <f t="shared" si="12"/>
        <v>0</v>
      </c>
    </row>
    <row r="19" spans="2:27" ht="16.5" hidden="1">
      <c r="B19" s="259" t="s">
        <v>755</v>
      </c>
      <c r="C19" s="3" t="s">
        <v>924</v>
      </c>
      <c r="D19" s="308" t="s">
        <v>936</v>
      </c>
      <c r="E19" s="261">
        <v>43226</v>
      </c>
      <c r="F19" s="297">
        <v>21070.19</v>
      </c>
      <c r="G19" s="294" t="s">
        <v>939</v>
      </c>
      <c r="H19" s="265"/>
      <c r="I19" s="294">
        <f t="shared" si="8"/>
        <v>21070.19</v>
      </c>
      <c r="J19" s="294" t="s">
        <v>462</v>
      </c>
      <c r="K19" s="20">
        <v>21070.19</v>
      </c>
      <c r="L19" s="206">
        <f t="shared" si="9"/>
        <v>0</v>
      </c>
      <c r="M19" t="s">
        <v>691</v>
      </c>
      <c r="O19" s="206">
        <f t="shared" si="6"/>
        <v>0</v>
      </c>
      <c r="P19" t="s">
        <v>1071</v>
      </c>
      <c r="R19" s="132">
        <f t="shared" si="7"/>
        <v>0</v>
      </c>
      <c r="S19" s="361" t="s">
        <v>1178</v>
      </c>
      <c r="U19" s="287">
        <f t="shared" si="10"/>
        <v>0</v>
      </c>
      <c r="V19" s="361" t="s">
        <v>1178</v>
      </c>
      <c r="X19" s="206">
        <f t="shared" si="11"/>
        <v>0</v>
      </c>
      <c r="AA19" s="206">
        <f t="shared" si="12"/>
        <v>0</v>
      </c>
    </row>
    <row r="20" spans="2:27" ht="16.5">
      <c r="B20" s="259" t="s">
        <v>755</v>
      </c>
      <c r="C20" s="3" t="s">
        <v>67</v>
      </c>
      <c r="D20" s="308" t="s">
        <v>937</v>
      </c>
      <c r="E20" s="261">
        <v>43227</v>
      </c>
      <c r="F20" s="297">
        <v>171199.08</v>
      </c>
      <c r="G20" s="294" t="s">
        <v>939</v>
      </c>
      <c r="H20" s="324">
        <f>100000+(47680/1.06)</f>
        <v>144981.13207547169</v>
      </c>
      <c r="I20" s="294">
        <f t="shared" si="8"/>
        <v>26217.9479245283</v>
      </c>
      <c r="J20" s="294" t="s">
        <v>462</v>
      </c>
      <c r="K20" s="20">
        <v>18794.740000000002</v>
      </c>
      <c r="L20" s="206">
        <f t="shared" si="9"/>
        <v>7423.2079245282985</v>
      </c>
      <c r="M20" t="s">
        <v>691</v>
      </c>
      <c r="O20" s="206">
        <f t="shared" si="6"/>
        <v>7423.2079245282985</v>
      </c>
      <c r="P20" t="s">
        <v>1071</v>
      </c>
      <c r="R20" s="132">
        <f t="shared" si="7"/>
        <v>7423.2079245282985</v>
      </c>
      <c r="S20" s="361" t="s">
        <v>1178</v>
      </c>
      <c r="U20" s="287">
        <f t="shared" si="10"/>
        <v>7423.2079245282985</v>
      </c>
      <c r="V20" s="361" t="s">
        <v>1178</v>
      </c>
      <c r="X20" s="206">
        <f t="shared" si="11"/>
        <v>7423.2079245282985</v>
      </c>
      <c r="AA20" s="206">
        <f t="shared" si="12"/>
        <v>7423.2079245282985</v>
      </c>
    </row>
    <row r="21" spans="2:27" ht="16.5">
      <c r="B21" s="259" t="s">
        <v>755</v>
      </c>
      <c r="C21" s="3" t="s">
        <v>69</v>
      </c>
      <c r="D21" s="308" t="s">
        <v>938</v>
      </c>
      <c r="E21" s="261">
        <v>43228</v>
      </c>
      <c r="F21" s="297">
        <v>62790.28</v>
      </c>
      <c r="G21" s="294" t="s">
        <v>939</v>
      </c>
      <c r="H21" s="324">
        <v>50000</v>
      </c>
      <c r="I21" s="294">
        <f t="shared" si="8"/>
        <v>12790.279999999999</v>
      </c>
      <c r="J21" s="294" t="s">
        <v>462</v>
      </c>
      <c r="L21" s="206">
        <f t="shared" si="9"/>
        <v>12790.279999999999</v>
      </c>
      <c r="M21" t="s">
        <v>691</v>
      </c>
      <c r="O21" s="206">
        <f t="shared" si="6"/>
        <v>12790.279999999999</v>
      </c>
      <c r="P21" t="s">
        <v>1071</v>
      </c>
      <c r="R21" s="132">
        <f t="shared" si="7"/>
        <v>12790.279999999999</v>
      </c>
      <c r="S21" s="361" t="s">
        <v>1178</v>
      </c>
      <c r="U21" s="287">
        <f t="shared" si="10"/>
        <v>12790.279999999999</v>
      </c>
      <c r="V21" s="361" t="s">
        <v>1178</v>
      </c>
      <c r="X21" s="206">
        <f t="shared" si="11"/>
        <v>12790.279999999999</v>
      </c>
      <c r="AA21" s="206">
        <f t="shared" si="12"/>
        <v>12790.279999999999</v>
      </c>
    </row>
    <row r="22" spans="2:27" ht="16.5" hidden="1">
      <c r="B22" s="259" t="s">
        <v>755</v>
      </c>
      <c r="C22" s="3" t="s">
        <v>117</v>
      </c>
      <c r="D22" s="308" t="s">
        <v>118</v>
      </c>
      <c r="E22" s="261">
        <v>43221</v>
      </c>
      <c r="F22" s="297">
        <v>31419.98</v>
      </c>
      <c r="G22" s="294" t="s">
        <v>939</v>
      </c>
      <c r="H22" s="265"/>
      <c r="I22" s="294">
        <f t="shared" si="8"/>
        <v>31419.98</v>
      </c>
      <c r="J22" s="294" t="s">
        <v>462</v>
      </c>
      <c r="L22" s="206">
        <f t="shared" si="9"/>
        <v>31419.98</v>
      </c>
      <c r="M22" t="s">
        <v>691</v>
      </c>
      <c r="O22" s="206">
        <f t="shared" si="6"/>
        <v>31419.98</v>
      </c>
      <c r="P22" t="s">
        <v>1071</v>
      </c>
      <c r="R22" s="132">
        <f t="shared" si="7"/>
        <v>31419.98</v>
      </c>
      <c r="S22" s="361" t="s">
        <v>1178</v>
      </c>
      <c r="U22" s="287">
        <f t="shared" si="10"/>
        <v>31419.98</v>
      </c>
      <c r="V22" s="361" t="s">
        <v>1178</v>
      </c>
      <c r="X22" s="206">
        <f t="shared" si="11"/>
        <v>31419.98</v>
      </c>
      <c r="Z22">
        <v>31419.98</v>
      </c>
      <c r="AA22" s="206">
        <f t="shared" si="12"/>
        <v>0</v>
      </c>
    </row>
    <row r="23" spans="2:27" ht="16.5">
      <c r="B23" s="259" t="s">
        <v>755</v>
      </c>
      <c r="C23" s="3" t="s">
        <v>119</v>
      </c>
      <c r="D23" s="308" t="s">
        <v>930</v>
      </c>
      <c r="E23" s="261">
        <v>43221</v>
      </c>
      <c r="F23" s="297">
        <v>2135.34</v>
      </c>
      <c r="G23" s="294" t="s">
        <v>939</v>
      </c>
      <c r="H23" s="265"/>
      <c r="I23" s="294">
        <f t="shared" si="8"/>
        <v>2135.34</v>
      </c>
      <c r="J23" s="294" t="s">
        <v>462</v>
      </c>
      <c r="L23" s="206">
        <f t="shared" si="9"/>
        <v>2135.34</v>
      </c>
      <c r="M23" t="s">
        <v>691</v>
      </c>
      <c r="O23" s="206">
        <f t="shared" si="6"/>
        <v>2135.34</v>
      </c>
      <c r="P23" t="s">
        <v>1071</v>
      </c>
      <c r="R23" s="132">
        <f t="shared" si="7"/>
        <v>2135.34</v>
      </c>
      <c r="S23" s="361" t="s">
        <v>1178</v>
      </c>
      <c r="U23" s="287">
        <f t="shared" si="10"/>
        <v>2135.34</v>
      </c>
      <c r="V23" s="361" t="s">
        <v>1178</v>
      </c>
      <c r="X23" s="206">
        <f t="shared" si="11"/>
        <v>2135.34</v>
      </c>
      <c r="AA23" s="206">
        <f t="shared" si="12"/>
        <v>2135.34</v>
      </c>
    </row>
    <row r="24" spans="2:27" ht="16.5" hidden="1">
      <c r="B24" s="259" t="s">
        <v>755</v>
      </c>
      <c r="C24" s="3" t="s">
        <v>121</v>
      </c>
      <c r="D24" s="308" t="s">
        <v>931</v>
      </c>
      <c r="E24" s="261">
        <v>43221</v>
      </c>
      <c r="F24" s="297">
        <v>3660.57</v>
      </c>
      <c r="G24" s="294" t="s">
        <v>939</v>
      </c>
      <c r="H24" s="265"/>
      <c r="I24" s="294">
        <f t="shared" si="8"/>
        <v>3660.57</v>
      </c>
      <c r="J24" s="294" t="s">
        <v>462</v>
      </c>
      <c r="L24" s="206">
        <f t="shared" si="9"/>
        <v>3660.57</v>
      </c>
      <c r="M24" t="s">
        <v>691</v>
      </c>
      <c r="O24" s="206">
        <f t="shared" si="6"/>
        <v>3660.57</v>
      </c>
      <c r="P24" t="s">
        <v>1071</v>
      </c>
      <c r="R24" s="132">
        <f t="shared" si="7"/>
        <v>3660.57</v>
      </c>
      <c r="S24" s="361" t="s">
        <v>1178</v>
      </c>
      <c r="U24" s="287">
        <f t="shared" si="10"/>
        <v>3660.57</v>
      </c>
      <c r="V24" s="361" t="s">
        <v>1178</v>
      </c>
      <c r="X24" s="206">
        <f t="shared" si="11"/>
        <v>3660.57</v>
      </c>
      <c r="Z24">
        <v>3660.57</v>
      </c>
      <c r="AA24" s="206">
        <f t="shared" si="12"/>
        <v>0</v>
      </c>
    </row>
    <row r="25" spans="2:27" ht="16.5" hidden="1">
      <c r="B25" s="259" t="s">
        <v>755</v>
      </c>
      <c r="C25" s="3" t="s">
        <v>236</v>
      </c>
      <c r="D25" s="308" t="s">
        <v>932</v>
      </c>
      <c r="E25" s="261">
        <v>43221</v>
      </c>
      <c r="F25" s="297">
        <v>101.68</v>
      </c>
      <c r="G25" s="294" t="s">
        <v>939</v>
      </c>
      <c r="H25" s="265"/>
      <c r="I25" s="294">
        <f t="shared" si="8"/>
        <v>101.68</v>
      </c>
      <c r="J25" s="294" t="s">
        <v>462</v>
      </c>
      <c r="L25" s="206">
        <f t="shared" si="9"/>
        <v>101.68</v>
      </c>
      <c r="M25" t="s">
        <v>691</v>
      </c>
      <c r="O25" s="206">
        <f t="shared" si="6"/>
        <v>101.68</v>
      </c>
      <c r="P25" t="s">
        <v>1071</v>
      </c>
      <c r="R25" s="132">
        <f t="shared" si="7"/>
        <v>101.68</v>
      </c>
      <c r="S25" s="361" t="s">
        <v>1178</v>
      </c>
      <c r="U25" s="287">
        <f t="shared" si="10"/>
        <v>101.68</v>
      </c>
      <c r="V25" s="361" t="s">
        <v>1178</v>
      </c>
      <c r="X25" s="206">
        <f t="shared" si="11"/>
        <v>101.68</v>
      </c>
      <c r="Z25">
        <v>101.68</v>
      </c>
      <c r="AA25" s="206">
        <f t="shared" si="12"/>
        <v>0</v>
      </c>
    </row>
    <row r="26" spans="2:27" ht="16.5" hidden="1">
      <c r="B26" s="259" t="s">
        <v>755</v>
      </c>
      <c r="C26" s="3" t="s">
        <v>167</v>
      </c>
      <c r="D26" s="308" t="s">
        <v>168</v>
      </c>
      <c r="E26" s="261">
        <v>43221</v>
      </c>
      <c r="F26" s="297">
        <v>582.41999999999996</v>
      </c>
      <c r="G26" s="294" t="s">
        <v>939</v>
      </c>
      <c r="H26" s="265"/>
      <c r="I26" s="294">
        <f t="shared" si="8"/>
        <v>582.41999999999996</v>
      </c>
      <c r="J26" s="294" t="s">
        <v>462</v>
      </c>
      <c r="L26" s="206">
        <f t="shared" si="9"/>
        <v>582.41999999999996</v>
      </c>
      <c r="M26" t="s">
        <v>691</v>
      </c>
      <c r="O26" s="206">
        <f t="shared" si="6"/>
        <v>582.41999999999996</v>
      </c>
      <c r="P26" t="s">
        <v>1071</v>
      </c>
      <c r="R26" s="132">
        <f t="shared" si="7"/>
        <v>582.41999999999996</v>
      </c>
      <c r="S26" s="361" t="s">
        <v>1178</v>
      </c>
      <c r="U26" s="287">
        <f t="shared" si="10"/>
        <v>582.41999999999996</v>
      </c>
      <c r="V26" s="361" t="s">
        <v>1178</v>
      </c>
      <c r="X26" s="206">
        <f t="shared" si="11"/>
        <v>582.41999999999996</v>
      </c>
      <c r="Z26">
        <f>238.96+343.46</f>
        <v>582.41999999999996</v>
      </c>
      <c r="AA26" s="206">
        <f t="shared" si="12"/>
        <v>0</v>
      </c>
    </row>
    <row r="27" spans="2:27" ht="16.5" hidden="1">
      <c r="B27" s="259" t="s">
        <v>755</v>
      </c>
      <c r="C27" s="3" t="s">
        <v>238</v>
      </c>
      <c r="D27" s="308" t="s">
        <v>418</v>
      </c>
      <c r="E27" s="261">
        <v>43221</v>
      </c>
      <c r="F27" s="297">
        <v>274621.34000000003</v>
      </c>
      <c r="G27" s="294" t="s">
        <v>939</v>
      </c>
      <c r="H27" s="324">
        <f>32520.2/1.06+42080/1.06</f>
        <v>70377.547169811325</v>
      </c>
      <c r="I27" s="294">
        <f t="shared" si="8"/>
        <v>204243.7928301887</v>
      </c>
      <c r="J27" s="294" t="s">
        <v>462</v>
      </c>
      <c r="K27" s="20">
        <f>62473.55+128021.3</f>
        <v>190494.85</v>
      </c>
      <c r="L27" s="206">
        <f t="shared" si="9"/>
        <v>13748.942830188695</v>
      </c>
      <c r="M27" t="s">
        <v>691</v>
      </c>
      <c r="O27" s="206">
        <f t="shared" ref="O27:O32" si="13">L27-N27</f>
        <v>13748.942830188695</v>
      </c>
      <c r="P27" t="s">
        <v>1071</v>
      </c>
      <c r="Q27">
        <v>13748.94</v>
      </c>
      <c r="R27" s="132">
        <f>O27-Q27</f>
        <v>2.8301886941335397E-3</v>
      </c>
      <c r="S27" s="361" t="s">
        <v>1178</v>
      </c>
      <c r="U27" s="287">
        <f t="shared" si="10"/>
        <v>2.8301886941335397E-3</v>
      </c>
      <c r="V27" s="361" t="s">
        <v>1178</v>
      </c>
      <c r="X27" s="206">
        <f t="shared" si="11"/>
        <v>2.8301886941335397E-3</v>
      </c>
      <c r="AA27" s="206">
        <f t="shared" si="12"/>
        <v>2.8301886941335397E-3</v>
      </c>
    </row>
    <row r="28" spans="2:27" ht="16.5" hidden="1">
      <c r="B28" s="259" t="s">
        <v>755</v>
      </c>
      <c r="C28" s="3" t="s">
        <v>580</v>
      </c>
      <c r="D28" s="308" t="s">
        <v>581</v>
      </c>
      <c r="E28" s="261">
        <v>43221</v>
      </c>
      <c r="F28" s="297">
        <v>2099.14</v>
      </c>
      <c r="G28" s="294" t="s">
        <v>939</v>
      </c>
      <c r="H28" s="265"/>
      <c r="I28" s="294">
        <f t="shared" si="8"/>
        <v>2099.14</v>
      </c>
      <c r="J28" s="294" t="s">
        <v>462</v>
      </c>
      <c r="K28" s="20">
        <v>2099.14</v>
      </c>
      <c r="L28" s="206">
        <f t="shared" si="9"/>
        <v>0</v>
      </c>
      <c r="M28" t="s">
        <v>691</v>
      </c>
      <c r="O28" s="206">
        <f t="shared" si="13"/>
        <v>0</v>
      </c>
      <c r="P28" t="s">
        <v>1071</v>
      </c>
      <c r="R28" s="132">
        <f t="shared" ref="R28:R32" si="14">O28-Q28</f>
        <v>0</v>
      </c>
      <c r="S28" s="361" t="s">
        <v>1178</v>
      </c>
      <c r="U28" s="287">
        <f t="shared" si="10"/>
        <v>0</v>
      </c>
      <c r="V28" s="361" t="s">
        <v>1178</v>
      </c>
      <c r="X28" s="206">
        <f t="shared" si="11"/>
        <v>0</v>
      </c>
      <c r="AA28" s="206">
        <f t="shared" si="12"/>
        <v>0</v>
      </c>
    </row>
    <row r="29" spans="2:27" ht="16.5" hidden="1">
      <c r="B29" s="259" t="s">
        <v>755</v>
      </c>
      <c r="C29" s="3" t="s">
        <v>582</v>
      </c>
      <c r="D29" s="308" t="s">
        <v>583</v>
      </c>
      <c r="E29" s="261">
        <v>43221</v>
      </c>
      <c r="F29" s="297">
        <v>3283.19</v>
      </c>
      <c r="G29" s="294" t="s">
        <v>939</v>
      </c>
      <c r="H29" s="265"/>
      <c r="I29" s="294">
        <f t="shared" si="8"/>
        <v>3283.19</v>
      </c>
      <c r="J29" s="294" t="s">
        <v>462</v>
      </c>
      <c r="K29" s="20">
        <v>3283.19</v>
      </c>
      <c r="L29" s="206">
        <f t="shared" si="9"/>
        <v>0</v>
      </c>
      <c r="M29" t="s">
        <v>691</v>
      </c>
      <c r="O29" s="206">
        <f t="shared" si="13"/>
        <v>0</v>
      </c>
      <c r="P29" t="s">
        <v>1071</v>
      </c>
      <c r="R29" s="132">
        <f t="shared" si="14"/>
        <v>0</v>
      </c>
      <c r="S29" s="361" t="s">
        <v>1178</v>
      </c>
      <c r="U29" s="287">
        <f t="shared" si="10"/>
        <v>0</v>
      </c>
      <c r="V29" s="361" t="s">
        <v>1178</v>
      </c>
      <c r="X29" s="206">
        <f t="shared" si="11"/>
        <v>0</v>
      </c>
      <c r="AA29" s="206">
        <f t="shared" si="12"/>
        <v>0</v>
      </c>
    </row>
    <row r="30" spans="2:27" ht="16.5" hidden="1">
      <c r="B30" s="259" t="s">
        <v>755</v>
      </c>
      <c r="C30" s="281" t="s">
        <v>823</v>
      </c>
      <c r="D30" s="76" t="s">
        <v>824</v>
      </c>
      <c r="E30" s="261">
        <v>43221</v>
      </c>
      <c r="F30" s="297">
        <v>3693.58</v>
      </c>
      <c r="G30" s="294" t="s">
        <v>939</v>
      </c>
      <c r="H30" s="265"/>
      <c r="I30" s="294">
        <f t="shared" si="8"/>
        <v>3693.58</v>
      </c>
      <c r="J30" s="294" t="s">
        <v>462</v>
      </c>
      <c r="L30" s="206">
        <f t="shared" si="9"/>
        <v>3693.58</v>
      </c>
      <c r="M30" t="s">
        <v>691</v>
      </c>
      <c r="O30" s="206">
        <f t="shared" si="13"/>
        <v>3693.58</v>
      </c>
      <c r="P30" t="s">
        <v>1071</v>
      </c>
      <c r="R30" s="132">
        <f t="shared" si="14"/>
        <v>3693.58</v>
      </c>
      <c r="S30" s="361" t="s">
        <v>1178</v>
      </c>
      <c r="T30" s="20">
        <v>3693.58</v>
      </c>
      <c r="U30" s="287">
        <f t="shared" si="10"/>
        <v>0</v>
      </c>
      <c r="V30" s="361" t="s">
        <v>1178</v>
      </c>
      <c r="X30" s="206">
        <f t="shared" si="11"/>
        <v>0</v>
      </c>
      <c r="AA30" s="206">
        <f t="shared" si="12"/>
        <v>0</v>
      </c>
    </row>
    <row r="31" spans="2:27" ht="17.25" thickBot="1">
      <c r="B31" s="259" t="s">
        <v>949</v>
      </c>
      <c r="C31" s="310" t="s">
        <v>133</v>
      </c>
      <c r="D31" s="310" t="s">
        <v>134</v>
      </c>
      <c r="E31" s="261">
        <v>43221</v>
      </c>
      <c r="F31" s="311">
        <v>17458.04</v>
      </c>
      <c r="G31" s="294"/>
      <c r="H31" s="265"/>
      <c r="I31" s="294">
        <f t="shared" si="8"/>
        <v>17458.04</v>
      </c>
      <c r="J31" s="294" t="s">
        <v>462</v>
      </c>
      <c r="L31" s="206">
        <f t="shared" si="9"/>
        <v>17458.04</v>
      </c>
      <c r="M31" t="s">
        <v>691</v>
      </c>
      <c r="O31" s="206">
        <f t="shared" si="13"/>
        <v>17458.04</v>
      </c>
      <c r="P31" t="s">
        <v>1071</v>
      </c>
      <c r="R31" s="132">
        <f t="shared" si="14"/>
        <v>17458.04</v>
      </c>
      <c r="S31" s="361" t="s">
        <v>1178</v>
      </c>
      <c r="U31" s="287">
        <f t="shared" si="10"/>
        <v>17458.04</v>
      </c>
      <c r="V31" s="361" t="s">
        <v>1178</v>
      </c>
      <c r="X31" s="206">
        <f t="shared" si="11"/>
        <v>17458.04</v>
      </c>
      <c r="AA31" s="206">
        <f t="shared" si="12"/>
        <v>17458.04</v>
      </c>
    </row>
    <row r="32" spans="2:27" ht="17.25" thickBot="1">
      <c r="B32" s="259" t="s">
        <v>949</v>
      </c>
      <c r="C32" s="310" t="s">
        <v>135</v>
      </c>
      <c r="D32" s="310" t="s">
        <v>136</v>
      </c>
      <c r="E32" s="261">
        <v>43221</v>
      </c>
      <c r="F32" s="311">
        <v>3378.97</v>
      </c>
      <c r="G32" s="294"/>
      <c r="H32" s="265"/>
      <c r="I32" s="294">
        <f t="shared" si="8"/>
        <v>3378.97</v>
      </c>
      <c r="J32" s="294" t="s">
        <v>462</v>
      </c>
      <c r="L32" s="206">
        <f t="shared" si="9"/>
        <v>3378.97</v>
      </c>
      <c r="M32" t="s">
        <v>691</v>
      </c>
      <c r="O32" s="206">
        <f t="shared" si="13"/>
        <v>3378.97</v>
      </c>
      <c r="P32" t="s">
        <v>1071</v>
      </c>
      <c r="R32" s="132">
        <f t="shared" si="14"/>
        <v>3378.97</v>
      </c>
      <c r="S32" s="361" t="s">
        <v>1178</v>
      </c>
      <c r="U32" s="287">
        <f t="shared" si="10"/>
        <v>3378.97</v>
      </c>
      <c r="V32" s="361" t="s">
        <v>1178</v>
      </c>
      <c r="X32" s="206">
        <f t="shared" si="11"/>
        <v>3378.97</v>
      </c>
      <c r="AA32" s="206">
        <f t="shared" si="12"/>
        <v>3378.97</v>
      </c>
    </row>
    <row r="33" spans="2:28">
      <c r="B33" s="271"/>
      <c r="C33" s="271"/>
      <c r="D33" s="271"/>
      <c r="E33" s="271"/>
      <c r="F33" s="284">
        <f>SUM(F13:F32)</f>
        <v>1123568.5299999998</v>
      </c>
      <c r="G33" s="285"/>
      <c r="H33" s="321">
        <f>SUM(H13:H32)</f>
        <v>543026.63320754713</v>
      </c>
      <c r="I33" s="284">
        <f>SUM(I13:I32)</f>
        <v>580541.89679245278</v>
      </c>
      <c r="J33" s="285"/>
      <c r="K33" s="321">
        <f>SUM(K13:K32)</f>
        <v>460003.15000000008</v>
      </c>
      <c r="L33" s="284">
        <f>SUM(L13:L32)</f>
        <v>120538.74679245285</v>
      </c>
      <c r="M33" s="285"/>
      <c r="N33" s="338">
        <f>SUM(N13:N32)</f>
        <v>0</v>
      </c>
      <c r="O33" s="284">
        <f>SUM(O13:O32)</f>
        <v>120538.74679245285</v>
      </c>
      <c r="P33" s="284">
        <f t="shared" ref="P33:R33" si="15">SUM(P13:P32)</f>
        <v>0</v>
      </c>
      <c r="Q33" s="284">
        <f t="shared" si="15"/>
        <v>13748.94</v>
      </c>
      <c r="R33" s="284">
        <f t="shared" si="15"/>
        <v>106789.80679245284</v>
      </c>
      <c r="S33" s="361" t="s">
        <v>1178</v>
      </c>
      <c r="U33" s="284">
        <f t="shared" ref="U33:AA33" si="16">SUM(U13:U32)</f>
        <v>103096.22679245286</v>
      </c>
      <c r="V33" s="361" t="s">
        <v>1178</v>
      </c>
      <c r="W33" s="284">
        <f t="shared" si="16"/>
        <v>24145.740000000005</v>
      </c>
      <c r="X33" s="284">
        <f t="shared" si="16"/>
        <v>78950.486792452837</v>
      </c>
      <c r="Y33" s="284">
        <f t="shared" si="16"/>
        <v>0</v>
      </c>
      <c r="Z33" s="284">
        <f t="shared" si="16"/>
        <v>35764.65</v>
      </c>
      <c r="AA33" s="284">
        <f t="shared" si="16"/>
        <v>43185.83679245285</v>
      </c>
      <c r="AB33" s="284"/>
    </row>
    <row r="35" spans="2:28" ht="33">
      <c r="B35" s="273" t="s">
        <v>728</v>
      </c>
      <c r="C35" s="273" t="s">
        <v>729</v>
      </c>
      <c r="D35" s="273" t="s">
        <v>730</v>
      </c>
      <c r="E35" s="273" t="s">
        <v>731</v>
      </c>
      <c r="F35" s="298" t="s">
        <v>923</v>
      </c>
      <c r="G35" s="280" t="s">
        <v>733</v>
      </c>
      <c r="H35" s="320" t="s">
        <v>943</v>
      </c>
      <c r="I35" s="273" t="s">
        <v>944</v>
      </c>
      <c r="J35" s="280" t="s">
        <v>733</v>
      </c>
      <c r="K35" s="322" t="s">
        <v>956</v>
      </c>
      <c r="L35" s="280" t="s">
        <v>957</v>
      </c>
      <c r="M35" s="280" t="s">
        <v>733</v>
      </c>
      <c r="N35" s="322" t="s">
        <v>1010</v>
      </c>
      <c r="O35" s="280" t="s">
        <v>1012</v>
      </c>
      <c r="P35" s="280" t="s">
        <v>733</v>
      </c>
      <c r="Q35" s="322" t="s">
        <v>1055</v>
      </c>
      <c r="R35" s="280" t="s">
        <v>1056</v>
      </c>
      <c r="S35" s="274" t="s">
        <v>890</v>
      </c>
      <c r="T35" s="273" t="s">
        <v>1164</v>
      </c>
      <c r="U35" s="273" t="s">
        <v>1165</v>
      </c>
      <c r="V35" s="274" t="s">
        <v>890</v>
      </c>
      <c r="W35" s="273" t="s">
        <v>1261</v>
      </c>
      <c r="X35" s="273" t="s">
        <v>1262</v>
      </c>
      <c r="Y35" s="274" t="s">
        <v>890</v>
      </c>
      <c r="Z35" s="273" t="s">
        <v>1295</v>
      </c>
      <c r="AA35" s="273" t="s">
        <v>1297</v>
      </c>
      <c r="AB35" s="274" t="s">
        <v>890</v>
      </c>
    </row>
    <row r="36" spans="2:28" ht="16.5">
      <c r="B36" s="259" t="s">
        <v>804</v>
      </c>
      <c r="C36" s="3" t="s">
        <v>75</v>
      </c>
      <c r="D36" s="296" t="s">
        <v>76</v>
      </c>
      <c r="E36" s="261">
        <v>43221</v>
      </c>
      <c r="F36" s="185">
        <v>5073.8999999999996</v>
      </c>
      <c r="G36" s="309" t="s">
        <v>880</v>
      </c>
      <c r="H36" s="265"/>
      <c r="I36" s="148">
        <f>F36-H36</f>
        <v>5073.8999999999996</v>
      </c>
      <c r="J36" s="309" t="s">
        <v>905</v>
      </c>
      <c r="L36" s="161">
        <f>I36-K36</f>
        <v>5073.8999999999996</v>
      </c>
      <c r="M36" t="s">
        <v>880</v>
      </c>
      <c r="O36" s="161">
        <f t="shared" ref="O36:O41" si="17">L36-N36</f>
        <v>5073.8999999999996</v>
      </c>
      <c r="P36" t="s">
        <v>1077</v>
      </c>
      <c r="R36" s="161">
        <f>O36-Q36</f>
        <v>5073.8999999999996</v>
      </c>
      <c r="S36" s="361" t="s">
        <v>1193</v>
      </c>
      <c r="U36" s="161">
        <f>R36-T36</f>
        <v>5073.8999999999996</v>
      </c>
      <c r="V36" s="361" t="s">
        <v>1201</v>
      </c>
      <c r="X36" s="161">
        <f>U36-W36</f>
        <v>5073.8999999999996</v>
      </c>
      <c r="Z36" s="381">
        <v>5073.8999999999996</v>
      </c>
      <c r="AA36" s="148">
        <f>X36-Z36</f>
        <v>0</v>
      </c>
      <c r="AB36" s="381"/>
    </row>
    <row r="37" spans="2:28" ht="16.5">
      <c r="B37" s="259" t="s">
        <v>804</v>
      </c>
      <c r="C37" s="3" t="s">
        <v>927</v>
      </c>
      <c r="D37" s="296" t="s">
        <v>940</v>
      </c>
      <c r="E37" s="261">
        <v>43221</v>
      </c>
      <c r="F37" s="77">
        <v>6141.69</v>
      </c>
      <c r="G37" s="309" t="s">
        <v>880</v>
      </c>
      <c r="H37" s="327">
        <f>6510.19/1.06</f>
        <v>6141.6886792452824</v>
      </c>
      <c r="I37" s="148">
        <f t="shared" ref="I37:I43" si="18">F37-H37</f>
        <v>1.3207547171987244E-3</v>
      </c>
      <c r="J37" s="309" t="s">
        <v>905</v>
      </c>
      <c r="L37" s="161">
        <f t="shared" ref="L37:L42" si="19">I37-K37</f>
        <v>1.3207547171987244E-3</v>
      </c>
      <c r="M37" t="s">
        <v>880</v>
      </c>
      <c r="O37" s="161">
        <f t="shared" si="17"/>
        <v>1.3207547171987244E-3</v>
      </c>
      <c r="P37" t="s">
        <v>1077</v>
      </c>
      <c r="R37" s="161">
        <f t="shared" ref="R37:R42" si="20">O37-Q37</f>
        <v>1.3207547171987244E-3</v>
      </c>
      <c r="S37" s="361" t="s">
        <v>1193</v>
      </c>
      <c r="U37" s="161">
        <f t="shared" ref="U37:U42" si="21">R37-T37</f>
        <v>1.3207547171987244E-3</v>
      </c>
      <c r="V37" s="361" t="s">
        <v>1201</v>
      </c>
      <c r="X37" s="161">
        <f t="shared" ref="X37:X42" si="22">U37-W37</f>
        <v>1.3207547171987244E-3</v>
      </c>
      <c r="Z37" s="381"/>
      <c r="AA37" s="148">
        <f t="shared" ref="AA37:AA42" si="23">X37-Z37</f>
        <v>1.3207547171987244E-3</v>
      </c>
      <c r="AB37" s="381"/>
    </row>
    <row r="38" spans="2:28" ht="16.5">
      <c r="B38" s="259" t="s">
        <v>804</v>
      </c>
      <c r="C38" s="3" t="s">
        <v>928</v>
      </c>
      <c r="D38" s="296" t="s">
        <v>941</v>
      </c>
      <c r="E38" s="261">
        <v>43221</v>
      </c>
      <c r="F38" s="185">
        <v>24196.07</v>
      </c>
      <c r="G38" s="309" t="s">
        <v>880</v>
      </c>
      <c r="H38" s="265"/>
      <c r="I38" s="148">
        <f t="shared" si="18"/>
        <v>24196.07</v>
      </c>
      <c r="J38" s="309" t="s">
        <v>905</v>
      </c>
      <c r="L38" s="161">
        <f t="shared" si="19"/>
        <v>24196.07</v>
      </c>
      <c r="M38" t="s">
        <v>880</v>
      </c>
      <c r="O38" s="161">
        <f t="shared" si="17"/>
        <v>24196.07</v>
      </c>
      <c r="P38" t="s">
        <v>1077</v>
      </c>
      <c r="R38" s="161">
        <f t="shared" si="20"/>
        <v>24196.07</v>
      </c>
      <c r="S38" s="361" t="s">
        <v>1193</v>
      </c>
      <c r="U38" s="161">
        <f t="shared" si="21"/>
        <v>24196.07</v>
      </c>
      <c r="V38" s="361" t="s">
        <v>1201</v>
      </c>
      <c r="X38" s="161">
        <f t="shared" si="22"/>
        <v>24196.07</v>
      </c>
      <c r="Z38" s="381">
        <f>21923/1.06+1399</f>
        <v>22081.075471698114</v>
      </c>
      <c r="AA38" s="148">
        <f t="shared" si="23"/>
        <v>2114.994528301886</v>
      </c>
      <c r="AB38" s="381"/>
    </row>
    <row r="39" spans="2:28" ht="16.5">
      <c r="B39" s="259" t="s">
        <v>804</v>
      </c>
      <c r="C39" s="3" t="s">
        <v>903</v>
      </c>
      <c r="D39" s="296" t="s">
        <v>906</v>
      </c>
      <c r="E39" s="261">
        <v>43221</v>
      </c>
      <c r="F39" s="185">
        <v>307084.27</v>
      </c>
      <c r="G39" s="309" t="s">
        <v>880</v>
      </c>
      <c r="H39" s="327">
        <v>307084.27</v>
      </c>
      <c r="I39" s="148">
        <f t="shared" si="18"/>
        <v>0</v>
      </c>
      <c r="J39" s="309" t="s">
        <v>905</v>
      </c>
      <c r="L39" s="161">
        <f t="shared" si="19"/>
        <v>0</v>
      </c>
      <c r="M39" t="s">
        <v>880</v>
      </c>
      <c r="O39" s="161">
        <f t="shared" si="17"/>
        <v>0</v>
      </c>
      <c r="P39" t="s">
        <v>1077</v>
      </c>
      <c r="R39" s="161">
        <f t="shared" si="20"/>
        <v>0</v>
      </c>
      <c r="S39" s="361" t="s">
        <v>1193</v>
      </c>
      <c r="U39" s="161">
        <f t="shared" si="21"/>
        <v>0</v>
      </c>
      <c r="V39" s="361" t="s">
        <v>1201</v>
      </c>
      <c r="X39" s="161">
        <f t="shared" si="22"/>
        <v>0</v>
      </c>
      <c r="Z39" s="381"/>
      <c r="AA39" s="148">
        <f t="shared" si="23"/>
        <v>0</v>
      </c>
      <c r="AB39" s="381"/>
    </row>
    <row r="40" spans="2:28" ht="17.25" thickBot="1">
      <c r="B40" s="259" t="s">
        <v>950</v>
      </c>
      <c r="C40" s="310" t="s">
        <v>951</v>
      </c>
      <c r="D40" s="310" t="s">
        <v>952</v>
      </c>
      <c r="E40" s="261">
        <v>43221</v>
      </c>
      <c r="F40" s="311">
        <v>950693.92</v>
      </c>
      <c r="G40" s="309"/>
      <c r="H40" s="324">
        <f>F40</f>
        <v>950693.92</v>
      </c>
      <c r="I40" s="148">
        <f t="shared" si="18"/>
        <v>0</v>
      </c>
      <c r="J40" s="309" t="s">
        <v>905</v>
      </c>
      <c r="L40" s="161">
        <f t="shared" si="19"/>
        <v>0</v>
      </c>
      <c r="M40" t="s">
        <v>880</v>
      </c>
      <c r="O40" s="161">
        <f t="shared" si="17"/>
        <v>0</v>
      </c>
      <c r="P40" t="s">
        <v>1077</v>
      </c>
      <c r="R40" s="161">
        <f t="shared" si="20"/>
        <v>0</v>
      </c>
      <c r="S40" s="361" t="s">
        <v>1193</v>
      </c>
      <c r="U40" s="161">
        <f t="shared" si="21"/>
        <v>0</v>
      </c>
      <c r="V40" s="361" t="s">
        <v>1201</v>
      </c>
      <c r="X40" s="161">
        <f t="shared" si="22"/>
        <v>0</v>
      </c>
      <c r="Z40" s="381"/>
      <c r="AA40" s="148">
        <f t="shared" si="23"/>
        <v>0</v>
      </c>
      <c r="AB40" s="381"/>
    </row>
    <row r="41" spans="2:28" ht="17.25" thickBot="1">
      <c r="B41" s="259" t="s">
        <v>950</v>
      </c>
      <c r="C41" s="310" t="s">
        <v>953</v>
      </c>
      <c r="D41" s="310" t="s">
        <v>954</v>
      </c>
      <c r="E41" s="261">
        <v>43221</v>
      </c>
      <c r="F41" s="311">
        <v>381174.45</v>
      </c>
      <c r="G41" s="309"/>
      <c r="H41" s="324">
        <f>F41</f>
        <v>381174.45</v>
      </c>
      <c r="I41" s="148">
        <f t="shared" si="18"/>
        <v>0</v>
      </c>
      <c r="J41" s="309" t="s">
        <v>905</v>
      </c>
      <c r="L41" s="161">
        <f t="shared" si="19"/>
        <v>0</v>
      </c>
      <c r="M41" t="s">
        <v>880</v>
      </c>
      <c r="O41" s="161">
        <f t="shared" si="17"/>
        <v>0</v>
      </c>
      <c r="P41" t="s">
        <v>1077</v>
      </c>
      <c r="R41" s="161">
        <f t="shared" si="20"/>
        <v>0</v>
      </c>
      <c r="S41" s="361" t="s">
        <v>1193</v>
      </c>
      <c r="U41" s="161">
        <f t="shared" si="21"/>
        <v>0</v>
      </c>
      <c r="V41" s="361" t="s">
        <v>1201</v>
      </c>
      <c r="X41" s="161">
        <f t="shared" si="22"/>
        <v>0</v>
      </c>
      <c r="Z41" s="381"/>
      <c r="AA41" s="148">
        <f t="shared" si="23"/>
        <v>0</v>
      </c>
      <c r="AB41" s="381"/>
    </row>
    <row r="42" spans="2:28" ht="17.25" thickBot="1">
      <c r="B42" s="259" t="s">
        <v>950</v>
      </c>
      <c r="C42" s="312" t="s">
        <v>866</v>
      </c>
      <c r="D42" s="312" t="s">
        <v>955</v>
      </c>
      <c r="E42" s="261">
        <v>43221</v>
      </c>
      <c r="F42" s="313">
        <v>4271.9799999999996</v>
      </c>
      <c r="G42" s="309"/>
      <c r="H42" s="265"/>
      <c r="I42" s="148">
        <f t="shared" si="18"/>
        <v>4271.9799999999996</v>
      </c>
      <c r="J42" s="309" t="s">
        <v>905</v>
      </c>
      <c r="L42" s="161">
        <f t="shared" si="19"/>
        <v>4271.9799999999996</v>
      </c>
      <c r="M42" t="s">
        <v>880</v>
      </c>
      <c r="O42" s="161">
        <f>L42-N42</f>
        <v>4271.9799999999996</v>
      </c>
      <c r="P42" t="s">
        <v>1077</v>
      </c>
      <c r="Q42">
        <v>4271.9799999999996</v>
      </c>
      <c r="R42" s="161">
        <f t="shared" si="20"/>
        <v>0</v>
      </c>
      <c r="S42" s="361" t="s">
        <v>1193</v>
      </c>
      <c r="U42" s="161">
        <f t="shared" si="21"/>
        <v>0</v>
      </c>
      <c r="V42" s="361" t="s">
        <v>1201</v>
      </c>
      <c r="X42" s="161">
        <f t="shared" si="22"/>
        <v>0</v>
      </c>
      <c r="Z42" s="381"/>
      <c r="AA42" s="148">
        <f t="shared" si="23"/>
        <v>0</v>
      </c>
      <c r="AB42" s="381"/>
    </row>
    <row r="43" spans="2:28">
      <c r="B43" s="271"/>
      <c r="C43" s="271"/>
      <c r="D43" s="271"/>
      <c r="E43" s="271"/>
      <c r="F43" s="284">
        <f>SUM(F36:F42)</f>
        <v>1678636.28</v>
      </c>
      <c r="G43" s="285"/>
      <c r="H43" s="321">
        <f>SUM(H36:H42)</f>
        <v>1645094.3286792452</v>
      </c>
      <c r="I43" s="285">
        <f t="shared" si="18"/>
        <v>33541.95132075483</v>
      </c>
      <c r="J43" s="401">
        <f t="shared" ref="J43:Z43" si="24">SUM(J36:J42)</f>
        <v>0</v>
      </c>
      <c r="K43" s="401">
        <f t="shared" si="24"/>
        <v>0</v>
      </c>
      <c r="L43" s="401">
        <f t="shared" si="24"/>
        <v>33541.951320754713</v>
      </c>
      <c r="M43" s="401">
        <f t="shared" si="24"/>
        <v>0</v>
      </c>
      <c r="N43" s="401">
        <f t="shared" si="24"/>
        <v>0</v>
      </c>
      <c r="O43" s="401">
        <f t="shared" si="24"/>
        <v>33541.951320754713</v>
      </c>
      <c r="P43" s="401">
        <f t="shared" si="24"/>
        <v>0</v>
      </c>
      <c r="Q43" s="401">
        <f t="shared" si="24"/>
        <v>4271.9799999999996</v>
      </c>
      <c r="R43" s="401">
        <f t="shared" si="24"/>
        <v>29269.971320754717</v>
      </c>
      <c r="S43" s="401">
        <f t="shared" si="24"/>
        <v>0</v>
      </c>
      <c r="T43" s="401">
        <f t="shared" si="24"/>
        <v>0</v>
      </c>
      <c r="U43" s="401">
        <f t="shared" si="24"/>
        <v>29269.971320754717</v>
      </c>
      <c r="V43" s="401">
        <f t="shared" si="24"/>
        <v>0</v>
      </c>
      <c r="W43" s="401">
        <f t="shared" si="24"/>
        <v>0</v>
      </c>
      <c r="X43" s="401">
        <f t="shared" si="24"/>
        <v>29269.971320754717</v>
      </c>
      <c r="Y43" s="401">
        <f t="shared" si="24"/>
        <v>0</v>
      </c>
      <c r="Z43" s="401">
        <f t="shared" si="24"/>
        <v>27154.975471698112</v>
      </c>
      <c r="AA43" s="401">
        <f>SUM(AA36:AA42)</f>
        <v>2114.9958490566032</v>
      </c>
      <c r="AB43" s="382"/>
    </row>
    <row r="44" spans="2:28">
      <c r="AA44" s="161"/>
    </row>
    <row r="45" spans="2:28" ht="33">
      <c r="B45" s="273" t="s">
        <v>728</v>
      </c>
      <c r="C45" s="273" t="s">
        <v>729</v>
      </c>
      <c r="D45" s="273" t="s">
        <v>730</v>
      </c>
      <c r="E45" s="273" t="s">
        <v>731</v>
      </c>
      <c r="F45" s="298" t="s">
        <v>923</v>
      </c>
      <c r="G45" s="280" t="s">
        <v>733</v>
      </c>
      <c r="H45" s="320" t="s">
        <v>943</v>
      </c>
      <c r="I45" s="273" t="s">
        <v>944</v>
      </c>
      <c r="J45" s="280" t="s">
        <v>733</v>
      </c>
      <c r="K45" s="322" t="s">
        <v>956</v>
      </c>
      <c r="L45" s="280" t="s">
        <v>957</v>
      </c>
      <c r="M45" s="280" t="s">
        <v>733</v>
      </c>
      <c r="N45" s="322" t="s">
        <v>1010</v>
      </c>
      <c r="O45" s="280" t="s">
        <v>1012</v>
      </c>
      <c r="P45" s="280" t="s">
        <v>733</v>
      </c>
      <c r="Q45" s="322" t="s">
        <v>1055</v>
      </c>
      <c r="R45" s="280" t="s">
        <v>1056</v>
      </c>
      <c r="Z45" s="273" t="s">
        <v>1295</v>
      </c>
      <c r="AA45" s="273" t="s">
        <v>1297</v>
      </c>
      <c r="AB45" s="274" t="s">
        <v>890</v>
      </c>
    </row>
    <row r="46" spans="2:28" ht="16.5">
      <c r="B46" s="259" t="s">
        <v>925</v>
      </c>
      <c r="C46" s="3" t="s">
        <v>926</v>
      </c>
      <c r="D46" s="296" t="s">
        <v>942</v>
      </c>
      <c r="E46" s="261">
        <v>43221</v>
      </c>
      <c r="F46" s="185">
        <v>577264.15</v>
      </c>
      <c r="G46" s="309" t="s">
        <v>939</v>
      </c>
      <c r="H46" s="265">
        <f>F46</f>
        <v>577264.15</v>
      </c>
      <c r="I46" s="148">
        <f>F46-H46</f>
        <v>0</v>
      </c>
      <c r="J46" s="309"/>
    </row>
    <row r="47" spans="2:28">
      <c r="B47" s="271"/>
      <c r="C47" s="271"/>
      <c r="D47" s="271"/>
      <c r="E47" s="271"/>
      <c r="F47" s="284">
        <f>SUM(F46:F46)</f>
        <v>577264.15</v>
      </c>
      <c r="G47" s="285"/>
      <c r="H47" s="321">
        <f>SUM(H46:H46)</f>
        <v>577264.15</v>
      </c>
      <c r="I47" s="284">
        <f>SUM(I46:I46)</f>
        <v>0</v>
      </c>
      <c r="J47" s="285"/>
    </row>
  </sheetData>
  <autoFilter ref="B12:AB33">
    <filterColumn colId="25">
      <filters>
        <filter val="¥12,790.28"/>
        <filter val="¥17,458.04"/>
        <filter val="¥2,135.34"/>
        <filter val="¥3,378.97"/>
        <filter val="¥7,423.21"/>
        <filter val="43,185.84"/>
      </filters>
    </filterColumn>
  </autoFilter>
  <phoneticPr fontId="4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1"/>
  <dimension ref="A1:Y52"/>
  <sheetViews>
    <sheetView topLeftCell="B1" workbookViewId="0">
      <pane xSplit="3" ySplit="1" topLeftCell="E18" activePane="bottomRight" state="frozen"/>
      <selection activeCell="M40" sqref="M40"/>
      <selection pane="topRight" activeCell="M40" sqref="M40"/>
      <selection pane="bottomLeft" activeCell="M40" sqref="M40"/>
      <selection pane="bottomRight" activeCell="M40" sqref="M40"/>
    </sheetView>
  </sheetViews>
  <sheetFormatPr defaultRowHeight="12.75"/>
  <cols>
    <col min="2" max="3" width="21" customWidth="1"/>
    <col min="4" max="4" width="29.28515625" style="143" customWidth="1"/>
    <col min="5" max="5" width="10.42578125" hidden="1" customWidth="1"/>
    <col min="6" max="6" width="30.28515625" style="132" hidden="1" customWidth="1"/>
    <col min="7" max="7" width="0" hidden="1" customWidth="1"/>
    <col min="8" max="8" width="14" hidden="1" customWidth="1"/>
    <col min="9" max="9" width="17.28515625" hidden="1" customWidth="1"/>
    <col min="10" max="10" width="0" hidden="1" customWidth="1"/>
    <col min="11" max="11" width="11.140625" hidden="1" customWidth="1"/>
    <col min="12" max="12" width="12.28515625" hidden="1" customWidth="1"/>
    <col min="13" max="13" width="0" hidden="1" customWidth="1"/>
    <col min="14" max="14" width="10.140625" hidden="1" customWidth="1"/>
    <col min="15" max="15" width="12.28515625" hidden="1" customWidth="1"/>
    <col min="16" max="17" width="0" hidden="1" customWidth="1"/>
    <col min="18" max="18" width="11.140625" hidden="1" customWidth="1"/>
    <col min="19" max="19" width="0" hidden="1" customWidth="1"/>
    <col min="20" max="21" width="12.28515625" hidden="1" customWidth="1"/>
    <col min="22" max="23" width="0" hidden="1" customWidth="1"/>
    <col min="24" max="24" width="12.28515625" bestFit="1" customWidth="1"/>
  </cols>
  <sheetData>
    <row r="1" spans="1:25" ht="33">
      <c r="B1" s="273" t="s">
        <v>728</v>
      </c>
      <c r="C1" s="273" t="s">
        <v>729</v>
      </c>
      <c r="D1" s="328" t="s">
        <v>730</v>
      </c>
      <c r="E1" s="273" t="s">
        <v>731</v>
      </c>
      <c r="F1" s="274" t="s">
        <v>969</v>
      </c>
      <c r="G1" s="280" t="s">
        <v>733</v>
      </c>
      <c r="H1" s="322" t="s">
        <v>956</v>
      </c>
      <c r="I1" s="280" t="s">
        <v>957</v>
      </c>
      <c r="J1" s="280" t="s">
        <v>733</v>
      </c>
      <c r="K1" s="322" t="s">
        <v>1016</v>
      </c>
      <c r="L1" s="280" t="s">
        <v>1017</v>
      </c>
      <c r="M1" s="280" t="s">
        <v>733</v>
      </c>
      <c r="N1" s="322" t="s">
        <v>1057</v>
      </c>
      <c r="O1" s="280" t="s">
        <v>1058</v>
      </c>
      <c r="P1" s="280" t="s">
        <v>733</v>
      </c>
      <c r="Q1" s="322" t="s">
        <v>1109</v>
      </c>
      <c r="R1" s="280" t="s">
        <v>1110</v>
      </c>
      <c r="S1" s="280" t="s">
        <v>733</v>
      </c>
      <c r="T1" s="322" t="s">
        <v>1257</v>
      </c>
      <c r="U1" s="280" t="s">
        <v>1258</v>
      </c>
      <c r="V1" s="280" t="s">
        <v>733</v>
      </c>
      <c r="W1" s="322" t="s">
        <v>1295</v>
      </c>
      <c r="X1" s="280" t="s">
        <v>1297</v>
      </c>
      <c r="Y1" s="280" t="s">
        <v>733</v>
      </c>
    </row>
    <row r="2" spans="1:25" ht="16.5">
      <c r="A2">
        <f t="shared" ref="A2:A7" si="0">COUNTIF($C$2:$C$7,C2)</f>
        <v>1</v>
      </c>
      <c r="B2" s="259" t="s">
        <v>736</v>
      </c>
      <c r="C2" s="66" t="s">
        <v>438</v>
      </c>
      <c r="D2" s="306" t="s">
        <v>436</v>
      </c>
      <c r="E2" s="330">
        <v>43252</v>
      </c>
      <c r="F2" s="265">
        <v>161941.82999999999</v>
      </c>
      <c r="G2" s="135" t="s">
        <v>970</v>
      </c>
      <c r="I2" s="287">
        <f t="shared" ref="I2:I7" si="1">F2-H2</f>
        <v>161941.82999999999</v>
      </c>
      <c r="J2" t="s">
        <v>1024</v>
      </c>
      <c r="L2" s="287">
        <f t="shared" ref="L2:L7" si="2">I2-K2</f>
        <v>161941.82999999999</v>
      </c>
      <c r="M2" t="s">
        <v>1064</v>
      </c>
      <c r="N2">
        <f>73251.05+80000+8690.78</f>
        <v>161941.82999999999</v>
      </c>
      <c r="O2" s="287">
        <f>L2-N2</f>
        <v>0</v>
      </c>
      <c r="P2" s="361" t="s">
        <v>1187</v>
      </c>
      <c r="R2" s="287">
        <f>O2-Q2</f>
        <v>0</v>
      </c>
      <c r="S2" s="361" t="s">
        <v>1187</v>
      </c>
      <c r="X2" s="287">
        <f>R2-W2</f>
        <v>0</v>
      </c>
    </row>
    <row r="3" spans="1:25" ht="16.5">
      <c r="A3">
        <f t="shared" si="0"/>
        <v>1</v>
      </c>
      <c r="B3" s="259" t="s">
        <v>736</v>
      </c>
      <c r="C3" s="66" t="s">
        <v>228</v>
      </c>
      <c r="D3" s="306" t="s">
        <v>229</v>
      </c>
      <c r="E3" s="330">
        <v>43252</v>
      </c>
      <c r="F3" s="265">
        <v>823.05</v>
      </c>
      <c r="G3" s="135" t="s">
        <v>970</v>
      </c>
      <c r="I3" s="287">
        <f t="shared" si="1"/>
        <v>823.05</v>
      </c>
      <c r="J3" t="s">
        <v>1024</v>
      </c>
      <c r="K3" s="20">
        <v>823.05</v>
      </c>
      <c r="L3" s="287">
        <f t="shared" si="2"/>
        <v>0</v>
      </c>
      <c r="M3" t="s">
        <v>1064</v>
      </c>
      <c r="O3" s="287">
        <f t="shared" ref="O3:O7" si="3">L3-N3</f>
        <v>0</v>
      </c>
      <c r="P3" s="361" t="s">
        <v>1187</v>
      </c>
      <c r="R3" s="287">
        <f t="shared" ref="R3:R7" si="4">O3-Q3</f>
        <v>0</v>
      </c>
      <c r="S3" s="361" t="s">
        <v>1187</v>
      </c>
      <c r="X3" s="287">
        <f t="shared" ref="X3:X8" si="5">R3-W3</f>
        <v>0</v>
      </c>
    </row>
    <row r="4" spans="1:25" ht="16.5">
      <c r="A4">
        <f t="shared" si="0"/>
        <v>1</v>
      </c>
      <c r="B4" s="259" t="s">
        <v>736</v>
      </c>
      <c r="C4" s="66" t="s">
        <v>26</v>
      </c>
      <c r="D4" s="306" t="s">
        <v>27</v>
      </c>
      <c r="E4" s="330">
        <v>43252</v>
      </c>
      <c r="F4" s="265">
        <v>26062.38</v>
      </c>
      <c r="G4" s="135" t="s">
        <v>970</v>
      </c>
      <c r="I4" s="287">
        <f t="shared" si="1"/>
        <v>26062.38</v>
      </c>
      <c r="J4" t="s">
        <v>1024</v>
      </c>
      <c r="K4" s="20">
        <f>22445.74+3616.64</f>
        <v>26062.38</v>
      </c>
      <c r="L4" s="287">
        <f t="shared" si="2"/>
        <v>0</v>
      </c>
      <c r="M4" t="s">
        <v>1064</v>
      </c>
      <c r="O4" s="287">
        <f t="shared" si="3"/>
        <v>0</v>
      </c>
      <c r="P4" s="361" t="s">
        <v>1187</v>
      </c>
      <c r="R4" s="287">
        <f t="shared" si="4"/>
        <v>0</v>
      </c>
      <c r="S4" s="361" t="s">
        <v>1187</v>
      </c>
      <c r="X4" s="287">
        <f t="shared" si="5"/>
        <v>0</v>
      </c>
    </row>
    <row r="5" spans="1:25" ht="16.5">
      <c r="A5">
        <f t="shared" si="0"/>
        <v>1</v>
      </c>
      <c r="B5" s="259" t="s">
        <v>736</v>
      </c>
      <c r="C5" s="66" t="s">
        <v>230</v>
      </c>
      <c r="D5" s="306" t="s">
        <v>231</v>
      </c>
      <c r="E5" s="330">
        <v>43252</v>
      </c>
      <c r="F5" s="265">
        <v>10760.61</v>
      </c>
      <c r="G5" s="135" t="s">
        <v>970</v>
      </c>
      <c r="I5" s="287">
        <f t="shared" si="1"/>
        <v>10760.61</v>
      </c>
      <c r="J5" t="s">
        <v>1024</v>
      </c>
      <c r="K5" s="20">
        <v>10760.61</v>
      </c>
      <c r="L5" s="287">
        <f t="shared" si="2"/>
        <v>0</v>
      </c>
      <c r="M5" t="s">
        <v>1064</v>
      </c>
      <c r="O5" s="287">
        <f t="shared" si="3"/>
        <v>0</v>
      </c>
      <c r="P5" s="361" t="s">
        <v>1187</v>
      </c>
      <c r="R5" s="287">
        <f t="shared" si="4"/>
        <v>0</v>
      </c>
      <c r="S5" s="361" t="s">
        <v>1187</v>
      </c>
      <c r="X5" s="287">
        <f t="shared" si="5"/>
        <v>0</v>
      </c>
    </row>
    <row r="6" spans="1:25" ht="16.5">
      <c r="A6">
        <f t="shared" si="0"/>
        <v>1</v>
      </c>
      <c r="B6" s="259" t="s">
        <v>208</v>
      </c>
      <c r="C6" s="331" t="s">
        <v>22</v>
      </c>
      <c r="D6" s="332" t="s">
        <v>23</v>
      </c>
      <c r="E6" s="330">
        <v>43252</v>
      </c>
      <c r="F6" s="336">
        <v>0</v>
      </c>
      <c r="G6" s="135" t="s">
        <v>970</v>
      </c>
      <c r="I6" s="287">
        <f t="shared" si="1"/>
        <v>0</v>
      </c>
      <c r="J6" t="s">
        <v>1024</v>
      </c>
      <c r="L6" s="287">
        <f t="shared" si="2"/>
        <v>0</v>
      </c>
      <c r="M6" t="s">
        <v>1064</v>
      </c>
      <c r="O6" s="287">
        <f t="shared" si="3"/>
        <v>0</v>
      </c>
      <c r="P6" s="361" t="s">
        <v>1187</v>
      </c>
      <c r="R6" s="287">
        <f t="shared" si="4"/>
        <v>0</v>
      </c>
      <c r="S6" s="361" t="s">
        <v>1187</v>
      </c>
      <c r="X6" s="287">
        <f t="shared" si="5"/>
        <v>0</v>
      </c>
    </row>
    <row r="7" spans="1:25" ht="16.5">
      <c r="A7">
        <f t="shared" si="0"/>
        <v>1</v>
      </c>
      <c r="B7" s="259" t="s">
        <v>208</v>
      </c>
      <c r="C7" s="331" t="s">
        <v>819</v>
      </c>
      <c r="D7" s="332" t="s">
        <v>948</v>
      </c>
      <c r="E7" s="330">
        <v>43252</v>
      </c>
      <c r="F7" s="265">
        <v>19802.490000000002</v>
      </c>
      <c r="G7" s="135" t="s">
        <v>970</v>
      </c>
      <c r="I7" s="287">
        <f t="shared" si="1"/>
        <v>19802.490000000002</v>
      </c>
      <c r="J7" t="s">
        <v>1024</v>
      </c>
      <c r="L7" s="287">
        <f t="shared" si="2"/>
        <v>19802.490000000002</v>
      </c>
      <c r="M7" t="s">
        <v>1064</v>
      </c>
      <c r="O7" s="287">
        <f t="shared" si="3"/>
        <v>19802.490000000002</v>
      </c>
      <c r="P7" s="361" t="s">
        <v>1187</v>
      </c>
      <c r="R7" s="287">
        <f t="shared" si="4"/>
        <v>19802.490000000002</v>
      </c>
      <c r="S7" s="361" t="s">
        <v>1187</v>
      </c>
      <c r="X7" s="287">
        <f t="shared" si="5"/>
        <v>19802.490000000002</v>
      </c>
    </row>
    <row r="8" spans="1:25">
      <c r="B8" s="271"/>
      <c r="C8" s="271"/>
      <c r="D8" s="329"/>
      <c r="E8" s="271"/>
      <c r="F8" s="338">
        <f>SUM(F2:F7)</f>
        <v>219390.36</v>
      </c>
      <c r="G8" s="271"/>
      <c r="H8" s="338">
        <f>SUM(H2:H7)</f>
        <v>0</v>
      </c>
      <c r="I8" s="338">
        <f>SUM(I2:I7)</f>
        <v>219390.36</v>
      </c>
      <c r="J8" s="271"/>
      <c r="K8" s="338">
        <f>SUM(K2:K7)</f>
        <v>37646.04</v>
      </c>
      <c r="L8" s="338">
        <f>SUM(L2:L7)</f>
        <v>181744.31999999998</v>
      </c>
      <c r="O8" s="352">
        <f>SUM(O2:O7)</f>
        <v>19802.490000000002</v>
      </c>
      <c r="P8" s="361" t="s">
        <v>1187</v>
      </c>
      <c r="Q8" s="329"/>
      <c r="R8" s="329">
        <f>SUM(R2:R7)</f>
        <v>19802.490000000002</v>
      </c>
      <c r="S8" s="329" t="s">
        <v>1187</v>
      </c>
      <c r="T8" s="329"/>
      <c r="U8" s="329"/>
      <c r="V8" s="329"/>
      <c r="W8" s="329"/>
      <c r="X8" s="329">
        <f t="shared" si="5"/>
        <v>19802.490000000002</v>
      </c>
      <c r="Y8" s="329"/>
    </row>
    <row r="11" spans="1:25" ht="33">
      <c r="B11" s="273" t="s">
        <v>728</v>
      </c>
      <c r="C11" s="273" t="s">
        <v>729</v>
      </c>
      <c r="D11" s="328" t="s">
        <v>730</v>
      </c>
      <c r="E11" s="273" t="s">
        <v>731</v>
      </c>
      <c r="F11" s="274" t="s">
        <v>969</v>
      </c>
      <c r="G11" s="280" t="s">
        <v>733</v>
      </c>
      <c r="H11" s="322" t="s">
        <v>956</v>
      </c>
      <c r="I11" s="280" t="s">
        <v>957</v>
      </c>
      <c r="J11" s="280" t="s">
        <v>733</v>
      </c>
      <c r="K11" s="322" t="s">
        <v>1016</v>
      </c>
      <c r="L11" s="280" t="s">
        <v>1017</v>
      </c>
      <c r="M11" s="280" t="s">
        <v>733</v>
      </c>
      <c r="N11" s="322" t="s">
        <v>1057</v>
      </c>
      <c r="O11" s="280" t="s">
        <v>1058</v>
      </c>
      <c r="P11" s="280" t="s">
        <v>733</v>
      </c>
      <c r="Q11" s="322" t="s">
        <v>1109</v>
      </c>
      <c r="R11" s="280" t="s">
        <v>1110</v>
      </c>
      <c r="S11" s="280" t="s">
        <v>733</v>
      </c>
      <c r="T11" s="322" t="s">
        <v>1257</v>
      </c>
      <c r="U11" s="280" t="s">
        <v>1258</v>
      </c>
      <c r="V11" s="280" t="s">
        <v>733</v>
      </c>
      <c r="W11" s="322" t="s">
        <v>1295</v>
      </c>
      <c r="X11" s="280" t="s">
        <v>1297</v>
      </c>
      <c r="Y11" s="280" t="s">
        <v>733</v>
      </c>
    </row>
    <row r="12" spans="1:25" ht="16.5">
      <c r="A12">
        <f t="shared" ref="A12:A32" si="6">COUNTIF($C$12:$C$32,C12)</f>
        <v>1</v>
      </c>
      <c r="B12" s="259" t="s">
        <v>755</v>
      </c>
      <c r="C12" s="66" t="s">
        <v>31</v>
      </c>
      <c r="D12" s="306" t="s">
        <v>972</v>
      </c>
      <c r="E12" s="330">
        <v>43252</v>
      </c>
      <c r="F12" s="265">
        <v>1584.47</v>
      </c>
      <c r="G12" s="135" t="s">
        <v>971</v>
      </c>
      <c r="I12" s="287">
        <f t="shared" ref="I12:I32" si="7">F12-H12</f>
        <v>1584.47</v>
      </c>
      <c r="J12" t="s">
        <v>1027</v>
      </c>
      <c r="L12" s="287">
        <f t="shared" ref="L12:L22" si="8">I12-K12</f>
        <v>1584.47</v>
      </c>
      <c r="M12" t="s">
        <v>1072</v>
      </c>
      <c r="O12" s="206">
        <f t="shared" ref="O12:O32" si="9">L12-N12</f>
        <v>1584.47</v>
      </c>
      <c r="P12" s="361" t="s">
        <v>1179</v>
      </c>
      <c r="R12" s="206">
        <f>O12-Q12</f>
        <v>1584.47</v>
      </c>
      <c r="S12" s="361" t="s">
        <v>1179</v>
      </c>
      <c r="T12">
        <v>1584.47</v>
      </c>
      <c r="U12" s="206">
        <f>R12-T12</f>
        <v>0</v>
      </c>
      <c r="X12" s="206">
        <f>U12-W12</f>
        <v>0</v>
      </c>
    </row>
    <row r="13" spans="1:25" ht="16.5">
      <c r="A13">
        <f t="shared" si="6"/>
        <v>1</v>
      </c>
      <c r="B13" s="259" t="s">
        <v>755</v>
      </c>
      <c r="C13" s="66" t="s">
        <v>822</v>
      </c>
      <c r="D13" s="333" t="s">
        <v>836</v>
      </c>
      <c r="E13" s="330">
        <v>43252</v>
      </c>
      <c r="F13" s="336">
        <v>57788.43</v>
      </c>
      <c r="G13" s="135" t="s">
        <v>971</v>
      </c>
      <c r="I13" s="287">
        <f t="shared" si="7"/>
        <v>57788.43</v>
      </c>
      <c r="J13" t="s">
        <v>1027</v>
      </c>
      <c r="L13" s="287">
        <f t="shared" si="8"/>
        <v>57788.43</v>
      </c>
      <c r="M13" t="s">
        <v>1072</v>
      </c>
      <c r="O13" s="206">
        <f t="shared" si="9"/>
        <v>57788.43</v>
      </c>
      <c r="P13" s="361" t="s">
        <v>1179</v>
      </c>
      <c r="R13" s="206">
        <f t="shared" ref="R13:R32" si="10">O13-Q13</f>
        <v>57788.43</v>
      </c>
      <c r="S13" s="361" t="s">
        <v>1179</v>
      </c>
      <c r="T13">
        <v>43984.28</v>
      </c>
      <c r="U13" s="206">
        <f t="shared" ref="U13:U32" si="11">R13-T13</f>
        <v>13804.150000000001</v>
      </c>
      <c r="X13" s="206">
        <f t="shared" ref="X13:X32" si="12">U13-W13</f>
        <v>13804.150000000001</v>
      </c>
    </row>
    <row r="14" spans="1:25" ht="16.5">
      <c r="A14">
        <f t="shared" si="6"/>
        <v>1</v>
      </c>
      <c r="B14" s="259" t="s">
        <v>755</v>
      </c>
      <c r="C14" s="66" t="s">
        <v>18</v>
      </c>
      <c r="D14" s="333" t="s">
        <v>1009</v>
      </c>
      <c r="E14" s="330">
        <v>43252</v>
      </c>
      <c r="F14" s="336">
        <v>894.01</v>
      </c>
      <c r="G14" s="135" t="s">
        <v>971</v>
      </c>
      <c r="I14" s="287">
        <f t="shared" si="7"/>
        <v>894.01</v>
      </c>
      <c r="J14" t="s">
        <v>1027</v>
      </c>
      <c r="L14" s="287">
        <f t="shared" si="8"/>
        <v>894.01</v>
      </c>
      <c r="M14" t="s">
        <v>1072</v>
      </c>
      <c r="O14" s="206">
        <f t="shared" si="9"/>
        <v>894.01</v>
      </c>
      <c r="P14" s="361" t="s">
        <v>1179</v>
      </c>
      <c r="R14" s="206">
        <f t="shared" si="10"/>
        <v>894.01</v>
      </c>
      <c r="S14" s="361" t="s">
        <v>1179</v>
      </c>
      <c r="U14" s="206">
        <f t="shared" si="11"/>
        <v>894.01</v>
      </c>
      <c r="X14" s="206">
        <f t="shared" si="12"/>
        <v>894.01</v>
      </c>
    </row>
    <row r="15" spans="1:25" ht="16.5">
      <c r="A15">
        <f t="shared" si="6"/>
        <v>1</v>
      </c>
      <c r="B15" s="259" t="s">
        <v>755</v>
      </c>
      <c r="C15" s="66" t="s">
        <v>16</v>
      </c>
      <c r="D15" s="333" t="s">
        <v>929</v>
      </c>
      <c r="E15" s="330">
        <v>43252</v>
      </c>
      <c r="F15" s="265">
        <v>60855.11</v>
      </c>
      <c r="G15" s="135" t="s">
        <v>971</v>
      </c>
      <c r="I15" s="287">
        <f t="shared" si="7"/>
        <v>60855.11</v>
      </c>
      <c r="J15" t="s">
        <v>1027</v>
      </c>
      <c r="L15" s="287">
        <f t="shared" si="8"/>
        <v>60855.11</v>
      </c>
      <c r="M15" t="s">
        <v>1072</v>
      </c>
      <c r="O15" s="206">
        <f t="shared" si="9"/>
        <v>60855.11</v>
      </c>
      <c r="P15" s="361" t="s">
        <v>1179</v>
      </c>
      <c r="R15" s="206">
        <f t="shared" si="10"/>
        <v>60855.11</v>
      </c>
      <c r="S15" s="361" t="s">
        <v>1179</v>
      </c>
      <c r="T15" s="206">
        <f>R15</f>
        <v>60855.11</v>
      </c>
      <c r="U15" s="206">
        <f t="shared" si="11"/>
        <v>0</v>
      </c>
      <c r="X15" s="206">
        <f t="shared" si="12"/>
        <v>0</v>
      </c>
    </row>
    <row r="16" spans="1:25" ht="16.5">
      <c r="A16">
        <f t="shared" si="6"/>
        <v>1</v>
      </c>
      <c r="B16" s="259" t="s">
        <v>755</v>
      </c>
      <c r="C16" s="66" t="s">
        <v>81</v>
      </c>
      <c r="D16" s="306" t="s">
        <v>973</v>
      </c>
      <c r="E16" s="330">
        <v>43252</v>
      </c>
      <c r="F16" s="265">
        <v>15561</v>
      </c>
      <c r="G16" s="135" t="s">
        <v>971</v>
      </c>
      <c r="H16" s="339">
        <f>15761.66/1.06</f>
        <v>14869.490566037735</v>
      </c>
      <c r="I16" s="287">
        <f t="shared" si="7"/>
        <v>691.50943396226467</v>
      </c>
      <c r="J16" t="s">
        <v>1027</v>
      </c>
      <c r="L16" s="287">
        <f t="shared" si="8"/>
        <v>691.50943396226467</v>
      </c>
      <c r="M16" t="s">
        <v>1072</v>
      </c>
      <c r="O16" s="206">
        <f t="shared" si="9"/>
        <v>691.50943396226467</v>
      </c>
      <c r="P16" s="361" t="s">
        <v>1179</v>
      </c>
      <c r="R16" s="206">
        <f t="shared" si="10"/>
        <v>691.50943396226467</v>
      </c>
      <c r="S16" s="361" t="s">
        <v>1179</v>
      </c>
      <c r="T16" s="206">
        <f>R16</f>
        <v>691.50943396226467</v>
      </c>
      <c r="U16" s="206">
        <f t="shared" si="11"/>
        <v>0</v>
      </c>
      <c r="X16" s="206">
        <f t="shared" si="12"/>
        <v>0</v>
      </c>
    </row>
    <row r="17" spans="1:24" ht="16.5">
      <c r="A17">
        <f t="shared" si="6"/>
        <v>1</v>
      </c>
      <c r="B17" s="259" t="s">
        <v>755</v>
      </c>
      <c r="C17" s="66" t="s">
        <v>974</v>
      </c>
      <c r="D17" s="306" t="s">
        <v>975</v>
      </c>
      <c r="E17" s="330">
        <v>43252</v>
      </c>
      <c r="F17" s="265">
        <v>9177</v>
      </c>
      <c r="G17" s="135" t="s">
        <v>971</v>
      </c>
      <c r="H17" s="339">
        <f>9295.34/1.06</f>
        <v>8769.1886792452824</v>
      </c>
      <c r="I17" s="287">
        <f t="shared" si="7"/>
        <v>407.8113207547176</v>
      </c>
      <c r="J17" t="s">
        <v>1027</v>
      </c>
      <c r="L17" s="287">
        <f t="shared" si="8"/>
        <v>407.8113207547176</v>
      </c>
      <c r="M17" t="s">
        <v>1072</v>
      </c>
      <c r="O17" s="206">
        <f t="shared" si="9"/>
        <v>407.8113207547176</v>
      </c>
      <c r="P17" s="361" t="s">
        <v>1179</v>
      </c>
      <c r="R17" s="206">
        <f t="shared" si="10"/>
        <v>407.8113207547176</v>
      </c>
      <c r="S17" s="361" t="s">
        <v>1179</v>
      </c>
      <c r="T17" s="206">
        <f>R17</f>
        <v>407.8113207547176</v>
      </c>
      <c r="U17" s="206">
        <f t="shared" si="11"/>
        <v>0</v>
      </c>
      <c r="X17" s="206">
        <f t="shared" si="12"/>
        <v>0</v>
      </c>
    </row>
    <row r="18" spans="1:24" ht="16.5">
      <c r="A18">
        <f t="shared" si="6"/>
        <v>1</v>
      </c>
      <c r="B18" s="259" t="s">
        <v>755</v>
      </c>
      <c r="C18" s="66" t="s">
        <v>117</v>
      </c>
      <c r="D18" s="333" t="s">
        <v>118</v>
      </c>
      <c r="E18" s="330">
        <v>43252</v>
      </c>
      <c r="F18" s="265">
        <v>1421.92</v>
      </c>
      <c r="G18" s="135" t="s">
        <v>971</v>
      </c>
      <c r="I18" s="287">
        <f t="shared" si="7"/>
        <v>1421.92</v>
      </c>
      <c r="J18" t="s">
        <v>1027</v>
      </c>
      <c r="L18" s="287">
        <f t="shared" si="8"/>
        <v>1421.92</v>
      </c>
      <c r="M18" t="s">
        <v>1072</v>
      </c>
      <c r="O18" s="206">
        <f t="shared" si="9"/>
        <v>1421.92</v>
      </c>
      <c r="P18" s="361" t="s">
        <v>1179</v>
      </c>
      <c r="R18" s="206">
        <f t="shared" si="10"/>
        <v>1421.92</v>
      </c>
      <c r="S18" s="361" t="s">
        <v>1179</v>
      </c>
      <c r="U18" s="206">
        <f t="shared" si="11"/>
        <v>1421.92</v>
      </c>
      <c r="W18">
        <v>1421.92</v>
      </c>
      <c r="X18" s="206">
        <f t="shared" si="12"/>
        <v>0</v>
      </c>
    </row>
    <row r="19" spans="1:24" ht="16.5">
      <c r="A19">
        <f t="shared" si="6"/>
        <v>1</v>
      </c>
      <c r="B19" s="259" t="s">
        <v>755</v>
      </c>
      <c r="C19" s="66" t="s">
        <v>976</v>
      </c>
      <c r="D19" s="306" t="s">
        <v>977</v>
      </c>
      <c r="E19" s="330">
        <v>43252</v>
      </c>
      <c r="F19" s="265">
        <v>1876.42</v>
      </c>
      <c r="G19" s="135" t="s">
        <v>971</v>
      </c>
      <c r="I19" s="287">
        <f t="shared" si="7"/>
        <v>1876.42</v>
      </c>
      <c r="J19" t="s">
        <v>1027</v>
      </c>
      <c r="L19" s="287">
        <f t="shared" si="8"/>
        <v>1876.42</v>
      </c>
      <c r="M19" t="s">
        <v>1072</v>
      </c>
      <c r="O19" s="206">
        <f t="shared" si="9"/>
        <v>1876.42</v>
      </c>
      <c r="P19" s="361" t="s">
        <v>1179</v>
      </c>
      <c r="R19" s="206">
        <f t="shared" si="10"/>
        <v>1876.42</v>
      </c>
      <c r="S19" s="361" t="s">
        <v>1179</v>
      </c>
      <c r="U19" s="206">
        <f t="shared" si="11"/>
        <v>1876.42</v>
      </c>
      <c r="X19" s="206">
        <f t="shared" si="12"/>
        <v>1876.42</v>
      </c>
    </row>
    <row r="20" spans="1:24" ht="16.5">
      <c r="A20">
        <f t="shared" si="6"/>
        <v>1</v>
      </c>
      <c r="B20" s="259" t="s">
        <v>755</v>
      </c>
      <c r="C20" s="66" t="s">
        <v>133</v>
      </c>
      <c r="D20" s="306" t="s">
        <v>134</v>
      </c>
      <c r="E20" s="330">
        <v>43252</v>
      </c>
      <c r="F20" s="265">
        <v>21221.59</v>
      </c>
      <c r="G20" s="135" t="s">
        <v>971</v>
      </c>
      <c r="I20" s="287">
        <f t="shared" si="7"/>
        <v>21221.59</v>
      </c>
      <c r="J20" t="s">
        <v>1027</v>
      </c>
      <c r="L20" s="287">
        <f t="shared" si="8"/>
        <v>21221.59</v>
      </c>
      <c r="M20" t="s">
        <v>1072</v>
      </c>
      <c r="O20" s="206">
        <f t="shared" si="9"/>
        <v>21221.59</v>
      </c>
      <c r="P20" s="361" t="s">
        <v>1179</v>
      </c>
      <c r="R20" s="206">
        <f t="shared" si="10"/>
        <v>21221.59</v>
      </c>
      <c r="S20" s="361" t="s">
        <v>1179</v>
      </c>
      <c r="U20" s="206">
        <f t="shared" si="11"/>
        <v>21221.59</v>
      </c>
      <c r="X20" s="206">
        <f t="shared" si="12"/>
        <v>21221.59</v>
      </c>
    </row>
    <row r="21" spans="1:24" ht="16.5">
      <c r="A21">
        <f t="shared" si="6"/>
        <v>1</v>
      </c>
      <c r="B21" s="259" t="s">
        <v>755</v>
      </c>
      <c r="C21" s="66" t="s">
        <v>135</v>
      </c>
      <c r="D21" s="306" t="s">
        <v>136</v>
      </c>
      <c r="E21" s="330">
        <v>43252</v>
      </c>
      <c r="F21" s="265">
        <v>2665.68</v>
      </c>
      <c r="G21" s="135" t="s">
        <v>971</v>
      </c>
      <c r="I21" s="287">
        <f t="shared" si="7"/>
        <v>2665.68</v>
      </c>
      <c r="J21" t="s">
        <v>1027</v>
      </c>
      <c r="L21" s="287">
        <f t="shared" si="8"/>
        <v>2665.68</v>
      </c>
      <c r="M21" t="s">
        <v>1072</v>
      </c>
      <c r="O21" s="206">
        <f t="shared" si="9"/>
        <v>2665.68</v>
      </c>
      <c r="P21" s="361" t="s">
        <v>1179</v>
      </c>
      <c r="R21" s="206">
        <f t="shared" si="10"/>
        <v>2665.68</v>
      </c>
      <c r="S21" s="361" t="s">
        <v>1179</v>
      </c>
      <c r="U21" s="206">
        <f t="shared" si="11"/>
        <v>2665.68</v>
      </c>
      <c r="X21" s="206">
        <f t="shared" si="12"/>
        <v>2665.68</v>
      </c>
    </row>
    <row r="22" spans="1:24" ht="16.5">
      <c r="A22">
        <f t="shared" si="6"/>
        <v>1</v>
      </c>
      <c r="B22" s="259" t="s">
        <v>755</v>
      </c>
      <c r="C22" s="66" t="s">
        <v>167</v>
      </c>
      <c r="D22" s="333" t="s">
        <v>168</v>
      </c>
      <c r="E22" s="330">
        <v>43252</v>
      </c>
      <c r="F22" s="265">
        <v>588.29999999999995</v>
      </c>
      <c r="G22" s="135" t="s">
        <v>971</v>
      </c>
      <c r="I22" s="287">
        <f t="shared" si="7"/>
        <v>588.29999999999995</v>
      </c>
      <c r="J22" t="s">
        <v>1027</v>
      </c>
      <c r="L22" s="287">
        <f t="shared" si="8"/>
        <v>588.29999999999995</v>
      </c>
      <c r="M22" t="s">
        <v>1072</v>
      </c>
      <c r="O22" s="206">
        <f t="shared" si="9"/>
        <v>588.29999999999995</v>
      </c>
      <c r="P22" s="361" t="s">
        <v>1179</v>
      </c>
      <c r="R22" s="206">
        <f t="shared" si="10"/>
        <v>588.29999999999995</v>
      </c>
      <c r="S22" s="361" t="s">
        <v>1179</v>
      </c>
      <c r="U22" s="206">
        <f t="shared" si="11"/>
        <v>588.29999999999995</v>
      </c>
      <c r="W22">
        <v>588.29999999999995</v>
      </c>
      <c r="X22" s="206">
        <f t="shared" si="12"/>
        <v>0</v>
      </c>
    </row>
    <row r="23" spans="1:24" ht="16.5">
      <c r="A23">
        <f t="shared" si="6"/>
        <v>1</v>
      </c>
      <c r="B23" s="259" t="s">
        <v>755</v>
      </c>
      <c r="C23" s="66" t="s">
        <v>238</v>
      </c>
      <c r="D23" s="333" t="s">
        <v>418</v>
      </c>
      <c r="E23" s="330">
        <v>43252</v>
      </c>
      <c r="F23" s="265">
        <v>27151.72</v>
      </c>
      <c r="G23" s="135" t="s">
        <v>971</v>
      </c>
      <c r="I23" s="287">
        <f t="shared" si="7"/>
        <v>27151.72</v>
      </c>
      <c r="J23" t="s">
        <v>1027</v>
      </c>
      <c r="L23" s="287">
        <f>I23-K23</f>
        <v>27151.72</v>
      </c>
      <c r="M23" t="s">
        <v>1072</v>
      </c>
      <c r="N23">
        <v>27151.72</v>
      </c>
      <c r="O23" s="206">
        <f t="shared" si="9"/>
        <v>0</v>
      </c>
      <c r="P23" s="361" t="s">
        <v>1179</v>
      </c>
      <c r="R23" s="206">
        <f t="shared" si="10"/>
        <v>0</v>
      </c>
      <c r="S23" s="361" t="s">
        <v>1179</v>
      </c>
      <c r="U23" s="206">
        <f t="shared" si="11"/>
        <v>0</v>
      </c>
      <c r="X23" s="206">
        <f t="shared" si="12"/>
        <v>0</v>
      </c>
    </row>
    <row r="24" spans="1:24" ht="16.5">
      <c r="A24">
        <f t="shared" si="6"/>
        <v>1</v>
      </c>
      <c r="B24" s="259" t="s">
        <v>755</v>
      </c>
      <c r="C24" s="66" t="s">
        <v>580</v>
      </c>
      <c r="D24" s="333" t="s">
        <v>581</v>
      </c>
      <c r="E24" s="330">
        <v>43252</v>
      </c>
      <c r="F24" s="265">
        <v>24829.919999999998</v>
      </c>
      <c r="G24" s="135" t="s">
        <v>971</v>
      </c>
      <c r="H24" s="20">
        <v>24829.919999999998</v>
      </c>
      <c r="I24" s="287">
        <f t="shared" si="7"/>
        <v>0</v>
      </c>
      <c r="J24" t="s">
        <v>1027</v>
      </c>
      <c r="L24" s="287">
        <f t="shared" ref="L24:L32" si="13">I24-K24</f>
        <v>0</v>
      </c>
      <c r="M24" t="s">
        <v>1072</v>
      </c>
      <c r="O24" s="206">
        <f t="shared" si="9"/>
        <v>0</v>
      </c>
      <c r="P24" s="361" t="s">
        <v>1179</v>
      </c>
      <c r="R24" s="206">
        <f t="shared" si="10"/>
        <v>0</v>
      </c>
      <c r="S24" s="361" t="s">
        <v>1179</v>
      </c>
      <c r="U24" s="206">
        <f t="shared" si="11"/>
        <v>0</v>
      </c>
      <c r="X24" s="206">
        <f t="shared" si="12"/>
        <v>0</v>
      </c>
    </row>
    <row r="25" spans="1:24" ht="16.5">
      <c r="A25">
        <f t="shared" si="6"/>
        <v>1</v>
      </c>
      <c r="B25" s="259" t="s">
        <v>755</v>
      </c>
      <c r="C25" s="66" t="s">
        <v>582</v>
      </c>
      <c r="D25" s="333" t="s">
        <v>583</v>
      </c>
      <c r="E25" s="330">
        <v>43252</v>
      </c>
      <c r="F25" s="265">
        <v>37731.230000000003</v>
      </c>
      <c r="G25" s="135" t="s">
        <v>971</v>
      </c>
      <c r="H25" s="20">
        <v>8111.92</v>
      </c>
      <c r="I25" s="287">
        <f t="shared" si="7"/>
        <v>29619.310000000005</v>
      </c>
      <c r="J25" t="s">
        <v>1027</v>
      </c>
      <c r="L25" s="287">
        <f t="shared" si="13"/>
        <v>29619.310000000005</v>
      </c>
      <c r="M25" t="s">
        <v>1072</v>
      </c>
      <c r="O25" s="206">
        <f t="shared" si="9"/>
        <v>29619.310000000005</v>
      </c>
      <c r="P25" s="361" t="s">
        <v>1179</v>
      </c>
      <c r="Q25" s="20">
        <v>29619.310000000005</v>
      </c>
      <c r="R25" s="206">
        <f t="shared" si="10"/>
        <v>0</v>
      </c>
      <c r="S25" s="361" t="s">
        <v>1179</v>
      </c>
      <c r="U25" s="206">
        <f t="shared" si="11"/>
        <v>0</v>
      </c>
      <c r="X25" s="206">
        <f t="shared" si="12"/>
        <v>0</v>
      </c>
    </row>
    <row r="26" spans="1:24" ht="16.5">
      <c r="A26">
        <f t="shared" si="6"/>
        <v>1</v>
      </c>
      <c r="B26" s="259" t="s">
        <v>755</v>
      </c>
      <c r="C26" s="317" t="s">
        <v>823</v>
      </c>
      <c r="D26" s="333" t="s">
        <v>824</v>
      </c>
      <c r="E26" s="330">
        <v>43252</v>
      </c>
      <c r="F26" s="265">
        <v>2532.08</v>
      </c>
      <c r="G26" s="135" t="s">
        <v>971</v>
      </c>
      <c r="I26" s="287">
        <f t="shared" si="7"/>
        <v>2532.08</v>
      </c>
      <c r="J26" t="s">
        <v>1027</v>
      </c>
      <c r="L26" s="287">
        <f t="shared" si="13"/>
        <v>2532.08</v>
      </c>
      <c r="M26" t="s">
        <v>1072</v>
      </c>
      <c r="O26" s="206">
        <f t="shared" si="9"/>
        <v>2532.08</v>
      </c>
      <c r="P26" s="361" t="s">
        <v>1179</v>
      </c>
      <c r="Q26" s="20">
        <v>2532.08</v>
      </c>
      <c r="R26" s="206">
        <f t="shared" si="10"/>
        <v>0</v>
      </c>
      <c r="S26" s="361" t="s">
        <v>1179</v>
      </c>
      <c r="U26" s="206">
        <f t="shared" si="11"/>
        <v>0</v>
      </c>
      <c r="X26" s="206">
        <f t="shared" si="12"/>
        <v>0</v>
      </c>
    </row>
    <row r="27" spans="1:24" ht="16.5">
      <c r="A27">
        <f t="shared" si="6"/>
        <v>1</v>
      </c>
      <c r="B27" s="259" t="s">
        <v>755</v>
      </c>
      <c r="C27" s="394" t="s">
        <v>1307</v>
      </c>
      <c r="D27" s="333" t="s">
        <v>979</v>
      </c>
      <c r="E27" s="330">
        <v>43252</v>
      </c>
      <c r="F27" s="265">
        <v>5408.49</v>
      </c>
      <c r="G27" s="135" t="s">
        <v>971</v>
      </c>
      <c r="I27" s="287">
        <f t="shared" si="7"/>
        <v>5408.49</v>
      </c>
      <c r="J27" t="s">
        <v>1027</v>
      </c>
      <c r="L27" s="287">
        <f t="shared" si="13"/>
        <v>5408.49</v>
      </c>
      <c r="M27" t="s">
        <v>1072</v>
      </c>
      <c r="O27" s="206">
        <f t="shared" si="9"/>
        <v>5408.49</v>
      </c>
      <c r="P27" s="361" t="s">
        <v>1179</v>
      </c>
      <c r="R27" s="206">
        <f t="shared" si="10"/>
        <v>5408.49</v>
      </c>
      <c r="S27" s="361" t="s">
        <v>1179</v>
      </c>
      <c r="T27">
        <v>5408.49</v>
      </c>
      <c r="U27" s="206">
        <f t="shared" si="11"/>
        <v>0</v>
      </c>
      <c r="X27" s="206">
        <f t="shared" si="12"/>
        <v>0</v>
      </c>
    </row>
    <row r="28" spans="1:24" ht="16.5">
      <c r="A28">
        <f t="shared" si="6"/>
        <v>1</v>
      </c>
      <c r="B28" s="259" t="s">
        <v>755</v>
      </c>
      <c r="C28" s="66" t="s">
        <v>980</v>
      </c>
      <c r="D28" s="306" t="s">
        <v>981</v>
      </c>
      <c r="E28" s="330">
        <v>43252</v>
      </c>
      <c r="F28" s="265">
        <v>743.4</v>
      </c>
      <c r="G28" s="135" t="s">
        <v>971</v>
      </c>
      <c r="I28" s="287">
        <f t="shared" si="7"/>
        <v>743.4</v>
      </c>
      <c r="J28" t="s">
        <v>1027</v>
      </c>
      <c r="L28" s="287">
        <f t="shared" si="13"/>
        <v>743.4</v>
      </c>
      <c r="M28" t="s">
        <v>1072</v>
      </c>
      <c r="N28">
        <v>743.4</v>
      </c>
      <c r="O28" s="206">
        <f t="shared" si="9"/>
        <v>0</v>
      </c>
      <c r="P28" s="361" t="s">
        <v>1179</v>
      </c>
      <c r="R28" s="206">
        <f t="shared" si="10"/>
        <v>0</v>
      </c>
      <c r="S28" s="361" t="s">
        <v>1179</v>
      </c>
      <c r="U28" s="206">
        <f t="shared" si="11"/>
        <v>0</v>
      </c>
      <c r="X28" s="206">
        <f t="shared" si="12"/>
        <v>0</v>
      </c>
    </row>
    <row r="29" spans="1:24" ht="16.5">
      <c r="A29">
        <f t="shared" si="6"/>
        <v>1</v>
      </c>
      <c r="B29" s="259" t="s">
        <v>755</v>
      </c>
      <c r="C29" s="66" t="s">
        <v>982</v>
      </c>
      <c r="D29" s="306" t="s">
        <v>983</v>
      </c>
      <c r="E29" s="330">
        <v>43252</v>
      </c>
      <c r="F29" s="265">
        <v>3607.91</v>
      </c>
      <c r="G29" s="135" t="s">
        <v>971</v>
      </c>
      <c r="I29" s="287">
        <f t="shared" si="7"/>
        <v>3607.91</v>
      </c>
      <c r="J29" t="s">
        <v>1027</v>
      </c>
      <c r="L29" s="287">
        <f t="shared" si="13"/>
        <v>3607.91</v>
      </c>
      <c r="M29" t="s">
        <v>1072</v>
      </c>
      <c r="O29" s="206">
        <f t="shared" si="9"/>
        <v>3607.91</v>
      </c>
      <c r="P29" s="361" t="s">
        <v>1179</v>
      </c>
      <c r="Q29" s="20">
        <v>664.01</v>
      </c>
      <c r="R29" s="206">
        <f t="shared" si="10"/>
        <v>2943.8999999999996</v>
      </c>
      <c r="S29" s="361" t="s">
        <v>1179</v>
      </c>
      <c r="T29" s="206">
        <v>2943.8999999999996</v>
      </c>
      <c r="U29" s="206">
        <f t="shared" si="11"/>
        <v>0</v>
      </c>
      <c r="X29" s="206">
        <f t="shared" si="12"/>
        <v>0</v>
      </c>
    </row>
    <row r="30" spans="1:24" ht="16.5">
      <c r="A30">
        <f t="shared" si="6"/>
        <v>1</v>
      </c>
      <c r="B30" s="259" t="s">
        <v>755</v>
      </c>
      <c r="C30" s="66" t="s">
        <v>984</v>
      </c>
      <c r="D30" s="306" t="s">
        <v>985</v>
      </c>
      <c r="E30" s="330">
        <v>43252</v>
      </c>
      <c r="F30" s="265">
        <v>29284.63</v>
      </c>
      <c r="G30" s="135" t="s">
        <v>971</v>
      </c>
      <c r="I30" s="287">
        <f t="shared" si="7"/>
        <v>29284.63</v>
      </c>
      <c r="J30" t="s">
        <v>1027</v>
      </c>
      <c r="L30" s="287">
        <f t="shared" si="13"/>
        <v>29284.63</v>
      </c>
      <c r="M30" t="s">
        <v>1072</v>
      </c>
      <c r="O30" s="206">
        <f t="shared" si="9"/>
        <v>29284.63</v>
      </c>
      <c r="P30" s="361" t="s">
        <v>1179</v>
      </c>
      <c r="R30" s="206">
        <f t="shared" si="10"/>
        <v>29284.63</v>
      </c>
      <c r="S30" s="361" t="s">
        <v>1179</v>
      </c>
      <c r="T30" s="206">
        <v>29284.63</v>
      </c>
      <c r="U30" s="206">
        <f t="shared" si="11"/>
        <v>0</v>
      </c>
      <c r="X30" s="206">
        <f t="shared" si="12"/>
        <v>0</v>
      </c>
    </row>
    <row r="31" spans="1:24" ht="16.5">
      <c r="A31">
        <f t="shared" si="6"/>
        <v>1</v>
      </c>
      <c r="B31" s="259" t="s">
        <v>755</v>
      </c>
      <c r="C31" s="66" t="s">
        <v>986</v>
      </c>
      <c r="D31" s="306" t="s">
        <v>987</v>
      </c>
      <c r="E31" s="330">
        <v>43252</v>
      </c>
      <c r="F31" s="265">
        <v>26234.16</v>
      </c>
      <c r="G31" s="135" t="s">
        <v>971</v>
      </c>
      <c r="I31" s="287">
        <f t="shared" si="7"/>
        <v>26234.16</v>
      </c>
      <c r="J31" t="s">
        <v>1027</v>
      </c>
      <c r="L31" s="287">
        <f t="shared" si="13"/>
        <v>26234.16</v>
      </c>
      <c r="M31" t="s">
        <v>1072</v>
      </c>
      <c r="O31" s="206">
        <f t="shared" si="9"/>
        <v>26234.16</v>
      </c>
      <c r="P31" s="361" t="s">
        <v>1179</v>
      </c>
      <c r="R31" s="206">
        <f t="shared" si="10"/>
        <v>26234.16</v>
      </c>
      <c r="S31" s="361" t="s">
        <v>1179</v>
      </c>
      <c r="T31" s="206">
        <v>26234.16</v>
      </c>
      <c r="U31" s="206">
        <f t="shared" si="11"/>
        <v>0</v>
      </c>
      <c r="X31" s="206">
        <f t="shared" si="12"/>
        <v>0</v>
      </c>
    </row>
    <row r="32" spans="1:24" ht="16.5">
      <c r="A32">
        <f t="shared" si="6"/>
        <v>1</v>
      </c>
      <c r="B32" s="259" t="s">
        <v>755</v>
      </c>
      <c r="C32" s="66" t="s">
        <v>989</v>
      </c>
      <c r="D32" s="306" t="s">
        <v>988</v>
      </c>
      <c r="E32" s="330">
        <v>43252</v>
      </c>
      <c r="F32" s="265">
        <v>3863.94</v>
      </c>
      <c r="G32" s="135" t="s">
        <v>971</v>
      </c>
      <c r="I32" s="287">
        <f t="shared" si="7"/>
        <v>3863.94</v>
      </c>
      <c r="J32" t="s">
        <v>1027</v>
      </c>
      <c r="L32" s="287">
        <f t="shared" si="13"/>
        <v>3863.94</v>
      </c>
      <c r="M32" t="s">
        <v>1072</v>
      </c>
      <c r="O32" s="206">
        <f t="shared" si="9"/>
        <v>3863.94</v>
      </c>
      <c r="P32" s="361" t="s">
        <v>1179</v>
      </c>
      <c r="R32" s="206">
        <f t="shared" si="10"/>
        <v>3863.94</v>
      </c>
      <c r="S32" s="361" t="s">
        <v>1179</v>
      </c>
      <c r="U32" s="206">
        <f t="shared" si="11"/>
        <v>3863.94</v>
      </c>
      <c r="X32" s="206">
        <f t="shared" si="12"/>
        <v>3863.94</v>
      </c>
    </row>
    <row r="33" spans="1:25">
      <c r="B33" s="271"/>
      <c r="C33" s="271"/>
      <c r="D33" s="329"/>
      <c r="E33" s="271"/>
      <c r="F33" s="338">
        <f>SUM(F12:F32)</f>
        <v>335021.40999999997</v>
      </c>
      <c r="G33" s="271"/>
      <c r="H33" s="338">
        <f>SUM(H12:H32)</f>
        <v>56580.519245283016</v>
      </c>
      <c r="I33" s="338">
        <f>SUM(I12:I32)</f>
        <v>278440.89075471694</v>
      </c>
      <c r="J33" s="271"/>
      <c r="K33" s="338">
        <f>SUM(K12:K32)</f>
        <v>0</v>
      </c>
      <c r="L33" s="338">
        <f>SUM(L12:L32)</f>
        <v>278440.89075471694</v>
      </c>
      <c r="M33" s="352">
        <f t="shared" ref="M33:O33" si="14">SUM(M12:M32)</f>
        <v>0</v>
      </c>
      <c r="N33" s="352">
        <f t="shared" si="14"/>
        <v>27895.120000000003</v>
      </c>
      <c r="O33" s="352">
        <f t="shared" si="14"/>
        <v>250545.77075471694</v>
      </c>
      <c r="P33" s="361" t="s">
        <v>1179</v>
      </c>
      <c r="Q33" s="329"/>
      <c r="R33" s="329">
        <f t="shared" ref="R33" si="15">SUM(R12:R32)</f>
        <v>217730.37075471695</v>
      </c>
      <c r="S33" s="329" t="s">
        <v>1179</v>
      </c>
      <c r="T33" s="329">
        <f t="shared" ref="T33:X33" si="16">SUM(T12:T32)</f>
        <v>171394.36075471697</v>
      </c>
      <c r="U33" s="329">
        <f t="shared" si="16"/>
        <v>46336.01</v>
      </c>
      <c r="V33" s="329">
        <f t="shared" si="16"/>
        <v>0</v>
      </c>
      <c r="W33" s="329">
        <f t="shared" si="16"/>
        <v>2010.22</v>
      </c>
      <c r="X33" s="329">
        <f t="shared" si="16"/>
        <v>44325.79</v>
      </c>
      <c r="Y33" s="329"/>
    </row>
    <row r="35" spans="1:25" ht="33">
      <c r="B35" s="273" t="s">
        <v>728</v>
      </c>
      <c r="C35" s="273" t="s">
        <v>729</v>
      </c>
      <c r="D35" s="328" t="s">
        <v>730</v>
      </c>
      <c r="E35" s="273" t="s">
        <v>731</v>
      </c>
      <c r="F35" s="274" t="s">
        <v>969</v>
      </c>
      <c r="G35" s="280" t="s">
        <v>733</v>
      </c>
      <c r="H35" s="322" t="s">
        <v>956</v>
      </c>
      <c r="I35" s="280" t="s">
        <v>957</v>
      </c>
      <c r="J35" s="280" t="s">
        <v>733</v>
      </c>
      <c r="K35" s="322" t="s">
        <v>1016</v>
      </c>
      <c r="L35" s="280" t="s">
        <v>1017</v>
      </c>
      <c r="M35" s="280" t="s">
        <v>733</v>
      </c>
      <c r="N35" s="322" t="s">
        <v>1057</v>
      </c>
      <c r="O35" s="280" t="s">
        <v>1058</v>
      </c>
      <c r="P35" s="280" t="s">
        <v>733</v>
      </c>
      <c r="Q35" s="322" t="s">
        <v>1109</v>
      </c>
      <c r="R35" s="280" t="s">
        <v>1110</v>
      </c>
      <c r="S35" s="280" t="s">
        <v>733</v>
      </c>
      <c r="T35" s="322" t="s">
        <v>1257</v>
      </c>
      <c r="U35" s="280" t="s">
        <v>1258</v>
      </c>
      <c r="V35" s="280" t="s">
        <v>733</v>
      </c>
      <c r="W35" s="322" t="s">
        <v>1295</v>
      </c>
      <c r="X35" s="280" t="s">
        <v>1297</v>
      </c>
      <c r="Y35" s="280" t="s">
        <v>733</v>
      </c>
    </row>
    <row r="36" spans="1:25" ht="16.5">
      <c r="A36">
        <f t="shared" ref="A36:A47" si="17">COUNTIF($C$36:$C$47,C36)</f>
        <v>1</v>
      </c>
      <c r="B36" s="259" t="s">
        <v>804</v>
      </c>
      <c r="C36" s="66" t="s">
        <v>1006</v>
      </c>
      <c r="D36" s="66" t="s">
        <v>1007</v>
      </c>
      <c r="E36" s="330">
        <v>43252</v>
      </c>
      <c r="F36" s="265">
        <v>114.15</v>
      </c>
      <c r="G36" s="135" t="s">
        <v>971</v>
      </c>
      <c r="I36" s="206">
        <f>F36-H36</f>
        <v>114.15</v>
      </c>
      <c r="J36" t="s">
        <v>1020</v>
      </c>
      <c r="L36" s="206">
        <f t="shared" ref="L36:L41" si="18">I36-K36</f>
        <v>114.15</v>
      </c>
      <c r="M36" t="s">
        <v>1078</v>
      </c>
      <c r="O36" s="206">
        <f>L36-N36</f>
        <v>114.15</v>
      </c>
      <c r="P36" s="361" t="s">
        <v>1194</v>
      </c>
      <c r="R36" s="206">
        <f>O36-Q36</f>
        <v>114.15</v>
      </c>
      <c r="S36" s="361" t="s">
        <v>1202</v>
      </c>
      <c r="U36" s="206">
        <f>R36-T36</f>
        <v>114.15</v>
      </c>
      <c r="X36" s="206">
        <f>U36-W36</f>
        <v>114.15</v>
      </c>
    </row>
    <row r="37" spans="1:25" ht="16.5" hidden="1">
      <c r="A37">
        <f t="shared" si="17"/>
        <v>1</v>
      </c>
      <c r="B37" s="259" t="s">
        <v>804</v>
      </c>
      <c r="C37" s="66" t="s">
        <v>75</v>
      </c>
      <c r="D37" s="66" t="s">
        <v>76</v>
      </c>
      <c r="E37" s="330">
        <v>43252</v>
      </c>
      <c r="F37" s="265">
        <v>49237.09</v>
      </c>
      <c r="G37" s="135" t="s">
        <v>971</v>
      </c>
      <c r="I37" s="206">
        <f t="shared" ref="I37:I47" si="19">F37-H37</f>
        <v>49237.09</v>
      </c>
      <c r="J37" t="s">
        <v>1020</v>
      </c>
      <c r="L37" s="206">
        <f t="shared" si="18"/>
        <v>49237.09</v>
      </c>
      <c r="M37" t="s">
        <v>1078</v>
      </c>
      <c r="O37" s="206">
        <f t="shared" ref="O37:O47" si="20">L37-N37</f>
        <v>49237.09</v>
      </c>
      <c r="P37" s="361" t="s">
        <v>1194</v>
      </c>
      <c r="R37" s="206">
        <f t="shared" ref="R37:R47" si="21">O37-Q37</f>
        <v>49237.09</v>
      </c>
      <c r="S37" s="361" t="s">
        <v>1202</v>
      </c>
      <c r="U37" s="206">
        <f>R37-T37</f>
        <v>49237.09</v>
      </c>
      <c r="W37">
        <v>49237.09</v>
      </c>
      <c r="X37" s="206">
        <f t="shared" ref="X37:X47" si="22">U37-W37</f>
        <v>0</v>
      </c>
    </row>
    <row r="38" spans="1:25" ht="16.5" hidden="1">
      <c r="A38">
        <f t="shared" si="17"/>
        <v>1</v>
      </c>
      <c r="B38" s="259" t="s">
        <v>804</v>
      </c>
      <c r="C38" s="66" t="s">
        <v>991</v>
      </c>
      <c r="D38" s="66" t="s">
        <v>990</v>
      </c>
      <c r="E38" s="330">
        <v>43252</v>
      </c>
      <c r="F38" s="265">
        <v>2986.57</v>
      </c>
      <c r="G38" s="135" t="s">
        <v>971</v>
      </c>
      <c r="I38" s="206">
        <f t="shared" si="19"/>
        <v>2986.57</v>
      </c>
      <c r="J38" t="s">
        <v>1020</v>
      </c>
      <c r="L38" s="206">
        <f t="shared" si="18"/>
        <v>2986.57</v>
      </c>
      <c r="M38" t="s">
        <v>1078</v>
      </c>
      <c r="O38" s="206">
        <f t="shared" si="20"/>
        <v>2986.57</v>
      </c>
      <c r="P38" s="361" t="s">
        <v>1194</v>
      </c>
      <c r="R38" s="206">
        <f t="shared" si="21"/>
        <v>2986.57</v>
      </c>
      <c r="S38" s="361" t="s">
        <v>1202</v>
      </c>
      <c r="U38" s="206">
        <f>R38-T38</f>
        <v>2986.57</v>
      </c>
      <c r="W38">
        <v>2986.57</v>
      </c>
      <c r="X38" s="206">
        <f t="shared" si="22"/>
        <v>0</v>
      </c>
    </row>
    <row r="39" spans="1:25" ht="16.5" hidden="1">
      <c r="A39">
        <f t="shared" si="17"/>
        <v>1</v>
      </c>
      <c r="B39" s="259" t="s">
        <v>804</v>
      </c>
      <c r="C39" s="66" t="s">
        <v>927</v>
      </c>
      <c r="D39" s="306" t="s">
        <v>940</v>
      </c>
      <c r="E39" s="330">
        <v>43252</v>
      </c>
      <c r="F39" s="265">
        <v>1033196.08</v>
      </c>
      <c r="G39" s="135" t="s">
        <v>971</v>
      </c>
      <c r="H39">
        <v>1033196.08</v>
      </c>
      <c r="I39" s="206">
        <f t="shared" si="19"/>
        <v>0</v>
      </c>
      <c r="J39" t="s">
        <v>1020</v>
      </c>
      <c r="L39" s="206">
        <f t="shared" si="18"/>
        <v>0</v>
      </c>
      <c r="M39" t="s">
        <v>1078</v>
      </c>
      <c r="O39" s="206">
        <f t="shared" si="20"/>
        <v>0</v>
      </c>
      <c r="P39" s="361" t="s">
        <v>1194</v>
      </c>
      <c r="R39" s="206">
        <f t="shared" si="21"/>
        <v>0</v>
      </c>
      <c r="S39" s="361" t="s">
        <v>1202</v>
      </c>
      <c r="U39" s="206">
        <f t="shared" ref="U39:U47" si="23">R39-T39</f>
        <v>0</v>
      </c>
      <c r="X39" s="206">
        <f t="shared" si="22"/>
        <v>0</v>
      </c>
    </row>
    <row r="40" spans="1:25" ht="16.5" hidden="1">
      <c r="A40">
        <f t="shared" si="17"/>
        <v>1</v>
      </c>
      <c r="B40" s="259" t="s">
        <v>804</v>
      </c>
      <c r="C40" s="66" t="s">
        <v>993</v>
      </c>
      <c r="D40" s="67" t="s">
        <v>992</v>
      </c>
      <c r="E40" s="330">
        <v>43252</v>
      </c>
      <c r="F40" s="265">
        <v>409433.96</v>
      </c>
      <c r="G40" s="135" t="s">
        <v>971</v>
      </c>
      <c r="H40">
        <v>409433.96</v>
      </c>
      <c r="I40" s="206">
        <f t="shared" si="19"/>
        <v>0</v>
      </c>
      <c r="J40" t="s">
        <v>1020</v>
      </c>
      <c r="L40" s="206">
        <f t="shared" si="18"/>
        <v>0</v>
      </c>
      <c r="M40" t="s">
        <v>1078</v>
      </c>
      <c r="O40" s="206">
        <f t="shared" si="20"/>
        <v>0</v>
      </c>
      <c r="P40" s="361" t="s">
        <v>1194</v>
      </c>
      <c r="R40" s="206">
        <f t="shared" si="21"/>
        <v>0</v>
      </c>
      <c r="S40" s="361" t="s">
        <v>1202</v>
      </c>
      <c r="U40" s="206">
        <f t="shared" si="23"/>
        <v>0</v>
      </c>
      <c r="X40" s="206">
        <f t="shared" si="22"/>
        <v>0</v>
      </c>
    </row>
    <row r="41" spans="1:25" ht="16.5" hidden="1">
      <c r="A41">
        <f t="shared" si="17"/>
        <v>1</v>
      </c>
      <c r="B41" s="259" t="s">
        <v>804</v>
      </c>
      <c r="C41" s="66" t="s">
        <v>995</v>
      </c>
      <c r="D41" s="66" t="s">
        <v>994</v>
      </c>
      <c r="E41" s="330">
        <v>43252</v>
      </c>
      <c r="F41" s="265">
        <v>336320.75</v>
      </c>
      <c r="G41" s="135" t="s">
        <v>971</v>
      </c>
      <c r="H41">
        <v>336320.75</v>
      </c>
      <c r="I41" s="206">
        <f t="shared" si="19"/>
        <v>0</v>
      </c>
      <c r="J41" t="s">
        <v>1020</v>
      </c>
      <c r="L41" s="206">
        <f t="shared" si="18"/>
        <v>0</v>
      </c>
      <c r="M41" t="s">
        <v>1078</v>
      </c>
      <c r="O41" s="206">
        <f t="shared" si="20"/>
        <v>0</v>
      </c>
      <c r="P41" s="361" t="s">
        <v>1194</v>
      </c>
      <c r="R41" s="206">
        <f t="shared" si="21"/>
        <v>0</v>
      </c>
      <c r="S41" s="361" t="s">
        <v>1202</v>
      </c>
      <c r="U41" s="206">
        <f t="shared" si="23"/>
        <v>0</v>
      </c>
      <c r="X41" s="206">
        <f t="shared" si="22"/>
        <v>0</v>
      </c>
    </row>
    <row r="42" spans="1:25" ht="16.5">
      <c r="A42">
        <f t="shared" si="17"/>
        <v>1</v>
      </c>
      <c r="B42" s="259" t="s">
        <v>804</v>
      </c>
      <c r="C42" s="66" t="s">
        <v>997</v>
      </c>
      <c r="D42" s="66" t="s">
        <v>996</v>
      </c>
      <c r="E42" s="330">
        <v>43252</v>
      </c>
      <c r="F42" s="265">
        <v>62016.61</v>
      </c>
      <c r="G42" s="135" t="s">
        <v>971</v>
      </c>
      <c r="H42">
        <v>0</v>
      </c>
      <c r="I42" s="206">
        <f t="shared" si="19"/>
        <v>62016.61</v>
      </c>
      <c r="J42" t="s">
        <v>1020</v>
      </c>
      <c r="K42" s="20">
        <f>2500+3000</f>
        <v>5500</v>
      </c>
      <c r="L42" s="206">
        <f t="shared" ref="L42:L47" si="24">I42-K42</f>
        <v>56516.61</v>
      </c>
      <c r="M42" t="s">
        <v>1078</v>
      </c>
      <c r="N42">
        <f>8730+5700+14550</f>
        <v>28980</v>
      </c>
      <c r="O42" s="206">
        <f t="shared" si="20"/>
        <v>27536.61</v>
      </c>
      <c r="P42" s="361" t="s">
        <v>1194</v>
      </c>
      <c r="R42" s="206">
        <f t="shared" si="21"/>
        <v>27536.61</v>
      </c>
      <c r="S42" s="361" t="s">
        <v>1202</v>
      </c>
      <c r="U42" s="206">
        <f t="shared" si="23"/>
        <v>27536.61</v>
      </c>
      <c r="X42" s="206">
        <f t="shared" si="22"/>
        <v>27536.61</v>
      </c>
    </row>
    <row r="43" spans="1:25" ht="16.5">
      <c r="A43">
        <f t="shared" si="17"/>
        <v>1</v>
      </c>
      <c r="B43" s="259" t="s">
        <v>804</v>
      </c>
      <c r="C43" s="66" t="s">
        <v>999</v>
      </c>
      <c r="D43" s="306" t="s">
        <v>998</v>
      </c>
      <c r="E43" s="330">
        <v>43252</v>
      </c>
      <c r="F43" s="337">
        <v>42709.66</v>
      </c>
      <c r="G43" s="135" t="s">
        <v>971</v>
      </c>
      <c r="H43" s="12"/>
      <c r="I43" s="206">
        <f t="shared" si="19"/>
        <v>42709.66</v>
      </c>
      <c r="J43" t="s">
        <v>1020</v>
      </c>
      <c r="L43" s="206">
        <f t="shared" si="24"/>
        <v>42709.66</v>
      </c>
      <c r="M43" t="s">
        <v>1078</v>
      </c>
      <c r="O43" s="206">
        <f t="shared" si="20"/>
        <v>42709.66</v>
      </c>
      <c r="P43" s="361" t="s">
        <v>1194</v>
      </c>
      <c r="R43" s="206">
        <f t="shared" si="21"/>
        <v>42709.66</v>
      </c>
      <c r="S43" s="361" t="s">
        <v>1202</v>
      </c>
      <c r="U43" s="206">
        <f t="shared" si="23"/>
        <v>42709.66</v>
      </c>
      <c r="X43" s="206">
        <f t="shared" si="22"/>
        <v>42709.66</v>
      </c>
    </row>
    <row r="44" spans="1:25" ht="16.5">
      <c r="A44">
        <f t="shared" si="17"/>
        <v>1</v>
      </c>
      <c r="B44" s="259" t="s">
        <v>804</v>
      </c>
      <c r="C44" s="66" t="s">
        <v>1001</v>
      </c>
      <c r="D44" s="67" t="s">
        <v>1000</v>
      </c>
      <c r="E44" s="330">
        <v>43252</v>
      </c>
      <c r="F44" s="265">
        <v>26959.7</v>
      </c>
      <c r="G44" s="135" t="s">
        <v>971</v>
      </c>
      <c r="H44" s="132">
        <f>21700/1.06</f>
        <v>20471.698113207545</v>
      </c>
      <c r="I44" s="206">
        <f t="shared" si="19"/>
        <v>6488.0018867924555</v>
      </c>
      <c r="J44" t="s">
        <v>1020</v>
      </c>
      <c r="L44" s="206">
        <f t="shared" si="24"/>
        <v>6488.0018867924555</v>
      </c>
      <c r="M44" t="s">
        <v>1078</v>
      </c>
      <c r="O44" s="206">
        <f t="shared" si="20"/>
        <v>6488.0018867924555</v>
      </c>
      <c r="P44" s="361" t="s">
        <v>1194</v>
      </c>
      <c r="R44" s="206">
        <f t="shared" si="21"/>
        <v>6488.0018867924555</v>
      </c>
      <c r="S44" s="361" t="s">
        <v>1202</v>
      </c>
      <c r="U44" s="206">
        <f t="shared" si="23"/>
        <v>6488.0018867924555</v>
      </c>
      <c r="X44" s="206">
        <f t="shared" si="22"/>
        <v>6488.0018867924555</v>
      </c>
    </row>
    <row r="45" spans="1:25" ht="16.5">
      <c r="A45">
        <f t="shared" si="17"/>
        <v>1</v>
      </c>
      <c r="B45" s="259" t="s">
        <v>804</v>
      </c>
      <c r="C45" s="66" t="s">
        <v>1003</v>
      </c>
      <c r="D45" s="66" t="s">
        <v>1002</v>
      </c>
      <c r="E45" s="330">
        <v>43252</v>
      </c>
      <c r="F45" s="265">
        <v>7014.49</v>
      </c>
      <c r="G45" s="135" t="s">
        <v>971</v>
      </c>
      <c r="I45" s="206">
        <f t="shared" si="19"/>
        <v>7014.49</v>
      </c>
      <c r="J45" t="s">
        <v>1020</v>
      </c>
      <c r="L45" s="206">
        <f t="shared" si="24"/>
        <v>7014.49</v>
      </c>
      <c r="M45" t="s">
        <v>1078</v>
      </c>
      <c r="O45" s="206">
        <f t="shared" si="20"/>
        <v>7014.49</v>
      </c>
      <c r="P45" s="361" t="s">
        <v>1194</v>
      </c>
      <c r="R45" s="206">
        <f t="shared" si="21"/>
        <v>7014.49</v>
      </c>
      <c r="S45" s="361" t="s">
        <v>1202</v>
      </c>
      <c r="U45" s="206">
        <f t="shared" si="23"/>
        <v>7014.49</v>
      </c>
      <c r="X45" s="206">
        <f t="shared" si="22"/>
        <v>7014.49</v>
      </c>
    </row>
    <row r="46" spans="1:25" ht="16.5">
      <c r="A46">
        <f t="shared" si="17"/>
        <v>1</v>
      </c>
      <c r="B46" s="259" t="s">
        <v>804</v>
      </c>
      <c r="C46" s="66" t="s">
        <v>1005</v>
      </c>
      <c r="D46" s="306" t="s">
        <v>1004</v>
      </c>
      <c r="E46" s="330">
        <v>43252</v>
      </c>
      <c r="F46" s="265">
        <v>208.94</v>
      </c>
      <c r="G46" s="135" t="s">
        <v>971</v>
      </c>
      <c r="I46" s="206">
        <f t="shared" si="19"/>
        <v>208.94</v>
      </c>
      <c r="J46" t="s">
        <v>1020</v>
      </c>
      <c r="L46" s="206">
        <f t="shared" si="24"/>
        <v>208.94</v>
      </c>
      <c r="M46" t="s">
        <v>1078</v>
      </c>
      <c r="O46" s="206">
        <f t="shared" si="20"/>
        <v>208.94</v>
      </c>
      <c r="P46" s="361" t="s">
        <v>1194</v>
      </c>
      <c r="R46" s="206">
        <f t="shared" si="21"/>
        <v>208.94</v>
      </c>
      <c r="S46" s="361" t="s">
        <v>1202</v>
      </c>
      <c r="U46" s="206">
        <f t="shared" si="23"/>
        <v>208.94</v>
      </c>
      <c r="X46" s="206">
        <f t="shared" si="22"/>
        <v>208.94</v>
      </c>
    </row>
    <row r="47" spans="1:25" ht="16.5">
      <c r="A47">
        <f t="shared" si="17"/>
        <v>1</v>
      </c>
      <c r="B47" s="259" t="s">
        <v>950</v>
      </c>
      <c r="C47" s="334" t="s">
        <v>866</v>
      </c>
      <c r="D47" s="335" t="s">
        <v>955</v>
      </c>
      <c r="E47" s="330">
        <v>43252</v>
      </c>
      <c r="F47" s="265">
        <v>90313.22</v>
      </c>
      <c r="G47" s="135" t="s">
        <v>971</v>
      </c>
      <c r="I47" s="206">
        <f t="shared" si="19"/>
        <v>90313.22</v>
      </c>
      <c r="J47" t="s">
        <v>1020</v>
      </c>
      <c r="L47" s="206">
        <f t="shared" si="24"/>
        <v>90313.22</v>
      </c>
      <c r="M47" t="s">
        <v>1078</v>
      </c>
      <c r="N47">
        <f>37048.77-25535.6</f>
        <v>11513.169999999998</v>
      </c>
      <c r="O47" s="206">
        <f t="shared" si="20"/>
        <v>78800.05</v>
      </c>
      <c r="P47" s="361" t="s">
        <v>1194</v>
      </c>
      <c r="R47" s="206">
        <f t="shared" si="21"/>
        <v>78800.05</v>
      </c>
      <c r="S47" s="361" t="s">
        <v>1202</v>
      </c>
      <c r="U47" s="206">
        <f t="shared" si="23"/>
        <v>78800.05</v>
      </c>
      <c r="X47" s="206">
        <f t="shared" si="22"/>
        <v>78800.05</v>
      </c>
    </row>
    <row r="48" spans="1:25">
      <c r="B48" s="271"/>
      <c r="C48" s="271"/>
      <c r="D48" s="329"/>
      <c r="E48" s="271"/>
      <c r="F48" s="338">
        <f>SUM(F36:F47)</f>
        <v>2060511.2199999997</v>
      </c>
      <c r="G48" s="271"/>
      <c r="H48" s="338">
        <f>SUM(H36:H47)</f>
        <v>1799422.4881132075</v>
      </c>
      <c r="I48" s="338">
        <f>SUM(I36:I47)</f>
        <v>261088.73188679246</v>
      </c>
      <c r="J48" s="271"/>
      <c r="K48" s="338">
        <f>SUM(K36:K47)</f>
        <v>5500</v>
      </c>
      <c r="L48" s="338">
        <f>SUM(L36:L47)</f>
        <v>255588.73188679246</v>
      </c>
      <c r="O48" s="352">
        <f>SUM(O36:O47)</f>
        <v>215095.56188679248</v>
      </c>
      <c r="P48" s="361" t="s">
        <v>1194</v>
      </c>
      <c r="R48" s="352">
        <f>SUM(R36:R47)</f>
        <v>215095.56188679248</v>
      </c>
      <c r="S48" s="361" t="s">
        <v>1202</v>
      </c>
      <c r="W48" s="329">
        <f>SUM(W36:W47)</f>
        <v>52223.659999999996</v>
      </c>
      <c r="X48" s="329">
        <f>SUM(X36:X47)</f>
        <v>162871.90188679248</v>
      </c>
      <c r="Y48" s="329"/>
    </row>
    <row r="50" spans="1:25" ht="33">
      <c r="B50" s="273" t="s">
        <v>728</v>
      </c>
      <c r="C50" s="273" t="s">
        <v>729</v>
      </c>
      <c r="D50" s="328" t="s">
        <v>730</v>
      </c>
      <c r="E50" s="273" t="s">
        <v>731</v>
      </c>
      <c r="F50" s="274" t="s">
        <v>969</v>
      </c>
      <c r="G50" s="280" t="s">
        <v>733</v>
      </c>
      <c r="H50" s="322" t="s">
        <v>956</v>
      </c>
      <c r="I50" s="280" t="s">
        <v>957</v>
      </c>
      <c r="J50" s="280" t="s">
        <v>733</v>
      </c>
      <c r="K50" s="322" t="s">
        <v>1016</v>
      </c>
      <c r="L50" s="280" t="s">
        <v>1017</v>
      </c>
      <c r="M50" s="280" t="s">
        <v>733</v>
      </c>
      <c r="N50" s="322" t="s">
        <v>1057</v>
      </c>
      <c r="O50" s="280" t="s">
        <v>1058</v>
      </c>
      <c r="P50" s="280" t="s">
        <v>733</v>
      </c>
      <c r="Q50" s="322" t="s">
        <v>1109</v>
      </c>
      <c r="R50" s="280" t="s">
        <v>1110</v>
      </c>
      <c r="S50" s="280" t="s">
        <v>733</v>
      </c>
      <c r="W50" s="322" t="s">
        <v>1295</v>
      </c>
      <c r="X50" s="280" t="s">
        <v>1297</v>
      </c>
      <c r="Y50" s="280" t="s">
        <v>733</v>
      </c>
    </row>
    <row r="51" spans="1:25" ht="16.5">
      <c r="A51">
        <f>COUNTIF($C$51:$C$51,C51)</f>
        <v>1</v>
      </c>
      <c r="B51" s="259" t="s">
        <v>925</v>
      </c>
      <c r="C51" s="66" t="s">
        <v>926</v>
      </c>
      <c r="D51" s="306" t="s">
        <v>942</v>
      </c>
      <c r="E51" s="330">
        <v>43252</v>
      </c>
      <c r="F51" s="265">
        <v>2489905.66</v>
      </c>
      <c r="G51" s="135" t="s">
        <v>1008</v>
      </c>
      <c r="H51">
        <v>2489905.66</v>
      </c>
      <c r="I51" s="206">
        <f>F51-H51</f>
        <v>0</v>
      </c>
    </row>
    <row r="52" spans="1:25">
      <c r="B52" s="271"/>
      <c r="C52" s="271"/>
      <c r="D52" s="329"/>
      <c r="E52" s="271"/>
      <c r="F52" s="338">
        <f>SUM(F51)</f>
        <v>2489905.66</v>
      </c>
      <c r="G52" s="271"/>
      <c r="H52" s="338">
        <f>SUM(H51)</f>
        <v>2489905.66</v>
      </c>
      <c r="I52" s="338">
        <f>SUM(I51)</f>
        <v>0</v>
      </c>
    </row>
  </sheetData>
  <autoFilter ref="A35:Y48">
    <filterColumn colId="23">
      <filters>
        <filter val="¥114.15"/>
        <filter val="¥208.94"/>
        <filter val="¥27,536.61"/>
        <filter val="¥42,709.66"/>
        <filter val="¥6,488.00"/>
        <filter val="¥7,014.49"/>
        <filter val="¥78,800.05"/>
        <filter val="162871.9019"/>
      </filters>
    </filterColumn>
  </autoFilter>
  <phoneticPr fontId="28" type="noConversion"/>
  <conditionalFormatting sqref="A36:A47 A2:A7 A12:A32">
    <cfRule type="cellIs" dxfId="6" priority="4" stopIfTrue="1" operator="greaterThan">
      <formula>1</formula>
    </cfRule>
  </conditionalFormatting>
  <conditionalFormatting sqref="A51">
    <cfRule type="cellIs" dxfId="5" priority="2" stopIfTrue="1" operator="greaterThan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1"/>
  <dimension ref="A1:V59"/>
  <sheetViews>
    <sheetView workbookViewId="0">
      <pane xSplit="4" ySplit="1" topLeftCell="E29" activePane="bottomRight" state="frozen"/>
      <selection activeCell="M40" sqref="M40"/>
      <selection pane="topRight" activeCell="M40" sqref="M40"/>
      <selection pane="bottomLeft" activeCell="M40" sqref="M40"/>
      <selection pane="bottomRight" activeCell="M40" sqref="M40"/>
    </sheetView>
  </sheetViews>
  <sheetFormatPr defaultRowHeight="12.75"/>
  <cols>
    <col min="2" max="2" width="8.7109375" customWidth="1"/>
    <col min="3" max="3" width="10.42578125" customWidth="1"/>
    <col min="4" max="4" width="29.28515625" style="143" customWidth="1"/>
    <col min="5" max="5" width="10.42578125" bestFit="1" customWidth="1"/>
    <col min="6" max="6" width="21.7109375" style="132" hidden="1" customWidth="1"/>
    <col min="7" max="7" width="0" hidden="1" customWidth="1"/>
    <col min="8" max="8" width="14" style="132" hidden="1" customWidth="1"/>
    <col min="9" max="9" width="15.140625" hidden="1" customWidth="1"/>
    <col min="10" max="10" width="0" hidden="1" customWidth="1"/>
    <col min="11" max="11" width="13" hidden="1" customWidth="1"/>
    <col min="12" max="12" width="13.28515625" hidden="1" customWidth="1"/>
    <col min="13" max="13" width="0" hidden="1" customWidth="1"/>
    <col min="14" max="14" width="11.140625" hidden="1" customWidth="1"/>
    <col min="15" max="15" width="12.28515625" hidden="1" customWidth="1"/>
    <col min="16" max="16" width="0" hidden="1" customWidth="1"/>
    <col min="17" max="17" width="11.140625" hidden="1" customWidth="1"/>
    <col min="18" max="18" width="12.28515625" hidden="1" customWidth="1"/>
    <col min="19" max="20" width="0" hidden="1" customWidth="1"/>
    <col min="21" max="21" width="12.28515625" bestFit="1" customWidth="1"/>
  </cols>
  <sheetData>
    <row r="1" spans="1:22" ht="33">
      <c r="B1" s="273" t="s">
        <v>728</v>
      </c>
      <c r="C1" s="273" t="s">
        <v>729</v>
      </c>
      <c r="D1" s="328" t="s">
        <v>730</v>
      </c>
      <c r="E1" s="273" t="s">
        <v>731</v>
      </c>
      <c r="F1" s="274" t="s">
        <v>1033</v>
      </c>
      <c r="G1" s="280" t="s">
        <v>733</v>
      </c>
      <c r="H1" s="322" t="s">
        <v>1016</v>
      </c>
      <c r="I1" s="280" t="s">
        <v>1017</v>
      </c>
      <c r="J1" s="280" t="s">
        <v>733</v>
      </c>
      <c r="K1" s="322" t="s">
        <v>1057</v>
      </c>
      <c r="L1" s="280" t="s">
        <v>1058</v>
      </c>
      <c r="M1" s="280" t="s">
        <v>733</v>
      </c>
      <c r="N1" s="322" t="s">
        <v>1109</v>
      </c>
      <c r="O1" s="280" t="s">
        <v>1110</v>
      </c>
      <c r="P1" s="280" t="s">
        <v>733</v>
      </c>
      <c r="Q1" s="322" t="s">
        <v>1259</v>
      </c>
      <c r="R1" s="280" t="s">
        <v>1260</v>
      </c>
      <c r="S1" s="280" t="s">
        <v>733</v>
      </c>
      <c r="T1" s="322" t="s">
        <v>1296</v>
      </c>
      <c r="U1" s="280" t="s">
        <v>1302</v>
      </c>
      <c r="V1" s="280" t="s">
        <v>733</v>
      </c>
    </row>
    <row r="2" spans="1:22" ht="16.5" hidden="1">
      <c r="A2">
        <f t="shared" ref="A2:A7" si="0">COUNTIF($C$2:$C$7,C2)</f>
        <v>1</v>
      </c>
      <c r="B2" s="259" t="s">
        <v>736</v>
      </c>
      <c r="C2" s="66" t="s">
        <v>438</v>
      </c>
      <c r="D2" s="306" t="s">
        <v>436</v>
      </c>
      <c r="E2" s="330">
        <v>43282</v>
      </c>
      <c r="F2" s="341">
        <v>159066.95000000001</v>
      </c>
      <c r="G2" s="135" t="s">
        <v>1042</v>
      </c>
      <c r="I2" s="287">
        <f t="shared" ref="I2:I7" si="1">F2-H2</f>
        <v>159066.95000000001</v>
      </c>
      <c r="J2" t="s">
        <v>1065</v>
      </c>
      <c r="K2">
        <f>64000-8690.78+14500/1.06+33664/1.06+58319.99</f>
        <v>159066.94584905659</v>
      </c>
      <c r="L2" s="287">
        <f>I2-K2</f>
        <v>4.1509434231556952E-3</v>
      </c>
      <c r="M2" s="361" t="s">
        <v>1188</v>
      </c>
      <c r="O2" s="287">
        <f>L2-N2</f>
        <v>4.1509434231556952E-3</v>
      </c>
      <c r="P2" s="361" t="s">
        <v>1211</v>
      </c>
      <c r="T2" s="287"/>
      <c r="U2" s="206">
        <f>O2-T2</f>
        <v>4.1509434231556952E-3</v>
      </c>
    </row>
    <row r="3" spans="1:22" ht="16.5">
      <c r="A3">
        <f t="shared" si="0"/>
        <v>1</v>
      </c>
      <c r="B3" s="259" t="s">
        <v>736</v>
      </c>
      <c r="C3" s="66" t="s">
        <v>228</v>
      </c>
      <c r="D3" s="306" t="s">
        <v>229</v>
      </c>
      <c r="E3" s="330">
        <v>43282</v>
      </c>
      <c r="F3" s="341">
        <v>38072.360699999997</v>
      </c>
      <c r="G3" s="135" t="s">
        <v>1042</v>
      </c>
      <c r="H3" s="351">
        <v>26383.360000000001</v>
      </c>
      <c r="I3" s="287">
        <f t="shared" si="1"/>
        <v>11689.000699999997</v>
      </c>
      <c r="J3" t="s">
        <v>1065</v>
      </c>
      <c r="L3" s="287">
        <f t="shared" ref="L3:L7" si="2">I3-K3</f>
        <v>11689.000699999997</v>
      </c>
      <c r="M3" s="361" t="s">
        <v>1188</v>
      </c>
      <c r="O3" s="287">
        <f t="shared" ref="O3:O7" si="3">L3-N3</f>
        <v>11689.000699999997</v>
      </c>
      <c r="P3" s="361" t="s">
        <v>1211</v>
      </c>
      <c r="U3" s="206">
        <f t="shared" ref="U3:U8" si="4">O3-T3</f>
        <v>11689.000699999997</v>
      </c>
    </row>
    <row r="4" spans="1:22" ht="16.5" hidden="1">
      <c r="A4">
        <f t="shared" si="0"/>
        <v>1</v>
      </c>
      <c r="B4" s="259" t="s">
        <v>736</v>
      </c>
      <c r="C4" s="66" t="s">
        <v>26</v>
      </c>
      <c r="D4" s="306" t="s">
        <v>27</v>
      </c>
      <c r="E4" s="330">
        <v>43282</v>
      </c>
      <c r="F4" s="341"/>
      <c r="G4" s="135" t="s">
        <v>1042</v>
      </c>
      <c r="I4" s="287">
        <f t="shared" si="1"/>
        <v>0</v>
      </c>
      <c r="J4" t="s">
        <v>1065</v>
      </c>
      <c r="L4" s="287">
        <f t="shared" si="2"/>
        <v>0</v>
      </c>
      <c r="M4" s="361" t="s">
        <v>1188</v>
      </c>
      <c r="O4" s="287">
        <f t="shared" si="3"/>
        <v>0</v>
      </c>
      <c r="P4" s="361" t="s">
        <v>1211</v>
      </c>
      <c r="U4" s="206">
        <f t="shared" si="4"/>
        <v>0</v>
      </c>
    </row>
    <row r="5" spans="1:22" ht="16.5" hidden="1">
      <c r="A5">
        <f t="shared" si="0"/>
        <v>1</v>
      </c>
      <c r="B5" s="259" t="s">
        <v>736</v>
      </c>
      <c r="C5" s="66" t="s">
        <v>230</v>
      </c>
      <c r="D5" s="306" t="s">
        <v>231</v>
      </c>
      <c r="E5" s="330">
        <v>43282</v>
      </c>
      <c r="F5" s="341"/>
      <c r="G5" s="135" t="s">
        <v>1042</v>
      </c>
      <c r="I5" s="287">
        <f t="shared" si="1"/>
        <v>0</v>
      </c>
      <c r="J5" t="s">
        <v>1065</v>
      </c>
      <c r="L5" s="287">
        <f t="shared" si="2"/>
        <v>0</v>
      </c>
      <c r="M5" s="361" t="s">
        <v>1188</v>
      </c>
      <c r="O5" s="287">
        <f t="shared" si="3"/>
        <v>0</v>
      </c>
      <c r="P5" s="361" t="s">
        <v>1211</v>
      </c>
      <c r="U5" s="206">
        <f t="shared" si="4"/>
        <v>0</v>
      </c>
    </row>
    <row r="6" spans="1:22" ht="16.5" hidden="1">
      <c r="A6">
        <f t="shared" si="0"/>
        <v>1</v>
      </c>
      <c r="B6" s="259" t="s">
        <v>208</v>
      </c>
      <c r="C6" s="331" t="s">
        <v>22</v>
      </c>
      <c r="D6" s="332" t="s">
        <v>23</v>
      </c>
      <c r="E6" s="330">
        <v>43282</v>
      </c>
      <c r="F6" s="342"/>
      <c r="G6" s="135" t="s">
        <v>1042</v>
      </c>
      <c r="I6" s="287">
        <f t="shared" si="1"/>
        <v>0</v>
      </c>
      <c r="J6" t="s">
        <v>1065</v>
      </c>
      <c r="L6" s="287">
        <f t="shared" si="2"/>
        <v>0</v>
      </c>
      <c r="M6" s="361" t="s">
        <v>1188</v>
      </c>
      <c r="O6" s="287">
        <f t="shared" si="3"/>
        <v>0</v>
      </c>
      <c r="P6" s="361" t="s">
        <v>1211</v>
      </c>
      <c r="U6" s="206">
        <f t="shared" si="4"/>
        <v>0</v>
      </c>
    </row>
    <row r="7" spans="1:22" ht="16.5">
      <c r="A7">
        <f t="shared" si="0"/>
        <v>1</v>
      </c>
      <c r="B7" s="259" t="s">
        <v>208</v>
      </c>
      <c r="C7" s="331" t="s">
        <v>819</v>
      </c>
      <c r="D7" s="332" t="s">
        <v>948</v>
      </c>
      <c r="E7" s="330">
        <v>43282</v>
      </c>
      <c r="F7" s="341">
        <v>19147.877100000002</v>
      </c>
      <c r="G7" s="135" t="s">
        <v>1042</v>
      </c>
      <c r="I7" s="287">
        <f t="shared" si="1"/>
        <v>19147.877100000002</v>
      </c>
      <c r="J7" t="s">
        <v>1065</v>
      </c>
      <c r="L7" s="287">
        <f t="shared" si="2"/>
        <v>19147.877100000002</v>
      </c>
      <c r="M7" s="361" t="s">
        <v>1188</v>
      </c>
      <c r="O7" s="287">
        <f t="shared" si="3"/>
        <v>19147.877100000002</v>
      </c>
      <c r="P7" s="361" t="s">
        <v>1211</v>
      </c>
      <c r="U7" s="206">
        <f t="shared" si="4"/>
        <v>19147.877100000002</v>
      </c>
    </row>
    <row r="8" spans="1:22">
      <c r="B8" s="271"/>
      <c r="C8" s="271"/>
      <c r="D8" s="329"/>
      <c r="E8" s="271"/>
      <c r="F8" s="338">
        <f>SUM(F2:F7)</f>
        <v>216287.18780000001</v>
      </c>
      <c r="G8" s="271"/>
      <c r="H8" s="347">
        <f>SUM(H2:H7)</f>
        <v>26383.360000000001</v>
      </c>
      <c r="I8" s="338">
        <f>SUM(I2:I7)</f>
        <v>189903.82780000003</v>
      </c>
      <c r="J8" s="271"/>
      <c r="L8" s="329">
        <f>SUM(L2:L7)</f>
        <v>30836.881950943422</v>
      </c>
      <c r="M8" s="329" t="s">
        <v>1188</v>
      </c>
      <c r="N8" s="329"/>
      <c r="O8" s="329">
        <f>SUM(O2:O7)</f>
        <v>30836.881950943422</v>
      </c>
      <c r="P8" s="329" t="s">
        <v>1211</v>
      </c>
      <c r="Q8" s="329"/>
      <c r="R8" s="329"/>
      <c r="S8" s="329"/>
      <c r="T8" s="329"/>
      <c r="U8" s="329">
        <f t="shared" si="4"/>
        <v>30836.881950943422</v>
      </c>
      <c r="V8" s="329"/>
    </row>
    <row r="11" spans="1:22" ht="33">
      <c r="B11" s="273" t="s">
        <v>728</v>
      </c>
      <c r="C11" s="273" t="s">
        <v>729</v>
      </c>
      <c r="D11" s="328" t="s">
        <v>730</v>
      </c>
      <c r="E11" s="273" t="s">
        <v>731</v>
      </c>
      <c r="F11" s="274" t="s">
        <v>1033</v>
      </c>
      <c r="G11" s="280" t="s">
        <v>733</v>
      </c>
      <c r="H11" s="322" t="s">
        <v>1016</v>
      </c>
      <c r="I11" s="280" t="s">
        <v>1017</v>
      </c>
      <c r="J11" s="280" t="s">
        <v>733</v>
      </c>
      <c r="K11" s="322" t="s">
        <v>1057</v>
      </c>
      <c r="L11" s="280" t="s">
        <v>1058</v>
      </c>
      <c r="M11" s="280" t="s">
        <v>733</v>
      </c>
      <c r="N11" s="322" t="s">
        <v>1109</v>
      </c>
      <c r="O11" s="280" t="s">
        <v>1110</v>
      </c>
      <c r="P11" s="280" t="s">
        <v>733</v>
      </c>
      <c r="Q11" s="322" t="s">
        <v>1259</v>
      </c>
      <c r="R11" s="280" t="s">
        <v>1260</v>
      </c>
      <c r="S11" s="280" t="s">
        <v>733</v>
      </c>
      <c r="T11" s="322" t="s">
        <v>1301</v>
      </c>
      <c r="U11" s="280" t="s">
        <v>1302</v>
      </c>
      <c r="V11" s="280" t="s">
        <v>733</v>
      </c>
    </row>
    <row r="12" spans="1:22" ht="16.5">
      <c r="A12">
        <f t="shared" ref="A12:A32" si="5">COUNTIF($C$12:$C$32,C12)</f>
        <v>1</v>
      </c>
      <c r="B12" s="259" t="s">
        <v>755</v>
      </c>
      <c r="C12" s="66" t="s">
        <v>31</v>
      </c>
      <c r="D12" s="306" t="s">
        <v>972</v>
      </c>
      <c r="E12" s="330">
        <v>43282</v>
      </c>
      <c r="F12" s="341"/>
      <c r="G12" s="135" t="s">
        <v>1044</v>
      </c>
      <c r="I12" s="206">
        <f t="shared" ref="I12:I22" si="6">F12-H12</f>
        <v>0</v>
      </c>
      <c r="J12" t="s">
        <v>1073</v>
      </c>
      <c r="L12" s="206">
        <f t="shared" ref="L12:L32" si="7">I12-K12</f>
        <v>0</v>
      </c>
      <c r="M12" s="361" t="s">
        <v>1180</v>
      </c>
      <c r="O12" s="206">
        <f t="shared" ref="O12:O27" si="8">L12-N12</f>
        <v>0</v>
      </c>
      <c r="P12" s="361" t="s">
        <v>1180</v>
      </c>
      <c r="R12" s="206">
        <f t="shared" ref="R12:R28" si="9">O12-Q12</f>
        <v>0</v>
      </c>
      <c r="U12" s="206">
        <f>R12-T12</f>
        <v>0</v>
      </c>
    </row>
    <row r="13" spans="1:22" ht="16.5">
      <c r="A13">
        <f t="shared" si="5"/>
        <v>1</v>
      </c>
      <c r="B13" s="259" t="s">
        <v>755</v>
      </c>
      <c r="C13" s="66" t="s">
        <v>822</v>
      </c>
      <c r="D13" s="333" t="s">
        <v>836</v>
      </c>
      <c r="E13" s="330">
        <v>43282</v>
      </c>
      <c r="F13" s="342"/>
      <c r="G13" s="135" t="s">
        <v>1044</v>
      </c>
      <c r="I13" s="206">
        <f t="shared" si="6"/>
        <v>0</v>
      </c>
      <c r="J13" t="s">
        <v>1073</v>
      </c>
      <c r="L13" s="206">
        <f t="shared" si="7"/>
        <v>0</v>
      </c>
      <c r="M13" s="361" t="s">
        <v>1180</v>
      </c>
      <c r="O13" s="206">
        <f t="shared" si="8"/>
        <v>0</v>
      </c>
      <c r="P13" s="361" t="s">
        <v>1180</v>
      </c>
      <c r="R13" s="206">
        <f t="shared" si="9"/>
        <v>0</v>
      </c>
      <c r="U13" s="206">
        <f t="shared" ref="U13:U32" si="10">R13-T13</f>
        <v>0</v>
      </c>
    </row>
    <row r="14" spans="1:22" ht="16.5">
      <c r="A14">
        <f t="shared" si="5"/>
        <v>1</v>
      </c>
      <c r="B14" s="259" t="s">
        <v>755</v>
      </c>
      <c r="C14" s="66" t="s">
        <v>18</v>
      </c>
      <c r="D14" s="333" t="s">
        <v>1009</v>
      </c>
      <c r="E14" s="330">
        <v>43282</v>
      </c>
      <c r="F14" s="342"/>
      <c r="G14" s="135" t="s">
        <v>1044</v>
      </c>
      <c r="I14" s="206">
        <f t="shared" si="6"/>
        <v>0</v>
      </c>
      <c r="J14" t="s">
        <v>1073</v>
      </c>
      <c r="L14" s="206">
        <f t="shared" si="7"/>
        <v>0</v>
      </c>
      <c r="M14" s="361" t="s">
        <v>1180</v>
      </c>
      <c r="O14" s="206">
        <f t="shared" si="8"/>
        <v>0</v>
      </c>
      <c r="P14" s="361" t="s">
        <v>1180</v>
      </c>
      <c r="R14" s="206">
        <f t="shared" si="9"/>
        <v>0</v>
      </c>
      <c r="U14" s="206">
        <f t="shared" si="10"/>
        <v>0</v>
      </c>
    </row>
    <row r="15" spans="1:22" ht="16.5">
      <c r="A15">
        <f t="shared" si="5"/>
        <v>1</v>
      </c>
      <c r="B15" s="259" t="s">
        <v>755</v>
      </c>
      <c r="C15" s="66" t="s">
        <v>16</v>
      </c>
      <c r="D15" s="333" t="s">
        <v>929</v>
      </c>
      <c r="E15" s="330">
        <v>43282</v>
      </c>
      <c r="F15" s="341"/>
      <c r="G15" s="135" t="s">
        <v>1044</v>
      </c>
      <c r="I15" s="206">
        <f t="shared" si="6"/>
        <v>0</v>
      </c>
      <c r="J15" t="s">
        <v>1073</v>
      </c>
      <c r="L15" s="206">
        <f t="shared" si="7"/>
        <v>0</v>
      </c>
      <c r="M15" s="361" t="s">
        <v>1180</v>
      </c>
      <c r="O15" s="206">
        <f t="shared" si="8"/>
        <v>0</v>
      </c>
      <c r="P15" s="361" t="s">
        <v>1180</v>
      </c>
      <c r="R15" s="206">
        <f t="shared" si="9"/>
        <v>0</v>
      </c>
      <c r="U15" s="206">
        <f t="shared" si="10"/>
        <v>0</v>
      </c>
    </row>
    <row r="16" spans="1:22" ht="16.5">
      <c r="A16">
        <f t="shared" si="5"/>
        <v>1</v>
      </c>
      <c r="B16" s="259" t="s">
        <v>755</v>
      </c>
      <c r="C16" s="66" t="s">
        <v>81</v>
      </c>
      <c r="D16" s="306" t="s">
        <v>973</v>
      </c>
      <c r="E16" s="330">
        <v>43282</v>
      </c>
      <c r="F16" s="341"/>
      <c r="G16" s="135" t="s">
        <v>1044</v>
      </c>
      <c r="I16" s="206">
        <f t="shared" si="6"/>
        <v>0</v>
      </c>
      <c r="J16" t="s">
        <v>1073</v>
      </c>
      <c r="L16" s="206">
        <f t="shared" si="7"/>
        <v>0</v>
      </c>
      <c r="M16" s="361" t="s">
        <v>1180</v>
      </c>
      <c r="O16" s="206">
        <f t="shared" si="8"/>
        <v>0</v>
      </c>
      <c r="P16" s="361" t="s">
        <v>1180</v>
      </c>
      <c r="R16" s="206">
        <f t="shared" si="9"/>
        <v>0</v>
      </c>
      <c r="U16" s="206">
        <f t="shared" si="10"/>
        <v>0</v>
      </c>
    </row>
    <row r="17" spans="1:21" ht="16.5">
      <c r="A17">
        <f t="shared" si="5"/>
        <v>1</v>
      </c>
      <c r="B17" s="259" t="s">
        <v>755</v>
      </c>
      <c r="C17" s="66" t="s">
        <v>974</v>
      </c>
      <c r="D17" s="306" t="s">
        <v>975</v>
      </c>
      <c r="E17" s="330">
        <v>43282</v>
      </c>
      <c r="F17" s="341"/>
      <c r="G17" s="135" t="s">
        <v>1044</v>
      </c>
      <c r="I17" s="206">
        <f t="shared" si="6"/>
        <v>0</v>
      </c>
      <c r="J17" t="s">
        <v>1073</v>
      </c>
      <c r="L17" s="206">
        <f t="shared" si="7"/>
        <v>0</v>
      </c>
      <c r="M17" s="361" t="s">
        <v>1180</v>
      </c>
      <c r="O17" s="206">
        <f t="shared" si="8"/>
        <v>0</v>
      </c>
      <c r="P17" s="361" t="s">
        <v>1180</v>
      </c>
      <c r="R17" s="206">
        <f t="shared" si="9"/>
        <v>0</v>
      </c>
      <c r="U17" s="206">
        <f t="shared" si="10"/>
        <v>0</v>
      </c>
    </row>
    <row r="18" spans="1:21" ht="16.5">
      <c r="A18">
        <f t="shared" si="5"/>
        <v>1</v>
      </c>
      <c r="B18" s="259" t="s">
        <v>755</v>
      </c>
      <c r="C18" s="66" t="s">
        <v>117</v>
      </c>
      <c r="D18" s="333" t="s">
        <v>118</v>
      </c>
      <c r="E18" s="330">
        <v>43282</v>
      </c>
      <c r="F18" s="341"/>
      <c r="G18" s="135" t="s">
        <v>1044</v>
      </c>
      <c r="I18" s="206">
        <f t="shared" si="6"/>
        <v>0</v>
      </c>
      <c r="J18" t="s">
        <v>1073</v>
      </c>
      <c r="L18" s="206">
        <f t="shared" si="7"/>
        <v>0</v>
      </c>
      <c r="M18" s="361" t="s">
        <v>1180</v>
      </c>
      <c r="O18" s="206">
        <f t="shared" si="8"/>
        <v>0</v>
      </c>
      <c r="P18" s="361" t="s">
        <v>1180</v>
      </c>
      <c r="R18" s="206">
        <f t="shared" si="9"/>
        <v>0</v>
      </c>
      <c r="U18" s="206">
        <f t="shared" si="10"/>
        <v>0</v>
      </c>
    </row>
    <row r="19" spans="1:21" ht="16.5">
      <c r="A19">
        <f t="shared" si="5"/>
        <v>1</v>
      </c>
      <c r="B19" s="259" t="s">
        <v>755</v>
      </c>
      <c r="C19" s="66" t="s">
        <v>976</v>
      </c>
      <c r="D19" s="306" t="s">
        <v>977</v>
      </c>
      <c r="E19" s="330">
        <v>43282</v>
      </c>
      <c r="F19" s="341"/>
      <c r="G19" s="135" t="s">
        <v>1044</v>
      </c>
      <c r="I19" s="206">
        <f t="shared" si="6"/>
        <v>0</v>
      </c>
      <c r="J19" t="s">
        <v>1073</v>
      </c>
      <c r="L19" s="206">
        <f t="shared" si="7"/>
        <v>0</v>
      </c>
      <c r="M19" s="361" t="s">
        <v>1180</v>
      </c>
      <c r="O19" s="206">
        <f t="shared" si="8"/>
        <v>0</v>
      </c>
      <c r="P19" s="361" t="s">
        <v>1180</v>
      </c>
      <c r="R19" s="206">
        <f t="shared" si="9"/>
        <v>0</v>
      </c>
      <c r="U19" s="206">
        <f t="shared" si="10"/>
        <v>0</v>
      </c>
    </row>
    <row r="20" spans="1:21" ht="16.5">
      <c r="A20">
        <f t="shared" si="5"/>
        <v>1</v>
      </c>
      <c r="B20" s="259" t="s">
        <v>755</v>
      </c>
      <c r="C20" s="66" t="s">
        <v>133</v>
      </c>
      <c r="D20" s="306" t="s">
        <v>134</v>
      </c>
      <c r="E20" s="330">
        <v>43282</v>
      </c>
      <c r="F20" s="346">
        <v>18264.72</v>
      </c>
      <c r="G20" s="135" t="s">
        <v>1044</v>
      </c>
      <c r="I20" s="206">
        <f t="shared" si="6"/>
        <v>18264.72</v>
      </c>
      <c r="J20" t="s">
        <v>1073</v>
      </c>
      <c r="L20" s="206">
        <f t="shared" si="7"/>
        <v>18264.72</v>
      </c>
      <c r="M20" s="361" t="s">
        <v>1180</v>
      </c>
      <c r="O20" s="206">
        <f t="shared" si="8"/>
        <v>18264.72</v>
      </c>
      <c r="P20" s="361" t="s">
        <v>1180</v>
      </c>
      <c r="R20" s="206">
        <f t="shared" si="9"/>
        <v>18264.72</v>
      </c>
      <c r="U20" s="206">
        <f t="shared" si="10"/>
        <v>18264.72</v>
      </c>
    </row>
    <row r="21" spans="1:21" ht="16.5">
      <c r="A21">
        <f t="shared" si="5"/>
        <v>1</v>
      </c>
      <c r="B21" s="259" t="s">
        <v>755</v>
      </c>
      <c r="C21" s="66" t="s">
        <v>135</v>
      </c>
      <c r="D21" s="306" t="s">
        <v>136</v>
      </c>
      <c r="E21" s="330">
        <v>43282</v>
      </c>
      <c r="F21" s="346">
        <v>2458.71</v>
      </c>
      <c r="G21" s="135" t="s">
        <v>1044</v>
      </c>
      <c r="I21" s="206">
        <f t="shared" si="6"/>
        <v>2458.71</v>
      </c>
      <c r="J21" t="s">
        <v>1073</v>
      </c>
      <c r="L21" s="206">
        <f t="shared" si="7"/>
        <v>2458.71</v>
      </c>
      <c r="M21" s="361" t="s">
        <v>1180</v>
      </c>
      <c r="O21" s="206">
        <f t="shared" si="8"/>
        <v>2458.71</v>
      </c>
      <c r="P21" s="361" t="s">
        <v>1180</v>
      </c>
      <c r="R21" s="206">
        <f t="shared" si="9"/>
        <v>2458.71</v>
      </c>
      <c r="U21" s="206">
        <f t="shared" si="10"/>
        <v>2458.71</v>
      </c>
    </row>
    <row r="22" spans="1:21" ht="16.5">
      <c r="A22">
        <f t="shared" si="5"/>
        <v>1</v>
      </c>
      <c r="B22" s="259" t="s">
        <v>755</v>
      </c>
      <c r="C22" s="66" t="s">
        <v>167</v>
      </c>
      <c r="D22" s="333" t="s">
        <v>168</v>
      </c>
      <c r="E22" s="330">
        <v>43282</v>
      </c>
      <c r="F22" s="346">
        <v>582.41999999999996</v>
      </c>
      <c r="G22" s="135" t="s">
        <v>1044</v>
      </c>
      <c r="I22" s="206">
        <f t="shared" si="6"/>
        <v>582.41999999999996</v>
      </c>
      <c r="J22" t="s">
        <v>1073</v>
      </c>
      <c r="L22" s="206">
        <f t="shared" si="7"/>
        <v>582.41999999999996</v>
      </c>
      <c r="M22" s="361" t="s">
        <v>1180</v>
      </c>
      <c r="O22" s="206">
        <f t="shared" si="8"/>
        <v>582.41999999999996</v>
      </c>
      <c r="P22" s="361" t="s">
        <v>1180</v>
      </c>
      <c r="R22" s="206">
        <f t="shared" si="9"/>
        <v>582.41999999999996</v>
      </c>
      <c r="T22">
        <v>582.41999999999996</v>
      </c>
      <c r="U22" s="206">
        <f t="shared" si="10"/>
        <v>0</v>
      </c>
    </row>
    <row r="23" spans="1:21" ht="16.5">
      <c r="A23">
        <f t="shared" si="5"/>
        <v>1</v>
      </c>
      <c r="B23" s="259" t="s">
        <v>755</v>
      </c>
      <c r="C23" s="66" t="s">
        <v>238</v>
      </c>
      <c r="D23" s="333" t="s">
        <v>418</v>
      </c>
      <c r="E23" s="330">
        <v>43282</v>
      </c>
      <c r="F23" s="346">
        <v>13323.73</v>
      </c>
      <c r="G23" s="135" t="s">
        <v>1044</v>
      </c>
      <c r="I23" s="206">
        <f>F23-H23</f>
        <v>13323.73</v>
      </c>
      <c r="J23" t="s">
        <v>1073</v>
      </c>
      <c r="K23">
        <v>420.09</v>
      </c>
      <c r="L23" s="206">
        <f t="shared" si="7"/>
        <v>12903.64</v>
      </c>
      <c r="M23" s="361" t="s">
        <v>1180</v>
      </c>
      <c r="O23" s="206">
        <f t="shared" si="8"/>
        <v>12903.64</v>
      </c>
      <c r="P23" s="361" t="s">
        <v>1180</v>
      </c>
      <c r="R23" s="206">
        <f t="shared" si="9"/>
        <v>12903.64</v>
      </c>
      <c r="T23">
        <v>12903.64</v>
      </c>
      <c r="U23" s="206">
        <f t="shared" si="10"/>
        <v>0</v>
      </c>
    </row>
    <row r="24" spans="1:21" ht="16.5">
      <c r="A24">
        <f t="shared" si="5"/>
        <v>1</v>
      </c>
      <c r="B24" s="259" t="s">
        <v>755</v>
      </c>
      <c r="C24" s="66" t="s">
        <v>580</v>
      </c>
      <c r="D24" s="333" t="s">
        <v>581</v>
      </c>
      <c r="E24" s="330">
        <v>43282</v>
      </c>
      <c r="F24" s="346">
        <v>1641.59</v>
      </c>
      <c r="G24" s="135" t="s">
        <v>1044</v>
      </c>
      <c r="I24" s="206">
        <f t="shared" ref="I24:I32" si="11">F24-H24</f>
        <v>1641.59</v>
      </c>
      <c r="J24" t="s">
        <v>1073</v>
      </c>
      <c r="L24" s="206">
        <f t="shared" si="7"/>
        <v>1641.59</v>
      </c>
      <c r="M24" s="361" t="s">
        <v>1180</v>
      </c>
      <c r="N24" s="20">
        <v>1641.59</v>
      </c>
      <c r="O24" s="206">
        <f t="shared" si="8"/>
        <v>0</v>
      </c>
      <c r="P24" s="361" t="s">
        <v>1180</v>
      </c>
      <c r="R24" s="206">
        <f t="shared" si="9"/>
        <v>0</v>
      </c>
      <c r="U24" s="206">
        <f t="shared" si="10"/>
        <v>0</v>
      </c>
    </row>
    <row r="25" spans="1:21" ht="16.5">
      <c r="A25">
        <f t="shared" si="5"/>
        <v>1</v>
      </c>
      <c r="B25" s="259" t="s">
        <v>755</v>
      </c>
      <c r="C25" s="66" t="s">
        <v>582</v>
      </c>
      <c r="D25" s="333" t="s">
        <v>583</v>
      </c>
      <c r="E25" s="330">
        <v>43282</v>
      </c>
      <c r="F25" s="346">
        <v>2667.58</v>
      </c>
      <c r="G25" s="135" t="s">
        <v>1044</v>
      </c>
      <c r="I25" s="206">
        <f t="shared" si="11"/>
        <v>2667.58</v>
      </c>
      <c r="J25" t="s">
        <v>1073</v>
      </c>
      <c r="L25" s="206">
        <f t="shared" si="7"/>
        <v>2667.58</v>
      </c>
      <c r="M25" s="361" t="s">
        <v>1180</v>
      </c>
      <c r="N25" s="20">
        <v>2667.58</v>
      </c>
      <c r="O25" s="206">
        <f t="shared" si="8"/>
        <v>0</v>
      </c>
      <c r="P25" s="361" t="s">
        <v>1180</v>
      </c>
      <c r="R25" s="206">
        <f t="shared" si="9"/>
        <v>0</v>
      </c>
      <c r="U25" s="206">
        <f t="shared" si="10"/>
        <v>0</v>
      </c>
    </row>
    <row r="26" spans="1:21" ht="16.5">
      <c r="A26">
        <f t="shared" si="5"/>
        <v>1</v>
      </c>
      <c r="B26" s="259" t="s">
        <v>755</v>
      </c>
      <c r="C26" s="317" t="s">
        <v>823</v>
      </c>
      <c r="D26" s="333" t="s">
        <v>824</v>
      </c>
      <c r="E26" s="330">
        <v>43282</v>
      </c>
      <c r="F26" s="346">
        <v>4001.38</v>
      </c>
      <c r="G26" s="135" t="s">
        <v>1044</v>
      </c>
      <c r="I26" s="206">
        <f t="shared" si="11"/>
        <v>4001.38</v>
      </c>
      <c r="J26" t="s">
        <v>1073</v>
      </c>
      <c r="L26" s="206">
        <f t="shared" si="7"/>
        <v>4001.38</v>
      </c>
      <c r="M26" s="361" t="s">
        <v>1180</v>
      </c>
      <c r="N26" s="20">
        <v>4001.38</v>
      </c>
      <c r="O26" s="206">
        <f t="shared" si="8"/>
        <v>0</v>
      </c>
      <c r="P26" s="361" t="s">
        <v>1180</v>
      </c>
      <c r="R26" s="206">
        <f t="shared" si="9"/>
        <v>0</v>
      </c>
      <c r="U26" s="206">
        <f t="shared" si="10"/>
        <v>0</v>
      </c>
    </row>
    <row r="27" spans="1:21" ht="16.5">
      <c r="A27">
        <f t="shared" si="5"/>
        <v>1</v>
      </c>
      <c r="B27" s="259" t="s">
        <v>755</v>
      </c>
      <c r="C27" s="66" t="s">
        <v>978</v>
      </c>
      <c r="D27" s="333" t="s">
        <v>979</v>
      </c>
      <c r="E27" s="330">
        <v>43282</v>
      </c>
      <c r="F27" s="341"/>
      <c r="G27" s="135" t="s">
        <v>1044</v>
      </c>
      <c r="I27" s="206">
        <f t="shared" si="11"/>
        <v>0</v>
      </c>
      <c r="J27" t="s">
        <v>1073</v>
      </c>
      <c r="L27" s="206">
        <f t="shared" si="7"/>
        <v>0</v>
      </c>
      <c r="M27" s="361" t="s">
        <v>1180</v>
      </c>
      <c r="O27" s="206">
        <f t="shared" si="8"/>
        <v>0</v>
      </c>
      <c r="P27" s="361" t="s">
        <v>1180</v>
      </c>
      <c r="R27" s="206">
        <f t="shared" si="9"/>
        <v>0</v>
      </c>
      <c r="U27" s="206">
        <f t="shared" si="10"/>
        <v>0</v>
      </c>
    </row>
    <row r="28" spans="1:21" ht="16.5">
      <c r="A28">
        <f t="shared" si="5"/>
        <v>1</v>
      </c>
      <c r="B28" s="259" t="s">
        <v>755</v>
      </c>
      <c r="C28" s="343" t="s">
        <v>197</v>
      </c>
      <c r="D28" s="343" t="s">
        <v>1043</v>
      </c>
      <c r="E28" s="330">
        <v>43282</v>
      </c>
      <c r="F28" s="346">
        <v>902661.54</v>
      </c>
      <c r="G28" s="135" t="s">
        <v>1044</v>
      </c>
      <c r="H28" s="348">
        <f>210000+213679/1.06</f>
        <v>411583.96226415096</v>
      </c>
      <c r="I28" s="206">
        <f t="shared" si="11"/>
        <v>491077.57773584907</v>
      </c>
      <c r="J28" t="s">
        <v>1073</v>
      </c>
      <c r="K28" s="132">
        <f>109500/1.06+133588.21+200000-5660.38</f>
        <v>431229.71679245285</v>
      </c>
      <c r="L28" s="206">
        <f t="shared" si="7"/>
        <v>59847.860943396227</v>
      </c>
      <c r="M28" s="361" t="s">
        <v>1180</v>
      </c>
      <c r="N28" s="364">
        <f>50000/1.06+12678.05</f>
        <v>59847.861320754717</v>
      </c>
      <c r="O28" s="206">
        <f>L28-N28</f>
        <v>-3.7735849036835134E-4</v>
      </c>
      <c r="P28" s="361" t="s">
        <v>1180</v>
      </c>
      <c r="R28" s="206">
        <f t="shared" si="9"/>
        <v>-3.7735849036835134E-4</v>
      </c>
      <c r="U28" s="206">
        <f t="shared" si="10"/>
        <v>-3.7735849036835134E-4</v>
      </c>
    </row>
    <row r="29" spans="1:21" ht="16.5">
      <c r="A29">
        <f t="shared" si="5"/>
        <v>1</v>
      </c>
      <c r="B29" s="259" t="s">
        <v>755</v>
      </c>
      <c r="C29" s="66" t="s">
        <v>982</v>
      </c>
      <c r="D29" s="306" t="s">
        <v>983</v>
      </c>
      <c r="E29" s="330">
        <v>43282</v>
      </c>
      <c r="F29" s="346">
        <v>15099.9</v>
      </c>
      <c r="G29" s="135" t="s">
        <v>1044</v>
      </c>
      <c r="I29" s="206">
        <f t="shared" si="11"/>
        <v>15099.9</v>
      </c>
      <c r="J29" t="s">
        <v>1073</v>
      </c>
      <c r="L29" s="206">
        <f t="shared" si="7"/>
        <v>15099.9</v>
      </c>
      <c r="M29" s="361" t="s">
        <v>1180</v>
      </c>
      <c r="O29" s="206">
        <f t="shared" ref="O29:O32" si="12">L29-N29</f>
        <v>15099.9</v>
      </c>
      <c r="P29" s="361" t="s">
        <v>1180</v>
      </c>
      <c r="Q29" s="206">
        <v>15099.9</v>
      </c>
      <c r="R29" s="206">
        <f>O29-Q29</f>
        <v>0</v>
      </c>
      <c r="U29" s="206">
        <f t="shared" si="10"/>
        <v>0</v>
      </c>
    </row>
    <row r="30" spans="1:21" ht="16.5">
      <c r="A30">
        <f t="shared" si="5"/>
        <v>1</v>
      </c>
      <c r="B30" s="259" t="s">
        <v>755</v>
      </c>
      <c r="C30" s="66" t="s">
        <v>984</v>
      </c>
      <c r="D30" s="306" t="s">
        <v>985</v>
      </c>
      <c r="E30" s="330">
        <v>43282</v>
      </c>
      <c r="F30" s="346">
        <v>42012.62</v>
      </c>
      <c r="G30" s="135" t="s">
        <v>1044</v>
      </c>
      <c r="I30" s="206">
        <f t="shared" si="11"/>
        <v>42012.62</v>
      </c>
      <c r="J30" t="s">
        <v>1073</v>
      </c>
      <c r="L30" s="206">
        <f t="shared" si="7"/>
        <v>42012.62</v>
      </c>
      <c r="M30" s="361" t="s">
        <v>1180</v>
      </c>
      <c r="O30" s="206">
        <f t="shared" si="12"/>
        <v>42012.62</v>
      </c>
      <c r="P30" s="361" t="s">
        <v>1180</v>
      </c>
      <c r="Q30" s="206">
        <v>42012.62</v>
      </c>
      <c r="R30" s="206">
        <f t="shared" ref="R30:R32" si="13">O30-Q30</f>
        <v>0</v>
      </c>
      <c r="U30" s="206">
        <f t="shared" si="10"/>
        <v>0</v>
      </c>
    </row>
    <row r="31" spans="1:21" ht="16.5">
      <c r="A31">
        <f t="shared" si="5"/>
        <v>1</v>
      </c>
      <c r="B31" s="259" t="s">
        <v>755</v>
      </c>
      <c r="C31" s="66" t="s">
        <v>986</v>
      </c>
      <c r="D31" s="306" t="s">
        <v>987</v>
      </c>
      <c r="E31" s="330">
        <v>43282</v>
      </c>
      <c r="F31" s="346">
        <v>94913.600000000006</v>
      </c>
      <c r="G31" s="135" t="s">
        <v>1044</v>
      </c>
      <c r="I31" s="206">
        <f t="shared" si="11"/>
        <v>94913.600000000006</v>
      </c>
      <c r="J31" t="s">
        <v>1073</v>
      </c>
      <c r="L31" s="206">
        <f t="shared" si="7"/>
        <v>94913.600000000006</v>
      </c>
      <c r="M31" s="361" t="s">
        <v>1180</v>
      </c>
      <c r="O31" s="206">
        <f t="shared" si="12"/>
        <v>94913.600000000006</v>
      </c>
      <c r="P31" s="361" t="s">
        <v>1180</v>
      </c>
      <c r="Q31" s="206">
        <v>94913.600000000006</v>
      </c>
      <c r="R31" s="206">
        <f t="shared" si="13"/>
        <v>0</v>
      </c>
      <c r="U31" s="206">
        <f t="shared" si="10"/>
        <v>0</v>
      </c>
    </row>
    <row r="32" spans="1:21" ht="16.5">
      <c r="A32">
        <f t="shared" si="5"/>
        <v>1</v>
      </c>
      <c r="B32" s="259" t="s">
        <v>755</v>
      </c>
      <c r="C32" s="66" t="s">
        <v>989</v>
      </c>
      <c r="D32" s="306" t="s">
        <v>988</v>
      </c>
      <c r="E32" s="330">
        <v>43282</v>
      </c>
      <c r="F32" s="346">
        <v>21982.16</v>
      </c>
      <c r="G32" s="135" t="s">
        <v>1044</v>
      </c>
      <c r="I32" s="206">
        <f t="shared" si="11"/>
        <v>21982.16</v>
      </c>
      <c r="J32" t="s">
        <v>1073</v>
      </c>
      <c r="L32" s="206">
        <f t="shared" si="7"/>
        <v>21982.16</v>
      </c>
      <c r="M32" s="361" t="s">
        <v>1180</v>
      </c>
      <c r="O32" s="206">
        <f t="shared" si="12"/>
        <v>21982.16</v>
      </c>
      <c r="P32" s="361" t="s">
        <v>1180</v>
      </c>
      <c r="R32" s="206">
        <f t="shared" si="13"/>
        <v>21982.16</v>
      </c>
      <c r="U32" s="206">
        <f t="shared" si="10"/>
        <v>21982.16</v>
      </c>
    </row>
    <row r="33" spans="1:22">
      <c r="B33" s="271"/>
      <c r="C33" s="271"/>
      <c r="D33" s="329"/>
      <c r="E33" s="271"/>
      <c r="F33" s="338">
        <f>SUM(F12:F32)</f>
        <v>1119609.95</v>
      </c>
      <c r="G33" s="271"/>
      <c r="H33" s="347">
        <f>SUM(H12:H32)</f>
        <v>411583.96226415096</v>
      </c>
      <c r="I33" s="338">
        <f>SUM(I12:I32)</f>
        <v>708025.98773584911</v>
      </c>
      <c r="J33" s="271"/>
      <c r="K33" s="352">
        <f>SUM(K12:K32)</f>
        <v>431649.80679245287</v>
      </c>
      <c r="L33" s="352">
        <f>SUM(L12:L32)</f>
        <v>276376.18094339623</v>
      </c>
      <c r="M33" s="329" t="s">
        <v>1180</v>
      </c>
      <c r="N33" s="329"/>
      <c r="O33" s="329">
        <f>SUM(O12:O32)</f>
        <v>208217.76962264153</v>
      </c>
      <c r="P33" s="329" t="s">
        <v>1180</v>
      </c>
      <c r="Q33" s="329">
        <f>SUM(Q12:Q32)</f>
        <v>152026.12</v>
      </c>
      <c r="R33" s="329">
        <f>SUM(R12:R32)</f>
        <v>56191.649622641504</v>
      </c>
      <c r="S33" s="329"/>
      <c r="T33" s="329">
        <f>SUM(T12:T32)</f>
        <v>13486.06</v>
      </c>
      <c r="U33" s="329">
        <f>SUM(U12:U32)</f>
        <v>42705.589622641506</v>
      </c>
      <c r="V33" s="329"/>
    </row>
    <row r="35" spans="1:22" ht="33">
      <c r="B35" s="273" t="s">
        <v>728</v>
      </c>
      <c r="C35" s="273" t="s">
        <v>729</v>
      </c>
      <c r="D35" s="328" t="s">
        <v>730</v>
      </c>
      <c r="E35" s="273" t="s">
        <v>731</v>
      </c>
      <c r="F35" s="274" t="s">
        <v>1033</v>
      </c>
      <c r="G35" s="280" t="s">
        <v>733</v>
      </c>
      <c r="H35" s="322" t="s">
        <v>1016</v>
      </c>
      <c r="I35" s="280" t="s">
        <v>1017</v>
      </c>
      <c r="J35" s="280" t="s">
        <v>733</v>
      </c>
      <c r="K35" s="322" t="s">
        <v>1057</v>
      </c>
      <c r="L35" s="280" t="s">
        <v>1058</v>
      </c>
      <c r="M35" s="280" t="s">
        <v>733</v>
      </c>
      <c r="N35" s="322" t="s">
        <v>1109</v>
      </c>
      <c r="O35" s="280" t="s">
        <v>1110</v>
      </c>
      <c r="P35" s="280" t="s">
        <v>733</v>
      </c>
      <c r="Q35" s="322" t="s">
        <v>1259</v>
      </c>
      <c r="R35" s="280" t="s">
        <v>1260</v>
      </c>
      <c r="S35" s="280" t="s">
        <v>733</v>
      </c>
      <c r="T35" s="322" t="s">
        <v>1296</v>
      </c>
      <c r="U35" s="280" t="s">
        <v>1302</v>
      </c>
      <c r="V35" s="280" t="s">
        <v>733</v>
      </c>
    </row>
    <row r="36" spans="1:22" ht="16.5">
      <c r="A36">
        <f>COUNTIF($C$36:$C$54,C36)</f>
        <v>1</v>
      </c>
      <c r="B36" s="259" t="s">
        <v>804</v>
      </c>
      <c r="C36" s="66" t="s">
        <v>1006</v>
      </c>
      <c r="D36" s="66" t="s">
        <v>1007</v>
      </c>
      <c r="E36" s="330">
        <v>43282</v>
      </c>
      <c r="F36" s="341"/>
      <c r="G36" s="135" t="s">
        <v>1053</v>
      </c>
      <c r="I36" s="206">
        <f>F36-H36</f>
        <v>0</v>
      </c>
      <c r="J36" t="s">
        <v>1079</v>
      </c>
      <c r="L36" s="206">
        <f>I36-K36</f>
        <v>0</v>
      </c>
      <c r="M36" s="361" t="s">
        <v>1196</v>
      </c>
      <c r="O36" s="206">
        <f>L36-N36</f>
        <v>0</v>
      </c>
      <c r="P36" s="361" t="s">
        <v>1203</v>
      </c>
      <c r="R36" s="206">
        <f t="shared" ref="R36" si="14">O36-Q36</f>
        <v>0</v>
      </c>
      <c r="U36" s="379">
        <f>R36-T36</f>
        <v>0</v>
      </c>
    </row>
    <row r="37" spans="1:22" ht="16.5">
      <c r="A37">
        <f>COUNTIF($C$36:$C$54,C37)</f>
        <v>1</v>
      </c>
      <c r="B37" s="259" t="s">
        <v>804</v>
      </c>
      <c r="C37" s="66" t="s">
        <v>75</v>
      </c>
      <c r="D37" s="66" t="s">
        <v>76</v>
      </c>
      <c r="E37" s="330">
        <v>43282</v>
      </c>
      <c r="F37" s="346">
        <v>88014.24</v>
      </c>
      <c r="G37" s="135" t="s">
        <v>1053</v>
      </c>
      <c r="I37" s="206">
        <f t="shared" ref="I37:I54" si="15">F37-H37</f>
        <v>88014.24</v>
      </c>
      <c r="J37" t="s">
        <v>1079</v>
      </c>
      <c r="L37" s="206">
        <f t="shared" ref="L37:L54" si="16">I37-K37</f>
        <v>88014.24</v>
      </c>
      <c r="M37" s="361" t="s">
        <v>1196</v>
      </c>
      <c r="O37" s="206">
        <f t="shared" ref="O37:O54" si="17">L37-N37</f>
        <v>88014.24</v>
      </c>
      <c r="P37" s="361" t="s">
        <v>1203</v>
      </c>
      <c r="R37" s="206">
        <f>O37-Q37</f>
        <v>88014.24</v>
      </c>
      <c r="T37">
        <v>36765.1</v>
      </c>
      <c r="U37" s="379">
        <f t="shared" ref="U37:U54" si="18">R37-T37</f>
        <v>51249.140000000007</v>
      </c>
    </row>
    <row r="38" spans="1:22" ht="16.5">
      <c r="A38">
        <f>COUNTIF($C$36:$C$54,C38)</f>
        <v>1</v>
      </c>
      <c r="B38" s="259" t="s">
        <v>804</v>
      </c>
      <c r="C38" s="66" t="s">
        <v>991</v>
      </c>
      <c r="D38" s="66" t="s">
        <v>990</v>
      </c>
      <c r="E38" s="330">
        <v>43282</v>
      </c>
      <c r="F38" s="346">
        <v>5928.57</v>
      </c>
      <c r="G38" s="135" t="s">
        <v>1053</v>
      </c>
      <c r="I38" s="206">
        <f t="shared" si="15"/>
        <v>5928.57</v>
      </c>
      <c r="J38" t="s">
        <v>1079</v>
      </c>
      <c r="L38" s="206">
        <f t="shared" si="16"/>
        <v>5928.57</v>
      </c>
      <c r="M38" s="361" t="s">
        <v>1195</v>
      </c>
      <c r="O38" s="206">
        <f t="shared" si="17"/>
        <v>5928.57</v>
      </c>
      <c r="P38" s="361" t="s">
        <v>1203</v>
      </c>
      <c r="R38" s="206">
        <f t="shared" ref="R38:R54" si="19">O38-Q38</f>
        <v>5928.57</v>
      </c>
      <c r="U38" s="379">
        <f t="shared" si="18"/>
        <v>5928.57</v>
      </c>
    </row>
    <row r="39" spans="1:22" ht="16.5">
      <c r="A39">
        <f>COUNTIF($C$36:$C$54,C39)</f>
        <v>1</v>
      </c>
      <c r="B39" s="259" t="s">
        <v>804</v>
      </c>
      <c r="C39" s="345" t="s">
        <v>927</v>
      </c>
      <c r="D39" s="345" t="s">
        <v>1035</v>
      </c>
      <c r="E39" s="330">
        <v>43282</v>
      </c>
      <c r="F39" s="346">
        <v>195611.84</v>
      </c>
      <c r="G39" s="135" t="s">
        <v>1053</v>
      </c>
      <c r="H39" s="132">
        <f>207348.55/1.06</f>
        <v>195611.83962264148</v>
      </c>
      <c r="I39" s="206">
        <f t="shared" si="15"/>
        <v>3.773585194721818E-4</v>
      </c>
      <c r="J39" t="s">
        <v>1079</v>
      </c>
      <c r="L39" s="206">
        <f t="shared" si="16"/>
        <v>3.773585194721818E-4</v>
      </c>
      <c r="M39" s="361" t="s">
        <v>1195</v>
      </c>
      <c r="O39" s="206">
        <f t="shared" si="17"/>
        <v>3.773585194721818E-4</v>
      </c>
      <c r="P39" s="361" t="s">
        <v>1203</v>
      </c>
      <c r="R39" s="206">
        <f t="shared" si="19"/>
        <v>3.773585194721818E-4</v>
      </c>
      <c r="U39" s="379">
        <f t="shared" si="18"/>
        <v>3.773585194721818E-4</v>
      </c>
    </row>
    <row r="40" spans="1:22" ht="16.5">
      <c r="A40">
        <f t="shared" ref="A40:A45" si="20">COUNTIF($C$36:$C$54,C40)</f>
        <v>1</v>
      </c>
      <c r="B40" s="259" t="s">
        <v>804</v>
      </c>
      <c r="C40" s="345" t="s">
        <v>951</v>
      </c>
      <c r="D40" s="345" t="s">
        <v>952</v>
      </c>
      <c r="E40" s="330">
        <v>43282</v>
      </c>
      <c r="F40" s="341"/>
      <c r="G40" s="135" t="s">
        <v>1053</v>
      </c>
      <c r="I40" s="206">
        <f t="shared" si="15"/>
        <v>0</v>
      </c>
      <c r="J40" t="s">
        <v>1079</v>
      </c>
      <c r="L40" s="206">
        <f t="shared" si="16"/>
        <v>0</v>
      </c>
      <c r="M40" s="361" t="s">
        <v>1195</v>
      </c>
      <c r="O40" s="206">
        <f t="shared" si="17"/>
        <v>0</v>
      </c>
      <c r="P40" s="361" t="s">
        <v>1203</v>
      </c>
      <c r="R40" s="206">
        <f t="shared" si="19"/>
        <v>0</v>
      </c>
      <c r="U40" s="379">
        <f t="shared" si="18"/>
        <v>0</v>
      </c>
    </row>
    <row r="41" spans="1:22" ht="16.5">
      <c r="A41">
        <f t="shared" si="20"/>
        <v>1</v>
      </c>
      <c r="B41" s="259" t="s">
        <v>804</v>
      </c>
      <c r="C41" s="345" t="s">
        <v>953</v>
      </c>
      <c r="D41" s="345" t="s">
        <v>1045</v>
      </c>
      <c r="E41" s="330">
        <v>43282</v>
      </c>
      <c r="F41" s="346">
        <v>277424.03999999998</v>
      </c>
      <c r="G41" s="135" t="s">
        <v>1053</v>
      </c>
      <c r="H41" s="132">
        <f>294069.48/1.06</f>
        <v>277424.03773584904</v>
      </c>
      <c r="I41" s="206">
        <f t="shared" si="15"/>
        <v>2.264150942210108E-3</v>
      </c>
      <c r="J41" t="s">
        <v>1079</v>
      </c>
      <c r="L41" s="206">
        <f t="shared" si="16"/>
        <v>2.264150942210108E-3</v>
      </c>
      <c r="M41" s="361" t="s">
        <v>1195</v>
      </c>
      <c r="O41" s="206">
        <f t="shared" si="17"/>
        <v>2.264150942210108E-3</v>
      </c>
      <c r="P41" s="361" t="s">
        <v>1203</v>
      </c>
      <c r="R41" s="206">
        <f t="shared" si="19"/>
        <v>2.264150942210108E-3</v>
      </c>
      <c r="U41" s="379">
        <f t="shared" si="18"/>
        <v>2.264150942210108E-3</v>
      </c>
    </row>
    <row r="42" spans="1:22" ht="16.5">
      <c r="A42">
        <f t="shared" si="20"/>
        <v>1</v>
      </c>
      <c r="B42" s="259" t="s">
        <v>804</v>
      </c>
      <c r="C42" s="345" t="s">
        <v>1036</v>
      </c>
      <c r="D42" s="345" t="s">
        <v>1037</v>
      </c>
      <c r="E42" s="330">
        <v>43282</v>
      </c>
      <c r="F42" s="341"/>
      <c r="G42" s="135" t="s">
        <v>1053</v>
      </c>
      <c r="I42" s="206">
        <f t="shared" si="15"/>
        <v>0</v>
      </c>
      <c r="J42" t="s">
        <v>1079</v>
      </c>
      <c r="L42" s="206">
        <f t="shared" si="16"/>
        <v>0</v>
      </c>
      <c r="M42" s="361" t="s">
        <v>1195</v>
      </c>
      <c r="O42" s="206">
        <f t="shared" si="17"/>
        <v>0</v>
      </c>
      <c r="P42" s="361" t="s">
        <v>1203</v>
      </c>
      <c r="R42" s="206">
        <f t="shared" si="19"/>
        <v>0</v>
      </c>
      <c r="U42" s="379">
        <f t="shared" si="18"/>
        <v>0</v>
      </c>
    </row>
    <row r="43" spans="1:22" ht="16.5">
      <c r="A43">
        <f>COUNTIF($C$36:$C$54,C43)</f>
        <v>1</v>
      </c>
      <c r="B43" s="259" t="s">
        <v>804</v>
      </c>
      <c r="C43" s="345" t="s">
        <v>1038</v>
      </c>
      <c r="D43" s="345" t="s">
        <v>1046</v>
      </c>
      <c r="E43" s="330">
        <v>43282</v>
      </c>
      <c r="F43" s="346">
        <v>120865.1</v>
      </c>
      <c r="G43" s="135" t="s">
        <v>1053</v>
      </c>
      <c r="H43" s="132">
        <f>128117.01/1.06</f>
        <v>120865.10377358489</v>
      </c>
      <c r="I43" s="206">
        <f t="shared" si="15"/>
        <v>-3.7735848891315982E-3</v>
      </c>
      <c r="J43" t="s">
        <v>1079</v>
      </c>
      <c r="L43" s="206">
        <f t="shared" si="16"/>
        <v>-3.7735848891315982E-3</v>
      </c>
      <c r="M43" s="361" t="s">
        <v>1195</v>
      </c>
      <c r="O43" s="206">
        <f t="shared" si="17"/>
        <v>-3.7735848891315982E-3</v>
      </c>
      <c r="P43" s="361" t="s">
        <v>1203</v>
      </c>
      <c r="R43" s="206">
        <f t="shared" si="19"/>
        <v>-3.7735848891315982E-3</v>
      </c>
      <c r="U43" s="379">
        <f t="shared" si="18"/>
        <v>-3.7735848891315982E-3</v>
      </c>
    </row>
    <row r="44" spans="1:22" ht="16.5">
      <c r="A44">
        <f t="shared" si="20"/>
        <v>1</v>
      </c>
      <c r="B44" s="259" t="s">
        <v>804</v>
      </c>
      <c r="C44" s="345" t="s">
        <v>1039</v>
      </c>
      <c r="D44" s="345" t="s">
        <v>1040</v>
      </c>
      <c r="E44" s="330">
        <v>43282</v>
      </c>
      <c r="F44" s="346">
        <v>382222.99</v>
      </c>
      <c r="G44" s="135" t="s">
        <v>1053</v>
      </c>
      <c r="H44" s="132">
        <f>405156.37/1.06</f>
        <v>382222.99056603771</v>
      </c>
      <c r="I44" s="206">
        <f t="shared" si="15"/>
        <v>-5.6603772100061178E-4</v>
      </c>
      <c r="J44" t="s">
        <v>1079</v>
      </c>
      <c r="L44" s="206">
        <f t="shared" si="16"/>
        <v>-5.6603772100061178E-4</v>
      </c>
      <c r="M44" s="361" t="s">
        <v>1195</v>
      </c>
      <c r="O44" s="206">
        <f t="shared" si="17"/>
        <v>-5.6603772100061178E-4</v>
      </c>
      <c r="P44" s="361" t="s">
        <v>1203</v>
      </c>
      <c r="R44" s="206">
        <f t="shared" si="19"/>
        <v>-5.6603772100061178E-4</v>
      </c>
      <c r="U44" s="379">
        <f t="shared" si="18"/>
        <v>-5.6603772100061178E-4</v>
      </c>
    </row>
    <row r="45" spans="1:22" ht="16.5">
      <c r="A45">
        <f t="shared" si="20"/>
        <v>1</v>
      </c>
      <c r="B45" s="259" t="s">
        <v>804</v>
      </c>
      <c r="C45" s="345" t="s">
        <v>1041</v>
      </c>
      <c r="D45" s="345" t="s">
        <v>1047</v>
      </c>
      <c r="E45" s="330">
        <v>43282</v>
      </c>
      <c r="F45" s="346">
        <v>516517.94</v>
      </c>
      <c r="G45" s="135" t="s">
        <v>1053</v>
      </c>
      <c r="H45" s="132">
        <f>F45</f>
        <v>516517.94</v>
      </c>
      <c r="I45" s="206">
        <f t="shared" si="15"/>
        <v>0</v>
      </c>
      <c r="J45" t="s">
        <v>1079</v>
      </c>
      <c r="L45" s="206">
        <f t="shared" si="16"/>
        <v>0</v>
      </c>
      <c r="M45" s="361" t="s">
        <v>1195</v>
      </c>
      <c r="O45" s="206">
        <f t="shared" si="17"/>
        <v>0</v>
      </c>
      <c r="P45" s="361" t="s">
        <v>1203</v>
      </c>
      <c r="R45" s="206">
        <f t="shared" si="19"/>
        <v>0</v>
      </c>
      <c r="U45" s="379">
        <f t="shared" si="18"/>
        <v>0</v>
      </c>
    </row>
    <row r="46" spans="1:22" ht="16.5">
      <c r="A46">
        <f t="shared" ref="A46:A54" si="21">COUNTIF($C$36:$C$54,C46)</f>
        <v>1</v>
      </c>
      <c r="B46" s="259" t="s">
        <v>804</v>
      </c>
      <c r="C46" s="344" t="s">
        <v>1034</v>
      </c>
      <c r="D46" s="344" t="s">
        <v>1048</v>
      </c>
      <c r="E46" s="330">
        <v>43282</v>
      </c>
      <c r="F46" s="346">
        <v>6214.6</v>
      </c>
      <c r="G46" s="135" t="s">
        <v>1053</v>
      </c>
      <c r="I46" s="206">
        <f t="shared" si="15"/>
        <v>6214.6</v>
      </c>
      <c r="J46" t="s">
        <v>1079</v>
      </c>
      <c r="L46" s="206">
        <f t="shared" si="16"/>
        <v>6214.6</v>
      </c>
      <c r="M46" s="361" t="s">
        <v>1195</v>
      </c>
      <c r="N46" s="364">
        <v>6214.6</v>
      </c>
      <c r="O46" s="206">
        <f t="shared" si="17"/>
        <v>0</v>
      </c>
      <c r="P46" s="361" t="s">
        <v>1203</v>
      </c>
      <c r="R46" s="206">
        <f t="shared" si="19"/>
        <v>0</v>
      </c>
      <c r="U46" s="379">
        <f t="shared" si="18"/>
        <v>0</v>
      </c>
    </row>
    <row r="47" spans="1:22" ht="16.5">
      <c r="A47">
        <f t="shared" si="21"/>
        <v>1</v>
      </c>
      <c r="B47" s="259" t="s">
        <v>804</v>
      </c>
      <c r="C47" s="343" t="s">
        <v>1049</v>
      </c>
      <c r="D47" s="343" t="s">
        <v>1050</v>
      </c>
      <c r="E47" s="330">
        <v>43282</v>
      </c>
      <c r="F47" s="346">
        <v>27082.44</v>
      </c>
      <c r="G47" s="135" t="s">
        <v>1053</v>
      </c>
      <c r="I47" s="206">
        <f t="shared" si="15"/>
        <v>27082.44</v>
      </c>
      <c r="J47" t="s">
        <v>1079</v>
      </c>
      <c r="K47">
        <f>28620/1.06</f>
        <v>27000</v>
      </c>
      <c r="L47" s="206">
        <f t="shared" si="16"/>
        <v>82.43999999999869</v>
      </c>
      <c r="M47" s="361" t="s">
        <v>1195</v>
      </c>
      <c r="O47" s="206">
        <f t="shared" si="17"/>
        <v>82.43999999999869</v>
      </c>
      <c r="P47" s="361" t="s">
        <v>1203</v>
      </c>
      <c r="R47" s="206">
        <f t="shared" si="19"/>
        <v>82.43999999999869</v>
      </c>
      <c r="U47" s="379">
        <f t="shared" si="18"/>
        <v>82.43999999999869</v>
      </c>
    </row>
    <row r="48" spans="1:22" ht="16.5">
      <c r="A48">
        <f t="shared" si="21"/>
        <v>1</v>
      </c>
      <c r="B48" s="259" t="s">
        <v>804</v>
      </c>
      <c r="C48" s="66" t="s">
        <v>997</v>
      </c>
      <c r="D48" s="66" t="s">
        <v>996</v>
      </c>
      <c r="E48" s="330">
        <v>43282</v>
      </c>
      <c r="F48" s="346">
        <v>2632.83</v>
      </c>
      <c r="G48" s="135" t="s">
        <v>1053</v>
      </c>
      <c r="I48" s="206">
        <f t="shared" si="15"/>
        <v>2632.83</v>
      </c>
      <c r="J48" t="s">
        <v>1079</v>
      </c>
      <c r="L48" s="206">
        <f t="shared" si="16"/>
        <v>2632.83</v>
      </c>
      <c r="M48" s="361" t="s">
        <v>1195</v>
      </c>
      <c r="O48" s="206">
        <f t="shared" si="17"/>
        <v>2632.83</v>
      </c>
      <c r="P48" s="361" t="s">
        <v>1203</v>
      </c>
      <c r="R48" s="206">
        <f t="shared" si="19"/>
        <v>2632.83</v>
      </c>
      <c r="U48" s="379">
        <f t="shared" si="18"/>
        <v>2632.83</v>
      </c>
    </row>
    <row r="49" spans="1:22" ht="16.5">
      <c r="A49">
        <f t="shared" si="21"/>
        <v>1</v>
      </c>
      <c r="B49" s="259" t="s">
        <v>804</v>
      </c>
      <c r="C49" s="343" t="s">
        <v>1052</v>
      </c>
      <c r="D49" s="343" t="s">
        <v>1051</v>
      </c>
      <c r="E49" s="330">
        <v>43282</v>
      </c>
      <c r="F49" s="346">
        <v>31958.880000000001</v>
      </c>
      <c r="G49" s="135" t="s">
        <v>1053</v>
      </c>
      <c r="I49" s="206">
        <f t="shared" si="15"/>
        <v>31958.880000000001</v>
      </c>
      <c r="J49" t="s">
        <v>1079</v>
      </c>
      <c r="L49" s="206">
        <f t="shared" si="16"/>
        <v>31958.880000000001</v>
      </c>
      <c r="M49" s="361" t="s">
        <v>1195</v>
      </c>
      <c r="O49" s="206">
        <f t="shared" si="17"/>
        <v>31958.880000000001</v>
      </c>
      <c r="P49" s="361" t="s">
        <v>1203</v>
      </c>
      <c r="R49" s="206">
        <f t="shared" si="19"/>
        <v>31958.880000000001</v>
      </c>
      <c r="U49" s="379">
        <f t="shared" si="18"/>
        <v>31958.880000000001</v>
      </c>
    </row>
    <row r="50" spans="1:22" ht="16.5">
      <c r="A50">
        <f t="shared" si="21"/>
        <v>1</v>
      </c>
      <c r="B50" s="259" t="s">
        <v>804</v>
      </c>
      <c r="C50" s="66" t="s">
        <v>999</v>
      </c>
      <c r="D50" s="306" t="s">
        <v>998</v>
      </c>
      <c r="E50" s="330">
        <v>43282</v>
      </c>
      <c r="F50" s="342"/>
      <c r="G50" s="135" t="s">
        <v>1053</v>
      </c>
      <c r="I50" s="206">
        <f t="shared" si="15"/>
        <v>0</v>
      </c>
      <c r="J50" t="s">
        <v>1079</v>
      </c>
      <c r="L50" s="206">
        <f t="shared" si="16"/>
        <v>0</v>
      </c>
      <c r="M50" s="361" t="s">
        <v>1195</v>
      </c>
      <c r="O50" s="206">
        <f t="shared" si="17"/>
        <v>0</v>
      </c>
      <c r="P50" s="361" t="s">
        <v>1203</v>
      </c>
      <c r="R50" s="206">
        <f t="shared" si="19"/>
        <v>0</v>
      </c>
      <c r="U50" s="379">
        <f t="shared" si="18"/>
        <v>0</v>
      </c>
    </row>
    <row r="51" spans="1:22" ht="16.5">
      <c r="A51">
        <f t="shared" si="21"/>
        <v>1</v>
      </c>
      <c r="B51" s="259" t="s">
        <v>804</v>
      </c>
      <c r="C51" s="66" t="s">
        <v>1001</v>
      </c>
      <c r="D51" s="67" t="s">
        <v>1000</v>
      </c>
      <c r="E51" s="330">
        <v>43282</v>
      </c>
      <c r="F51" s="341"/>
      <c r="G51" s="135" t="s">
        <v>1053</v>
      </c>
      <c r="I51" s="206">
        <f t="shared" si="15"/>
        <v>0</v>
      </c>
      <c r="J51" t="s">
        <v>1079</v>
      </c>
      <c r="L51" s="206">
        <f t="shared" si="16"/>
        <v>0</v>
      </c>
      <c r="M51" s="361" t="s">
        <v>1195</v>
      </c>
      <c r="O51" s="206">
        <f t="shared" si="17"/>
        <v>0</v>
      </c>
      <c r="P51" s="361" t="s">
        <v>1203</v>
      </c>
      <c r="R51" s="206">
        <f t="shared" si="19"/>
        <v>0</v>
      </c>
      <c r="U51" s="379">
        <f t="shared" si="18"/>
        <v>0</v>
      </c>
    </row>
    <row r="52" spans="1:22" ht="16.5">
      <c r="A52">
        <f t="shared" si="21"/>
        <v>1</v>
      </c>
      <c r="B52" s="259" t="s">
        <v>804</v>
      </c>
      <c r="C52" s="66" t="s">
        <v>1003</v>
      </c>
      <c r="D52" s="66" t="s">
        <v>1002</v>
      </c>
      <c r="E52" s="330">
        <v>43282</v>
      </c>
      <c r="F52" s="341"/>
      <c r="G52" s="135" t="s">
        <v>1053</v>
      </c>
      <c r="I52" s="206">
        <f t="shared" si="15"/>
        <v>0</v>
      </c>
      <c r="J52" t="s">
        <v>1079</v>
      </c>
      <c r="L52" s="206">
        <f t="shared" si="16"/>
        <v>0</v>
      </c>
      <c r="M52" s="361" t="s">
        <v>1195</v>
      </c>
      <c r="O52" s="206">
        <f t="shared" si="17"/>
        <v>0</v>
      </c>
      <c r="P52" s="361" t="s">
        <v>1203</v>
      </c>
      <c r="R52" s="206">
        <f t="shared" si="19"/>
        <v>0</v>
      </c>
      <c r="U52" s="379">
        <f t="shared" si="18"/>
        <v>0</v>
      </c>
    </row>
    <row r="53" spans="1:22" ht="16.5">
      <c r="A53">
        <f t="shared" si="21"/>
        <v>1</v>
      </c>
      <c r="B53" s="259" t="s">
        <v>804</v>
      </c>
      <c r="C53" s="66" t="s">
        <v>1005</v>
      </c>
      <c r="D53" s="306" t="s">
        <v>941</v>
      </c>
      <c r="E53" s="330">
        <v>43282</v>
      </c>
      <c r="F53" s="341"/>
      <c r="G53" s="135" t="s">
        <v>1053</v>
      </c>
      <c r="I53" s="206">
        <f t="shared" si="15"/>
        <v>0</v>
      </c>
      <c r="J53" t="s">
        <v>1079</v>
      </c>
      <c r="L53" s="206">
        <f t="shared" si="16"/>
        <v>0</v>
      </c>
      <c r="M53" s="361" t="s">
        <v>1195</v>
      </c>
      <c r="O53" s="206">
        <f t="shared" si="17"/>
        <v>0</v>
      </c>
      <c r="P53" s="361" t="s">
        <v>1203</v>
      </c>
      <c r="R53" s="206">
        <f t="shared" si="19"/>
        <v>0</v>
      </c>
      <c r="U53" s="379">
        <f t="shared" si="18"/>
        <v>0</v>
      </c>
    </row>
    <row r="54" spans="1:22" ht="16.5">
      <c r="A54">
        <f t="shared" si="21"/>
        <v>1</v>
      </c>
      <c r="B54" s="259" t="s">
        <v>950</v>
      </c>
      <c r="C54" s="334" t="s">
        <v>866</v>
      </c>
      <c r="D54" s="335" t="s">
        <v>955</v>
      </c>
      <c r="E54" s="330">
        <v>43282</v>
      </c>
      <c r="F54" s="341"/>
      <c r="G54" s="135" t="s">
        <v>1053</v>
      </c>
      <c r="I54" s="206">
        <f t="shared" si="15"/>
        <v>0</v>
      </c>
      <c r="J54" t="s">
        <v>1079</v>
      </c>
      <c r="L54" s="206">
        <f t="shared" si="16"/>
        <v>0</v>
      </c>
      <c r="M54" s="361" t="s">
        <v>1195</v>
      </c>
      <c r="O54" s="206">
        <f t="shared" si="17"/>
        <v>0</v>
      </c>
      <c r="P54" s="361" t="s">
        <v>1203</v>
      </c>
      <c r="R54" s="206">
        <f t="shared" si="19"/>
        <v>0</v>
      </c>
      <c r="U54" s="379">
        <f t="shared" si="18"/>
        <v>0</v>
      </c>
    </row>
    <row r="55" spans="1:22">
      <c r="B55" s="271"/>
      <c r="C55" s="271"/>
      <c r="D55" s="329"/>
      <c r="E55" s="271"/>
      <c r="F55" s="338">
        <f>SUM(F36:F54)</f>
        <v>1654473.4699999997</v>
      </c>
      <c r="G55" s="271"/>
      <c r="H55" s="352"/>
      <c r="I55" s="338">
        <f>SUM(I36:I54)</f>
        <v>161831.55830188686</v>
      </c>
      <c r="J55" s="271"/>
      <c r="L55" s="352">
        <f>SUM(L36:L54)</f>
        <v>134831.55830188686</v>
      </c>
      <c r="M55" s="361" t="s">
        <v>1195</v>
      </c>
      <c r="O55" s="352">
        <f>SUM(O36:O54)</f>
        <v>128616.95830188686</v>
      </c>
      <c r="P55" s="361" t="s">
        <v>1203</v>
      </c>
      <c r="T55" s="329">
        <f>SUM(T36:T54)</f>
        <v>36765.1</v>
      </c>
      <c r="U55" s="329">
        <f>SUM(U36:U54)</f>
        <v>91851.858301886867</v>
      </c>
      <c r="V55" s="329">
        <f>SUM(V36:V54)</f>
        <v>0</v>
      </c>
    </row>
    <row r="57" spans="1:22" ht="33">
      <c r="B57" s="273" t="s">
        <v>728</v>
      </c>
      <c r="C57" s="273" t="s">
        <v>729</v>
      </c>
      <c r="D57" s="328" t="s">
        <v>730</v>
      </c>
      <c r="E57" s="273" t="s">
        <v>731</v>
      </c>
      <c r="F57" s="274" t="s">
        <v>1033</v>
      </c>
      <c r="G57" s="280" t="s">
        <v>733</v>
      </c>
      <c r="H57" s="322" t="s">
        <v>1016</v>
      </c>
      <c r="I57" s="280" t="s">
        <v>1017</v>
      </c>
      <c r="J57" s="280" t="s">
        <v>733</v>
      </c>
      <c r="K57" s="322" t="s">
        <v>1057</v>
      </c>
      <c r="L57" s="280" t="s">
        <v>1058</v>
      </c>
      <c r="M57" s="280" t="s">
        <v>733</v>
      </c>
      <c r="N57" s="322" t="s">
        <v>1109</v>
      </c>
      <c r="O57" s="280" t="s">
        <v>1110</v>
      </c>
      <c r="P57" s="280" t="s">
        <v>733</v>
      </c>
      <c r="Q57" s="322" t="s">
        <v>1259</v>
      </c>
      <c r="R57" s="280" t="s">
        <v>1260</v>
      </c>
      <c r="S57" s="280" t="s">
        <v>733</v>
      </c>
      <c r="T57" s="322" t="s">
        <v>1296</v>
      </c>
      <c r="U57" s="280" t="s">
        <v>1302</v>
      </c>
      <c r="V57" s="280" t="s">
        <v>733</v>
      </c>
    </row>
    <row r="58" spans="1:22" ht="16.5">
      <c r="A58">
        <f>COUNTIF($C$58:$C$58,C58)</f>
        <v>1</v>
      </c>
      <c r="B58" s="259" t="s">
        <v>925</v>
      </c>
      <c r="C58" s="66" t="s">
        <v>926</v>
      </c>
      <c r="D58" s="306" t="s">
        <v>942</v>
      </c>
      <c r="E58" s="330">
        <v>43282</v>
      </c>
      <c r="F58" s="265">
        <v>1114150.94</v>
      </c>
      <c r="G58" s="135" t="s">
        <v>1054</v>
      </c>
      <c r="H58" s="132">
        <f>609200/1.06+571800/1.06</f>
        <v>1114150.9433962265</v>
      </c>
      <c r="I58" s="206">
        <f>F58-H58</f>
        <v>-3.3962265588343143E-3</v>
      </c>
    </row>
    <row r="59" spans="1:22">
      <c r="B59" s="271"/>
      <c r="C59" s="271"/>
      <c r="D59" s="329"/>
      <c r="E59" s="271"/>
      <c r="F59" s="338">
        <f>SUM(F58)</f>
        <v>1114150.94</v>
      </c>
      <c r="G59" s="271"/>
      <c r="H59" s="347">
        <f>SUM(H58)</f>
        <v>1114150.9433962265</v>
      </c>
      <c r="I59" s="338">
        <f>SUM(I58)</f>
        <v>-3.3962265588343143E-3</v>
      </c>
      <c r="J59" s="271"/>
    </row>
  </sheetData>
  <autoFilter ref="A1:V8">
    <filterColumn colId="20">
      <filters>
        <filter val="¥11,689.00"/>
        <filter val="¥19,147.88"/>
        <filter val="30836.88195"/>
      </filters>
    </filterColumn>
  </autoFilter>
  <phoneticPr fontId="30" type="noConversion"/>
  <conditionalFormatting sqref="A2:A7 A12:A32 A58 A36:A54">
    <cfRule type="cellIs" dxfId="4" priority="2" stopIfTrue="1" operator="greaterThan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1"/>
  <dimension ref="A1:S74"/>
  <sheetViews>
    <sheetView workbookViewId="0">
      <pane xSplit="4" ySplit="1" topLeftCell="E31" activePane="bottomRight" state="frozen"/>
      <selection activeCell="M40" sqref="M40"/>
      <selection pane="topRight" activeCell="M40" sqref="M40"/>
      <selection pane="bottomLeft" activeCell="M40" sqref="M40"/>
      <selection pane="bottomRight" activeCell="M40" sqref="M40"/>
    </sheetView>
  </sheetViews>
  <sheetFormatPr defaultRowHeight="12.75"/>
  <cols>
    <col min="2" max="2" width="8.7109375" customWidth="1"/>
    <col min="3" max="3" width="10.42578125" customWidth="1"/>
    <col min="4" max="4" width="29.28515625" style="143" customWidth="1"/>
    <col min="5" max="5" width="10.42578125" bestFit="1" customWidth="1"/>
    <col min="6" max="6" width="21.7109375" style="350" hidden="1" customWidth="1"/>
    <col min="7" max="7" width="0" hidden="1" customWidth="1"/>
    <col min="8" max="8" width="12.28515625" hidden="1" customWidth="1"/>
    <col min="9" max="9" width="13.42578125" hidden="1" customWidth="1"/>
    <col min="10" max="10" width="9.140625" hidden="1" customWidth="1"/>
    <col min="11" max="12" width="11.140625" style="132" hidden="1" customWidth="1"/>
    <col min="13" max="14" width="9.140625" hidden="1" customWidth="1"/>
    <col min="15" max="15" width="11.140625" hidden="1" customWidth="1"/>
    <col min="16" max="16" width="11.140625" style="379" hidden="1" customWidth="1"/>
    <col min="17" max="17" width="13" hidden="1" customWidth="1"/>
    <col min="18" max="18" width="13.28515625" bestFit="1" customWidth="1"/>
  </cols>
  <sheetData>
    <row r="1" spans="1:19" ht="33">
      <c r="B1" s="273" t="s">
        <v>728</v>
      </c>
      <c r="C1" s="273" t="s">
        <v>729</v>
      </c>
      <c r="D1" s="328" t="s">
        <v>730</v>
      </c>
      <c r="E1" s="273" t="s">
        <v>731</v>
      </c>
      <c r="F1" s="274" t="s">
        <v>1080</v>
      </c>
      <c r="G1" s="280" t="s">
        <v>733</v>
      </c>
      <c r="H1" s="322" t="s">
        <v>1057</v>
      </c>
      <c r="I1" s="280" t="s">
        <v>1058</v>
      </c>
      <c r="J1" s="280" t="s">
        <v>733</v>
      </c>
      <c r="K1" s="322" t="s">
        <v>1111</v>
      </c>
      <c r="L1" s="322" t="s">
        <v>1112</v>
      </c>
      <c r="M1" s="280" t="s">
        <v>733</v>
      </c>
      <c r="N1" s="322" t="s">
        <v>1257</v>
      </c>
      <c r="O1" s="322" t="s">
        <v>1304</v>
      </c>
      <c r="P1" s="280" t="s">
        <v>733</v>
      </c>
      <c r="Q1" s="322" t="s">
        <v>1296</v>
      </c>
      <c r="R1" s="322" t="s">
        <v>1302</v>
      </c>
      <c r="S1" s="280" t="s">
        <v>733</v>
      </c>
    </row>
    <row r="2" spans="1:19" ht="16.5" hidden="1">
      <c r="A2">
        <f t="shared" ref="A2:A7" si="0">COUNTIF($C$2:$C$7,C2)</f>
        <v>1</v>
      </c>
      <c r="B2" s="259" t="s">
        <v>736</v>
      </c>
      <c r="C2" s="66" t="s">
        <v>438</v>
      </c>
      <c r="D2" s="306" t="s">
        <v>436</v>
      </c>
      <c r="E2" s="330">
        <v>43313</v>
      </c>
      <c r="F2" s="342">
        <v>161231.05000000005</v>
      </c>
      <c r="G2" s="135" t="s">
        <v>1082</v>
      </c>
      <c r="H2" s="132">
        <f>137000/1.06+1680.01</f>
        <v>130925.29301886792</v>
      </c>
      <c r="I2" s="132">
        <f>F2-H2</f>
        <v>30305.75698113213</v>
      </c>
      <c r="J2" s="361" t="s">
        <v>1189</v>
      </c>
      <c r="K2" s="364">
        <v>30305.759999999998</v>
      </c>
      <c r="L2" s="132">
        <f>I2-K2</f>
        <v>-3.0188678683771286E-3</v>
      </c>
      <c r="M2" s="361" t="s">
        <v>1212</v>
      </c>
      <c r="R2" s="287">
        <f>L2-Q2</f>
        <v>-3.0188678683771286E-3</v>
      </c>
    </row>
    <row r="3" spans="1:19" ht="16.5">
      <c r="A3">
        <f t="shared" si="0"/>
        <v>1</v>
      </c>
      <c r="B3" s="259" t="s">
        <v>736</v>
      </c>
      <c r="C3" s="66" t="s">
        <v>228</v>
      </c>
      <c r="D3" s="306" t="s">
        <v>229</v>
      </c>
      <c r="E3" s="330">
        <v>43313</v>
      </c>
      <c r="F3" s="342">
        <v>1172.78</v>
      </c>
      <c r="G3" s="135" t="s">
        <v>1082</v>
      </c>
      <c r="I3" s="132">
        <f t="shared" ref="I3:I7" si="1">F3-H3</f>
        <v>1172.78</v>
      </c>
      <c r="J3" s="361" t="s">
        <v>1189</v>
      </c>
      <c r="L3" s="132">
        <f t="shared" ref="L3:L7" si="2">I3-K3</f>
        <v>1172.78</v>
      </c>
      <c r="M3" s="361" t="s">
        <v>1212</v>
      </c>
      <c r="R3" s="287">
        <f t="shared" ref="R3:R8" si="3">L3-Q3</f>
        <v>1172.78</v>
      </c>
    </row>
    <row r="4" spans="1:19" ht="16.5">
      <c r="A4">
        <f t="shared" si="0"/>
        <v>1</v>
      </c>
      <c r="B4" s="259" t="s">
        <v>736</v>
      </c>
      <c r="C4" s="66" t="s">
        <v>26</v>
      </c>
      <c r="D4" s="306" t="s">
        <v>27</v>
      </c>
      <c r="E4" s="330">
        <v>43313</v>
      </c>
      <c r="F4" s="342">
        <v>26328.33</v>
      </c>
      <c r="G4" s="135" t="s">
        <v>1082</v>
      </c>
      <c r="I4" s="132">
        <f t="shared" si="1"/>
        <v>26328.33</v>
      </c>
      <c r="J4" s="361" t="s">
        <v>1189</v>
      </c>
      <c r="L4" s="132">
        <f t="shared" si="2"/>
        <v>26328.33</v>
      </c>
      <c r="M4" s="361" t="s">
        <v>1212</v>
      </c>
      <c r="R4" s="287">
        <f t="shared" si="3"/>
        <v>26328.33</v>
      </c>
    </row>
    <row r="5" spans="1:19" ht="16.5">
      <c r="A5">
        <f t="shared" si="0"/>
        <v>1</v>
      </c>
      <c r="B5" s="259" t="s">
        <v>736</v>
      </c>
      <c r="C5" s="66" t="s">
        <v>230</v>
      </c>
      <c r="D5" s="306" t="s">
        <v>231</v>
      </c>
      <c r="E5" s="330">
        <v>43313</v>
      </c>
      <c r="F5" s="342">
        <v>11169.6</v>
      </c>
      <c r="G5" s="135" t="s">
        <v>1082</v>
      </c>
      <c r="I5" s="132">
        <f t="shared" si="1"/>
        <v>11169.6</v>
      </c>
      <c r="J5" s="361" t="s">
        <v>1189</v>
      </c>
      <c r="L5" s="132">
        <f t="shared" si="2"/>
        <v>11169.6</v>
      </c>
      <c r="M5" s="361" t="s">
        <v>1212</v>
      </c>
      <c r="R5" s="287">
        <f t="shared" si="3"/>
        <v>11169.6</v>
      </c>
    </row>
    <row r="6" spans="1:19" ht="16.5" hidden="1">
      <c r="A6">
        <f t="shared" si="0"/>
        <v>1</v>
      </c>
      <c r="B6" s="259" t="s">
        <v>208</v>
      </c>
      <c r="C6" s="331" t="s">
        <v>22</v>
      </c>
      <c r="D6" s="332" t="s">
        <v>23</v>
      </c>
      <c r="E6" s="330">
        <v>43313</v>
      </c>
      <c r="F6" s="342"/>
      <c r="G6" s="135" t="s">
        <v>1082</v>
      </c>
      <c r="I6" s="132">
        <f t="shared" si="1"/>
        <v>0</v>
      </c>
      <c r="J6" s="361" t="s">
        <v>1189</v>
      </c>
      <c r="L6" s="132">
        <f t="shared" si="2"/>
        <v>0</v>
      </c>
      <c r="M6" s="361" t="s">
        <v>1212</v>
      </c>
      <c r="R6" s="287">
        <f t="shared" si="3"/>
        <v>0</v>
      </c>
    </row>
    <row r="7" spans="1:19" ht="16.5">
      <c r="A7">
        <f t="shared" si="0"/>
        <v>1</v>
      </c>
      <c r="B7" s="259" t="s">
        <v>208</v>
      </c>
      <c r="C7" s="331" t="s">
        <v>819</v>
      </c>
      <c r="D7" s="332" t="s">
        <v>948</v>
      </c>
      <c r="E7" s="330">
        <v>43313</v>
      </c>
      <c r="F7" s="342">
        <v>18429.830000000002</v>
      </c>
      <c r="G7" s="135" t="s">
        <v>1082</v>
      </c>
      <c r="I7" s="132">
        <f t="shared" si="1"/>
        <v>18429.830000000002</v>
      </c>
      <c r="J7" s="361" t="s">
        <v>1189</v>
      </c>
      <c r="L7" s="132">
        <f t="shared" si="2"/>
        <v>18429.830000000002</v>
      </c>
      <c r="M7" s="361" t="s">
        <v>1212</v>
      </c>
      <c r="R7" s="287">
        <f t="shared" si="3"/>
        <v>18429.830000000002</v>
      </c>
    </row>
    <row r="8" spans="1:19">
      <c r="B8" s="271"/>
      <c r="C8" s="271"/>
      <c r="D8" s="329"/>
      <c r="E8" s="271"/>
      <c r="F8" s="347">
        <f>SUM(F2:F7)</f>
        <v>218331.59000000003</v>
      </c>
      <c r="G8" s="352"/>
      <c r="H8" s="352"/>
      <c r="I8" s="352">
        <f>SUM(I2:I7)</f>
        <v>87406.296981132138</v>
      </c>
      <c r="J8" s="352" t="s">
        <v>1189</v>
      </c>
      <c r="K8" s="352"/>
      <c r="L8" s="352">
        <f>SUM(L2:L7)</f>
        <v>57100.536981132136</v>
      </c>
      <c r="M8" s="352" t="s">
        <v>1212</v>
      </c>
      <c r="N8" s="352"/>
      <c r="O8" s="352"/>
      <c r="P8" s="352"/>
      <c r="Q8" s="352"/>
      <c r="R8" s="352">
        <f t="shared" si="3"/>
        <v>57100.536981132136</v>
      </c>
      <c r="S8" s="352"/>
    </row>
    <row r="11" spans="1:19" ht="33">
      <c r="B11" s="273" t="s">
        <v>728</v>
      </c>
      <c r="C11" s="273" t="s">
        <v>729</v>
      </c>
      <c r="D11" s="328" t="s">
        <v>730</v>
      </c>
      <c r="E11" s="273" t="s">
        <v>731</v>
      </c>
      <c r="F11" s="274" t="s">
        <v>1080</v>
      </c>
      <c r="G11" s="280" t="s">
        <v>733</v>
      </c>
      <c r="H11" s="322" t="s">
        <v>1057</v>
      </c>
      <c r="I11" s="280" t="s">
        <v>1058</v>
      </c>
      <c r="J11" s="280" t="s">
        <v>733</v>
      </c>
      <c r="K11" s="322" t="s">
        <v>1111</v>
      </c>
      <c r="L11" s="322" t="s">
        <v>1112</v>
      </c>
      <c r="M11" s="280" t="s">
        <v>733</v>
      </c>
      <c r="N11" s="322" t="s">
        <v>1303</v>
      </c>
      <c r="O11" s="322" t="s">
        <v>1304</v>
      </c>
      <c r="P11" s="280" t="s">
        <v>733</v>
      </c>
      <c r="Q11" s="322" t="s">
        <v>1301</v>
      </c>
      <c r="R11" s="322" t="s">
        <v>1302</v>
      </c>
      <c r="S11" s="280" t="s">
        <v>733</v>
      </c>
    </row>
    <row r="12" spans="1:19" ht="16.5">
      <c r="A12">
        <f t="shared" ref="A12:A34" si="4">COUNTIF($C$12:$C$34,C12)</f>
        <v>1</v>
      </c>
      <c r="B12" s="259" t="s">
        <v>755</v>
      </c>
      <c r="C12" s="66" t="s">
        <v>31</v>
      </c>
      <c r="D12" s="306" t="s">
        <v>972</v>
      </c>
      <c r="E12" s="330">
        <v>43313</v>
      </c>
      <c r="F12" s="342"/>
      <c r="G12" s="135" t="s">
        <v>1081</v>
      </c>
      <c r="I12" s="287">
        <f t="shared" ref="I12:I34" si="5">F12-H12</f>
        <v>0</v>
      </c>
      <c r="J12" s="361" t="s">
        <v>1181</v>
      </c>
      <c r="L12" s="132">
        <f>I12-K12</f>
        <v>0</v>
      </c>
      <c r="M12" s="361" t="s">
        <v>1181</v>
      </c>
      <c r="O12" s="287">
        <f t="shared" ref="O12:O30" si="6">L12-N12</f>
        <v>0</v>
      </c>
      <c r="P12" s="287"/>
      <c r="R12" s="206">
        <f>O12-Q12</f>
        <v>0</v>
      </c>
    </row>
    <row r="13" spans="1:19" ht="16.5">
      <c r="A13">
        <f t="shared" si="4"/>
        <v>1</v>
      </c>
      <c r="B13" s="259" t="s">
        <v>755</v>
      </c>
      <c r="C13" s="66" t="s">
        <v>820</v>
      </c>
      <c r="D13" s="333" t="s">
        <v>821</v>
      </c>
      <c r="E13" s="330">
        <v>43313</v>
      </c>
      <c r="F13" s="342">
        <v>3329.93</v>
      </c>
      <c r="G13" s="135" t="s">
        <v>1081</v>
      </c>
      <c r="I13" s="287">
        <f t="shared" si="5"/>
        <v>3329.93</v>
      </c>
      <c r="J13" s="361" t="s">
        <v>1181</v>
      </c>
      <c r="L13" s="132">
        <f t="shared" ref="L13:L34" si="7">I13-K13</f>
        <v>3329.93</v>
      </c>
      <c r="M13" s="361" t="s">
        <v>1181</v>
      </c>
      <c r="O13" s="287">
        <f t="shared" si="6"/>
        <v>3329.93</v>
      </c>
      <c r="P13" s="287"/>
      <c r="R13" s="206">
        <f t="shared" ref="R13:R34" si="8">O13-Q13</f>
        <v>3329.93</v>
      </c>
    </row>
    <row r="14" spans="1:19" ht="16.5">
      <c r="A14">
        <f t="shared" si="4"/>
        <v>1</v>
      </c>
      <c r="B14" s="259" t="s">
        <v>755</v>
      </c>
      <c r="C14" s="66" t="s">
        <v>822</v>
      </c>
      <c r="D14" s="333" t="s">
        <v>861</v>
      </c>
      <c r="E14" s="330">
        <v>43313</v>
      </c>
      <c r="F14" s="342">
        <v>15048</v>
      </c>
      <c r="G14" s="135" t="s">
        <v>1081</v>
      </c>
      <c r="I14" s="287">
        <f t="shared" si="5"/>
        <v>15048</v>
      </c>
      <c r="J14" s="361" t="s">
        <v>1181</v>
      </c>
      <c r="L14" s="132">
        <f t="shared" si="7"/>
        <v>15048</v>
      </c>
      <c r="M14" s="361" t="s">
        <v>1181</v>
      </c>
      <c r="O14" s="287">
        <f t="shared" si="6"/>
        <v>15048</v>
      </c>
      <c r="P14" s="287"/>
      <c r="R14" s="206">
        <f t="shared" si="8"/>
        <v>15048</v>
      </c>
    </row>
    <row r="15" spans="1:19" ht="16.5">
      <c r="A15">
        <f t="shared" si="4"/>
        <v>1</v>
      </c>
      <c r="B15" s="259" t="s">
        <v>755</v>
      </c>
      <c r="C15" s="66" t="s">
        <v>18</v>
      </c>
      <c r="D15" s="333" t="s">
        <v>1009</v>
      </c>
      <c r="E15" s="330">
        <v>43313</v>
      </c>
      <c r="F15" s="342"/>
      <c r="G15" s="135" t="s">
        <v>1081</v>
      </c>
      <c r="I15" s="287">
        <f t="shared" si="5"/>
        <v>0</v>
      </c>
      <c r="J15" s="361" t="s">
        <v>1181</v>
      </c>
      <c r="L15" s="132">
        <f t="shared" si="7"/>
        <v>0</v>
      </c>
      <c r="M15" s="361" t="s">
        <v>1181</v>
      </c>
      <c r="O15" s="287">
        <f t="shared" si="6"/>
        <v>0</v>
      </c>
      <c r="P15" s="287"/>
      <c r="R15" s="206">
        <f t="shared" si="8"/>
        <v>0</v>
      </c>
    </row>
    <row r="16" spans="1:19" ht="16.5">
      <c r="A16">
        <f t="shared" si="4"/>
        <v>1</v>
      </c>
      <c r="B16" s="259" t="s">
        <v>755</v>
      </c>
      <c r="C16" s="66" t="s">
        <v>16</v>
      </c>
      <c r="D16" s="333" t="s">
        <v>929</v>
      </c>
      <c r="E16" s="330">
        <v>43313</v>
      </c>
      <c r="F16" s="342"/>
      <c r="G16" s="135" t="s">
        <v>1081</v>
      </c>
      <c r="I16" s="287">
        <f t="shared" si="5"/>
        <v>0</v>
      </c>
      <c r="J16" s="361" t="s">
        <v>1181</v>
      </c>
      <c r="L16" s="132">
        <f t="shared" si="7"/>
        <v>0</v>
      </c>
      <c r="M16" s="361" t="s">
        <v>1181</v>
      </c>
      <c r="O16" s="287">
        <f t="shared" si="6"/>
        <v>0</v>
      </c>
      <c r="P16" s="287"/>
      <c r="R16" s="206">
        <f t="shared" si="8"/>
        <v>0</v>
      </c>
    </row>
    <row r="17" spans="1:18" ht="16.5">
      <c r="A17">
        <f t="shared" si="4"/>
        <v>1</v>
      </c>
      <c r="B17" s="259" t="s">
        <v>755</v>
      </c>
      <c r="C17" s="66" t="s">
        <v>81</v>
      </c>
      <c r="D17" s="306" t="s">
        <v>973</v>
      </c>
      <c r="E17" s="330">
        <v>43313</v>
      </c>
      <c r="F17" s="342"/>
      <c r="G17" s="135" t="s">
        <v>1081</v>
      </c>
      <c r="I17" s="287">
        <f t="shared" si="5"/>
        <v>0</v>
      </c>
      <c r="J17" s="361" t="s">
        <v>1181</v>
      </c>
      <c r="L17" s="132">
        <f t="shared" si="7"/>
        <v>0</v>
      </c>
      <c r="M17" s="361" t="s">
        <v>1181</v>
      </c>
      <c r="O17" s="287">
        <f t="shared" si="6"/>
        <v>0</v>
      </c>
      <c r="P17" s="287"/>
      <c r="R17" s="206">
        <f t="shared" si="8"/>
        <v>0</v>
      </c>
    </row>
    <row r="18" spans="1:18" ht="16.5">
      <c r="A18">
        <f t="shared" si="4"/>
        <v>1</v>
      </c>
      <c r="B18" s="259" t="s">
        <v>755</v>
      </c>
      <c r="C18" s="66" t="s">
        <v>974</v>
      </c>
      <c r="D18" s="306" t="s">
        <v>975</v>
      </c>
      <c r="E18" s="330">
        <v>43313</v>
      </c>
      <c r="F18" s="342"/>
      <c r="G18" s="135" t="s">
        <v>1081</v>
      </c>
      <c r="I18" s="287">
        <f t="shared" si="5"/>
        <v>0</v>
      </c>
      <c r="J18" s="361" t="s">
        <v>1181</v>
      </c>
      <c r="L18" s="132">
        <f t="shared" si="7"/>
        <v>0</v>
      </c>
      <c r="M18" s="361" t="s">
        <v>1181</v>
      </c>
      <c r="O18" s="287">
        <f t="shared" si="6"/>
        <v>0</v>
      </c>
      <c r="P18" s="287"/>
      <c r="R18" s="206">
        <f t="shared" si="8"/>
        <v>0</v>
      </c>
    </row>
    <row r="19" spans="1:18" ht="16.5">
      <c r="A19">
        <f t="shared" si="4"/>
        <v>1</v>
      </c>
      <c r="B19" s="259" t="s">
        <v>755</v>
      </c>
      <c r="C19" s="66" t="s">
        <v>117</v>
      </c>
      <c r="D19" s="333" t="s">
        <v>118</v>
      </c>
      <c r="E19" s="330">
        <v>43313</v>
      </c>
      <c r="F19" s="342"/>
      <c r="G19" s="135" t="s">
        <v>1081</v>
      </c>
      <c r="I19" s="287">
        <f t="shared" si="5"/>
        <v>0</v>
      </c>
      <c r="J19" s="361" t="s">
        <v>1181</v>
      </c>
      <c r="L19" s="132">
        <f t="shared" si="7"/>
        <v>0</v>
      </c>
      <c r="M19" s="361" t="s">
        <v>1181</v>
      </c>
      <c r="O19" s="287">
        <f t="shared" si="6"/>
        <v>0</v>
      </c>
      <c r="P19" s="287"/>
      <c r="R19" s="206">
        <f t="shared" si="8"/>
        <v>0</v>
      </c>
    </row>
    <row r="20" spans="1:18" ht="16.5">
      <c r="A20">
        <f t="shared" si="4"/>
        <v>1</v>
      </c>
      <c r="B20" s="259" t="s">
        <v>755</v>
      </c>
      <c r="C20" s="66" t="s">
        <v>976</v>
      </c>
      <c r="D20" s="306" t="s">
        <v>977</v>
      </c>
      <c r="E20" s="330">
        <v>43313</v>
      </c>
      <c r="F20" s="342"/>
      <c r="G20" s="135" t="s">
        <v>1081</v>
      </c>
      <c r="I20" s="287">
        <f t="shared" si="5"/>
        <v>0</v>
      </c>
      <c r="J20" s="361" t="s">
        <v>1181</v>
      </c>
      <c r="L20" s="132">
        <f t="shared" si="7"/>
        <v>0</v>
      </c>
      <c r="M20" s="361" t="s">
        <v>1181</v>
      </c>
      <c r="O20" s="287">
        <f t="shared" si="6"/>
        <v>0</v>
      </c>
      <c r="P20" s="287"/>
      <c r="R20" s="206">
        <f t="shared" si="8"/>
        <v>0</v>
      </c>
    </row>
    <row r="21" spans="1:18" ht="16.5">
      <c r="A21">
        <f t="shared" si="4"/>
        <v>1</v>
      </c>
      <c r="B21" s="259" t="s">
        <v>755</v>
      </c>
      <c r="C21" s="66" t="s">
        <v>133</v>
      </c>
      <c r="D21" s="306" t="s">
        <v>134</v>
      </c>
      <c r="E21" s="330">
        <v>43313</v>
      </c>
      <c r="F21" s="342">
        <v>19007.41</v>
      </c>
      <c r="G21" s="135" t="s">
        <v>1081</v>
      </c>
      <c r="I21" s="287">
        <f t="shared" si="5"/>
        <v>19007.41</v>
      </c>
      <c r="J21" s="361" t="s">
        <v>1181</v>
      </c>
      <c r="L21" s="132">
        <f t="shared" si="7"/>
        <v>19007.41</v>
      </c>
      <c r="M21" s="361" t="s">
        <v>1181</v>
      </c>
      <c r="O21" s="287">
        <f t="shared" si="6"/>
        <v>19007.41</v>
      </c>
      <c r="P21" s="287"/>
      <c r="R21" s="206">
        <f t="shared" si="8"/>
        <v>19007.41</v>
      </c>
    </row>
    <row r="22" spans="1:18" ht="16.5">
      <c r="A22">
        <f t="shared" si="4"/>
        <v>1</v>
      </c>
      <c r="B22" s="259" t="s">
        <v>755</v>
      </c>
      <c r="C22" s="66" t="s">
        <v>135</v>
      </c>
      <c r="D22" s="306" t="s">
        <v>136</v>
      </c>
      <c r="E22" s="330">
        <v>43313</v>
      </c>
      <c r="F22" s="342">
        <v>2317.9699999999998</v>
      </c>
      <c r="G22" s="135" t="s">
        <v>1081</v>
      </c>
      <c r="I22" s="287">
        <f t="shared" si="5"/>
        <v>2317.9699999999998</v>
      </c>
      <c r="J22" s="361" t="s">
        <v>1181</v>
      </c>
      <c r="L22" s="132">
        <f t="shared" si="7"/>
        <v>2317.9699999999998</v>
      </c>
      <c r="M22" s="361" t="s">
        <v>1181</v>
      </c>
      <c r="O22" s="287">
        <f t="shared" si="6"/>
        <v>2317.9699999999998</v>
      </c>
      <c r="P22" s="287"/>
      <c r="R22" s="206">
        <f t="shared" si="8"/>
        <v>2317.9699999999998</v>
      </c>
    </row>
    <row r="23" spans="1:18" ht="16.5">
      <c r="A23">
        <f t="shared" si="4"/>
        <v>1</v>
      </c>
      <c r="B23" s="259" t="s">
        <v>755</v>
      </c>
      <c r="C23" s="66" t="s">
        <v>167</v>
      </c>
      <c r="D23" s="333" t="s">
        <v>168</v>
      </c>
      <c r="E23" s="330">
        <v>43313</v>
      </c>
      <c r="F23" s="342">
        <v>576.53</v>
      </c>
      <c r="G23" s="135" t="s">
        <v>1081</v>
      </c>
      <c r="I23" s="287">
        <f t="shared" si="5"/>
        <v>576.53</v>
      </c>
      <c r="J23" s="361" t="s">
        <v>1181</v>
      </c>
      <c r="L23" s="132">
        <f t="shared" si="7"/>
        <v>576.53</v>
      </c>
      <c r="M23" s="361" t="s">
        <v>1181</v>
      </c>
      <c r="O23" s="287">
        <f t="shared" si="6"/>
        <v>576.53</v>
      </c>
      <c r="P23" s="287"/>
      <c r="Q23">
        <f>7.15+0.18</f>
        <v>7.33</v>
      </c>
      <c r="R23" s="206">
        <f t="shared" si="8"/>
        <v>569.19999999999993</v>
      </c>
    </row>
    <row r="24" spans="1:18" ht="16.5">
      <c r="A24">
        <f t="shared" si="4"/>
        <v>1</v>
      </c>
      <c r="B24" s="259" t="s">
        <v>755</v>
      </c>
      <c r="C24" s="66" t="s">
        <v>608</v>
      </c>
      <c r="D24" s="333" t="s">
        <v>609</v>
      </c>
      <c r="E24" s="330">
        <v>43313</v>
      </c>
      <c r="F24" s="342">
        <v>8120.7547169811314</v>
      </c>
      <c r="G24" s="135" t="s">
        <v>1081</v>
      </c>
      <c r="H24">
        <v>8120.75</v>
      </c>
      <c r="I24" s="287">
        <f t="shared" si="5"/>
        <v>4.7169811314233812E-3</v>
      </c>
      <c r="J24" s="361" t="s">
        <v>1181</v>
      </c>
      <c r="L24" s="132">
        <f t="shared" si="7"/>
        <v>4.7169811314233812E-3</v>
      </c>
      <c r="M24" s="361" t="s">
        <v>1181</v>
      </c>
      <c r="O24" s="287">
        <f t="shared" si="6"/>
        <v>4.7169811314233812E-3</v>
      </c>
      <c r="P24" s="287"/>
      <c r="R24" s="206">
        <f t="shared" si="8"/>
        <v>4.7169811314233812E-3</v>
      </c>
    </row>
    <row r="25" spans="1:18" ht="16.5">
      <c r="A25">
        <f t="shared" si="4"/>
        <v>1</v>
      </c>
      <c r="B25" s="259" t="s">
        <v>755</v>
      </c>
      <c r="C25" s="66" t="s">
        <v>191</v>
      </c>
      <c r="D25" s="333" t="s">
        <v>192</v>
      </c>
      <c r="E25" s="330">
        <v>43313</v>
      </c>
      <c r="F25" s="342">
        <v>13406.35</v>
      </c>
      <c r="G25" s="135" t="s">
        <v>1081</v>
      </c>
      <c r="I25" s="287">
        <f t="shared" si="5"/>
        <v>13406.35</v>
      </c>
      <c r="J25" s="361" t="s">
        <v>1181</v>
      </c>
      <c r="L25" s="132">
        <f t="shared" si="7"/>
        <v>13406.35</v>
      </c>
      <c r="M25" s="361" t="s">
        <v>1181</v>
      </c>
      <c r="O25" s="287">
        <f t="shared" si="6"/>
        <v>13406.35</v>
      </c>
      <c r="P25" s="287"/>
      <c r="R25" s="206">
        <f t="shared" si="8"/>
        <v>13406.35</v>
      </c>
    </row>
    <row r="26" spans="1:18" ht="16.5">
      <c r="A26">
        <f t="shared" si="4"/>
        <v>1</v>
      </c>
      <c r="B26" s="259" t="s">
        <v>755</v>
      </c>
      <c r="C26" s="66" t="s">
        <v>238</v>
      </c>
      <c r="D26" s="333" t="s">
        <v>418</v>
      </c>
      <c r="E26" s="330">
        <v>43313</v>
      </c>
      <c r="F26" s="342"/>
      <c r="G26" s="135" t="s">
        <v>1081</v>
      </c>
      <c r="I26" s="287">
        <f t="shared" si="5"/>
        <v>0</v>
      </c>
      <c r="J26" s="361" t="s">
        <v>1181</v>
      </c>
      <c r="L26" s="132">
        <f t="shared" si="7"/>
        <v>0</v>
      </c>
      <c r="M26" s="361" t="s">
        <v>1181</v>
      </c>
      <c r="O26" s="287">
        <f t="shared" si="6"/>
        <v>0</v>
      </c>
      <c r="P26" s="287"/>
      <c r="R26" s="206">
        <f t="shared" si="8"/>
        <v>0</v>
      </c>
    </row>
    <row r="27" spans="1:18" ht="16.5">
      <c r="A27">
        <f t="shared" si="4"/>
        <v>1</v>
      </c>
      <c r="B27" s="259" t="s">
        <v>755</v>
      </c>
      <c r="C27" s="66" t="s">
        <v>580</v>
      </c>
      <c r="D27" s="333" t="s">
        <v>581</v>
      </c>
      <c r="E27" s="330">
        <v>43313</v>
      </c>
      <c r="F27" s="342">
        <v>3707.2</v>
      </c>
      <c r="G27" s="135" t="s">
        <v>1081</v>
      </c>
      <c r="I27" s="287">
        <f t="shared" si="5"/>
        <v>3707.2</v>
      </c>
      <c r="J27" s="361" t="s">
        <v>1181</v>
      </c>
      <c r="K27" s="364">
        <v>3707.2</v>
      </c>
      <c r="L27" s="132">
        <f t="shared" si="7"/>
        <v>0</v>
      </c>
      <c r="M27" s="361" t="s">
        <v>1181</v>
      </c>
      <c r="O27" s="287">
        <f t="shared" si="6"/>
        <v>0</v>
      </c>
      <c r="P27" s="287"/>
      <c r="R27" s="206">
        <f t="shared" si="8"/>
        <v>0</v>
      </c>
    </row>
    <row r="28" spans="1:18" ht="16.5">
      <c r="A28">
        <f t="shared" si="4"/>
        <v>1</v>
      </c>
      <c r="B28" s="259" t="s">
        <v>755</v>
      </c>
      <c r="C28" s="66" t="s">
        <v>582</v>
      </c>
      <c r="D28" s="333" t="s">
        <v>583</v>
      </c>
      <c r="E28" s="330">
        <v>43313</v>
      </c>
      <c r="F28" s="342">
        <v>59291.91</v>
      </c>
      <c r="G28" s="135" t="s">
        <v>1081</v>
      </c>
      <c r="I28" s="287">
        <f t="shared" si="5"/>
        <v>59291.91</v>
      </c>
      <c r="J28" s="361" t="s">
        <v>1181</v>
      </c>
      <c r="K28" s="364">
        <v>59291.91</v>
      </c>
      <c r="L28" s="132">
        <f t="shared" si="7"/>
        <v>0</v>
      </c>
      <c r="M28" s="361" t="s">
        <v>1181</v>
      </c>
      <c r="O28" s="287">
        <f t="shared" si="6"/>
        <v>0</v>
      </c>
      <c r="P28" s="287"/>
      <c r="R28" s="206">
        <f t="shared" si="8"/>
        <v>0</v>
      </c>
    </row>
    <row r="29" spans="1:18" ht="16.5">
      <c r="A29">
        <f t="shared" si="4"/>
        <v>1</v>
      </c>
      <c r="B29" s="259" t="s">
        <v>755</v>
      </c>
      <c r="C29" s="317" t="s">
        <v>823</v>
      </c>
      <c r="D29" s="333" t="s">
        <v>824</v>
      </c>
      <c r="E29" s="330">
        <v>43313</v>
      </c>
      <c r="F29" s="342">
        <v>67003.33</v>
      </c>
      <c r="G29" s="135" t="s">
        <v>1081</v>
      </c>
      <c r="I29" s="287">
        <f t="shared" si="5"/>
        <v>67003.33</v>
      </c>
      <c r="J29" s="361" t="s">
        <v>1181</v>
      </c>
      <c r="K29" s="364">
        <f>6394.63+45047.14+15561.56</f>
        <v>67003.33</v>
      </c>
      <c r="L29" s="132">
        <f t="shared" si="7"/>
        <v>0</v>
      </c>
      <c r="M29" s="361" t="s">
        <v>1181</v>
      </c>
      <c r="O29" s="287">
        <f t="shared" si="6"/>
        <v>0</v>
      </c>
      <c r="P29" s="287"/>
      <c r="R29" s="206">
        <f t="shared" si="8"/>
        <v>0</v>
      </c>
    </row>
    <row r="30" spans="1:18" ht="16.5">
      <c r="A30">
        <f t="shared" si="4"/>
        <v>1</v>
      </c>
      <c r="B30" s="259" t="s">
        <v>755</v>
      </c>
      <c r="C30" s="66" t="s">
        <v>532</v>
      </c>
      <c r="D30" s="333" t="s">
        <v>533</v>
      </c>
      <c r="E30" s="330">
        <v>43313</v>
      </c>
      <c r="F30" s="342">
        <v>266928.19</v>
      </c>
      <c r="G30" s="135" t="s">
        <v>1081</v>
      </c>
      <c r="H30">
        <v>266928.19</v>
      </c>
      <c r="I30" s="287">
        <f t="shared" si="5"/>
        <v>0</v>
      </c>
      <c r="J30" s="361" t="s">
        <v>1181</v>
      </c>
      <c r="L30" s="132">
        <f t="shared" si="7"/>
        <v>0</v>
      </c>
      <c r="M30" s="361" t="s">
        <v>1181</v>
      </c>
      <c r="O30" s="287">
        <f t="shared" si="6"/>
        <v>0</v>
      </c>
      <c r="P30" s="287"/>
      <c r="R30" s="206">
        <f t="shared" si="8"/>
        <v>0</v>
      </c>
    </row>
    <row r="31" spans="1:18" ht="16.5">
      <c r="A31">
        <f t="shared" si="4"/>
        <v>1</v>
      </c>
      <c r="B31" s="259" t="s">
        <v>755</v>
      </c>
      <c r="C31" s="66" t="s">
        <v>982</v>
      </c>
      <c r="D31" s="306" t="s">
        <v>983</v>
      </c>
      <c r="E31" s="330">
        <v>43313</v>
      </c>
      <c r="F31" s="342">
        <v>127835.52</v>
      </c>
      <c r="G31" s="135" t="s">
        <v>1081</v>
      </c>
      <c r="I31" s="287">
        <f t="shared" si="5"/>
        <v>127835.52</v>
      </c>
      <c r="J31" s="361" t="s">
        <v>1181</v>
      </c>
      <c r="L31" s="132">
        <f t="shared" si="7"/>
        <v>127835.52</v>
      </c>
      <c r="M31" s="361" t="s">
        <v>1181</v>
      </c>
      <c r="N31">
        <v>51492.33</v>
      </c>
      <c r="O31" s="287">
        <f>L31-N31</f>
        <v>76343.19</v>
      </c>
      <c r="P31" s="287"/>
      <c r="Q31">
        <f>65700/1.06</f>
        <v>61981.132075471694</v>
      </c>
      <c r="R31" s="206">
        <f t="shared" si="8"/>
        <v>14362.057924528308</v>
      </c>
    </row>
    <row r="32" spans="1:18" ht="16.5">
      <c r="A32">
        <f t="shared" si="4"/>
        <v>1</v>
      </c>
      <c r="B32" s="259" t="s">
        <v>755</v>
      </c>
      <c r="C32" s="66" t="s">
        <v>984</v>
      </c>
      <c r="D32" s="306" t="s">
        <v>985</v>
      </c>
      <c r="E32" s="330">
        <v>43313</v>
      </c>
      <c r="F32" s="342"/>
      <c r="G32" s="135" t="s">
        <v>1081</v>
      </c>
      <c r="I32" s="287">
        <f t="shared" si="5"/>
        <v>0</v>
      </c>
      <c r="J32" s="361" t="s">
        <v>1181</v>
      </c>
      <c r="L32" s="132">
        <f t="shared" si="7"/>
        <v>0</v>
      </c>
      <c r="M32" s="361" t="s">
        <v>1181</v>
      </c>
      <c r="O32" s="287">
        <f t="shared" ref="O32:O34" si="9">L32-N32</f>
        <v>0</v>
      </c>
      <c r="P32" s="287"/>
      <c r="R32" s="206">
        <f t="shared" si="8"/>
        <v>0</v>
      </c>
    </row>
    <row r="33" spans="1:19" ht="16.5">
      <c r="A33">
        <f t="shared" si="4"/>
        <v>1</v>
      </c>
      <c r="B33" s="259" t="s">
        <v>755</v>
      </c>
      <c r="C33" s="66" t="s">
        <v>986</v>
      </c>
      <c r="D33" s="306" t="s">
        <v>987</v>
      </c>
      <c r="E33" s="330">
        <v>43313</v>
      </c>
      <c r="F33" s="342">
        <v>405171.83</v>
      </c>
      <c r="G33" s="135" t="s">
        <v>1081</v>
      </c>
      <c r="I33" s="287">
        <f t="shared" si="5"/>
        <v>405171.83</v>
      </c>
      <c r="J33" s="361" t="s">
        <v>1181</v>
      </c>
      <c r="L33" s="132">
        <f t="shared" si="7"/>
        <v>405171.83</v>
      </c>
      <c r="M33" s="361" t="s">
        <v>1181</v>
      </c>
      <c r="O33" s="287">
        <f t="shared" si="9"/>
        <v>405171.83</v>
      </c>
      <c r="P33" s="287"/>
      <c r="R33" s="206">
        <f t="shared" si="8"/>
        <v>405171.83</v>
      </c>
    </row>
    <row r="34" spans="1:19" ht="16.5">
      <c r="A34">
        <f t="shared" si="4"/>
        <v>1</v>
      </c>
      <c r="B34" s="259" t="s">
        <v>755</v>
      </c>
      <c r="C34" s="66" t="s">
        <v>989</v>
      </c>
      <c r="D34" s="306" t="s">
        <v>988</v>
      </c>
      <c r="E34" s="330">
        <v>43313</v>
      </c>
      <c r="F34" s="342"/>
      <c r="G34" s="135" t="s">
        <v>1081</v>
      </c>
      <c r="I34" s="287">
        <f t="shared" si="5"/>
        <v>0</v>
      </c>
      <c r="J34" s="361" t="s">
        <v>1181</v>
      </c>
      <c r="L34" s="132">
        <f t="shared" si="7"/>
        <v>0</v>
      </c>
      <c r="M34" s="361" t="s">
        <v>1181</v>
      </c>
      <c r="O34" s="287">
        <f t="shared" si="9"/>
        <v>0</v>
      </c>
      <c r="P34" s="287"/>
      <c r="R34" s="206">
        <f t="shared" si="8"/>
        <v>0</v>
      </c>
    </row>
    <row r="35" spans="1:19">
      <c r="B35" s="271"/>
      <c r="C35" s="271"/>
      <c r="D35" s="329"/>
      <c r="E35" s="271"/>
      <c r="F35" s="347">
        <f>SUM(F12:F34)</f>
        <v>991744.92471698113</v>
      </c>
      <c r="G35" s="271"/>
      <c r="H35" s="352">
        <f>SUM(H12:H34)</f>
        <v>275048.94</v>
      </c>
      <c r="I35" s="352">
        <f>SUM(I12:I34)</f>
        <v>716695.98471698118</v>
      </c>
      <c r="J35" s="361" t="s">
        <v>1181</v>
      </c>
      <c r="L35" s="352">
        <f>SUM(L12:L34)</f>
        <v>586693.54471698112</v>
      </c>
      <c r="M35" s="361" t="s">
        <v>1181</v>
      </c>
      <c r="O35" s="352">
        <f>SUM(O12:O34)</f>
        <v>535201.21471698117</v>
      </c>
      <c r="P35" s="352"/>
      <c r="Q35" s="352">
        <f>SUM(Q12:Q34)</f>
        <v>61988.462075471696</v>
      </c>
      <c r="R35" s="352">
        <f>SUM(R12:R34)</f>
        <v>473212.75264150946</v>
      </c>
    </row>
    <row r="37" spans="1:19" ht="33">
      <c r="B37" s="273" t="s">
        <v>728</v>
      </c>
      <c r="C37" s="273" t="s">
        <v>729</v>
      </c>
      <c r="D37" s="328" t="s">
        <v>730</v>
      </c>
      <c r="E37" s="273" t="s">
        <v>731</v>
      </c>
      <c r="F37" s="274" t="s">
        <v>1080</v>
      </c>
      <c r="G37" s="280" t="s">
        <v>733</v>
      </c>
      <c r="H37" s="322" t="s">
        <v>1057</v>
      </c>
      <c r="I37" s="280" t="s">
        <v>1058</v>
      </c>
      <c r="J37" s="280" t="s">
        <v>733</v>
      </c>
      <c r="K37" s="322" t="s">
        <v>1111</v>
      </c>
      <c r="L37" s="322" t="s">
        <v>1112</v>
      </c>
      <c r="M37" s="280" t="s">
        <v>733</v>
      </c>
      <c r="N37" s="322" t="s">
        <v>1257</v>
      </c>
      <c r="O37" s="322" t="s">
        <v>1304</v>
      </c>
      <c r="P37" s="280" t="s">
        <v>733</v>
      </c>
      <c r="Q37" s="322" t="s">
        <v>1296</v>
      </c>
      <c r="R37" s="322" t="s">
        <v>1302</v>
      </c>
      <c r="S37" s="280" t="s">
        <v>733</v>
      </c>
    </row>
    <row r="38" spans="1:19" ht="16.5">
      <c r="A38">
        <f t="shared" ref="A38:A69" si="10">COUNTIF($C$38:$C$69,C38)</f>
        <v>1</v>
      </c>
      <c r="B38" s="259" t="s">
        <v>804</v>
      </c>
      <c r="C38" s="66" t="s">
        <v>1006</v>
      </c>
      <c r="D38" s="66" t="s">
        <v>1007</v>
      </c>
      <c r="E38" s="330">
        <v>43313</v>
      </c>
      <c r="F38" s="342"/>
      <c r="G38" s="135" t="s">
        <v>1108</v>
      </c>
      <c r="I38" s="287">
        <f>F38-H38</f>
        <v>0</v>
      </c>
      <c r="J38" s="361" t="s">
        <v>1197</v>
      </c>
      <c r="L38" s="132">
        <f>I38-K38</f>
        <v>0</v>
      </c>
      <c r="R38" s="206">
        <f>L38-Q38</f>
        <v>0</v>
      </c>
    </row>
    <row r="39" spans="1:19" ht="16.5">
      <c r="A39">
        <f t="shared" si="10"/>
        <v>1</v>
      </c>
      <c r="B39" s="259" t="s">
        <v>804</v>
      </c>
      <c r="C39" s="66" t="s">
        <v>75</v>
      </c>
      <c r="D39" s="66" t="s">
        <v>76</v>
      </c>
      <c r="E39" s="330">
        <v>43313</v>
      </c>
      <c r="F39" s="342"/>
      <c r="G39" s="135" t="s">
        <v>1108</v>
      </c>
      <c r="I39" s="287">
        <f t="shared" ref="I39:I69" si="11">F39-H39</f>
        <v>0</v>
      </c>
      <c r="J39" s="361" t="s">
        <v>1197</v>
      </c>
      <c r="L39" s="132">
        <f t="shared" ref="L39:L69" si="12">I39-K39</f>
        <v>0</v>
      </c>
      <c r="R39" s="206">
        <f t="shared" ref="R39:R70" si="13">L39-Q39</f>
        <v>0</v>
      </c>
    </row>
    <row r="40" spans="1:19" ht="16.5">
      <c r="A40">
        <f t="shared" si="10"/>
        <v>1</v>
      </c>
      <c r="B40" s="259" t="s">
        <v>804</v>
      </c>
      <c r="C40" s="66" t="s">
        <v>991</v>
      </c>
      <c r="D40" s="66" t="s">
        <v>990</v>
      </c>
      <c r="E40" s="330">
        <v>43313</v>
      </c>
      <c r="F40" s="342"/>
      <c r="G40" s="135" t="s">
        <v>1108</v>
      </c>
      <c r="I40" s="287">
        <f t="shared" si="11"/>
        <v>0</v>
      </c>
      <c r="J40" s="361" t="s">
        <v>1197</v>
      </c>
      <c r="L40" s="132">
        <f t="shared" si="12"/>
        <v>0</v>
      </c>
      <c r="R40" s="206">
        <f t="shared" si="13"/>
        <v>0</v>
      </c>
    </row>
    <row r="41" spans="1:19" ht="16.5">
      <c r="A41">
        <f t="shared" si="10"/>
        <v>1</v>
      </c>
      <c r="B41" s="259" t="s">
        <v>804</v>
      </c>
      <c r="C41" s="345" t="s">
        <v>927</v>
      </c>
      <c r="D41" s="345" t="s">
        <v>1035</v>
      </c>
      <c r="E41" s="330">
        <v>43313</v>
      </c>
      <c r="F41" s="342"/>
      <c r="G41" s="135" t="s">
        <v>1108</v>
      </c>
      <c r="I41" s="287">
        <f t="shared" si="11"/>
        <v>0</v>
      </c>
      <c r="J41" s="361" t="s">
        <v>1197</v>
      </c>
      <c r="L41" s="132">
        <f t="shared" si="12"/>
        <v>0</v>
      </c>
      <c r="R41" s="206">
        <f t="shared" si="13"/>
        <v>0</v>
      </c>
    </row>
    <row r="42" spans="1:19" ht="16.5">
      <c r="A42">
        <f t="shared" si="10"/>
        <v>1</v>
      </c>
      <c r="B42" s="259" t="s">
        <v>804</v>
      </c>
      <c r="C42" s="345" t="s">
        <v>951</v>
      </c>
      <c r="D42" s="345" t="s">
        <v>952</v>
      </c>
      <c r="E42" s="330">
        <v>43313</v>
      </c>
      <c r="F42" s="342"/>
      <c r="G42" s="135" t="s">
        <v>1108</v>
      </c>
      <c r="I42" s="287">
        <f t="shared" si="11"/>
        <v>0</v>
      </c>
      <c r="J42" s="361" t="s">
        <v>1197</v>
      </c>
      <c r="L42" s="132">
        <f t="shared" si="12"/>
        <v>0</v>
      </c>
      <c r="R42" s="206">
        <f t="shared" si="13"/>
        <v>0</v>
      </c>
    </row>
    <row r="43" spans="1:19" ht="16.5">
      <c r="A43">
        <f t="shared" si="10"/>
        <v>1</v>
      </c>
      <c r="B43" s="259" t="s">
        <v>804</v>
      </c>
      <c r="C43" s="345" t="s">
        <v>953</v>
      </c>
      <c r="D43" s="345" t="s">
        <v>1045</v>
      </c>
      <c r="E43" s="330">
        <v>43313</v>
      </c>
      <c r="F43" s="342"/>
      <c r="G43" s="135" t="s">
        <v>1108</v>
      </c>
      <c r="I43" s="287">
        <f t="shared" si="11"/>
        <v>0</v>
      </c>
      <c r="J43" s="361" t="s">
        <v>1197</v>
      </c>
      <c r="L43" s="132">
        <f t="shared" si="12"/>
        <v>0</v>
      </c>
      <c r="R43" s="206">
        <f t="shared" si="13"/>
        <v>0</v>
      </c>
    </row>
    <row r="44" spans="1:19" ht="16.5">
      <c r="A44">
        <f t="shared" si="10"/>
        <v>1</v>
      </c>
      <c r="B44" s="259" t="s">
        <v>804</v>
      </c>
      <c r="C44" s="345" t="s">
        <v>1036</v>
      </c>
      <c r="D44" s="345" t="s">
        <v>1037</v>
      </c>
      <c r="E44" s="330">
        <v>43313</v>
      </c>
      <c r="F44" s="342"/>
      <c r="G44" s="135" t="s">
        <v>1108</v>
      </c>
      <c r="I44" s="287">
        <f t="shared" si="11"/>
        <v>0</v>
      </c>
      <c r="J44" s="361" t="s">
        <v>1197</v>
      </c>
      <c r="L44" s="132">
        <f t="shared" si="12"/>
        <v>0</v>
      </c>
      <c r="R44" s="206">
        <f t="shared" si="13"/>
        <v>0</v>
      </c>
    </row>
    <row r="45" spans="1:19" ht="16.5">
      <c r="A45">
        <f t="shared" si="10"/>
        <v>1</v>
      </c>
      <c r="B45" s="259" t="s">
        <v>804</v>
      </c>
      <c r="C45" s="345" t="s">
        <v>1038</v>
      </c>
      <c r="D45" s="345" t="s">
        <v>1046</v>
      </c>
      <c r="E45" s="330">
        <v>43313</v>
      </c>
      <c r="F45" s="342"/>
      <c r="G45" s="135" t="s">
        <v>1108</v>
      </c>
      <c r="I45" s="287">
        <f t="shared" si="11"/>
        <v>0</v>
      </c>
      <c r="J45" s="361" t="s">
        <v>1197</v>
      </c>
      <c r="L45" s="132">
        <f t="shared" si="12"/>
        <v>0</v>
      </c>
      <c r="M45" s="361" t="s">
        <v>1204</v>
      </c>
      <c r="R45" s="206">
        <f t="shared" si="13"/>
        <v>0</v>
      </c>
    </row>
    <row r="46" spans="1:19" ht="16.5">
      <c r="A46">
        <f t="shared" si="10"/>
        <v>1</v>
      </c>
      <c r="B46" s="259" t="s">
        <v>804</v>
      </c>
      <c r="C46" s="345" t="s">
        <v>1039</v>
      </c>
      <c r="D46" s="345" t="s">
        <v>1040</v>
      </c>
      <c r="E46" s="330">
        <v>43313</v>
      </c>
      <c r="F46" s="342"/>
      <c r="G46" s="135" t="s">
        <v>1108</v>
      </c>
      <c r="I46" s="287">
        <f t="shared" si="11"/>
        <v>0</v>
      </c>
      <c r="J46" s="361" t="s">
        <v>1197</v>
      </c>
      <c r="L46" s="132">
        <f t="shared" si="12"/>
        <v>0</v>
      </c>
      <c r="M46" s="361" t="s">
        <v>1204</v>
      </c>
      <c r="R46" s="206">
        <f t="shared" si="13"/>
        <v>0</v>
      </c>
    </row>
    <row r="47" spans="1:19" ht="16.5">
      <c r="A47">
        <f t="shared" si="10"/>
        <v>1</v>
      </c>
      <c r="B47" s="259" t="s">
        <v>804</v>
      </c>
      <c r="C47" s="345" t="s">
        <v>1041</v>
      </c>
      <c r="D47" s="345" t="s">
        <v>1047</v>
      </c>
      <c r="E47" s="330">
        <v>43313</v>
      </c>
      <c r="F47" s="342"/>
      <c r="G47" s="135" t="s">
        <v>1108</v>
      </c>
      <c r="I47" s="287">
        <f t="shared" si="11"/>
        <v>0</v>
      </c>
      <c r="J47" s="361" t="s">
        <v>1197</v>
      </c>
      <c r="L47" s="132">
        <f t="shared" si="12"/>
        <v>0</v>
      </c>
      <c r="M47" s="361" t="s">
        <v>1204</v>
      </c>
      <c r="R47" s="206">
        <f t="shared" si="13"/>
        <v>0</v>
      </c>
    </row>
    <row r="48" spans="1:19" ht="16.5">
      <c r="A48">
        <f t="shared" si="10"/>
        <v>1</v>
      </c>
      <c r="B48" s="259" t="s">
        <v>804</v>
      </c>
      <c r="C48" s="344" t="s">
        <v>1034</v>
      </c>
      <c r="D48" s="344" t="s">
        <v>1048</v>
      </c>
      <c r="E48" s="330">
        <v>43313</v>
      </c>
      <c r="F48" s="342">
        <v>6278.66</v>
      </c>
      <c r="G48" s="135" t="s">
        <v>1108</v>
      </c>
      <c r="I48" s="287">
        <f t="shared" si="11"/>
        <v>6278.66</v>
      </c>
      <c r="J48" s="361" t="s">
        <v>1197</v>
      </c>
      <c r="K48" s="364">
        <v>2785.3999999999996</v>
      </c>
      <c r="L48" s="132">
        <f t="shared" si="12"/>
        <v>3493.26</v>
      </c>
      <c r="M48" s="361" t="s">
        <v>1204</v>
      </c>
      <c r="R48" s="206">
        <f t="shared" si="13"/>
        <v>3493.26</v>
      </c>
    </row>
    <row r="49" spans="1:18" ht="16.5">
      <c r="A49">
        <f t="shared" si="10"/>
        <v>1</v>
      </c>
      <c r="B49" s="259" t="s">
        <v>804</v>
      </c>
      <c r="C49" s="343" t="s">
        <v>1049</v>
      </c>
      <c r="D49" s="343" t="s">
        <v>1050</v>
      </c>
      <c r="E49" s="330">
        <v>43313</v>
      </c>
      <c r="F49" s="342"/>
      <c r="G49" s="135" t="s">
        <v>1108</v>
      </c>
      <c r="I49" s="287">
        <f t="shared" si="11"/>
        <v>0</v>
      </c>
      <c r="J49" s="361" t="s">
        <v>1197</v>
      </c>
      <c r="L49" s="132">
        <f t="shared" si="12"/>
        <v>0</v>
      </c>
      <c r="M49" s="361" t="s">
        <v>1204</v>
      </c>
      <c r="R49" s="206">
        <f t="shared" si="13"/>
        <v>0</v>
      </c>
    </row>
    <row r="50" spans="1:18" ht="16.5">
      <c r="A50">
        <f t="shared" si="10"/>
        <v>1</v>
      </c>
      <c r="B50" s="259" t="s">
        <v>804</v>
      </c>
      <c r="C50" s="343" t="s">
        <v>1083</v>
      </c>
      <c r="D50" s="343" t="s">
        <v>1084</v>
      </c>
      <c r="E50" s="330">
        <v>43313</v>
      </c>
      <c r="F50" s="342"/>
      <c r="G50" s="135" t="s">
        <v>1108</v>
      </c>
      <c r="I50" s="287">
        <f t="shared" si="11"/>
        <v>0</v>
      </c>
      <c r="J50" s="361" t="s">
        <v>1197</v>
      </c>
      <c r="L50" s="132">
        <f t="shared" si="12"/>
        <v>0</v>
      </c>
      <c r="M50" s="361" t="s">
        <v>1204</v>
      </c>
      <c r="R50" s="206">
        <f t="shared" si="13"/>
        <v>0</v>
      </c>
    </row>
    <row r="51" spans="1:18" ht="16.5">
      <c r="A51">
        <f t="shared" si="10"/>
        <v>1</v>
      </c>
      <c r="B51" s="259" t="s">
        <v>804</v>
      </c>
      <c r="C51" s="343" t="s">
        <v>1085</v>
      </c>
      <c r="D51" s="343" t="s">
        <v>1086</v>
      </c>
      <c r="E51" s="330">
        <v>43313</v>
      </c>
      <c r="F51" s="342"/>
      <c r="G51" s="135" t="s">
        <v>1108</v>
      </c>
      <c r="I51" s="287">
        <f t="shared" si="11"/>
        <v>0</v>
      </c>
      <c r="J51" s="361" t="s">
        <v>1197</v>
      </c>
      <c r="L51" s="132">
        <f t="shared" si="12"/>
        <v>0</v>
      </c>
      <c r="M51" s="361" t="s">
        <v>1204</v>
      </c>
      <c r="R51" s="206">
        <f t="shared" si="13"/>
        <v>0</v>
      </c>
    </row>
    <row r="52" spans="1:18" ht="16.5">
      <c r="A52">
        <f t="shared" si="10"/>
        <v>1</v>
      </c>
      <c r="B52" s="259" t="s">
        <v>804</v>
      </c>
      <c r="C52" s="343" t="s">
        <v>1087</v>
      </c>
      <c r="D52" s="343" t="s">
        <v>1088</v>
      </c>
      <c r="E52" s="330">
        <v>43313</v>
      </c>
      <c r="F52" s="342"/>
      <c r="G52" s="135" t="s">
        <v>1108</v>
      </c>
      <c r="I52" s="287">
        <f t="shared" si="11"/>
        <v>0</v>
      </c>
      <c r="J52" s="361" t="s">
        <v>1197</v>
      </c>
      <c r="L52" s="132">
        <f t="shared" si="12"/>
        <v>0</v>
      </c>
      <c r="M52" s="361" t="s">
        <v>1204</v>
      </c>
      <c r="R52" s="206">
        <f t="shared" si="13"/>
        <v>0</v>
      </c>
    </row>
    <row r="53" spans="1:18" ht="16.5">
      <c r="A53">
        <f t="shared" si="10"/>
        <v>1</v>
      </c>
      <c r="B53" s="259" t="s">
        <v>804</v>
      </c>
      <c r="C53" s="343" t="s">
        <v>1089</v>
      </c>
      <c r="D53" s="343" t="s">
        <v>1090</v>
      </c>
      <c r="E53" s="330">
        <v>43313</v>
      </c>
      <c r="F53" s="342"/>
      <c r="G53" s="135" t="s">
        <v>1108</v>
      </c>
      <c r="I53" s="287">
        <f t="shared" si="11"/>
        <v>0</v>
      </c>
      <c r="J53" s="361" t="s">
        <v>1197</v>
      </c>
      <c r="L53" s="132">
        <f t="shared" si="12"/>
        <v>0</v>
      </c>
      <c r="M53" s="361" t="s">
        <v>1204</v>
      </c>
      <c r="R53" s="206">
        <f t="shared" si="13"/>
        <v>0</v>
      </c>
    </row>
    <row r="54" spans="1:18" ht="16.5">
      <c r="A54">
        <f t="shared" si="10"/>
        <v>1</v>
      </c>
      <c r="B54" s="259" t="s">
        <v>804</v>
      </c>
      <c r="C54" s="343" t="s">
        <v>1091</v>
      </c>
      <c r="D54" s="343" t="s">
        <v>1092</v>
      </c>
      <c r="E54" s="330">
        <v>43313</v>
      </c>
      <c r="F54" s="342"/>
      <c r="G54" s="135" t="s">
        <v>1108</v>
      </c>
      <c r="I54" s="287">
        <f t="shared" si="11"/>
        <v>0</v>
      </c>
      <c r="J54" s="361" t="s">
        <v>1197</v>
      </c>
      <c r="L54" s="132">
        <f t="shared" si="12"/>
        <v>0</v>
      </c>
      <c r="M54" s="361" t="s">
        <v>1204</v>
      </c>
      <c r="R54" s="206">
        <f t="shared" si="13"/>
        <v>0</v>
      </c>
    </row>
    <row r="55" spans="1:18" ht="16.5">
      <c r="A55">
        <f t="shared" si="10"/>
        <v>1</v>
      </c>
      <c r="B55" s="259" t="s">
        <v>804</v>
      </c>
      <c r="C55" s="343" t="s">
        <v>1093</v>
      </c>
      <c r="D55" s="343" t="s">
        <v>1094</v>
      </c>
      <c r="E55" s="330">
        <v>43313</v>
      </c>
      <c r="F55" s="342"/>
      <c r="G55" s="135" t="s">
        <v>1108</v>
      </c>
      <c r="I55" s="287">
        <f t="shared" si="11"/>
        <v>0</v>
      </c>
      <c r="J55" s="361" t="s">
        <v>1197</v>
      </c>
      <c r="L55" s="132">
        <f t="shared" si="12"/>
        <v>0</v>
      </c>
      <c r="M55" s="361" t="s">
        <v>1204</v>
      </c>
      <c r="R55" s="206">
        <f t="shared" si="13"/>
        <v>0</v>
      </c>
    </row>
    <row r="56" spans="1:18" ht="16.5">
      <c r="A56">
        <f t="shared" si="10"/>
        <v>1</v>
      </c>
      <c r="B56" s="259" t="s">
        <v>804</v>
      </c>
      <c r="C56" s="343" t="s">
        <v>1095</v>
      </c>
      <c r="D56" s="343" t="s">
        <v>1096</v>
      </c>
      <c r="E56" s="330">
        <v>43313</v>
      </c>
      <c r="F56" s="342"/>
      <c r="G56" s="135" t="s">
        <v>1108</v>
      </c>
      <c r="I56" s="287">
        <f t="shared" si="11"/>
        <v>0</v>
      </c>
      <c r="J56" s="361" t="s">
        <v>1197</v>
      </c>
      <c r="L56" s="132">
        <f t="shared" si="12"/>
        <v>0</v>
      </c>
      <c r="M56" s="361" t="s">
        <v>1204</v>
      </c>
      <c r="R56" s="206">
        <f t="shared" si="13"/>
        <v>0</v>
      </c>
    </row>
    <row r="57" spans="1:18" ht="16.5">
      <c r="A57">
        <f t="shared" si="10"/>
        <v>1</v>
      </c>
      <c r="B57" s="259" t="s">
        <v>804</v>
      </c>
      <c r="C57" s="343" t="s">
        <v>1097</v>
      </c>
      <c r="D57" s="343" t="s">
        <v>1098</v>
      </c>
      <c r="E57" s="330">
        <v>43313</v>
      </c>
      <c r="F57" s="342"/>
      <c r="G57" s="135" t="s">
        <v>1108</v>
      </c>
      <c r="I57" s="287">
        <f t="shared" si="11"/>
        <v>0</v>
      </c>
      <c r="J57" s="361" t="s">
        <v>1197</v>
      </c>
      <c r="L57" s="132">
        <f t="shared" si="12"/>
        <v>0</v>
      </c>
      <c r="M57" s="361" t="s">
        <v>1204</v>
      </c>
      <c r="R57" s="206">
        <f t="shared" si="13"/>
        <v>0</v>
      </c>
    </row>
    <row r="58" spans="1:18" ht="16.5">
      <c r="A58">
        <f t="shared" si="10"/>
        <v>1</v>
      </c>
      <c r="B58" s="259" t="s">
        <v>804</v>
      </c>
      <c r="C58" s="343" t="s">
        <v>1099</v>
      </c>
      <c r="D58" s="343" t="s">
        <v>1100</v>
      </c>
      <c r="E58" s="330">
        <v>43313</v>
      </c>
      <c r="F58" s="342"/>
      <c r="G58" s="135" t="s">
        <v>1108</v>
      </c>
      <c r="I58" s="287">
        <f t="shared" si="11"/>
        <v>0</v>
      </c>
      <c r="J58" s="361" t="s">
        <v>1197</v>
      </c>
      <c r="L58" s="132">
        <f t="shared" si="12"/>
        <v>0</v>
      </c>
      <c r="M58" s="361" t="s">
        <v>1204</v>
      </c>
      <c r="R58" s="206">
        <f t="shared" si="13"/>
        <v>0</v>
      </c>
    </row>
    <row r="59" spans="1:18" ht="16.5">
      <c r="A59">
        <f t="shared" si="10"/>
        <v>1</v>
      </c>
      <c r="B59" s="259" t="s">
        <v>804</v>
      </c>
      <c r="C59" s="343" t="s">
        <v>1101</v>
      </c>
      <c r="D59" s="343" t="s">
        <v>1102</v>
      </c>
      <c r="E59" s="330">
        <v>43313</v>
      </c>
      <c r="F59" s="342"/>
      <c r="G59" s="135" t="s">
        <v>1108</v>
      </c>
      <c r="I59" s="287">
        <f t="shared" si="11"/>
        <v>0</v>
      </c>
      <c r="J59" s="361" t="s">
        <v>1197</v>
      </c>
      <c r="L59" s="132">
        <f t="shared" si="12"/>
        <v>0</v>
      </c>
      <c r="M59" s="361" t="s">
        <v>1204</v>
      </c>
      <c r="R59" s="206">
        <f t="shared" si="13"/>
        <v>0</v>
      </c>
    </row>
    <row r="60" spans="1:18" ht="16.5">
      <c r="A60">
        <f t="shared" si="10"/>
        <v>1</v>
      </c>
      <c r="B60" s="259" t="s">
        <v>804</v>
      </c>
      <c r="C60" s="343" t="s">
        <v>1103</v>
      </c>
      <c r="D60" s="343" t="s">
        <v>1104</v>
      </c>
      <c r="E60" s="330">
        <v>43313</v>
      </c>
      <c r="F60" s="342"/>
      <c r="G60" s="135" t="s">
        <v>1108</v>
      </c>
      <c r="I60" s="287">
        <f t="shared" si="11"/>
        <v>0</v>
      </c>
      <c r="J60" s="361" t="s">
        <v>1197</v>
      </c>
      <c r="L60" s="132">
        <f t="shared" si="12"/>
        <v>0</v>
      </c>
      <c r="M60" s="361" t="s">
        <v>1204</v>
      </c>
      <c r="R60" s="206">
        <f t="shared" si="13"/>
        <v>0</v>
      </c>
    </row>
    <row r="61" spans="1:18" ht="16.5">
      <c r="A61">
        <f t="shared" si="10"/>
        <v>1</v>
      </c>
      <c r="B61" s="259" t="s">
        <v>804</v>
      </c>
      <c r="C61" s="343" t="s">
        <v>1105</v>
      </c>
      <c r="D61" s="343" t="s">
        <v>1106</v>
      </c>
      <c r="E61" s="330">
        <v>43313</v>
      </c>
      <c r="F61" s="342"/>
      <c r="G61" s="135" t="s">
        <v>1108</v>
      </c>
      <c r="I61" s="287">
        <f t="shared" si="11"/>
        <v>0</v>
      </c>
      <c r="J61" s="361" t="s">
        <v>1197</v>
      </c>
      <c r="L61" s="132">
        <f t="shared" si="12"/>
        <v>0</v>
      </c>
      <c r="M61" s="361" t="s">
        <v>1204</v>
      </c>
      <c r="R61" s="206">
        <f t="shared" si="13"/>
        <v>0</v>
      </c>
    </row>
    <row r="62" spans="1:18" ht="16.5">
      <c r="A62">
        <f t="shared" si="10"/>
        <v>1</v>
      </c>
      <c r="B62" s="259" t="s">
        <v>804</v>
      </c>
      <c r="C62" s="66" t="s">
        <v>997</v>
      </c>
      <c r="D62" s="66" t="s">
        <v>996</v>
      </c>
      <c r="E62" s="330">
        <v>43313</v>
      </c>
      <c r="F62" s="342"/>
      <c r="G62" s="135" t="s">
        <v>1108</v>
      </c>
      <c r="I62" s="287">
        <f t="shared" si="11"/>
        <v>0</v>
      </c>
      <c r="J62" s="361" t="s">
        <v>1197</v>
      </c>
      <c r="L62" s="132">
        <f t="shared" si="12"/>
        <v>0</v>
      </c>
      <c r="M62" s="361" t="s">
        <v>1204</v>
      </c>
      <c r="R62" s="206">
        <f t="shared" si="13"/>
        <v>0</v>
      </c>
    </row>
    <row r="63" spans="1:18" ht="16.5">
      <c r="A63">
        <f t="shared" si="10"/>
        <v>1</v>
      </c>
      <c r="B63" s="259" t="s">
        <v>804</v>
      </c>
      <c r="C63" s="343" t="s">
        <v>1052</v>
      </c>
      <c r="D63" s="343" t="s">
        <v>1051</v>
      </c>
      <c r="E63" s="330">
        <v>43313</v>
      </c>
      <c r="F63" s="342"/>
      <c r="G63" s="135" t="s">
        <v>1108</v>
      </c>
      <c r="I63" s="287">
        <f t="shared" si="11"/>
        <v>0</v>
      </c>
      <c r="J63" s="361" t="s">
        <v>1197</v>
      </c>
      <c r="L63" s="132">
        <f t="shared" si="12"/>
        <v>0</v>
      </c>
      <c r="M63" s="361" t="s">
        <v>1204</v>
      </c>
      <c r="R63" s="206">
        <f t="shared" si="13"/>
        <v>0</v>
      </c>
    </row>
    <row r="64" spans="1:18" ht="16.5">
      <c r="A64">
        <f t="shared" si="10"/>
        <v>1</v>
      </c>
      <c r="B64" s="259" t="s">
        <v>804</v>
      </c>
      <c r="C64" s="66" t="s">
        <v>999</v>
      </c>
      <c r="D64" s="306" t="s">
        <v>998</v>
      </c>
      <c r="E64" s="330">
        <v>43313</v>
      </c>
      <c r="F64" s="342"/>
      <c r="G64" s="135" t="s">
        <v>1108</v>
      </c>
      <c r="I64" s="287">
        <f t="shared" si="11"/>
        <v>0</v>
      </c>
      <c r="J64" s="361" t="s">
        <v>1197</v>
      </c>
      <c r="L64" s="132">
        <f t="shared" si="12"/>
        <v>0</v>
      </c>
      <c r="M64" s="361" t="s">
        <v>1204</v>
      </c>
      <c r="R64" s="206">
        <f t="shared" si="13"/>
        <v>0</v>
      </c>
    </row>
    <row r="65" spans="1:19" ht="16.5">
      <c r="A65">
        <f t="shared" si="10"/>
        <v>1</v>
      </c>
      <c r="B65" s="259" t="s">
        <v>804</v>
      </c>
      <c r="C65" s="66" t="s">
        <v>1001</v>
      </c>
      <c r="D65" s="67" t="s">
        <v>1000</v>
      </c>
      <c r="E65" s="330">
        <v>43313</v>
      </c>
      <c r="F65" s="342"/>
      <c r="G65" s="135" t="s">
        <v>1108</v>
      </c>
      <c r="I65" s="287">
        <f t="shared" si="11"/>
        <v>0</v>
      </c>
      <c r="J65" s="361" t="s">
        <v>1197</v>
      </c>
      <c r="L65" s="132">
        <f t="shared" si="12"/>
        <v>0</v>
      </c>
      <c r="M65" s="361" t="s">
        <v>1204</v>
      </c>
      <c r="R65" s="206">
        <f t="shared" si="13"/>
        <v>0</v>
      </c>
    </row>
    <row r="66" spans="1:19" ht="16.5">
      <c r="A66">
        <f t="shared" si="10"/>
        <v>1</v>
      </c>
      <c r="B66" s="259" t="s">
        <v>804</v>
      </c>
      <c r="C66" s="66" t="s">
        <v>1003</v>
      </c>
      <c r="D66" s="66" t="s">
        <v>1002</v>
      </c>
      <c r="E66" s="330">
        <v>43313</v>
      </c>
      <c r="F66" s="342"/>
      <c r="G66" s="135" t="s">
        <v>1108</v>
      </c>
      <c r="I66" s="287">
        <f t="shared" si="11"/>
        <v>0</v>
      </c>
      <c r="J66" s="361" t="s">
        <v>1197</v>
      </c>
      <c r="L66" s="132">
        <f t="shared" si="12"/>
        <v>0</v>
      </c>
      <c r="M66" s="361" t="s">
        <v>1204</v>
      </c>
      <c r="R66" s="206">
        <f t="shared" si="13"/>
        <v>0</v>
      </c>
    </row>
    <row r="67" spans="1:19" ht="16.5">
      <c r="A67">
        <f t="shared" si="10"/>
        <v>1</v>
      </c>
      <c r="B67" s="259" t="s">
        <v>804</v>
      </c>
      <c r="C67" s="66" t="s">
        <v>1005</v>
      </c>
      <c r="D67" s="306" t="s">
        <v>941</v>
      </c>
      <c r="E67" s="330">
        <v>43313</v>
      </c>
      <c r="F67" s="342"/>
      <c r="G67" s="135" t="s">
        <v>1108</v>
      </c>
      <c r="I67" s="287">
        <f t="shared" si="11"/>
        <v>0</v>
      </c>
      <c r="J67" s="361" t="s">
        <v>1197</v>
      </c>
      <c r="L67" s="132">
        <f t="shared" si="12"/>
        <v>0</v>
      </c>
      <c r="M67" s="361" t="s">
        <v>1204</v>
      </c>
      <c r="R67" s="206">
        <f t="shared" si="13"/>
        <v>0</v>
      </c>
    </row>
    <row r="68" spans="1:19" ht="16.5">
      <c r="A68">
        <f t="shared" si="10"/>
        <v>1</v>
      </c>
      <c r="B68" s="259" t="s">
        <v>950</v>
      </c>
      <c r="C68" s="353" t="s">
        <v>866</v>
      </c>
      <c r="D68" s="354" t="s">
        <v>955</v>
      </c>
      <c r="E68" s="330">
        <v>43313</v>
      </c>
      <c r="F68" s="342"/>
      <c r="G68" s="135" t="s">
        <v>1108</v>
      </c>
      <c r="I68" s="287">
        <f t="shared" si="11"/>
        <v>0</v>
      </c>
      <c r="J68" s="361" t="s">
        <v>1197</v>
      </c>
      <c r="L68" s="132">
        <f t="shared" si="12"/>
        <v>0</v>
      </c>
      <c r="M68" s="361" t="s">
        <v>1204</v>
      </c>
      <c r="R68" s="206">
        <f t="shared" si="13"/>
        <v>0</v>
      </c>
    </row>
    <row r="69" spans="1:19" ht="16.5">
      <c r="A69">
        <f t="shared" si="10"/>
        <v>1</v>
      </c>
      <c r="B69" s="259" t="s">
        <v>950</v>
      </c>
      <c r="C69" s="353" t="s">
        <v>868</v>
      </c>
      <c r="D69" s="354" t="s">
        <v>1107</v>
      </c>
      <c r="E69" s="330">
        <v>43313</v>
      </c>
      <c r="F69" s="342">
        <v>1037.17</v>
      </c>
      <c r="G69" s="135" t="s">
        <v>1108</v>
      </c>
      <c r="I69" s="287">
        <f t="shared" si="11"/>
        <v>1037.17</v>
      </c>
      <c r="J69" s="361" t="s">
        <v>1197</v>
      </c>
      <c r="L69" s="132">
        <f t="shared" si="12"/>
        <v>1037.17</v>
      </c>
      <c r="M69" s="361" t="s">
        <v>1204</v>
      </c>
      <c r="R69" s="206">
        <f t="shared" si="13"/>
        <v>1037.17</v>
      </c>
    </row>
    <row r="70" spans="1:19">
      <c r="B70" s="271"/>
      <c r="C70" s="271"/>
      <c r="D70" s="329"/>
      <c r="E70" s="271"/>
      <c r="F70" s="347">
        <f>SUM(F38:F69)</f>
        <v>7315.83</v>
      </c>
      <c r="G70" s="271"/>
      <c r="I70" s="352">
        <f>SUM(I38:I69)</f>
        <v>7315.83</v>
      </c>
      <c r="J70" s="329" t="s">
        <v>1197</v>
      </c>
      <c r="K70" s="329"/>
      <c r="L70" s="329">
        <f>SUM(L38:L69)</f>
        <v>4530.43</v>
      </c>
      <c r="M70" s="329" t="s">
        <v>1204</v>
      </c>
      <c r="N70" s="329"/>
      <c r="O70" s="329"/>
      <c r="P70" s="329"/>
      <c r="Q70" s="329"/>
      <c r="R70" s="329">
        <f t="shared" si="13"/>
        <v>4530.43</v>
      </c>
      <c r="S70" s="329"/>
    </row>
    <row r="72" spans="1:19" ht="33">
      <c r="B72" s="273" t="s">
        <v>728</v>
      </c>
      <c r="C72" s="273" t="s">
        <v>729</v>
      </c>
      <c r="D72" s="328" t="s">
        <v>730</v>
      </c>
      <c r="E72" s="273" t="s">
        <v>731</v>
      </c>
      <c r="F72" s="274" t="s">
        <v>1080</v>
      </c>
      <c r="G72" s="280" t="s">
        <v>733</v>
      </c>
      <c r="H72" s="322" t="s">
        <v>1057</v>
      </c>
      <c r="I72" s="280" t="s">
        <v>1058</v>
      </c>
      <c r="J72" s="280" t="s">
        <v>733</v>
      </c>
      <c r="K72" s="322" t="s">
        <v>1111</v>
      </c>
      <c r="L72" s="322" t="s">
        <v>1112</v>
      </c>
      <c r="M72" s="280" t="s">
        <v>733</v>
      </c>
      <c r="N72" s="322" t="s">
        <v>1257</v>
      </c>
      <c r="O72" s="322" t="s">
        <v>1304</v>
      </c>
      <c r="P72" s="280" t="s">
        <v>733</v>
      </c>
      <c r="Q72" s="322" t="s">
        <v>1296</v>
      </c>
      <c r="R72" s="322" t="s">
        <v>1302</v>
      </c>
      <c r="S72" s="280" t="s">
        <v>733</v>
      </c>
    </row>
    <row r="73" spans="1:19" ht="16.5">
      <c r="A73">
        <f>COUNTIF($C$73:$C$73,C73)</f>
        <v>1</v>
      </c>
      <c r="B73" s="259" t="s">
        <v>925</v>
      </c>
      <c r="C73" s="66" t="s">
        <v>926</v>
      </c>
      <c r="D73" s="306" t="s">
        <v>942</v>
      </c>
      <c r="E73" s="330">
        <v>43313</v>
      </c>
      <c r="F73" s="349"/>
      <c r="G73" s="135"/>
    </row>
    <row r="74" spans="1:19">
      <c r="B74" s="271"/>
      <c r="C74" s="271"/>
      <c r="D74" s="329"/>
      <c r="E74" s="271"/>
      <c r="F74" s="347">
        <f>SUM(F73)</f>
        <v>0</v>
      </c>
      <c r="G74" s="271"/>
    </row>
  </sheetData>
  <autoFilter ref="A1:S8">
    <filterColumn colId="17">
      <filters>
        <filter val="1,172.78"/>
        <filter val="11,169.60"/>
        <filter val="18,429.83"/>
        <filter val="26,328.33"/>
        <filter val="57,100.54"/>
      </filters>
    </filterColumn>
  </autoFilter>
  <phoneticPr fontId="33" type="noConversion"/>
  <conditionalFormatting sqref="A73 A2:A7 A12:A34 A38:A69">
    <cfRule type="cellIs" dxfId="3" priority="1" stopIfTrue="1" operator="greaterThan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1"/>
  <dimension ref="A1:P57"/>
  <sheetViews>
    <sheetView workbookViewId="0">
      <pane xSplit="7" ySplit="1" topLeftCell="H32" activePane="bottomRight" state="frozen"/>
      <selection activeCell="M40" sqref="M40"/>
      <selection pane="topRight" activeCell="M40" sqref="M40"/>
      <selection pane="bottomLeft" activeCell="M40" sqref="M40"/>
      <selection pane="bottomRight" activeCell="M40" sqref="M40"/>
    </sheetView>
  </sheetViews>
  <sheetFormatPr defaultRowHeight="12.75"/>
  <cols>
    <col min="2" max="2" width="8.7109375" customWidth="1"/>
    <col min="3" max="3" width="10.42578125" customWidth="1"/>
    <col min="4" max="4" width="29.28515625" style="143" customWidth="1"/>
    <col min="5" max="5" width="10.42578125" bestFit="1" customWidth="1"/>
    <col min="6" max="6" width="21.7109375" style="350" customWidth="1"/>
    <col min="7" max="7" width="15.140625" customWidth="1"/>
    <col min="8" max="8" width="13.28515625" customWidth="1"/>
    <col min="9" max="9" width="14" customWidth="1"/>
    <col min="10" max="10" width="9.140625" customWidth="1"/>
    <col min="11" max="11" width="12.28515625" customWidth="1"/>
    <col min="12" max="12" width="13.28515625" customWidth="1"/>
    <col min="13" max="13" width="9.140625" customWidth="1"/>
    <col min="14" max="14" width="12.28515625" customWidth="1"/>
    <col min="15" max="15" width="14" bestFit="1" customWidth="1"/>
  </cols>
  <sheetData>
    <row r="1" spans="1:16" ht="33">
      <c r="B1" s="273" t="s">
        <v>728</v>
      </c>
      <c r="C1" s="273" t="s">
        <v>729</v>
      </c>
      <c r="D1" s="328" t="s">
        <v>730</v>
      </c>
      <c r="E1" s="273" t="s">
        <v>731</v>
      </c>
      <c r="F1" s="298" t="s">
        <v>1113</v>
      </c>
      <c r="G1" s="280" t="s">
        <v>733</v>
      </c>
      <c r="H1" s="322" t="s">
        <v>1111</v>
      </c>
      <c r="I1" s="280" t="s">
        <v>1112</v>
      </c>
      <c r="J1" s="280" t="s">
        <v>733</v>
      </c>
      <c r="K1" s="322" t="s">
        <v>1166</v>
      </c>
      <c r="L1" s="280" t="s">
        <v>1167</v>
      </c>
      <c r="M1" s="280" t="s">
        <v>733</v>
      </c>
      <c r="N1" s="322" t="s">
        <v>1265</v>
      </c>
      <c r="O1" s="280" t="s">
        <v>1266</v>
      </c>
      <c r="P1" s="280" t="s">
        <v>733</v>
      </c>
    </row>
    <row r="2" spans="1:16" ht="16.5" hidden="1">
      <c r="A2">
        <f>COUNTIF($C$2:$C$6,C2)</f>
        <v>1</v>
      </c>
      <c r="B2" s="259" t="s">
        <v>736</v>
      </c>
      <c r="C2" s="357" t="s">
        <v>438</v>
      </c>
      <c r="D2" s="306" t="s">
        <v>436</v>
      </c>
      <c r="E2" s="330">
        <v>43344</v>
      </c>
      <c r="F2" s="342">
        <v>164365.67000000001</v>
      </c>
      <c r="G2" s="135" t="s">
        <v>1114</v>
      </c>
      <c r="H2" s="364">
        <f>19694.24+10188.68+15566.04</f>
        <v>45448.960000000006</v>
      </c>
      <c r="I2" s="287">
        <f>F2-H2</f>
        <v>118916.71</v>
      </c>
      <c r="J2" s="361" t="s">
        <v>1213</v>
      </c>
      <c r="K2" s="132">
        <f>14500/1.06+10329.6/1.06+163000-67507.44</f>
        <v>118916.71094339623</v>
      </c>
      <c r="L2" s="206">
        <f>I2-K2</f>
        <v>-9.4339622592087835E-4</v>
      </c>
      <c r="O2" s="206">
        <f>L2-N2</f>
        <v>-9.4339622592087835E-4</v>
      </c>
    </row>
    <row r="3" spans="1:16" ht="16.5">
      <c r="A3">
        <f>COUNTIF($C$2:$C$6,C3)</f>
        <v>1</v>
      </c>
      <c r="B3" s="259" t="s">
        <v>736</v>
      </c>
      <c r="C3" s="358" t="s">
        <v>228</v>
      </c>
      <c r="D3" s="359" t="s">
        <v>229</v>
      </c>
      <c r="E3" s="330">
        <v>43344</v>
      </c>
      <c r="F3" s="185">
        <v>805.89</v>
      </c>
      <c r="G3" s="135" t="s">
        <v>1114</v>
      </c>
      <c r="I3" s="287">
        <f t="shared" ref="I3:I6" si="0">F3-H3</f>
        <v>805.89</v>
      </c>
      <c r="J3" s="361" t="s">
        <v>1213</v>
      </c>
      <c r="L3" s="206">
        <f t="shared" ref="L3:L6" si="1">I3-K3</f>
        <v>805.89</v>
      </c>
      <c r="O3" s="206">
        <f t="shared" ref="O3:O6" si="2">L3-N3</f>
        <v>805.89</v>
      </c>
    </row>
    <row r="4" spans="1:16" ht="16.5">
      <c r="A4">
        <f>COUNTIF($C$2:$C$6,C4)</f>
        <v>1</v>
      </c>
      <c r="B4" s="259" t="s">
        <v>736</v>
      </c>
      <c r="C4" s="358" t="s">
        <v>26</v>
      </c>
      <c r="D4" s="359" t="s">
        <v>27</v>
      </c>
      <c r="E4" s="330">
        <v>43344</v>
      </c>
      <c r="F4" s="185">
        <v>26695</v>
      </c>
      <c r="G4" s="135" t="s">
        <v>1114</v>
      </c>
      <c r="I4" s="287">
        <f t="shared" si="0"/>
        <v>26695</v>
      </c>
      <c r="J4" s="361" t="s">
        <v>1213</v>
      </c>
      <c r="L4" s="206">
        <f t="shared" si="1"/>
        <v>26695</v>
      </c>
      <c r="O4" s="206">
        <f t="shared" si="2"/>
        <v>26695</v>
      </c>
    </row>
    <row r="5" spans="1:16" ht="16.5">
      <c r="A5">
        <f>COUNTIF($C$2:$C$6,C5)</f>
        <v>1</v>
      </c>
      <c r="B5" s="259" t="s">
        <v>736</v>
      </c>
      <c r="C5" s="358" t="s">
        <v>230</v>
      </c>
      <c r="D5" s="359" t="s">
        <v>231</v>
      </c>
      <c r="E5" s="330">
        <v>43344</v>
      </c>
      <c r="F5" s="185">
        <v>11383.15</v>
      </c>
      <c r="G5" s="135" t="s">
        <v>1114</v>
      </c>
      <c r="I5" s="287">
        <f t="shared" si="0"/>
        <v>11383.15</v>
      </c>
      <c r="J5" s="361" t="s">
        <v>1213</v>
      </c>
      <c r="L5" s="206">
        <f t="shared" si="1"/>
        <v>11383.15</v>
      </c>
      <c r="O5" s="206">
        <f t="shared" si="2"/>
        <v>11383.15</v>
      </c>
    </row>
    <row r="6" spans="1:16" ht="16.5">
      <c r="A6">
        <f>COUNTIF($C$2:$C$6,C6)</f>
        <v>1</v>
      </c>
      <c r="B6" s="259" t="s">
        <v>208</v>
      </c>
      <c r="C6" s="358" t="s">
        <v>819</v>
      </c>
      <c r="D6" s="359" t="s">
        <v>948</v>
      </c>
      <c r="E6" s="330">
        <v>43344</v>
      </c>
      <c r="F6" s="185">
        <v>18615.990000000002</v>
      </c>
      <c r="G6" s="135" t="s">
        <v>1114</v>
      </c>
      <c r="I6" s="287">
        <f t="shared" si="0"/>
        <v>18615.990000000002</v>
      </c>
      <c r="J6" s="361" t="s">
        <v>1213</v>
      </c>
      <c r="L6" s="206">
        <f t="shared" si="1"/>
        <v>18615.990000000002</v>
      </c>
      <c r="O6" s="206">
        <f t="shared" si="2"/>
        <v>18615.990000000002</v>
      </c>
    </row>
    <row r="7" spans="1:16">
      <c r="B7" s="271"/>
      <c r="C7" s="271"/>
      <c r="D7" s="329"/>
      <c r="E7" s="271"/>
      <c r="F7" s="355">
        <f>SUM(F2:F6)</f>
        <v>221865.7</v>
      </c>
      <c r="G7" s="135"/>
      <c r="I7" s="355">
        <f>SUM(I2:I6)</f>
        <v>176416.74</v>
      </c>
      <c r="J7" s="361" t="s">
        <v>1213</v>
      </c>
      <c r="K7" s="355">
        <f>SUM(K2:K6)</f>
        <v>118916.71094339623</v>
      </c>
      <c r="L7" s="355">
        <f>SUM(L2:L6)</f>
        <v>57500.029056603773</v>
      </c>
      <c r="N7" s="355">
        <f>SUM(N2:N6)</f>
        <v>0</v>
      </c>
      <c r="O7" s="355">
        <f>SUM(O2:O6)</f>
        <v>57500.029056603773</v>
      </c>
    </row>
    <row r="10" spans="1:16" ht="40.5" customHeight="1">
      <c r="B10" s="273" t="s">
        <v>728</v>
      </c>
      <c r="C10" s="273" t="s">
        <v>729</v>
      </c>
      <c r="D10" s="328" t="s">
        <v>730</v>
      </c>
      <c r="E10" s="273" t="s">
        <v>731</v>
      </c>
      <c r="F10" s="274" t="s">
        <v>1113</v>
      </c>
      <c r="G10" s="280" t="s">
        <v>733</v>
      </c>
      <c r="H10" s="322" t="s">
        <v>1111</v>
      </c>
      <c r="I10" s="280" t="s">
        <v>1112</v>
      </c>
      <c r="J10" s="280" t="s">
        <v>733</v>
      </c>
      <c r="K10" s="322" t="s">
        <v>1166</v>
      </c>
      <c r="L10" s="280" t="s">
        <v>1167</v>
      </c>
      <c r="M10" s="280" t="s">
        <v>733</v>
      </c>
      <c r="N10" s="322" t="s">
        <v>1265</v>
      </c>
      <c r="O10" s="280" t="s">
        <v>1266</v>
      </c>
      <c r="P10" s="280" t="s">
        <v>733</v>
      </c>
    </row>
    <row r="11" spans="1:16" ht="16.5">
      <c r="A11">
        <f t="shared" ref="A11:A20" si="3">COUNTIF($C$11:$C$48,C11)</f>
        <v>1</v>
      </c>
      <c r="B11" s="259" t="s">
        <v>755</v>
      </c>
      <c r="C11" s="359" t="s">
        <v>31</v>
      </c>
      <c r="D11" s="359" t="s">
        <v>1123</v>
      </c>
      <c r="E11" s="330">
        <v>43344</v>
      </c>
      <c r="F11" s="185">
        <v>8556.44</v>
      </c>
      <c r="G11" s="356" t="s">
        <v>1158</v>
      </c>
      <c r="I11" s="161">
        <f>F11-H11</f>
        <v>8556.44</v>
      </c>
      <c r="J11" s="361" t="s">
        <v>1215</v>
      </c>
      <c r="K11">
        <v>6119.8</v>
      </c>
      <c r="L11" s="161">
        <f>I11-K11</f>
        <v>2436.6400000000003</v>
      </c>
      <c r="O11" s="161">
        <f t="shared" ref="O11:O27" si="4">I11-N11-K11</f>
        <v>2436.6400000000003</v>
      </c>
    </row>
    <row r="12" spans="1:16" ht="16.5">
      <c r="A12">
        <f t="shared" si="3"/>
        <v>1</v>
      </c>
      <c r="B12" s="259" t="s">
        <v>755</v>
      </c>
      <c r="C12" s="359" t="s">
        <v>33</v>
      </c>
      <c r="D12" s="359" t="s">
        <v>1124</v>
      </c>
      <c r="E12" s="330">
        <v>43344</v>
      </c>
      <c r="F12" s="185">
        <v>212770.79</v>
      </c>
      <c r="G12" s="356" t="s">
        <v>1158</v>
      </c>
      <c r="I12" s="161">
        <f t="shared" ref="I12:I47" si="5">F12-H12</f>
        <v>212770.79</v>
      </c>
      <c r="J12" s="361" t="s">
        <v>1215</v>
      </c>
      <c r="K12">
        <v>211400</v>
      </c>
      <c r="L12" s="161">
        <f t="shared" ref="L12:L48" si="6">I12-K12</f>
        <v>1370.7900000000081</v>
      </c>
      <c r="O12" s="161">
        <f t="shared" si="4"/>
        <v>1370.7900000000081</v>
      </c>
    </row>
    <row r="13" spans="1:16" ht="16.5">
      <c r="A13">
        <f t="shared" si="3"/>
        <v>1</v>
      </c>
      <c r="B13" s="259" t="s">
        <v>755</v>
      </c>
      <c r="C13" s="359" t="s">
        <v>820</v>
      </c>
      <c r="D13" s="359" t="s">
        <v>1125</v>
      </c>
      <c r="E13" s="330">
        <v>43344</v>
      </c>
      <c r="F13" s="185">
        <v>22632.98</v>
      </c>
      <c r="G13" s="356" t="s">
        <v>1158</v>
      </c>
      <c r="I13" s="161">
        <f t="shared" si="5"/>
        <v>22632.98</v>
      </c>
      <c r="J13" s="361" t="s">
        <v>1215</v>
      </c>
      <c r="L13" s="161">
        <f t="shared" si="6"/>
        <v>22632.98</v>
      </c>
      <c r="O13" s="161">
        <f t="shared" si="4"/>
        <v>22632.98</v>
      </c>
    </row>
    <row r="14" spans="1:16" ht="16.5">
      <c r="A14">
        <f t="shared" si="3"/>
        <v>1</v>
      </c>
      <c r="B14" s="259" t="s">
        <v>755</v>
      </c>
      <c r="C14" s="359" t="s">
        <v>822</v>
      </c>
      <c r="D14" s="359" t="s">
        <v>1126</v>
      </c>
      <c r="E14" s="330">
        <v>43344</v>
      </c>
      <c r="F14" s="185">
        <v>32991.54</v>
      </c>
      <c r="G14" s="356" t="s">
        <v>1158</v>
      </c>
      <c r="I14" s="161">
        <f t="shared" si="5"/>
        <v>32991.54</v>
      </c>
      <c r="J14" s="361" t="s">
        <v>1215</v>
      </c>
      <c r="L14" s="161">
        <f t="shared" si="6"/>
        <v>32991.54</v>
      </c>
      <c r="O14" s="161">
        <f t="shared" si="4"/>
        <v>32991.54</v>
      </c>
    </row>
    <row r="15" spans="1:16" ht="16.5">
      <c r="A15">
        <f t="shared" si="3"/>
        <v>1</v>
      </c>
      <c r="B15" s="259" t="s">
        <v>755</v>
      </c>
      <c r="C15" s="359" t="s">
        <v>232</v>
      </c>
      <c r="D15" s="359" t="s">
        <v>1127</v>
      </c>
      <c r="E15" s="330">
        <v>43344</v>
      </c>
      <c r="F15" s="185">
        <v>13862.26</v>
      </c>
      <c r="G15" s="356" t="s">
        <v>1158</v>
      </c>
      <c r="I15" s="161">
        <f t="shared" si="5"/>
        <v>13862.26</v>
      </c>
      <c r="J15" s="361" t="s">
        <v>1215</v>
      </c>
      <c r="K15" s="161">
        <f>F15</f>
        <v>13862.26</v>
      </c>
      <c r="L15" s="161">
        <f t="shared" si="6"/>
        <v>0</v>
      </c>
      <c r="O15" s="161">
        <f t="shared" si="4"/>
        <v>0</v>
      </c>
    </row>
    <row r="16" spans="1:16" ht="16.5">
      <c r="A16">
        <f t="shared" si="3"/>
        <v>1</v>
      </c>
      <c r="B16" s="259" t="s">
        <v>755</v>
      </c>
      <c r="C16" s="359" t="s">
        <v>53</v>
      </c>
      <c r="D16" s="359" t="s">
        <v>1128</v>
      </c>
      <c r="E16" s="330">
        <v>43344</v>
      </c>
      <c r="F16" s="185">
        <v>4276.8</v>
      </c>
      <c r="G16" s="356" t="s">
        <v>1158</v>
      </c>
      <c r="I16" s="161">
        <f t="shared" si="5"/>
        <v>4276.8</v>
      </c>
      <c r="J16" s="361" t="s">
        <v>1215</v>
      </c>
      <c r="L16" s="161">
        <f t="shared" si="6"/>
        <v>4276.8</v>
      </c>
      <c r="O16" s="161">
        <f t="shared" si="4"/>
        <v>4276.8</v>
      </c>
    </row>
    <row r="17" spans="1:15" ht="16.5">
      <c r="A17">
        <f t="shared" si="3"/>
        <v>1</v>
      </c>
      <c r="B17" s="259" t="s">
        <v>755</v>
      </c>
      <c r="C17" s="359" t="s">
        <v>1129</v>
      </c>
      <c r="D17" s="359" t="s">
        <v>1130</v>
      </c>
      <c r="E17" s="330">
        <v>43344</v>
      </c>
      <c r="F17" s="185">
        <v>937855.38</v>
      </c>
      <c r="G17" s="356" t="s">
        <v>1158</v>
      </c>
      <c r="I17" s="161">
        <f t="shared" si="5"/>
        <v>937855.38</v>
      </c>
      <c r="J17" s="361" t="s">
        <v>1215</v>
      </c>
      <c r="K17">
        <v>35175.08</v>
      </c>
      <c r="L17" s="161">
        <f t="shared" si="6"/>
        <v>902680.3</v>
      </c>
      <c r="N17" s="132">
        <f>488227.74-6180</f>
        <v>482047.74</v>
      </c>
      <c r="O17" s="161">
        <f t="shared" si="4"/>
        <v>420632.56</v>
      </c>
    </row>
    <row r="18" spans="1:15" ht="16.5">
      <c r="A18">
        <f t="shared" si="3"/>
        <v>1</v>
      </c>
      <c r="B18" s="259" t="s">
        <v>755</v>
      </c>
      <c r="C18" s="359" t="s">
        <v>71</v>
      </c>
      <c r="D18" s="359" t="s">
        <v>1131</v>
      </c>
      <c r="E18" s="330">
        <v>43344</v>
      </c>
      <c r="F18" s="185">
        <v>45762.57</v>
      </c>
      <c r="G18" s="356" t="s">
        <v>1158</v>
      </c>
      <c r="I18" s="161">
        <f t="shared" si="5"/>
        <v>45762.57</v>
      </c>
      <c r="J18" s="361" t="s">
        <v>1215</v>
      </c>
      <c r="K18">
        <v>40000</v>
      </c>
      <c r="L18" s="161">
        <f t="shared" si="6"/>
        <v>5762.57</v>
      </c>
      <c r="O18" s="161">
        <f t="shared" si="4"/>
        <v>5762.57</v>
      </c>
    </row>
    <row r="19" spans="1:15" ht="16.5">
      <c r="A19">
        <f t="shared" si="3"/>
        <v>1</v>
      </c>
      <c r="B19" s="259" t="s">
        <v>755</v>
      </c>
      <c r="C19" s="359" t="s">
        <v>927</v>
      </c>
      <c r="D19" s="359" t="s">
        <v>1132</v>
      </c>
      <c r="E19" s="330">
        <v>43344</v>
      </c>
      <c r="F19" s="185">
        <v>1135118.97</v>
      </c>
      <c r="G19" s="356" t="s">
        <v>1158</v>
      </c>
      <c r="H19" s="366">
        <f>F19</f>
        <v>1135118.97</v>
      </c>
      <c r="I19" s="161">
        <f t="shared" si="5"/>
        <v>0</v>
      </c>
      <c r="J19" s="361" t="s">
        <v>1215</v>
      </c>
      <c r="L19" s="161">
        <f t="shared" si="6"/>
        <v>0</v>
      </c>
      <c r="O19" s="161">
        <f t="shared" si="4"/>
        <v>0</v>
      </c>
    </row>
    <row r="20" spans="1:15" ht="16.5">
      <c r="A20">
        <f t="shared" si="3"/>
        <v>1</v>
      </c>
      <c r="B20" s="259" t="s">
        <v>755</v>
      </c>
      <c r="C20" s="359" t="s">
        <v>953</v>
      </c>
      <c r="D20" s="359" t="s">
        <v>1133</v>
      </c>
      <c r="E20" s="330">
        <v>43344</v>
      </c>
      <c r="F20" s="28">
        <v>1396669.01</v>
      </c>
      <c r="G20" s="356" t="s">
        <v>1158</v>
      </c>
      <c r="H20" s="366">
        <f t="shared" ref="H20:H24" si="7">F20</f>
        <v>1396669.01</v>
      </c>
      <c r="I20" s="161">
        <f t="shared" si="5"/>
        <v>0</v>
      </c>
      <c r="J20" s="361" t="s">
        <v>1215</v>
      </c>
      <c r="L20" s="161">
        <f t="shared" si="6"/>
        <v>0</v>
      </c>
      <c r="O20" s="161">
        <f t="shared" si="4"/>
        <v>0</v>
      </c>
    </row>
    <row r="21" spans="1:15" s="356" customFormat="1" ht="16.5">
      <c r="B21" s="259" t="s">
        <v>755</v>
      </c>
      <c r="C21" s="359" t="s">
        <v>1036</v>
      </c>
      <c r="D21" s="359" t="s">
        <v>1134</v>
      </c>
      <c r="E21" s="330">
        <v>43344</v>
      </c>
      <c r="F21" s="28">
        <v>413215.68</v>
      </c>
      <c r="G21" s="356" t="s">
        <v>1158</v>
      </c>
      <c r="H21" s="366">
        <f t="shared" si="7"/>
        <v>413215.68</v>
      </c>
      <c r="I21" s="161">
        <f t="shared" si="5"/>
        <v>0</v>
      </c>
      <c r="J21" s="361" t="s">
        <v>1215</v>
      </c>
      <c r="L21" s="161">
        <f t="shared" si="6"/>
        <v>0</v>
      </c>
      <c r="O21" s="161">
        <f t="shared" si="4"/>
        <v>0</v>
      </c>
    </row>
    <row r="22" spans="1:15" s="356" customFormat="1" ht="16.5">
      <c r="B22" s="259" t="s">
        <v>755</v>
      </c>
      <c r="C22" s="359" t="s">
        <v>1038</v>
      </c>
      <c r="D22" s="359" t="s">
        <v>1135</v>
      </c>
      <c r="E22" s="330">
        <v>43344</v>
      </c>
      <c r="F22" s="28">
        <v>114254.15</v>
      </c>
      <c r="G22" s="356" t="s">
        <v>1158</v>
      </c>
      <c r="H22" s="366">
        <f t="shared" si="7"/>
        <v>114254.15</v>
      </c>
      <c r="I22" s="161">
        <f t="shared" si="5"/>
        <v>0</v>
      </c>
      <c r="J22" s="361" t="s">
        <v>1215</v>
      </c>
      <c r="L22" s="161">
        <f t="shared" si="6"/>
        <v>0</v>
      </c>
      <c r="O22" s="161">
        <f t="shared" si="4"/>
        <v>0</v>
      </c>
    </row>
    <row r="23" spans="1:15" s="356" customFormat="1" ht="16.5">
      <c r="B23" s="259" t="s">
        <v>755</v>
      </c>
      <c r="C23" s="359" t="s">
        <v>1039</v>
      </c>
      <c r="D23" s="359" t="s">
        <v>1136</v>
      </c>
      <c r="E23" s="330">
        <v>43344</v>
      </c>
      <c r="F23" s="28">
        <v>459702.42</v>
      </c>
      <c r="G23" s="356" t="s">
        <v>1158</v>
      </c>
      <c r="H23" s="366">
        <f t="shared" si="7"/>
        <v>459702.42</v>
      </c>
      <c r="I23" s="161">
        <f t="shared" si="5"/>
        <v>0</v>
      </c>
      <c r="J23" s="361" t="s">
        <v>1215</v>
      </c>
      <c r="L23" s="161">
        <f t="shared" si="6"/>
        <v>0</v>
      </c>
      <c r="O23" s="161">
        <f t="shared" si="4"/>
        <v>0</v>
      </c>
    </row>
    <row r="24" spans="1:15" s="356" customFormat="1" ht="16.5">
      <c r="B24" s="259" t="s">
        <v>755</v>
      </c>
      <c r="C24" s="359" t="s">
        <v>1115</v>
      </c>
      <c r="D24" s="359" t="s">
        <v>1137</v>
      </c>
      <c r="E24" s="330">
        <v>43344</v>
      </c>
      <c r="F24" s="28">
        <v>103303.92</v>
      </c>
      <c r="G24" s="356" t="s">
        <v>1158</v>
      </c>
      <c r="H24" s="366">
        <f t="shared" si="7"/>
        <v>103303.92</v>
      </c>
      <c r="I24" s="161">
        <f t="shared" si="5"/>
        <v>0</v>
      </c>
      <c r="J24" s="361" t="s">
        <v>1215</v>
      </c>
      <c r="L24" s="161">
        <f t="shared" si="6"/>
        <v>0</v>
      </c>
      <c r="O24" s="161">
        <f t="shared" si="4"/>
        <v>0</v>
      </c>
    </row>
    <row r="25" spans="1:15" s="356" customFormat="1" ht="16.5">
      <c r="B25" s="259" t="s">
        <v>755</v>
      </c>
      <c r="C25" s="359" t="s">
        <v>133</v>
      </c>
      <c r="D25" s="359" t="s">
        <v>134</v>
      </c>
      <c r="E25" s="330">
        <v>43344</v>
      </c>
      <c r="F25" s="185">
        <v>20606.349999999999</v>
      </c>
      <c r="G25" s="356" t="s">
        <v>1158</v>
      </c>
      <c r="I25" s="161">
        <f t="shared" si="5"/>
        <v>20606.349999999999</v>
      </c>
      <c r="J25" s="361" t="s">
        <v>1215</v>
      </c>
      <c r="L25" s="161">
        <f t="shared" si="6"/>
        <v>20606.349999999999</v>
      </c>
      <c r="O25" s="161">
        <f t="shared" si="4"/>
        <v>20606.349999999999</v>
      </c>
    </row>
    <row r="26" spans="1:15" s="356" customFormat="1" ht="16.5">
      <c r="B26" s="259" t="s">
        <v>755</v>
      </c>
      <c r="C26" s="359" t="s">
        <v>135</v>
      </c>
      <c r="D26" s="359" t="s">
        <v>136</v>
      </c>
      <c r="E26" s="330">
        <v>43344</v>
      </c>
      <c r="F26" s="185">
        <v>468.33</v>
      </c>
      <c r="G26" s="356" t="s">
        <v>1158</v>
      </c>
      <c r="I26" s="161">
        <f t="shared" si="5"/>
        <v>468.33</v>
      </c>
      <c r="J26" s="361" t="s">
        <v>1215</v>
      </c>
      <c r="L26" s="161">
        <f t="shared" si="6"/>
        <v>468.33</v>
      </c>
      <c r="O26" s="161">
        <f t="shared" si="4"/>
        <v>468.33</v>
      </c>
    </row>
    <row r="27" spans="1:15" s="356" customFormat="1" ht="16.5">
      <c r="B27" s="259" t="s">
        <v>755</v>
      </c>
      <c r="C27" s="359" t="s">
        <v>157</v>
      </c>
      <c r="D27" s="359" t="s">
        <v>1138</v>
      </c>
      <c r="E27" s="330">
        <v>43344</v>
      </c>
      <c r="F27" s="185">
        <v>50232.959999999999</v>
      </c>
      <c r="G27" s="356" t="s">
        <v>1158</v>
      </c>
      <c r="H27" s="20">
        <v>34107.17</v>
      </c>
      <c r="I27" s="161">
        <f t="shared" si="5"/>
        <v>16125.79</v>
      </c>
      <c r="J27" s="361" t="s">
        <v>1215</v>
      </c>
      <c r="L27" s="161">
        <f t="shared" si="6"/>
        <v>16125.79</v>
      </c>
      <c r="O27" s="161">
        <f t="shared" si="4"/>
        <v>16125.79</v>
      </c>
    </row>
    <row r="28" spans="1:15" s="356" customFormat="1" ht="16.5">
      <c r="B28" s="259" t="s">
        <v>755</v>
      </c>
      <c r="C28" s="359" t="s">
        <v>167</v>
      </c>
      <c r="D28" s="359" t="s">
        <v>168</v>
      </c>
      <c r="E28" s="330">
        <v>43344</v>
      </c>
      <c r="F28" s="185">
        <v>582.41999999999996</v>
      </c>
      <c r="G28" s="356" t="s">
        <v>1158</v>
      </c>
      <c r="I28" s="161">
        <f t="shared" si="5"/>
        <v>582.41999999999996</v>
      </c>
      <c r="J28" s="361" t="s">
        <v>1215</v>
      </c>
      <c r="L28" s="161">
        <f t="shared" si="6"/>
        <v>582.41999999999996</v>
      </c>
      <c r="N28" s="356">
        <v>333.47</v>
      </c>
      <c r="O28" s="161">
        <f t="shared" ref="O28:O48" si="8">I28-N28-K28</f>
        <v>248.94999999999993</v>
      </c>
    </row>
    <row r="29" spans="1:15" s="356" customFormat="1" ht="16.5">
      <c r="B29" s="259" t="s">
        <v>755</v>
      </c>
      <c r="C29" s="359" t="s">
        <v>228</v>
      </c>
      <c r="D29" s="359" t="s">
        <v>1139</v>
      </c>
      <c r="E29" s="330">
        <v>43344</v>
      </c>
      <c r="F29" s="185">
        <v>39891.4</v>
      </c>
      <c r="G29" s="356" t="s">
        <v>1158</v>
      </c>
      <c r="I29" s="161">
        <f t="shared" si="5"/>
        <v>39891.4</v>
      </c>
      <c r="J29" s="361" t="s">
        <v>1215</v>
      </c>
      <c r="L29" s="161">
        <f t="shared" si="6"/>
        <v>39891.4</v>
      </c>
      <c r="O29" s="161">
        <f t="shared" si="8"/>
        <v>39891.4</v>
      </c>
    </row>
    <row r="30" spans="1:15" s="356" customFormat="1" ht="16.5">
      <c r="B30" s="259" t="s">
        <v>755</v>
      </c>
      <c r="C30" s="359" t="s">
        <v>169</v>
      </c>
      <c r="D30" s="359" t="s">
        <v>1140</v>
      </c>
      <c r="E30" s="330">
        <v>43344</v>
      </c>
      <c r="F30" s="185">
        <v>13118.07</v>
      </c>
      <c r="G30" s="356" t="s">
        <v>1158</v>
      </c>
      <c r="H30" s="364">
        <f>13905.15/1.06</f>
        <v>13118.066037735847</v>
      </c>
      <c r="I30" s="161">
        <f t="shared" si="5"/>
        <v>3.9622641525056679E-3</v>
      </c>
      <c r="J30" s="361" t="s">
        <v>1215</v>
      </c>
      <c r="L30" s="161">
        <f t="shared" si="6"/>
        <v>3.9622641525056679E-3</v>
      </c>
      <c r="O30" s="161">
        <f t="shared" si="8"/>
        <v>3.9622641525056679E-3</v>
      </c>
    </row>
    <row r="31" spans="1:15" s="356" customFormat="1" ht="16.5">
      <c r="B31" s="259" t="s">
        <v>755</v>
      </c>
      <c r="C31" s="359" t="s">
        <v>171</v>
      </c>
      <c r="D31" s="359" t="s">
        <v>1141</v>
      </c>
      <c r="E31" s="330">
        <v>43344</v>
      </c>
      <c r="F31" s="185">
        <v>31564.07</v>
      </c>
      <c r="G31" s="356" t="s">
        <v>1158</v>
      </c>
      <c r="I31" s="161">
        <f t="shared" si="5"/>
        <v>31564.07</v>
      </c>
      <c r="J31" s="361" t="s">
        <v>1215</v>
      </c>
      <c r="L31" s="161">
        <f t="shared" si="6"/>
        <v>31564.07</v>
      </c>
      <c r="O31" s="161">
        <f t="shared" si="8"/>
        <v>31564.07</v>
      </c>
    </row>
    <row r="32" spans="1:15" s="356" customFormat="1" ht="16.5">
      <c r="B32" s="259" t="s">
        <v>755</v>
      </c>
      <c r="C32" s="359" t="s">
        <v>608</v>
      </c>
      <c r="D32" s="359" t="s">
        <v>1142</v>
      </c>
      <c r="E32" s="330">
        <v>43344</v>
      </c>
      <c r="F32" s="185">
        <v>14211.32</v>
      </c>
      <c r="G32" s="356" t="s">
        <v>1158</v>
      </c>
      <c r="H32" s="20">
        <v>14211.32</v>
      </c>
      <c r="I32" s="161">
        <f t="shared" si="5"/>
        <v>0</v>
      </c>
      <c r="J32" s="361" t="s">
        <v>1215</v>
      </c>
      <c r="L32" s="161">
        <f t="shared" si="6"/>
        <v>0</v>
      </c>
      <c r="O32" s="161">
        <f t="shared" si="8"/>
        <v>0</v>
      </c>
    </row>
    <row r="33" spans="1:15" s="356" customFormat="1" ht="16.5">
      <c r="B33" s="259" t="s">
        <v>755</v>
      </c>
      <c r="C33" s="359" t="s">
        <v>1143</v>
      </c>
      <c r="D33" s="359" t="s">
        <v>1144</v>
      </c>
      <c r="E33" s="330">
        <v>43344</v>
      </c>
      <c r="F33" s="185">
        <v>704075.94000000006</v>
      </c>
      <c r="G33" s="356" t="s">
        <v>1158</v>
      </c>
      <c r="H33" s="20">
        <v>305680.44</v>
      </c>
      <c r="I33" s="161">
        <f t="shared" si="5"/>
        <v>398395.50000000006</v>
      </c>
      <c r="J33" s="361" t="s">
        <v>1215</v>
      </c>
      <c r="K33" s="132">
        <v>100000</v>
      </c>
      <c r="L33" s="161">
        <f t="shared" si="6"/>
        <v>298395.50000000006</v>
      </c>
      <c r="N33" s="356">
        <f>290726.5/1.06+95400/1.06-65874.78</f>
        <v>298395.50301886792</v>
      </c>
      <c r="O33" s="161">
        <f t="shared" si="8"/>
        <v>-3.0188678647391498E-3</v>
      </c>
    </row>
    <row r="34" spans="1:15" s="356" customFormat="1" ht="16.5">
      <c r="B34" s="259" t="s">
        <v>755</v>
      </c>
      <c r="C34" s="359" t="s">
        <v>1154</v>
      </c>
      <c r="D34" s="359" t="s">
        <v>1155</v>
      </c>
      <c r="E34" s="330">
        <v>43344</v>
      </c>
      <c r="F34" s="185">
        <f>25183.95-164.17</f>
        <v>25019.780000000002</v>
      </c>
      <c r="G34" s="356" t="s">
        <v>1158</v>
      </c>
      <c r="I34" s="161">
        <f t="shared" si="5"/>
        <v>25019.780000000002</v>
      </c>
      <c r="J34" s="361" t="s">
        <v>1215</v>
      </c>
      <c r="L34" s="161">
        <f t="shared" si="6"/>
        <v>25019.780000000002</v>
      </c>
      <c r="O34" s="161">
        <f t="shared" si="8"/>
        <v>25019.780000000002</v>
      </c>
    </row>
    <row r="35" spans="1:15" s="356" customFormat="1" ht="16.5">
      <c r="B35" s="259" t="s">
        <v>755</v>
      </c>
      <c r="C35" s="359" t="s">
        <v>238</v>
      </c>
      <c r="D35" s="359" t="s">
        <v>1145</v>
      </c>
      <c r="E35" s="330">
        <v>43344</v>
      </c>
      <c r="F35" s="185">
        <v>191445.28</v>
      </c>
      <c r="G35" s="356" t="s">
        <v>1158</v>
      </c>
      <c r="I35" s="161">
        <f t="shared" si="5"/>
        <v>191445.28</v>
      </c>
      <c r="J35" s="361" t="s">
        <v>1215</v>
      </c>
      <c r="K35" s="356">
        <f>100000/1.06</f>
        <v>94339.622641509428</v>
      </c>
      <c r="L35" s="161">
        <f t="shared" si="6"/>
        <v>97105.657358490571</v>
      </c>
      <c r="N35" s="356">
        <v>58082.92</v>
      </c>
      <c r="O35" s="161">
        <f t="shared" si="8"/>
        <v>39022.737358490558</v>
      </c>
    </row>
    <row r="36" spans="1:15" s="356" customFormat="1" ht="16.5">
      <c r="B36" s="259" t="s">
        <v>755</v>
      </c>
      <c r="C36" s="359" t="s">
        <v>1116</v>
      </c>
      <c r="D36" s="359" t="s">
        <v>1146</v>
      </c>
      <c r="E36" s="330">
        <v>43344</v>
      </c>
      <c r="F36" s="185">
        <v>64384.71</v>
      </c>
      <c r="G36" s="356" t="s">
        <v>1158</v>
      </c>
      <c r="I36" s="161">
        <f t="shared" si="5"/>
        <v>64384.71</v>
      </c>
      <c r="J36" s="361" t="s">
        <v>1215</v>
      </c>
      <c r="L36" s="161">
        <f t="shared" si="6"/>
        <v>64384.71</v>
      </c>
      <c r="N36" s="356">
        <f>40000/1.06+6540+13481/1.06</f>
        <v>56993.773584905663</v>
      </c>
      <c r="O36" s="161">
        <f t="shared" si="8"/>
        <v>7390.9364150943366</v>
      </c>
    </row>
    <row r="37" spans="1:15" s="356" customFormat="1" ht="16.5">
      <c r="B37" s="259" t="s">
        <v>755</v>
      </c>
      <c r="C37" s="359" t="s">
        <v>580</v>
      </c>
      <c r="D37" s="359" t="s">
        <v>581</v>
      </c>
      <c r="E37" s="330">
        <v>43344</v>
      </c>
      <c r="F37" s="185">
        <v>3560.31</v>
      </c>
      <c r="G37" s="356" t="s">
        <v>1158</v>
      </c>
      <c r="H37" s="20">
        <v>3560.31</v>
      </c>
      <c r="I37" s="161">
        <f t="shared" si="5"/>
        <v>0</v>
      </c>
      <c r="J37" s="361" t="s">
        <v>1215</v>
      </c>
      <c r="L37" s="161">
        <f t="shared" si="6"/>
        <v>0</v>
      </c>
      <c r="O37" s="161">
        <f t="shared" si="8"/>
        <v>0</v>
      </c>
    </row>
    <row r="38" spans="1:15" s="356" customFormat="1" ht="16.5">
      <c r="B38" s="259" t="s">
        <v>755</v>
      </c>
      <c r="C38" s="359" t="s">
        <v>582</v>
      </c>
      <c r="D38" s="359" t="s">
        <v>583</v>
      </c>
      <c r="E38" s="330">
        <v>43344</v>
      </c>
      <c r="F38" s="185">
        <v>4712.17</v>
      </c>
      <c r="G38" s="356" t="s">
        <v>1158</v>
      </c>
      <c r="H38" s="20">
        <v>4712.17</v>
      </c>
      <c r="I38" s="161">
        <f t="shared" si="5"/>
        <v>0</v>
      </c>
      <c r="J38" s="361" t="s">
        <v>1215</v>
      </c>
      <c r="L38" s="161">
        <f t="shared" si="6"/>
        <v>0</v>
      </c>
      <c r="O38" s="161">
        <f t="shared" si="8"/>
        <v>0</v>
      </c>
    </row>
    <row r="39" spans="1:15" s="356" customFormat="1" ht="16.5">
      <c r="B39" s="259" t="s">
        <v>755</v>
      </c>
      <c r="C39" s="359" t="s">
        <v>823</v>
      </c>
      <c r="D39" s="359" t="s">
        <v>824</v>
      </c>
      <c r="E39" s="330">
        <v>43344</v>
      </c>
      <c r="F39" s="185">
        <v>3874.44</v>
      </c>
      <c r="G39" s="356" t="s">
        <v>1158</v>
      </c>
      <c r="H39" s="20">
        <v>3874.44</v>
      </c>
      <c r="I39" s="161">
        <f t="shared" si="5"/>
        <v>0</v>
      </c>
      <c r="J39" s="361" t="s">
        <v>1215</v>
      </c>
      <c r="L39" s="161">
        <f t="shared" si="6"/>
        <v>0</v>
      </c>
      <c r="O39" s="161">
        <f t="shared" si="8"/>
        <v>0</v>
      </c>
    </row>
    <row r="40" spans="1:15" s="356" customFormat="1" ht="16.5">
      <c r="B40" s="259" t="s">
        <v>755</v>
      </c>
      <c r="C40" s="359" t="s">
        <v>1117</v>
      </c>
      <c r="D40" s="359" t="s">
        <v>1147</v>
      </c>
      <c r="E40" s="330">
        <v>43344</v>
      </c>
      <c r="F40" s="185">
        <v>67977.61</v>
      </c>
      <c r="G40" s="356" t="s">
        <v>1158</v>
      </c>
      <c r="I40" s="161">
        <f t="shared" si="5"/>
        <v>67977.61</v>
      </c>
      <c r="J40" s="361" t="s">
        <v>1215</v>
      </c>
      <c r="K40" s="356">
        <v>67977.61</v>
      </c>
      <c r="L40" s="161">
        <f t="shared" si="6"/>
        <v>0</v>
      </c>
      <c r="O40" s="161">
        <f t="shared" si="8"/>
        <v>0</v>
      </c>
    </row>
    <row r="41" spans="1:15" s="356" customFormat="1" ht="16.5">
      <c r="B41" s="259" t="s">
        <v>755</v>
      </c>
      <c r="C41" s="359" t="s">
        <v>828</v>
      </c>
      <c r="D41" s="359" t="s">
        <v>829</v>
      </c>
      <c r="E41" s="330">
        <v>43344</v>
      </c>
      <c r="F41" s="185">
        <v>12201.93</v>
      </c>
      <c r="G41" s="356" t="s">
        <v>1158</v>
      </c>
      <c r="I41" s="161">
        <f t="shared" si="5"/>
        <v>12201.93</v>
      </c>
      <c r="J41" s="361" t="s">
        <v>1215</v>
      </c>
      <c r="L41" s="161">
        <f t="shared" si="6"/>
        <v>12201.93</v>
      </c>
      <c r="O41" s="161">
        <f t="shared" si="8"/>
        <v>12201.93</v>
      </c>
    </row>
    <row r="42" spans="1:15" s="356" customFormat="1" ht="16.5">
      <c r="B42" s="259" t="s">
        <v>755</v>
      </c>
      <c r="C42" s="359" t="s">
        <v>1118</v>
      </c>
      <c r="D42" s="359" t="s">
        <v>1148</v>
      </c>
      <c r="E42" s="330">
        <v>43344</v>
      </c>
      <c r="F42" s="185">
        <v>299077.38</v>
      </c>
      <c r="G42" s="356" t="s">
        <v>1158</v>
      </c>
      <c r="H42" s="365">
        <v>300000</v>
      </c>
      <c r="I42" s="161">
        <f t="shared" si="5"/>
        <v>-922.61999999999534</v>
      </c>
      <c r="J42" s="361" t="s">
        <v>1215</v>
      </c>
      <c r="L42" s="161">
        <f t="shared" si="6"/>
        <v>-922.61999999999534</v>
      </c>
      <c r="O42" s="161">
        <f t="shared" si="8"/>
        <v>-922.61999999999534</v>
      </c>
    </row>
    <row r="43" spans="1:15" s="356" customFormat="1" ht="16.5">
      <c r="B43" s="259" t="s">
        <v>755</v>
      </c>
      <c r="C43" s="359" t="s">
        <v>1156</v>
      </c>
      <c r="D43" s="359" t="s">
        <v>1157</v>
      </c>
      <c r="E43" s="330">
        <v>43344</v>
      </c>
      <c r="F43" s="185">
        <v>516792.45999999996</v>
      </c>
      <c r="G43" s="356" t="s">
        <v>1158</v>
      </c>
      <c r="H43" s="364">
        <f>F43</f>
        <v>516792.45999999996</v>
      </c>
      <c r="I43" s="161">
        <f t="shared" si="5"/>
        <v>0</v>
      </c>
      <c r="J43" s="361" t="s">
        <v>1215</v>
      </c>
      <c r="L43" s="161">
        <f t="shared" si="6"/>
        <v>0</v>
      </c>
      <c r="O43" s="161">
        <f t="shared" si="8"/>
        <v>0</v>
      </c>
    </row>
    <row r="44" spans="1:15" ht="16.5">
      <c r="A44">
        <f>COUNTIF($C$11:$C$48,C44)</f>
        <v>1</v>
      </c>
      <c r="B44" s="259" t="s">
        <v>755</v>
      </c>
      <c r="C44" s="359" t="s">
        <v>1119</v>
      </c>
      <c r="D44" s="359" t="s">
        <v>1149</v>
      </c>
      <c r="E44" s="330">
        <v>43344</v>
      </c>
      <c r="F44" s="185">
        <v>145912</v>
      </c>
      <c r="G44" s="356" t="s">
        <v>1158</v>
      </c>
      <c r="I44" s="161">
        <f t="shared" si="5"/>
        <v>145912</v>
      </c>
      <c r="J44" s="361" t="s">
        <v>1215</v>
      </c>
      <c r="L44" s="161">
        <f t="shared" si="6"/>
        <v>145912</v>
      </c>
      <c r="N44">
        <v>145912</v>
      </c>
      <c r="O44" s="161">
        <f t="shared" si="8"/>
        <v>0</v>
      </c>
    </row>
    <row r="45" spans="1:15" ht="16.5">
      <c r="A45">
        <f>COUNTIF($C$11:$C$48,C45)</f>
        <v>1</v>
      </c>
      <c r="B45" s="259" t="s">
        <v>755</v>
      </c>
      <c r="C45" s="359" t="s">
        <v>1120</v>
      </c>
      <c r="D45" s="359" t="s">
        <v>1150</v>
      </c>
      <c r="E45" s="330">
        <v>43344</v>
      </c>
      <c r="F45" s="185">
        <v>15951.32</v>
      </c>
      <c r="G45" s="356" t="s">
        <v>1158</v>
      </c>
      <c r="I45" s="161">
        <f t="shared" si="5"/>
        <v>15951.32</v>
      </c>
      <c r="J45" s="361" t="s">
        <v>1215</v>
      </c>
      <c r="L45" s="161">
        <f t="shared" si="6"/>
        <v>15951.32</v>
      </c>
      <c r="O45" s="161">
        <f t="shared" si="8"/>
        <v>15951.32</v>
      </c>
    </row>
    <row r="46" spans="1:15" ht="16.5">
      <c r="A46">
        <f>COUNTIF($C$11:$C$48,C46)</f>
        <v>1</v>
      </c>
      <c r="B46" s="259" t="s">
        <v>755</v>
      </c>
      <c r="C46" s="359" t="s">
        <v>1121</v>
      </c>
      <c r="D46" s="359" t="s">
        <v>1151</v>
      </c>
      <c r="E46" s="330">
        <v>43344</v>
      </c>
      <c r="F46" s="185">
        <v>2820.66</v>
      </c>
      <c r="G46" s="356" t="s">
        <v>1158</v>
      </c>
      <c r="I46" s="161">
        <f t="shared" si="5"/>
        <v>2820.66</v>
      </c>
      <c r="J46" s="361" t="s">
        <v>1215</v>
      </c>
      <c r="L46" s="161">
        <f t="shared" si="6"/>
        <v>2820.66</v>
      </c>
      <c r="O46" s="161">
        <f t="shared" si="8"/>
        <v>2820.66</v>
      </c>
    </row>
    <row r="47" spans="1:15" ht="16.5">
      <c r="A47">
        <f>COUNTIF($C$11:$C$48,C47)</f>
        <v>1</v>
      </c>
      <c r="B47" s="259" t="s">
        <v>755</v>
      </c>
      <c r="C47" s="359" t="s">
        <v>1122</v>
      </c>
      <c r="D47" s="359" t="s">
        <v>1152</v>
      </c>
      <c r="E47" s="330">
        <v>43344</v>
      </c>
      <c r="F47" s="185">
        <v>5162.26</v>
      </c>
      <c r="G47" s="356" t="s">
        <v>1158</v>
      </c>
      <c r="I47" s="161">
        <f t="shared" si="5"/>
        <v>5162.26</v>
      </c>
      <c r="J47" s="361" t="s">
        <v>1215</v>
      </c>
      <c r="L47" s="161">
        <f t="shared" si="6"/>
        <v>5162.26</v>
      </c>
      <c r="O47" s="161">
        <f t="shared" si="8"/>
        <v>5162.26</v>
      </c>
    </row>
    <row r="48" spans="1:15" ht="16.5">
      <c r="A48">
        <f>COUNTIF($C$11:$C$48,C48)</f>
        <v>1</v>
      </c>
      <c r="B48" s="259" t="s">
        <v>755</v>
      </c>
      <c r="C48" s="306" t="s">
        <v>1294</v>
      </c>
      <c r="D48" s="359" t="s">
        <v>1153</v>
      </c>
      <c r="E48" s="330">
        <v>43344</v>
      </c>
      <c r="F48" s="135">
        <v>364373.74</v>
      </c>
      <c r="G48" s="356" t="s">
        <v>1158</v>
      </c>
      <c r="I48">
        <f>F48-H48</f>
        <v>364373.74</v>
      </c>
      <c r="J48" s="361" t="s">
        <v>1215</v>
      </c>
      <c r="K48">
        <v>355685.19</v>
      </c>
      <c r="L48" s="161">
        <f t="shared" si="6"/>
        <v>8688.5499999999884</v>
      </c>
      <c r="O48" s="161">
        <f t="shared" si="8"/>
        <v>8688.5499999999884</v>
      </c>
    </row>
    <row r="49" spans="1:16">
      <c r="B49" s="271"/>
      <c r="C49" s="271"/>
      <c r="D49" s="329"/>
      <c r="E49" s="271"/>
      <c r="F49" s="352">
        <f>SUM(F11:F48)</f>
        <v>7498989.8200000022</v>
      </c>
      <c r="H49" s="352">
        <f>SUM(H11:H48)</f>
        <v>4818320.5260377349</v>
      </c>
      <c r="I49" s="352">
        <f>SUM(I11:I48)</f>
        <v>2680669.2939622644</v>
      </c>
      <c r="J49" s="361" t="s">
        <v>1215</v>
      </c>
      <c r="K49" s="352">
        <f>SUM(K11:K48)</f>
        <v>924559.56264150934</v>
      </c>
      <c r="L49" s="352">
        <f>SUM(L11:L48)</f>
        <v>1756109.7313207546</v>
      </c>
      <c r="N49" s="352">
        <f>SUM(N11:N48)</f>
        <v>1041765.4066037736</v>
      </c>
      <c r="O49" s="352">
        <f>SUM(O11:O48)</f>
        <v>714344.32471698127</v>
      </c>
    </row>
    <row r="51" spans="1:16" ht="33">
      <c r="B51" s="273" t="s">
        <v>728</v>
      </c>
      <c r="C51" s="273" t="s">
        <v>729</v>
      </c>
      <c r="D51" s="328" t="s">
        <v>730</v>
      </c>
      <c r="E51" s="273" t="s">
        <v>731</v>
      </c>
      <c r="F51" s="274" t="s">
        <v>1113</v>
      </c>
      <c r="G51" s="280" t="s">
        <v>733</v>
      </c>
      <c r="H51" s="322" t="s">
        <v>1111</v>
      </c>
      <c r="I51" s="280" t="s">
        <v>1112</v>
      </c>
      <c r="J51" s="280" t="s">
        <v>733</v>
      </c>
      <c r="K51" s="322" t="s">
        <v>1166</v>
      </c>
      <c r="L51" s="280" t="s">
        <v>1167</v>
      </c>
      <c r="M51" s="280" t="s">
        <v>733</v>
      </c>
      <c r="N51" s="322" t="s">
        <v>1265</v>
      </c>
      <c r="O51" s="280" t="s">
        <v>1266</v>
      </c>
      <c r="P51" s="280" t="s">
        <v>733</v>
      </c>
    </row>
    <row r="52" spans="1:16" ht="16.5">
      <c r="A52">
        <f>COUNTIF($C$52:$C$56,C52)</f>
        <v>1</v>
      </c>
      <c r="B52" s="259" t="s">
        <v>804</v>
      </c>
      <c r="C52" s="360" t="s">
        <v>73</v>
      </c>
      <c r="D52" s="360" t="s">
        <v>74</v>
      </c>
      <c r="E52" s="330">
        <v>43344</v>
      </c>
      <c r="F52" s="185">
        <v>99493.440000000002</v>
      </c>
      <c r="G52" s="361" t="s">
        <v>1163</v>
      </c>
      <c r="I52" s="161">
        <f>F52-H52</f>
        <v>99493.440000000002</v>
      </c>
      <c r="J52" s="361" t="s">
        <v>1205</v>
      </c>
      <c r="O52" s="161">
        <f>I52-N52</f>
        <v>99493.440000000002</v>
      </c>
    </row>
    <row r="53" spans="1:16" ht="16.5">
      <c r="A53">
        <f>COUNTIF($C$52:$C$56,C53)</f>
        <v>1</v>
      </c>
      <c r="B53" s="259" t="s">
        <v>804</v>
      </c>
      <c r="C53" s="360" t="s">
        <v>1034</v>
      </c>
      <c r="D53" s="362" t="s">
        <v>1159</v>
      </c>
      <c r="E53" s="330">
        <v>43344</v>
      </c>
      <c r="F53" s="185">
        <v>3139.33</v>
      </c>
      <c r="G53" s="361" t="s">
        <v>1163</v>
      </c>
      <c r="I53" s="161">
        <f t="shared" ref="I53:I56" si="9">F53-H53</f>
        <v>3139.33</v>
      </c>
      <c r="J53" s="361" t="s">
        <v>1205</v>
      </c>
      <c r="O53" s="161">
        <f t="shared" ref="O53:O57" si="10">I53-N53</f>
        <v>3139.33</v>
      </c>
    </row>
    <row r="54" spans="1:16" ht="16.5">
      <c r="A54">
        <f>COUNTIF($C$52:$C$56,C54)</f>
        <v>1</v>
      </c>
      <c r="B54" s="259" t="s">
        <v>804</v>
      </c>
      <c r="C54" s="360" t="s">
        <v>831</v>
      </c>
      <c r="D54" s="362" t="s">
        <v>1160</v>
      </c>
      <c r="E54" s="330">
        <v>43344</v>
      </c>
      <c r="F54" s="185">
        <v>268.87</v>
      </c>
      <c r="G54" s="361" t="s">
        <v>1163</v>
      </c>
      <c r="I54" s="161">
        <f t="shared" si="9"/>
        <v>268.87</v>
      </c>
      <c r="J54" s="361" t="s">
        <v>1205</v>
      </c>
      <c r="O54" s="161">
        <f t="shared" si="10"/>
        <v>268.87</v>
      </c>
    </row>
    <row r="55" spans="1:16" ht="16.5">
      <c r="A55">
        <f>COUNTIF($C$52:$C$56,C55)</f>
        <v>1</v>
      </c>
      <c r="B55" s="259" t="s">
        <v>804</v>
      </c>
      <c r="C55" s="360" t="s">
        <v>1118</v>
      </c>
      <c r="D55" s="362" t="s">
        <v>1161</v>
      </c>
      <c r="E55" s="330">
        <v>43344</v>
      </c>
      <c r="F55" s="185">
        <v>21247.38</v>
      </c>
      <c r="G55" s="361" t="s">
        <v>1163</v>
      </c>
      <c r="I55" s="161">
        <f t="shared" si="9"/>
        <v>21247.38</v>
      </c>
      <c r="J55" s="361" t="s">
        <v>1205</v>
      </c>
      <c r="O55" s="161">
        <f t="shared" si="10"/>
        <v>21247.38</v>
      </c>
    </row>
    <row r="56" spans="1:16" ht="16.5">
      <c r="A56">
        <f>COUNTIF($C$52:$C$56,C56)</f>
        <v>1</v>
      </c>
      <c r="B56" s="259" t="s">
        <v>804</v>
      </c>
      <c r="C56" s="360" t="s">
        <v>928</v>
      </c>
      <c r="D56" s="362" t="s">
        <v>1162</v>
      </c>
      <c r="E56" s="330">
        <v>43344</v>
      </c>
      <c r="F56" s="185">
        <v>626.80999999999995</v>
      </c>
      <c r="G56" s="361" t="s">
        <v>1163</v>
      </c>
      <c r="I56" s="161">
        <f t="shared" si="9"/>
        <v>626.80999999999995</v>
      </c>
      <c r="J56" s="361" t="s">
        <v>1205</v>
      </c>
      <c r="O56" s="161">
        <f t="shared" si="10"/>
        <v>626.80999999999995</v>
      </c>
    </row>
    <row r="57" spans="1:16" ht="16.5" customHeight="1">
      <c r="B57" s="271"/>
      <c r="C57" s="271"/>
      <c r="D57" s="329"/>
      <c r="E57" s="271"/>
      <c r="F57" s="352">
        <f>SUM(F52:F56)</f>
        <v>124775.83</v>
      </c>
      <c r="G57" s="352"/>
      <c r="H57" s="352"/>
      <c r="I57" s="352">
        <f>SUM(I52:I56)</f>
        <v>124775.83</v>
      </c>
      <c r="J57" s="352" t="s">
        <v>1205</v>
      </c>
      <c r="K57" s="352"/>
      <c r="L57" s="352"/>
      <c r="M57" s="352"/>
      <c r="N57" s="352"/>
      <c r="O57" s="352">
        <f t="shared" si="10"/>
        <v>124775.83</v>
      </c>
      <c r="P57" s="352"/>
    </row>
  </sheetData>
  <autoFilter ref="A1:P7">
    <filterColumn colId="14">
      <filters>
        <filter val="¥11,383.15"/>
        <filter val="¥18,615.99"/>
        <filter val="¥26,695.00"/>
        <filter val="¥805.89"/>
        <filter val="57,500.03"/>
      </filters>
    </filterColumn>
  </autoFilter>
  <phoneticPr fontId="4" type="noConversion"/>
  <conditionalFormatting sqref="A52:A56 A11:A48 A2:A6">
    <cfRule type="cellIs" dxfId="2" priority="1" stopIfTrue="1" operator="greaterThan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47"/>
  <sheetViews>
    <sheetView topLeftCell="A10" workbookViewId="0">
      <selection activeCell="M40" sqref="M40"/>
    </sheetView>
  </sheetViews>
  <sheetFormatPr defaultRowHeight="12.75"/>
  <cols>
    <col min="1" max="1" width="9.140625" style="361"/>
    <col min="2" max="2" width="8.7109375" style="361" customWidth="1"/>
    <col min="3" max="3" width="10.42578125" style="361" customWidth="1"/>
    <col min="4" max="4" width="31.140625" style="143" customWidth="1"/>
    <col min="5" max="5" width="11.5703125" style="361" bestFit="1" customWidth="1"/>
    <col min="6" max="6" width="21.7109375" style="350" customWidth="1"/>
    <col min="7" max="7" width="15.140625" style="361" customWidth="1"/>
    <col min="8" max="8" width="14" style="132" customWidth="1"/>
    <col min="9" max="9" width="14" style="361" customWidth="1"/>
    <col min="10" max="10" width="9.140625" style="361" customWidth="1"/>
    <col min="11" max="11" width="11.140625" style="361" customWidth="1"/>
    <col min="12" max="12" width="14" style="361" bestFit="1" customWidth="1"/>
    <col min="13" max="16384" width="9.140625" style="361"/>
  </cols>
  <sheetData>
    <row r="1" spans="1:13" ht="33">
      <c r="B1" s="273" t="s">
        <v>728</v>
      </c>
      <c r="C1" s="273" t="s">
        <v>729</v>
      </c>
      <c r="D1" s="328" t="s">
        <v>730</v>
      </c>
      <c r="E1" s="273" t="s">
        <v>731</v>
      </c>
      <c r="F1" s="298" t="s">
        <v>1222</v>
      </c>
      <c r="G1" s="280" t="s">
        <v>733</v>
      </c>
      <c r="H1" s="322" t="s">
        <v>1166</v>
      </c>
      <c r="I1" s="280" t="s">
        <v>1167</v>
      </c>
      <c r="J1" s="280" t="s">
        <v>733</v>
      </c>
      <c r="K1" s="322" t="s">
        <v>1296</v>
      </c>
      <c r="L1" s="280" t="s">
        <v>1266</v>
      </c>
      <c r="M1" s="280" t="s">
        <v>733</v>
      </c>
    </row>
    <row r="2" spans="1:13" ht="16.5">
      <c r="A2" s="361">
        <f>COUNTIF($C$2:$C$6,C2)</f>
        <v>1</v>
      </c>
      <c r="B2" s="259" t="s">
        <v>736</v>
      </c>
      <c r="C2" s="357" t="s">
        <v>438</v>
      </c>
      <c r="D2" s="306" t="s">
        <v>436</v>
      </c>
      <c r="E2" s="330">
        <v>43374</v>
      </c>
      <c r="F2" s="342">
        <v>114014.11</v>
      </c>
      <c r="G2" s="135" t="s">
        <v>1245</v>
      </c>
      <c r="H2" s="132">
        <f>-((163000-67507.44)-163000)</f>
        <v>67507.44</v>
      </c>
      <c r="I2" s="287">
        <f>F2-H2</f>
        <v>46506.67</v>
      </c>
      <c r="K2" s="361">
        <f>14193+10700/1.06</f>
        <v>24287.33962264151</v>
      </c>
      <c r="L2" s="287">
        <f>I2-K2</f>
        <v>22219.330377358488</v>
      </c>
    </row>
    <row r="3" spans="1:13" ht="16.5">
      <c r="A3" s="361">
        <f>COUNTIF($C$2:$C$6,C3)</f>
        <v>1</v>
      </c>
      <c r="B3" s="259" t="s">
        <v>736</v>
      </c>
      <c r="C3" s="358" t="s">
        <v>228</v>
      </c>
      <c r="D3" s="359" t="s">
        <v>229</v>
      </c>
      <c r="E3" s="330">
        <v>43374</v>
      </c>
      <c r="F3" s="185">
        <v>1007.36</v>
      </c>
      <c r="G3" s="135" t="s">
        <v>1245</v>
      </c>
      <c r="I3" s="287">
        <f t="shared" ref="I3:I6" si="0">F3-H3</f>
        <v>1007.36</v>
      </c>
      <c r="L3" s="287">
        <f t="shared" ref="L3:L6" si="1">I3-K3</f>
        <v>1007.36</v>
      </c>
    </row>
    <row r="4" spans="1:13" ht="16.5">
      <c r="A4" s="361">
        <f>COUNTIF($C$2:$C$6,C4)</f>
        <v>1</v>
      </c>
      <c r="B4" s="259" t="s">
        <v>736</v>
      </c>
      <c r="C4" s="358" t="s">
        <v>26</v>
      </c>
      <c r="D4" s="359" t="s">
        <v>27</v>
      </c>
      <c r="E4" s="330">
        <v>43374</v>
      </c>
      <c r="F4" s="185">
        <v>26695</v>
      </c>
      <c r="G4" s="135" t="s">
        <v>1245</v>
      </c>
      <c r="I4" s="287">
        <f t="shared" si="0"/>
        <v>26695</v>
      </c>
      <c r="L4" s="287">
        <f t="shared" si="1"/>
        <v>26695</v>
      </c>
    </row>
    <row r="5" spans="1:13" ht="16.5">
      <c r="A5" s="361">
        <f>COUNTIF($C$2:$C$6,C5)</f>
        <v>1</v>
      </c>
      <c r="B5" s="259" t="s">
        <v>736</v>
      </c>
      <c r="C5" s="358" t="s">
        <v>230</v>
      </c>
      <c r="D5" s="359" t="s">
        <v>231</v>
      </c>
      <c r="E5" s="330">
        <v>43374</v>
      </c>
      <c r="F5" s="185">
        <v>11383.15</v>
      </c>
      <c r="G5" s="135" t="s">
        <v>1245</v>
      </c>
      <c r="I5" s="287">
        <f t="shared" si="0"/>
        <v>11383.15</v>
      </c>
      <c r="L5" s="287">
        <f t="shared" si="1"/>
        <v>11383.15</v>
      </c>
    </row>
    <row r="6" spans="1:13" ht="16.5">
      <c r="A6" s="361">
        <f>COUNTIF($C$2:$C$6,C6)</f>
        <v>1</v>
      </c>
      <c r="B6" s="259" t="s">
        <v>208</v>
      </c>
      <c r="C6" s="358" t="s">
        <v>819</v>
      </c>
      <c r="D6" s="359" t="s">
        <v>948</v>
      </c>
      <c r="E6" s="330">
        <v>43374</v>
      </c>
      <c r="F6" s="185">
        <v>18495.099999999999</v>
      </c>
      <c r="G6" s="135" t="s">
        <v>1245</v>
      </c>
      <c r="I6" s="287">
        <f t="shared" si="0"/>
        <v>18495.099999999999</v>
      </c>
      <c r="L6" s="287">
        <f t="shared" si="1"/>
        <v>18495.099999999999</v>
      </c>
    </row>
    <row r="7" spans="1:13">
      <c r="B7" s="271"/>
      <c r="C7" s="271"/>
      <c r="D7" s="329"/>
      <c r="E7" s="271"/>
      <c r="F7" s="355">
        <f>SUM(F2:F6)</f>
        <v>171594.72</v>
      </c>
      <c r="G7" s="135" t="s">
        <v>1245</v>
      </c>
      <c r="H7" s="355">
        <f>SUM(H2:H6)</f>
        <v>67507.44</v>
      </c>
      <c r="I7" s="355">
        <f t="shared" ref="I7:L7" si="2">SUM(I2:I6)</f>
        <v>104087.28</v>
      </c>
      <c r="J7" s="355">
        <f t="shared" si="2"/>
        <v>0</v>
      </c>
      <c r="K7" s="355">
        <f t="shared" si="2"/>
        <v>24287.33962264151</v>
      </c>
      <c r="L7" s="355">
        <f t="shared" si="2"/>
        <v>79799.940377358493</v>
      </c>
    </row>
    <row r="10" spans="1:13" ht="40.5" customHeight="1">
      <c r="B10" s="273" t="s">
        <v>728</v>
      </c>
      <c r="C10" s="273" t="s">
        <v>729</v>
      </c>
      <c r="D10" s="328" t="s">
        <v>730</v>
      </c>
      <c r="E10" s="273" t="s">
        <v>731</v>
      </c>
      <c r="F10" s="274" t="s">
        <v>1223</v>
      </c>
      <c r="G10" s="280" t="s">
        <v>733</v>
      </c>
      <c r="H10" s="322" t="s">
        <v>1166</v>
      </c>
      <c r="I10" s="280" t="s">
        <v>1167</v>
      </c>
      <c r="J10" s="280" t="s">
        <v>733</v>
      </c>
      <c r="K10" s="322" t="s">
        <v>1296</v>
      </c>
      <c r="L10" s="280" t="s">
        <v>1266</v>
      </c>
      <c r="M10" s="280" t="s">
        <v>733</v>
      </c>
    </row>
    <row r="11" spans="1:13" ht="16.5">
      <c r="A11" s="361">
        <f t="shared" ref="A11:A20" si="3">COUNTIF($C$11:$C$29,C11)</f>
        <v>1</v>
      </c>
      <c r="B11" s="259" t="s">
        <v>755</v>
      </c>
      <c r="C11" s="296" t="s">
        <v>33</v>
      </c>
      <c r="D11" s="296" t="s">
        <v>1224</v>
      </c>
      <c r="E11" s="330">
        <v>43374</v>
      </c>
      <c r="F11" s="185">
        <v>1960.2</v>
      </c>
      <c r="G11" s="361" t="s">
        <v>1225</v>
      </c>
      <c r="I11" s="161">
        <f t="shared" ref="I11:I12" si="4">F11-H11</f>
        <v>1960.2</v>
      </c>
      <c r="L11" s="161">
        <f>I11-K11</f>
        <v>1960.2</v>
      </c>
    </row>
    <row r="12" spans="1:13" ht="16.5">
      <c r="A12" s="361">
        <f t="shared" si="3"/>
        <v>1</v>
      </c>
      <c r="B12" s="259" t="s">
        <v>755</v>
      </c>
      <c r="C12" s="359" t="s">
        <v>822</v>
      </c>
      <c r="D12" s="359" t="s">
        <v>861</v>
      </c>
      <c r="E12" s="330">
        <v>43374</v>
      </c>
      <c r="F12" s="185">
        <v>3963.87</v>
      </c>
      <c r="G12" s="361" t="s">
        <v>1225</v>
      </c>
      <c r="I12" s="161">
        <f t="shared" si="4"/>
        <v>3963.87</v>
      </c>
      <c r="L12" s="161">
        <f t="shared" ref="L12:L29" si="5">I12-K12</f>
        <v>3963.87</v>
      </c>
    </row>
    <row r="13" spans="1:13" ht="16.5">
      <c r="A13" s="361">
        <f t="shared" si="3"/>
        <v>1</v>
      </c>
      <c r="B13" s="259" t="s">
        <v>755</v>
      </c>
      <c r="C13" s="296" t="s">
        <v>81</v>
      </c>
      <c r="D13" s="296" t="s">
        <v>1226</v>
      </c>
      <c r="E13" s="330">
        <v>43374</v>
      </c>
      <c r="F13" s="185">
        <v>25536</v>
      </c>
      <c r="G13" s="361" t="s">
        <v>1225</v>
      </c>
      <c r="H13" s="132">
        <f>5490.68+16124</f>
        <v>21614.68</v>
      </c>
      <c r="I13" s="161">
        <f>F13-H13</f>
        <v>3921.3199999999997</v>
      </c>
      <c r="L13" s="161">
        <f t="shared" si="5"/>
        <v>3921.3199999999997</v>
      </c>
    </row>
    <row r="14" spans="1:13" ht="16.5">
      <c r="A14" s="361">
        <f t="shared" si="3"/>
        <v>1</v>
      </c>
      <c r="B14" s="259" t="s">
        <v>755</v>
      </c>
      <c r="C14" s="296" t="s">
        <v>927</v>
      </c>
      <c r="D14" s="296" t="s">
        <v>1227</v>
      </c>
      <c r="E14" s="330">
        <v>43374</v>
      </c>
      <c r="F14" s="185">
        <v>852828.73</v>
      </c>
      <c r="G14" s="361" t="s">
        <v>1225</v>
      </c>
      <c r="H14" s="132">
        <f>358029.52/1.06+105120.37/1.06+88695.31/1.06+127677.45/1.06+224475.8/1.06</f>
        <v>852828.72641509434</v>
      </c>
      <c r="I14" s="161">
        <f t="shared" ref="I14:I29" si="6">F14-H14</f>
        <v>3.5849056439474225E-3</v>
      </c>
      <c r="L14" s="161">
        <f t="shared" si="5"/>
        <v>3.5849056439474225E-3</v>
      </c>
    </row>
    <row r="15" spans="1:13" ht="16.5">
      <c r="A15" s="361">
        <f t="shared" si="3"/>
        <v>1</v>
      </c>
      <c r="B15" s="259" t="s">
        <v>755</v>
      </c>
      <c r="C15" s="359" t="s">
        <v>1228</v>
      </c>
      <c r="D15" s="359" t="s">
        <v>1229</v>
      </c>
      <c r="E15" s="330">
        <v>43374</v>
      </c>
      <c r="F15" s="185">
        <v>422347.04</v>
      </c>
      <c r="G15" s="361" t="s">
        <v>1225</v>
      </c>
      <c r="H15" s="132">
        <v>422347.04</v>
      </c>
      <c r="I15" s="161">
        <f t="shared" si="6"/>
        <v>0</v>
      </c>
      <c r="L15" s="161">
        <f t="shared" si="5"/>
        <v>0</v>
      </c>
    </row>
    <row r="16" spans="1:13" ht="16.5">
      <c r="A16" s="361">
        <f t="shared" si="3"/>
        <v>1</v>
      </c>
      <c r="B16" s="259" t="s">
        <v>755</v>
      </c>
      <c r="C16" s="296" t="s">
        <v>133</v>
      </c>
      <c r="D16" s="296" t="s">
        <v>1230</v>
      </c>
      <c r="E16" s="330">
        <v>43374</v>
      </c>
      <c r="F16" s="185">
        <v>19201.36</v>
      </c>
      <c r="G16" s="361" t="s">
        <v>1225</v>
      </c>
      <c r="I16" s="161">
        <f t="shared" si="6"/>
        <v>19201.36</v>
      </c>
      <c r="L16" s="161">
        <f t="shared" si="5"/>
        <v>19201.36</v>
      </c>
    </row>
    <row r="17" spans="1:13" ht="16.5">
      <c r="A17" s="361">
        <f t="shared" si="3"/>
        <v>1</v>
      </c>
      <c r="B17" s="259" t="s">
        <v>755</v>
      </c>
      <c r="C17" s="296" t="s">
        <v>167</v>
      </c>
      <c r="D17" s="296" t="s">
        <v>1231</v>
      </c>
      <c r="E17" s="330">
        <v>43374</v>
      </c>
      <c r="F17" s="185">
        <v>582.41999999999996</v>
      </c>
      <c r="G17" s="361" t="s">
        <v>1225</v>
      </c>
      <c r="I17" s="161">
        <f t="shared" si="6"/>
        <v>582.41999999999996</v>
      </c>
      <c r="K17" s="361">
        <v>428.8</v>
      </c>
      <c r="L17" s="161">
        <f t="shared" si="5"/>
        <v>153.61999999999995</v>
      </c>
    </row>
    <row r="18" spans="1:13" ht="16.5">
      <c r="A18" s="361">
        <f t="shared" si="3"/>
        <v>1</v>
      </c>
      <c r="B18" s="259" t="s">
        <v>755</v>
      </c>
      <c r="C18" s="359" t="s">
        <v>187</v>
      </c>
      <c r="D18" s="359" t="s">
        <v>188</v>
      </c>
      <c r="E18" s="330">
        <v>43374</v>
      </c>
      <c r="F18" s="185">
        <v>7503.77</v>
      </c>
      <c r="G18" s="361" t="s">
        <v>1225</v>
      </c>
      <c r="H18" s="132">
        <v>6233.02</v>
      </c>
      <c r="I18" s="161">
        <f t="shared" si="6"/>
        <v>1270.75</v>
      </c>
      <c r="L18" s="161">
        <f t="shared" si="5"/>
        <v>1270.75</v>
      </c>
    </row>
    <row r="19" spans="1:13" ht="16.5">
      <c r="A19" s="361">
        <f t="shared" si="3"/>
        <v>1</v>
      </c>
      <c r="B19" s="259" t="s">
        <v>755</v>
      </c>
      <c r="C19" s="296" t="s">
        <v>193</v>
      </c>
      <c r="D19" s="296" t="s">
        <v>1232</v>
      </c>
      <c r="E19" s="330">
        <v>43374</v>
      </c>
      <c r="F19" s="185">
        <v>992838.48</v>
      </c>
      <c r="G19" s="361" t="s">
        <v>1225</v>
      </c>
      <c r="I19" s="161">
        <f t="shared" si="6"/>
        <v>992838.48</v>
      </c>
      <c r="K19" s="379">
        <f>340000+65874.78+50000+66187.2</f>
        <v>522061.98000000004</v>
      </c>
      <c r="L19" s="161">
        <f t="shared" si="5"/>
        <v>470776.49999999994</v>
      </c>
    </row>
    <row r="20" spans="1:13" ht="16.5">
      <c r="A20" s="361">
        <f t="shared" si="3"/>
        <v>1</v>
      </c>
      <c r="B20" s="259" t="s">
        <v>755</v>
      </c>
      <c r="C20" s="359" t="s">
        <v>1233</v>
      </c>
      <c r="D20" s="359" t="s">
        <v>1234</v>
      </c>
      <c r="E20" s="330">
        <v>43374</v>
      </c>
      <c r="F20" s="28">
        <v>3425.01</v>
      </c>
      <c r="G20" s="361" t="s">
        <v>1225</v>
      </c>
      <c r="I20" s="161">
        <f t="shared" si="6"/>
        <v>3425.01</v>
      </c>
      <c r="L20" s="161">
        <f t="shared" si="5"/>
        <v>3425.01</v>
      </c>
    </row>
    <row r="21" spans="1:13" ht="16.5">
      <c r="B21" s="259" t="s">
        <v>755</v>
      </c>
      <c r="C21" s="367" t="s">
        <v>1252</v>
      </c>
      <c r="D21" s="367" t="s">
        <v>1253</v>
      </c>
      <c r="E21" s="330">
        <v>43374</v>
      </c>
      <c r="F21" s="369">
        <v>6511.3</v>
      </c>
      <c r="G21" s="361" t="s">
        <v>377</v>
      </c>
      <c r="H21" s="132">
        <f>2146.23+3866.19+363.21+135.67</f>
        <v>6511.3</v>
      </c>
      <c r="I21" s="161">
        <f t="shared" si="6"/>
        <v>0</v>
      </c>
      <c r="L21" s="161">
        <f t="shared" si="5"/>
        <v>0</v>
      </c>
    </row>
    <row r="22" spans="1:13" ht="16.5">
      <c r="B22" s="259" t="s">
        <v>755</v>
      </c>
      <c r="C22" s="296" t="s">
        <v>238</v>
      </c>
      <c r="D22" s="296" t="s">
        <v>1235</v>
      </c>
      <c r="E22" s="330">
        <v>43374</v>
      </c>
      <c r="F22" s="28">
        <v>18619.95</v>
      </c>
      <c r="G22" s="361" t="s">
        <v>1225</v>
      </c>
      <c r="I22" s="161">
        <f t="shared" si="6"/>
        <v>18619.95</v>
      </c>
      <c r="L22" s="161">
        <f t="shared" si="5"/>
        <v>18619.95</v>
      </c>
    </row>
    <row r="23" spans="1:13" ht="16.5">
      <c r="B23" s="259" t="s">
        <v>755</v>
      </c>
      <c r="C23" s="296" t="s">
        <v>580</v>
      </c>
      <c r="D23" s="296" t="s">
        <v>1236</v>
      </c>
      <c r="E23" s="330">
        <v>43374</v>
      </c>
      <c r="F23" s="28">
        <v>35311.599999999999</v>
      </c>
      <c r="G23" s="361" t="s">
        <v>1225</v>
      </c>
      <c r="I23" s="161">
        <f t="shared" si="6"/>
        <v>35311.599999999999</v>
      </c>
      <c r="K23" s="361">
        <f>-53956.24</f>
        <v>-53956.24</v>
      </c>
      <c r="L23" s="161">
        <f t="shared" si="5"/>
        <v>89267.839999999997</v>
      </c>
    </row>
    <row r="24" spans="1:13" ht="16.5">
      <c r="B24" s="259" t="s">
        <v>755</v>
      </c>
      <c r="C24" s="296" t="s">
        <v>1117</v>
      </c>
      <c r="D24" s="296" t="s">
        <v>1237</v>
      </c>
      <c r="E24" s="330">
        <v>43374</v>
      </c>
      <c r="F24" s="28">
        <v>16544.32</v>
      </c>
      <c r="G24" s="361" t="s">
        <v>1225</v>
      </c>
      <c r="H24" s="132">
        <v>16544.32</v>
      </c>
      <c r="I24" s="161">
        <f t="shared" si="6"/>
        <v>0</v>
      </c>
      <c r="L24" s="161">
        <f t="shared" si="5"/>
        <v>0</v>
      </c>
    </row>
    <row r="25" spans="1:13" ht="16.5">
      <c r="B25" s="259" t="s">
        <v>755</v>
      </c>
      <c r="C25" s="359" t="s">
        <v>831</v>
      </c>
      <c r="D25" s="359" t="s">
        <v>1238</v>
      </c>
      <c r="E25" s="330">
        <v>43374</v>
      </c>
      <c r="F25" s="28">
        <v>21467</v>
      </c>
      <c r="G25" s="361" t="s">
        <v>1225</v>
      </c>
      <c r="I25" s="161">
        <f t="shared" si="6"/>
        <v>21467</v>
      </c>
      <c r="L25" s="161">
        <f t="shared" si="5"/>
        <v>21467</v>
      </c>
    </row>
    <row r="26" spans="1:13" ht="16.5">
      <c r="B26" s="259" t="s">
        <v>755</v>
      </c>
      <c r="C26" s="367" t="s">
        <v>1251</v>
      </c>
      <c r="D26" s="367" t="s">
        <v>1254</v>
      </c>
      <c r="E26" s="330">
        <v>43374</v>
      </c>
      <c r="F26" s="368">
        <v>413209.00943396223</v>
      </c>
      <c r="G26" s="361" t="s">
        <v>1225</v>
      </c>
      <c r="H26" s="132">
        <f>438001.55/1.06</f>
        <v>413209.00943396223</v>
      </c>
      <c r="I26" s="161">
        <f t="shared" si="6"/>
        <v>0</v>
      </c>
      <c r="L26" s="161">
        <f t="shared" si="5"/>
        <v>0</v>
      </c>
    </row>
    <row r="27" spans="1:13" ht="16.5">
      <c r="B27" s="259" t="s">
        <v>755</v>
      </c>
      <c r="C27" s="296" t="s">
        <v>1239</v>
      </c>
      <c r="D27" s="296" t="s">
        <v>1240</v>
      </c>
      <c r="E27" s="330">
        <v>43374</v>
      </c>
      <c r="F27" s="185">
        <v>98721.13</v>
      </c>
      <c r="G27" s="361" t="s">
        <v>1225</v>
      </c>
      <c r="I27" s="161">
        <f t="shared" si="6"/>
        <v>98721.13</v>
      </c>
      <c r="L27" s="161">
        <f t="shared" si="5"/>
        <v>98721.13</v>
      </c>
    </row>
    <row r="28" spans="1:13" ht="16.5">
      <c r="B28" s="259" t="s">
        <v>755</v>
      </c>
      <c r="C28" s="296" t="s">
        <v>1241</v>
      </c>
      <c r="D28" s="296" t="s">
        <v>1242</v>
      </c>
      <c r="E28" s="330">
        <v>43374</v>
      </c>
      <c r="F28" s="185">
        <v>41320.75</v>
      </c>
      <c r="G28" s="361" t="s">
        <v>1225</v>
      </c>
      <c r="H28" s="132">
        <v>41320.75</v>
      </c>
      <c r="I28" s="161">
        <f t="shared" si="6"/>
        <v>0</v>
      </c>
      <c r="L28" s="161">
        <f t="shared" si="5"/>
        <v>0</v>
      </c>
    </row>
    <row r="29" spans="1:13" ht="16.5">
      <c r="B29" s="259" t="s">
        <v>755</v>
      </c>
      <c r="C29" s="296" t="s">
        <v>1243</v>
      </c>
      <c r="D29" s="296" t="s">
        <v>1244</v>
      </c>
      <c r="E29" s="330">
        <v>43374</v>
      </c>
      <c r="F29" s="185">
        <v>102358.49</v>
      </c>
      <c r="G29" s="361" t="s">
        <v>1225</v>
      </c>
      <c r="H29" s="132">
        <v>102358.49</v>
      </c>
      <c r="I29" s="161">
        <f t="shared" si="6"/>
        <v>0</v>
      </c>
      <c r="L29" s="161">
        <f t="shared" si="5"/>
        <v>0</v>
      </c>
    </row>
    <row r="30" spans="1:13">
      <c r="B30" s="271"/>
      <c r="C30" s="271"/>
      <c r="D30" s="329"/>
      <c r="E30" s="271"/>
      <c r="F30" s="352">
        <f>SUM(F11:F29)</f>
        <v>3084250.4294339623</v>
      </c>
      <c r="G30" s="361" t="s">
        <v>1225</v>
      </c>
      <c r="H30" s="352">
        <f>SUM(H11:H29)</f>
        <v>1882967.3358490567</v>
      </c>
      <c r="I30" s="352">
        <f>SUM(I11:I29)</f>
        <v>1201283.0935849058</v>
      </c>
      <c r="K30" s="352">
        <f>SUM(K11:K29)</f>
        <v>468534.54000000004</v>
      </c>
      <c r="L30" s="352">
        <f>SUM(L11:L29)</f>
        <v>732748.55358490557</v>
      </c>
    </row>
    <row r="32" spans="1:13" ht="33">
      <c r="B32" s="273" t="s">
        <v>728</v>
      </c>
      <c r="C32" s="273" t="s">
        <v>729</v>
      </c>
      <c r="D32" s="328" t="s">
        <v>730</v>
      </c>
      <c r="E32" s="273" t="s">
        <v>731</v>
      </c>
      <c r="F32" s="274" t="s">
        <v>1222</v>
      </c>
      <c r="G32" s="280" t="s">
        <v>733</v>
      </c>
      <c r="H32" s="322" t="s">
        <v>1166</v>
      </c>
      <c r="I32" s="280" t="s">
        <v>1167</v>
      </c>
      <c r="J32" s="280" t="s">
        <v>733</v>
      </c>
      <c r="K32" s="322" t="s">
        <v>1296</v>
      </c>
      <c r="L32" s="280" t="s">
        <v>1266</v>
      </c>
      <c r="M32" s="280" t="s">
        <v>733</v>
      </c>
    </row>
    <row r="33" spans="1:13" ht="16.5">
      <c r="A33" s="361">
        <f>COUNTIF($C$33:$C$37,C33)</f>
        <v>1</v>
      </c>
      <c r="B33" s="259" t="s">
        <v>804</v>
      </c>
      <c r="C33" s="362" t="s">
        <v>73</v>
      </c>
      <c r="D33" s="362" t="s">
        <v>74</v>
      </c>
      <c r="E33" s="330">
        <v>43374</v>
      </c>
      <c r="F33" s="185">
        <v>50506.95</v>
      </c>
      <c r="G33" s="363" t="s">
        <v>1246</v>
      </c>
      <c r="L33" s="161">
        <f>F33-K33</f>
        <v>50506.95</v>
      </c>
    </row>
    <row r="34" spans="1:13" ht="16.5">
      <c r="A34" s="361">
        <f>COUNTIF($C$33:$C$37,C34)</f>
        <v>1</v>
      </c>
      <c r="B34" s="259" t="s">
        <v>804</v>
      </c>
      <c r="C34" s="362" t="s">
        <v>1034</v>
      </c>
      <c r="D34" s="362" t="s">
        <v>1159</v>
      </c>
      <c r="E34" s="330">
        <v>43374</v>
      </c>
      <c r="F34" s="185"/>
      <c r="G34" s="363" t="s">
        <v>1246</v>
      </c>
      <c r="L34" s="161">
        <f t="shared" ref="L34:L38" si="7">F34-K34</f>
        <v>0</v>
      </c>
    </row>
    <row r="35" spans="1:13" ht="16.5">
      <c r="A35" s="361">
        <f>COUNTIF($C$33:$C$37,C35)</f>
        <v>1</v>
      </c>
      <c r="B35" s="259" t="s">
        <v>804</v>
      </c>
      <c r="C35" s="362" t="s">
        <v>831</v>
      </c>
      <c r="D35" s="362" t="s">
        <v>833</v>
      </c>
      <c r="E35" s="330">
        <v>43374</v>
      </c>
      <c r="F35" s="185"/>
      <c r="G35" s="363" t="s">
        <v>1246</v>
      </c>
      <c r="L35" s="161">
        <f t="shared" si="7"/>
        <v>0</v>
      </c>
    </row>
    <row r="36" spans="1:13" ht="16.5">
      <c r="A36" s="361">
        <f>COUNTIF($C$33:$C$37,C36)</f>
        <v>1</v>
      </c>
      <c r="B36" s="259" t="s">
        <v>804</v>
      </c>
      <c r="C36" s="362" t="s">
        <v>1118</v>
      </c>
      <c r="D36" s="362" t="s">
        <v>1161</v>
      </c>
      <c r="E36" s="330">
        <v>43374</v>
      </c>
      <c r="F36" s="185"/>
      <c r="G36" s="363" t="s">
        <v>1246</v>
      </c>
      <c r="L36" s="161">
        <f t="shared" si="7"/>
        <v>0</v>
      </c>
    </row>
    <row r="37" spans="1:13" ht="16.5">
      <c r="A37" s="361">
        <f>COUNTIF($C$33:$C$37,C37)</f>
        <v>1</v>
      </c>
      <c r="B37" s="259" t="s">
        <v>804</v>
      </c>
      <c r="C37" s="362" t="s">
        <v>928</v>
      </c>
      <c r="D37" s="362" t="s">
        <v>1004</v>
      </c>
      <c r="E37" s="330">
        <v>43374</v>
      </c>
      <c r="F37" s="185"/>
      <c r="G37" s="363" t="s">
        <v>1246</v>
      </c>
      <c r="L37" s="161">
        <f t="shared" si="7"/>
        <v>0</v>
      </c>
    </row>
    <row r="38" spans="1:13" ht="16.5" customHeight="1">
      <c r="B38" s="271"/>
      <c r="C38" s="271"/>
      <c r="D38" s="329"/>
      <c r="E38" s="271"/>
      <c r="F38" s="352">
        <f>SUM(F33:F37)</f>
        <v>50506.95</v>
      </c>
      <c r="G38" s="352" t="s">
        <v>1246</v>
      </c>
      <c r="H38" s="352"/>
      <c r="I38" s="352"/>
      <c r="J38" s="352"/>
      <c r="K38" s="352"/>
      <c r="L38" s="352">
        <f t="shared" si="7"/>
        <v>50506.95</v>
      </c>
      <c r="M38" s="352"/>
    </row>
    <row r="41" spans="1:13" ht="33">
      <c r="B41" s="273" t="s">
        <v>728</v>
      </c>
      <c r="C41" s="273" t="s">
        <v>729</v>
      </c>
      <c r="D41" s="328" t="s">
        <v>730</v>
      </c>
      <c r="E41" s="273" t="s">
        <v>731</v>
      </c>
      <c r="F41" s="274" t="s">
        <v>1222</v>
      </c>
      <c r="G41" s="280" t="s">
        <v>733</v>
      </c>
      <c r="H41" s="322" t="s">
        <v>1166</v>
      </c>
      <c r="I41" s="280" t="s">
        <v>1167</v>
      </c>
      <c r="J41" s="280" t="s">
        <v>733</v>
      </c>
      <c r="K41" s="322" t="s">
        <v>1296</v>
      </c>
      <c r="L41" s="280" t="s">
        <v>1266</v>
      </c>
      <c r="M41" s="280" t="s">
        <v>733</v>
      </c>
    </row>
    <row r="42" spans="1:13" ht="16.5">
      <c r="B42" s="259" t="s">
        <v>1247</v>
      </c>
      <c r="C42" s="296" t="s">
        <v>1248</v>
      </c>
      <c r="D42" s="296" t="s">
        <v>1249</v>
      </c>
      <c r="E42" s="330">
        <v>43374</v>
      </c>
      <c r="F42" s="185">
        <v>300188.67924528301</v>
      </c>
      <c r="G42" s="363" t="s">
        <v>1250</v>
      </c>
      <c r="H42" s="132">
        <f>318200/1.06</f>
        <v>300188.67924528301</v>
      </c>
      <c r="I42" s="206">
        <f>F42-H42</f>
        <v>0</v>
      </c>
    </row>
    <row r="43" spans="1:13" ht="16.5">
      <c r="B43" s="259" t="s">
        <v>1247</v>
      </c>
      <c r="C43" s="362"/>
      <c r="D43" s="362"/>
      <c r="E43" s="330">
        <v>43374</v>
      </c>
      <c r="F43" s="185"/>
      <c r="G43" s="363" t="s">
        <v>1250</v>
      </c>
    </row>
    <row r="44" spans="1:13" ht="16.5">
      <c r="B44" s="259" t="s">
        <v>1247</v>
      </c>
      <c r="C44" s="362"/>
      <c r="D44" s="362"/>
      <c r="E44" s="330">
        <v>43374</v>
      </c>
      <c r="F44" s="185"/>
      <c r="G44" s="363" t="s">
        <v>1250</v>
      </c>
    </row>
    <row r="45" spans="1:13" ht="16.5">
      <c r="B45" s="259" t="s">
        <v>1247</v>
      </c>
      <c r="C45" s="362"/>
      <c r="D45" s="362"/>
      <c r="E45" s="330">
        <v>43374</v>
      </c>
      <c r="F45" s="185"/>
      <c r="G45" s="363" t="s">
        <v>1250</v>
      </c>
    </row>
    <row r="46" spans="1:13" ht="16.5">
      <c r="B46" s="259" t="s">
        <v>1247</v>
      </c>
      <c r="C46" s="362"/>
      <c r="D46" s="362"/>
      <c r="E46" s="330">
        <v>43374</v>
      </c>
      <c r="F46" s="185"/>
      <c r="G46" s="363" t="s">
        <v>1250</v>
      </c>
    </row>
    <row r="47" spans="1:13">
      <c r="B47" s="271"/>
      <c r="C47" s="271"/>
      <c r="D47" s="329"/>
      <c r="E47" s="271"/>
      <c r="F47" s="352">
        <f>SUM(F42:F46)</f>
        <v>300188.67924528301</v>
      </c>
      <c r="G47" s="363" t="s">
        <v>1250</v>
      </c>
    </row>
  </sheetData>
  <autoFilter ref="A10:M10"/>
  <phoneticPr fontId="4" type="noConversion"/>
  <conditionalFormatting sqref="A33:A37 A11:A29 A2:A6">
    <cfRule type="cellIs" dxfId="1" priority="1" stopIfTrue="1" operator="greaterThan">
      <formula>1</formula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1"/>
  <dimension ref="B1:J47"/>
  <sheetViews>
    <sheetView topLeftCell="A10" workbookViewId="0">
      <selection activeCell="M40" sqref="M40"/>
    </sheetView>
  </sheetViews>
  <sheetFormatPr defaultRowHeight="12.75"/>
  <cols>
    <col min="1" max="1" width="9.140625" style="361"/>
    <col min="2" max="2" width="11.5703125" style="361" customWidth="1"/>
    <col min="3" max="3" width="10.7109375" style="361" bestFit="1" customWidth="1"/>
    <col min="4" max="4" width="40.28515625" style="143" bestFit="1" customWidth="1"/>
    <col min="5" max="5" width="11.5703125" style="361" bestFit="1" customWidth="1"/>
    <col min="6" max="6" width="18" style="350" customWidth="1"/>
    <col min="7" max="7" width="15.140625" style="361" customWidth="1"/>
    <col min="8" max="8" width="12.28515625" style="361" customWidth="1"/>
    <col min="9" max="9" width="12.28515625" style="361" bestFit="1" customWidth="1"/>
    <col min="10" max="16384" width="9.140625" style="361"/>
  </cols>
  <sheetData>
    <row r="1" spans="2:10" ht="33">
      <c r="B1" s="273" t="s">
        <v>728</v>
      </c>
      <c r="C1" s="273" t="s">
        <v>729</v>
      </c>
      <c r="D1" s="328" t="s">
        <v>730</v>
      </c>
      <c r="E1" s="273" t="s">
        <v>731</v>
      </c>
      <c r="F1" s="298" t="s">
        <v>1267</v>
      </c>
      <c r="G1" s="280" t="s">
        <v>733</v>
      </c>
      <c r="H1" s="322" t="s">
        <v>1296</v>
      </c>
      <c r="I1" s="280" t="s">
        <v>1266</v>
      </c>
      <c r="J1" s="280" t="s">
        <v>733</v>
      </c>
    </row>
    <row r="2" spans="2:10" ht="16.5">
      <c r="B2" s="259" t="s">
        <v>736</v>
      </c>
      <c r="C2" s="357" t="s">
        <v>438</v>
      </c>
      <c r="D2" s="306" t="s">
        <v>436</v>
      </c>
      <c r="E2" s="330">
        <v>43405</v>
      </c>
      <c r="F2" s="342">
        <v>164554.01</v>
      </c>
      <c r="G2" s="381" t="s">
        <v>1275</v>
      </c>
      <c r="H2" s="361">
        <f>105000+31400/1.06-0.19</f>
        <v>134622.45150943397</v>
      </c>
      <c r="I2" s="287">
        <f>F2-H2</f>
        <v>29931.558490566036</v>
      </c>
    </row>
    <row r="3" spans="2:10" ht="16.5">
      <c r="B3" s="259" t="s">
        <v>736</v>
      </c>
      <c r="C3" s="358" t="s">
        <v>228</v>
      </c>
      <c r="D3" s="359" t="s">
        <v>229</v>
      </c>
      <c r="E3" s="330">
        <v>43405</v>
      </c>
      <c r="F3" s="371">
        <v>977.14</v>
      </c>
      <c r="G3" s="381" t="s">
        <v>1275</v>
      </c>
      <c r="I3" s="287">
        <f t="shared" ref="I3:I6" si="0">F3-H3</f>
        <v>977.14</v>
      </c>
    </row>
    <row r="4" spans="2:10" ht="16.5">
      <c r="B4" s="259" t="s">
        <v>736</v>
      </c>
      <c r="C4" s="358" t="s">
        <v>26</v>
      </c>
      <c r="D4" s="359" t="s">
        <v>27</v>
      </c>
      <c r="E4" s="330">
        <v>43405</v>
      </c>
      <c r="F4" s="372">
        <v>25894.15</v>
      </c>
      <c r="G4" s="381" t="s">
        <v>1275</v>
      </c>
      <c r="I4" s="287">
        <f t="shared" si="0"/>
        <v>25894.15</v>
      </c>
    </row>
    <row r="5" spans="2:10" ht="16.5">
      <c r="B5" s="259" t="s">
        <v>736</v>
      </c>
      <c r="C5" s="358" t="s">
        <v>230</v>
      </c>
      <c r="D5" s="359" t="s">
        <v>231</v>
      </c>
      <c r="E5" s="330">
        <v>43405</v>
      </c>
      <c r="F5" s="372">
        <v>10943.95</v>
      </c>
      <c r="G5" s="381" t="s">
        <v>1275</v>
      </c>
      <c r="I5" s="287">
        <f t="shared" si="0"/>
        <v>10943.95</v>
      </c>
    </row>
    <row r="6" spans="2:10" ht="16.5">
      <c r="B6" s="259" t="s">
        <v>208</v>
      </c>
      <c r="C6" s="358" t="s">
        <v>819</v>
      </c>
      <c r="D6" s="359" t="s">
        <v>948</v>
      </c>
      <c r="E6" s="330">
        <v>43405</v>
      </c>
      <c r="F6" s="374">
        <v>18006.73</v>
      </c>
      <c r="G6" s="381" t="s">
        <v>1275</v>
      </c>
      <c r="I6" s="287">
        <f t="shared" si="0"/>
        <v>18006.73</v>
      </c>
    </row>
    <row r="7" spans="2:10">
      <c r="B7" s="271"/>
      <c r="C7" s="271"/>
      <c r="D7" s="329"/>
      <c r="E7" s="271"/>
      <c r="F7" s="355">
        <f>SUM(F2:F6)</f>
        <v>220375.98000000004</v>
      </c>
      <c r="G7" s="355">
        <f t="shared" ref="G7:J7" si="1">SUM(G2:G6)</f>
        <v>0</v>
      </c>
      <c r="H7" s="355">
        <f t="shared" si="1"/>
        <v>134622.45150943397</v>
      </c>
      <c r="I7" s="355">
        <f t="shared" si="1"/>
        <v>85753.528490566037</v>
      </c>
      <c r="J7" s="355">
        <f t="shared" si="1"/>
        <v>0</v>
      </c>
    </row>
    <row r="10" spans="2:10" ht="40.5" customHeight="1">
      <c r="B10" s="273" t="s">
        <v>728</v>
      </c>
      <c r="C10" s="273" t="s">
        <v>729</v>
      </c>
      <c r="D10" s="328" t="s">
        <v>730</v>
      </c>
      <c r="E10" s="273" t="s">
        <v>731</v>
      </c>
      <c r="F10" s="274" t="s">
        <v>1267</v>
      </c>
      <c r="G10" s="280" t="s">
        <v>733</v>
      </c>
      <c r="H10" s="322" t="s">
        <v>1296</v>
      </c>
      <c r="I10" s="280" t="s">
        <v>1266</v>
      </c>
      <c r="J10" s="280" t="s">
        <v>733</v>
      </c>
    </row>
    <row r="11" spans="2:10" ht="16.5">
      <c r="B11" s="259" t="s">
        <v>755</v>
      </c>
      <c r="C11" s="375" t="s">
        <v>31</v>
      </c>
      <c r="D11" s="375" t="s">
        <v>32</v>
      </c>
      <c r="E11" s="330">
        <v>43405</v>
      </c>
      <c r="F11" s="376">
        <v>2822.94</v>
      </c>
      <c r="G11" s="376"/>
      <c r="I11" s="379">
        <f t="shared" ref="I11:I38" si="2">F11-H11</f>
        <v>2822.94</v>
      </c>
    </row>
    <row r="12" spans="2:10" ht="16.5">
      <c r="B12" s="259" t="s">
        <v>755</v>
      </c>
      <c r="C12" s="375" t="s">
        <v>33</v>
      </c>
      <c r="D12" s="375" t="s">
        <v>34</v>
      </c>
      <c r="E12" s="330">
        <v>43405</v>
      </c>
      <c r="F12" s="376">
        <v>3957.6</v>
      </c>
      <c r="G12" s="376"/>
      <c r="I12" s="379">
        <f t="shared" si="2"/>
        <v>3957.6</v>
      </c>
    </row>
    <row r="13" spans="2:10" s="373" customFormat="1" ht="16.5">
      <c r="B13" s="259" t="s">
        <v>755</v>
      </c>
      <c r="C13" s="375" t="s">
        <v>1268</v>
      </c>
      <c r="D13" s="383" t="s">
        <v>1277</v>
      </c>
      <c r="E13" s="330">
        <v>43405</v>
      </c>
      <c r="F13" s="376">
        <v>110108.49</v>
      </c>
      <c r="G13" s="376"/>
      <c r="H13" s="373">
        <v>100000</v>
      </c>
      <c r="I13" s="379">
        <f t="shared" si="2"/>
        <v>10108.490000000005</v>
      </c>
    </row>
    <row r="14" spans="2:10" s="373" customFormat="1" ht="16.5">
      <c r="B14" s="259" t="s">
        <v>755</v>
      </c>
      <c r="C14" s="375" t="s">
        <v>820</v>
      </c>
      <c r="D14" s="375" t="s">
        <v>821</v>
      </c>
      <c r="E14" s="330">
        <v>43405</v>
      </c>
      <c r="F14" s="376">
        <v>2176.61</v>
      </c>
      <c r="G14" s="376"/>
      <c r="I14" s="379">
        <f t="shared" si="2"/>
        <v>2176.61</v>
      </c>
    </row>
    <row r="15" spans="2:10" s="373" customFormat="1" ht="16.5">
      <c r="B15" s="259" t="s">
        <v>755</v>
      </c>
      <c r="C15" s="375" t="s">
        <v>576</v>
      </c>
      <c r="D15" s="383" t="s">
        <v>1278</v>
      </c>
      <c r="E15" s="330">
        <v>43405</v>
      </c>
      <c r="F15" s="376">
        <v>26428.05</v>
      </c>
      <c r="G15" s="376"/>
      <c r="I15" s="379">
        <f t="shared" si="2"/>
        <v>26428.05</v>
      </c>
    </row>
    <row r="16" spans="2:10" s="373" customFormat="1" ht="16.5">
      <c r="B16" s="259" t="s">
        <v>755</v>
      </c>
      <c r="C16" s="375" t="s">
        <v>53</v>
      </c>
      <c r="D16" s="375" t="s">
        <v>54</v>
      </c>
      <c r="E16" s="330">
        <v>43405</v>
      </c>
      <c r="F16" s="376">
        <v>465.6</v>
      </c>
      <c r="G16" s="376"/>
      <c r="I16" s="379">
        <f t="shared" si="2"/>
        <v>465.6</v>
      </c>
    </row>
    <row r="17" spans="2:9" s="373" customFormat="1" ht="16.5">
      <c r="B17" s="259" t="s">
        <v>755</v>
      </c>
      <c r="C17" s="375" t="s">
        <v>59</v>
      </c>
      <c r="D17" s="375" t="s">
        <v>60</v>
      </c>
      <c r="E17" s="330">
        <v>43405</v>
      </c>
      <c r="F17" s="376">
        <v>17169.810000000001</v>
      </c>
      <c r="G17" s="376"/>
      <c r="I17" s="379">
        <f t="shared" si="2"/>
        <v>17169.810000000001</v>
      </c>
    </row>
    <row r="18" spans="2:9" s="373" customFormat="1" ht="16.5">
      <c r="B18" s="259" t="s">
        <v>755</v>
      </c>
      <c r="C18" s="375" t="s">
        <v>167</v>
      </c>
      <c r="D18" s="383" t="s">
        <v>1279</v>
      </c>
      <c r="E18" s="330">
        <v>43405</v>
      </c>
      <c r="F18" s="376">
        <v>570.65</v>
      </c>
      <c r="G18" s="376"/>
      <c r="I18" s="379">
        <f t="shared" si="2"/>
        <v>570.65</v>
      </c>
    </row>
    <row r="19" spans="2:9" s="373" customFormat="1" ht="16.5">
      <c r="B19" s="259" t="s">
        <v>755</v>
      </c>
      <c r="C19" s="375" t="s">
        <v>26</v>
      </c>
      <c r="D19" s="383" t="s">
        <v>1280</v>
      </c>
      <c r="E19" s="330">
        <v>43405</v>
      </c>
      <c r="F19" s="376">
        <v>54296.63</v>
      </c>
      <c r="G19" s="376"/>
      <c r="I19" s="379">
        <f t="shared" si="2"/>
        <v>54296.63</v>
      </c>
    </row>
    <row r="20" spans="2:9" s="379" customFormat="1" ht="16.5">
      <c r="B20" s="259" t="s">
        <v>755</v>
      </c>
      <c r="C20" s="383" t="s">
        <v>1281</v>
      </c>
      <c r="D20" s="370" t="s">
        <v>1282</v>
      </c>
      <c r="E20" s="330">
        <v>43405</v>
      </c>
      <c r="F20" s="381">
        <v>7084.25</v>
      </c>
      <c r="G20" s="381"/>
      <c r="I20" s="379">
        <f t="shared" si="2"/>
        <v>7084.25</v>
      </c>
    </row>
    <row r="21" spans="2:9" s="373" customFormat="1" ht="16.5">
      <c r="B21" s="259" t="s">
        <v>755</v>
      </c>
      <c r="C21" s="375" t="s">
        <v>238</v>
      </c>
      <c r="D21" s="375" t="s">
        <v>239</v>
      </c>
      <c r="E21" s="330">
        <v>43405</v>
      </c>
      <c r="F21" s="376">
        <v>15430.1</v>
      </c>
      <c r="G21" s="376"/>
      <c r="I21" s="379">
        <f t="shared" si="2"/>
        <v>15430.1</v>
      </c>
    </row>
    <row r="22" spans="2:9" s="373" customFormat="1" ht="16.5">
      <c r="B22" s="259" t="s">
        <v>755</v>
      </c>
      <c r="C22" s="375" t="s">
        <v>1116</v>
      </c>
      <c r="D22" s="375" t="s">
        <v>1269</v>
      </c>
      <c r="E22" s="330">
        <v>43405</v>
      </c>
      <c r="F22" s="376">
        <v>3517.7</v>
      </c>
      <c r="G22" s="376"/>
      <c r="I22" s="379">
        <f t="shared" si="2"/>
        <v>3517.7</v>
      </c>
    </row>
    <row r="23" spans="2:9" s="373" customFormat="1" ht="16.5">
      <c r="B23" s="259" t="s">
        <v>755</v>
      </c>
      <c r="C23" s="375" t="s">
        <v>580</v>
      </c>
      <c r="D23" s="383" t="s">
        <v>1283</v>
      </c>
      <c r="E23" s="330">
        <v>43405</v>
      </c>
      <c r="F23" s="376">
        <v>1026</v>
      </c>
      <c r="G23" s="376"/>
      <c r="I23" s="379">
        <f t="shared" si="2"/>
        <v>1026</v>
      </c>
    </row>
    <row r="24" spans="2:9" ht="16.5">
      <c r="B24" s="259" t="s">
        <v>755</v>
      </c>
      <c r="C24" s="375" t="s">
        <v>582</v>
      </c>
      <c r="D24" s="383" t="s">
        <v>706</v>
      </c>
      <c r="E24" s="330">
        <v>43405</v>
      </c>
      <c r="F24" s="376">
        <v>2257.19</v>
      </c>
      <c r="G24" s="376"/>
      <c r="I24" s="379">
        <f t="shared" si="2"/>
        <v>2257.19</v>
      </c>
    </row>
    <row r="25" spans="2:9" ht="16.5">
      <c r="B25" s="259" t="s">
        <v>755</v>
      </c>
      <c r="C25" s="375" t="s">
        <v>823</v>
      </c>
      <c r="D25" s="383" t="s">
        <v>1284</v>
      </c>
      <c r="E25" s="330">
        <v>43405</v>
      </c>
      <c r="F25" s="376">
        <v>3590.99</v>
      </c>
      <c r="G25" s="376"/>
      <c r="I25" s="379">
        <f t="shared" si="2"/>
        <v>3590.99</v>
      </c>
    </row>
    <row r="26" spans="2:9" ht="16.5">
      <c r="B26" s="259" t="s">
        <v>755</v>
      </c>
      <c r="C26" s="375" t="s">
        <v>862</v>
      </c>
      <c r="D26" s="383" t="s">
        <v>877</v>
      </c>
      <c r="E26" s="330">
        <v>43405</v>
      </c>
      <c r="F26" s="376">
        <v>20875.5</v>
      </c>
      <c r="G26" s="376"/>
      <c r="I26" s="379">
        <f t="shared" si="2"/>
        <v>20875.5</v>
      </c>
    </row>
    <row r="27" spans="2:9" ht="16.5">
      <c r="B27" s="259" t="s">
        <v>755</v>
      </c>
      <c r="C27" s="375" t="s">
        <v>828</v>
      </c>
      <c r="D27" s="375" t="s">
        <v>829</v>
      </c>
      <c r="E27" s="330">
        <v>43405</v>
      </c>
      <c r="F27" s="376">
        <v>15151.44</v>
      </c>
      <c r="G27" s="376"/>
      <c r="I27" s="379">
        <f t="shared" si="2"/>
        <v>15151.44</v>
      </c>
    </row>
    <row r="28" spans="2:9" ht="16.5">
      <c r="B28" s="259" t="s">
        <v>755</v>
      </c>
      <c r="C28" s="380" t="s">
        <v>1290</v>
      </c>
      <c r="D28" s="380" t="s">
        <v>1291</v>
      </c>
      <c r="E28" s="330">
        <v>43405</v>
      </c>
      <c r="F28" s="376">
        <v>4065.18</v>
      </c>
      <c r="G28" s="376"/>
      <c r="I28" s="379">
        <f t="shared" si="2"/>
        <v>4065.18</v>
      </c>
    </row>
    <row r="29" spans="2:9" ht="16.5">
      <c r="B29" s="259" t="s">
        <v>755</v>
      </c>
      <c r="C29" s="375" t="s">
        <v>1270</v>
      </c>
      <c r="D29" s="383" t="s">
        <v>1285</v>
      </c>
      <c r="E29" s="330">
        <v>43405</v>
      </c>
      <c r="F29" s="376">
        <v>37265.82</v>
      </c>
      <c r="G29" s="376"/>
      <c r="I29" s="379">
        <f t="shared" si="2"/>
        <v>37265.82</v>
      </c>
    </row>
    <row r="30" spans="2:9" ht="16.5">
      <c r="B30" s="259" t="s">
        <v>755</v>
      </c>
      <c r="C30" s="375" t="s">
        <v>1120</v>
      </c>
      <c r="D30" s="383" t="s">
        <v>1286</v>
      </c>
      <c r="E30" s="330">
        <v>43405</v>
      </c>
      <c r="F30" s="376">
        <v>11847.83</v>
      </c>
      <c r="G30" s="376"/>
      <c r="I30" s="379">
        <f t="shared" si="2"/>
        <v>11847.83</v>
      </c>
    </row>
    <row r="31" spans="2:9" ht="16.5">
      <c r="B31" s="259" t="s">
        <v>755</v>
      </c>
      <c r="C31" s="375" t="s">
        <v>1271</v>
      </c>
      <c r="D31" s="383" t="s">
        <v>1287</v>
      </c>
      <c r="E31" s="330">
        <v>43405</v>
      </c>
      <c r="F31" s="376">
        <v>220748.17</v>
      </c>
      <c r="G31" s="376"/>
      <c r="I31" s="379">
        <f t="shared" si="2"/>
        <v>220748.17</v>
      </c>
    </row>
    <row r="32" spans="2:9" ht="16.5" hidden="1">
      <c r="B32" s="259" t="s">
        <v>755</v>
      </c>
      <c r="C32" s="375" t="s">
        <v>1272</v>
      </c>
      <c r="D32" s="383" t="s">
        <v>1288</v>
      </c>
      <c r="E32" s="330">
        <v>43405</v>
      </c>
      <c r="F32" s="376">
        <v>13018.87</v>
      </c>
      <c r="G32" s="376"/>
      <c r="H32" s="361">
        <v>13018.87</v>
      </c>
      <c r="I32" s="379">
        <f t="shared" si="2"/>
        <v>0</v>
      </c>
    </row>
    <row r="33" spans="2:10" ht="16.5">
      <c r="B33" s="259" t="s">
        <v>755</v>
      </c>
      <c r="C33" s="375" t="s">
        <v>1273</v>
      </c>
      <c r="D33" s="383" t="s">
        <v>1289</v>
      </c>
      <c r="E33" s="330">
        <v>43405</v>
      </c>
      <c r="F33" s="376">
        <v>20589.62</v>
      </c>
      <c r="G33" s="376"/>
      <c r="H33" s="361">
        <v>20589.62</v>
      </c>
      <c r="I33" s="379">
        <f t="shared" si="2"/>
        <v>0</v>
      </c>
    </row>
    <row r="34" spans="2:10" s="379" customFormat="1" ht="16.5">
      <c r="B34" s="259" t="s">
        <v>755</v>
      </c>
      <c r="C34" s="385" t="s">
        <v>1228</v>
      </c>
      <c r="D34" s="386" t="s">
        <v>1229</v>
      </c>
      <c r="E34" s="330">
        <v>43405</v>
      </c>
      <c r="F34" s="387">
        <v>446689.61999999994</v>
      </c>
      <c r="G34" s="381"/>
      <c r="H34" s="379">
        <v>111000</v>
      </c>
      <c r="I34" s="379">
        <f t="shared" si="2"/>
        <v>335689.61999999994</v>
      </c>
    </row>
    <row r="35" spans="2:10" s="379" customFormat="1" ht="16.5">
      <c r="B35" s="259" t="s">
        <v>755</v>
      </c>
      <c r="C35" s="388" t="s">
        <v>133</v>
      </c>
      <c r="D35" s="389" t="s">
        <v>134</v>
      </c>
      <c r="E35" s="330">
        <v>43405</v>
      </c>
      <c r="F35" s="390">
        <v>19123.308400000002</v>
      </c>
      <c r="G35" s="381"/>
      <c r="I35" s="379">
        <f t="shared" si="2"/>
        <v>19123.308400000002</v>
      </c>
    </row>
    <row r="36" spans="2:10" s="379" customFormat="1" ht="16.5">
      <c r="B36" s="259" t="s">
        <v>755</v>
      </c>
      <c r="C36" s="388" t="s">
        <v>135</v>
      </c>
      <c r="D36" s="389" t="s">
        <v>136</v>
      </c>
      <c r="E36" s="330">
        <v>43405</v>
      </c>
      <c r="F36" s="390">
        <v>231.79939999999999</v>
      </c>
      <c r="G36" s="381"/>
      <c r="I36" s="379">
        <f t="shared" si="2"/>
        <v>231.79939999999999</v>
      </c>
    </row>
    <row r="37" spans="2:10" s="379" customFormat="1" ht="16.5">
      <c r="B37" s="259" t="s">
        <v>755</v>
      </c>
      <c r="C37" s="391" t="s">
        <v>1117</v>
      </c>
      <c r="D37" s="392" t="s">
        <v>1292</v>
      </c>
      <c r="E37" s="330">
        <v>43405</v>
      </c>
      <c r="F37" s="393">
        <v>17043.7536</v>
      </c>
      <c r="G37" s="381"/>
      <c r="I37" s="379">
        <f t="shared" si="2"/>
        <v>17043.7536</v>
      </c>
    </row>
    <row r="38" spans="2:10" s="379" customFormat="1" ht="16.5" hidden="1">
      <c r="B38" s="259" t="s">
        <v>755</v>
      </c>
      <c r="C38" s="394" t="s">
        <v>1243</v>
      </c>
      <c r="D38" s="395" t="s">
        <v>1293</v>
      </c>
      <c r="E38" s="330"/>
      <c r="F38" s="396">
        <v>61981.13</v>
      </c>
      <c r="G38" s="381"/>
      <c r="H38" s="379">
        <v>61981.13</v>
      </c>
      <c r="I38" s="379">
        <f t="shared" si="2"/>
        <v>0</v>
      </c>
    </row>
    <row r="39" spans="2:10">
      <c r="B39" s="271"/>
      <c r="C39" s="271"/>
      <c r="D39" s="329"/>
      <c r="E39" s="271"/>
      <c r="F39" s="352">
        <f>SUM(F11:F38)</f>
        <v>1139534.6513999996</v>
      </c>
      <c r="G39" s="352">
        <f t="shared" ref="G39:J39" si="3">SUM(G11:G38)</f>
        <v>0</v>
      </c>
      <c r="H39" s="352">
        <f t="shared" si="3"/>
        <v>306589.62</v>
      </c>
      <c r="I39" s="352">
        <f t="shared" si="3"/>
        <v>832945.03139999998</v>
      </c>
      <c r="J39" s="352">
        <f t="shared" si="3"/>
        <v>0</v>
      </c>
    </row>
    <row r="41" spans="2:10" ht="33">
      <c r="B41" s="273" t="s">
        <v>728</v>
      </c>
      <c r="C41" s="273" t="s">
        <v>729</v>
      </c>
      <c r="D41" s="328" t="s">
        <v>730</v>
      </c>
      <c r="E41" s="273" t="s">
        <v>731</v>
      </c>
      <c r="F41" s="274" t="s">
        <v>1267</v>
      </c>
      <c r="G41" s="280" t="s">
        <v>733</v>
      </c>
      <c r="H41" s="322" t="s">
        <v>1296</v>
      </c>
      <c r="I41" s="280" t="s">
        <v>1266</v>
      </c>
      <c r="J41" s="280" t="s">
        <v>733</v>
      </c>
    </row>
    <row r="42" spans="2:10" ht="16.5">
      <c r="B42" s="259" t="s">
        <v>804</v>
      </c>
      <c r="C42" s="378" t="s">
        <v>75</v>
      </c>
      <c r="D42" s="378" t="s">
        <v>76</v>
      </c>
      <c r="E42" s="330">
        <v>43405</v>
      </c>
      <c r="F42" s="384">
        <v>27567.360000000001</v>
      </c>
      <c r="G42" s="363"/>
      <c r="I42" s="287">
        <f>F42</f>
        <v>27567.360000000001</v>
      </c>
    </row>
    <row r="43" spans="2:10" ht="16.5">
      <c r="B43" s="259" t="s">
        <v>804</v>
      </c>
      <c r="C43" s="378" t="s">
        <v>77</v>
      </c>
      <c r="D43" s="378" t="s">
        <v>78</v>
      </c>
      <c r="E43" s="330">
        <v>43405</v>
      </c>
      <c r="F43" s="384">
        <v>598.63</v>
      </c>
      <c r="G43" s="363"/>
      <c r="I43" s="287">
        <f t="shared" ref="I43:I46" si="4">F43</f>
        <v>598.63</v>
      </c>
    </row>
    <row r="44" spans="2:10" ht="16.5">
      <c r="B44" s="259" t="s">
        <v>804</v>
      </c>
      <c r="C44" s="378" t="s">
        <v>1274</v>
      </c>
      <c r="D44" s="383" t="s">
        <v>1276</v>
      </c>
      <c r="E44" s="330">
        <v>43405</v>
      </c>
      <c r="F44" s="384">
        <v>214811.32</v>
      </c>
      <c r="G44" s="363"/>
      <c r="I44" s="287">
        <f t="shared" si="4"/>
        <v>214811.32</v>
      </c>
    </row>
    <row r="45" spans="2:10" s="377" customFormat="1" ht="16.5">
      <c r="B45" s="259" t="s">
        <v>804</v>
      </c>
      <c r="C45" s="378" t="s">
        <v>1034</v>
      </c>
      <c r="D45" s="383" t="s">
        <v>1159</v>
      </c>
      <c r="E45" s="330">
        <v>43405</v>
      </c>
      <c r="F45" s="384">
        <v>5955.65</v>
      </c>
      <c r="G45" s="363"/>
      <c r="I45" s="287">
        <f t="shared" si="4"/>
        <v>5955.65</v>
      </c>
    </row>
    <row r="46" spans="2:10" s="377" customFormat="1" ht="16.5">
      <c r="B46" s="259" t="s">
        <v>804</v>
      </c>
      <c r="C46" s="378" t="s">
        <v>868</v>
      </c>
      <c r="D46" s="383" t="s">
        <v>873</v>
      </c>
      <c r="E46" s="330">
        <v>43405</v>
      </c>
      <c r="F46" s="384">
        <v>1326.35</v>
      </c>
      <c r="G46" s="363"/>
      <c r="I46" s="287">
        <f t="shared" si="4"/>
        <v>1326.35</v>
      </c>
    </row>
    <row r="47" spans="2:10" ht="16.5" customHeight="1">
      <c r="B47" s="271"/>
      <c r="C47" s="271"/>
      <c r="D47" s="329"/>
      <c r="E47" s="271"/>
      <c r="F47" s="352">
        <f>SUM(F42:F46)</f>
        <v>250259.31</v>
      </c>
      <c r="G47" s="352"/>
      <c r="H47" s="352"/>
      <c r="I47" s="352">
        <f>SUM(I42:I46)</f>
        <v>250259.31</v>
      </c>
      <c r="J47" s="352"/>
    </row>
  </sheetData>
  <autoFilter ref="A10:J39">
    <filterColumn colId="8">
      <filters>
        <filter val="10108.49"/>
        <filter val="1026"/>
        <filter val="11847.83"/>
        <filter val="15151.44"/>
        <filter val="15430.1"/>
        <filter val="17043.7536"/>
        <filter val="17169.81"/>
        <filter val="19123.3084"/>
        <filter val="20589.62"/>
        <filter val="20875.5"/>
        <filter val="2176.61"/>
        <filter val="220748.17"/>
        <filter val="2257.19"/>
        <filter val="231.7994"/>
        <filter val="26428.05"/>
        <filter val="2822.94"/>
        <filter val="3517.7"/>
        <filter val="3590.99"/>
        <filter val="37265.82"/>
        <filter val="3957.6"/>
        <filter val="4065.18"/>
        <filter val="446689.62"/>
        <filter val="465.6"/>
        <filter val="54296.63"/>
        <filter val="570.65"/>
        <filter val="7084.25"/>
        <filter val="964,534.65"/>
      </filters>
    </filterColumn>
  </autoFilter>
  <phoneticPr fontId="4" type="noConversion"/>
  <conditionalFormatting sqref="A42:A46 A11:A38 A2:A6">
    <cfRule type="cellIs" dxfId="0" priority="1" stopIfTrue="1" operator="greaterThan">
      <formula>1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C2:H55"/>
  <sheetViews>
    <sheetView topLeftCell="A22" workbookViewId="0">
      <selection activeCell="M40" sqref="M40"/>
    </sheetView>
  </sheetViews>
  <sheetFormatPr defaultRowHeight="12.75"/>
  <cols>
    <col min="4" max="4" width="15.7109375" customWidth="1"/>
    <col min="5" max="5" width="32" bestFit="1" customWidth="1"/>
    <col min="6" max="6" width="11.5703125" bestFit="1" customWidth="1"/>
    <col min="7" max="7" width="13.5703125" style="132" customWidth="1"/>
  </cols>
  <sheetData>
    <row r="2" spans="3:8" ht="49.5">
      <c r="C2" s="273" t="s">
        <v>728</v>
      </c>
      <c r="D2" s="273" t="s">
        <v>729</v>
      </c>
      <c r="E2" s="328" t="s">
        <v>730</v>
      </c>
      <c r="F2" s="273" t="s">
        <v>731</v>
      </c>
      <c r="G2" s="298" t="s">
        <v>1322</v>
      </c>
      <c r="H2" s="280" t="s">
        <v>733</v>
      </c>
    </row>
    <row r="3" spans="3:8" ht="16.5">
      <c r="C3" s="259" t="s">
        <v>736</v>
      </c>
      <c r="D3" s="402" t="s">
        <v>438</v>
      </c>
      <c r="E3" s="306" t="s">
        <v>436</v>
      </c>
      <c r="F3" s="330">
        <v>43435</v>
      </c>
      <c r="G3" s="384">
        <v>165381.76999999999</v>
      </c>
      <c r="H3" s="411" t="s">
        <v>1335</v>
      </c>
    </row>
    <row r="4" spans="3:8" ht="16.5">
      <c r="C4" s="259" t="s">
        <v>736</v>
      </c>
      <c r="D4" s="402" t="s">
        <v>228</v>
      </c>
      <c r="E4" s="402" t="s">
        <v>229</v>
      </c>
      <c r="F4" s="330">
        <v>43435</v>
      </c>
      <c r="G4" s="341">
        <v>987.21</v>
      </c>
      <c r="H4" s="411" t="s">
        <v>1335</v>
      </c>
    </row>
    <row r="5" spans="3:8" ht="16.5">
      <c r="C5" s="259" t="s">
        <v>736</v>
      </c>
      <c r="D5" s="402" t="s">
        <v>26</v>
      </c>
      <c r="E5" s="402" t="s">
        <v>27</v>
      </c>
      <c r="F5" s="330">
        <v>43435</v>
      </c>
      <c r="G5" s="341">
        <v>26062.37</v>
      </c>
      <c r="H5" s="411" t="s">
        <v>1335</v>
      </c>
    </row>
    <row r="6" spans="3:8" ht="16.5">
      <c r="C6" s="259" t="s">
        <v>736</v>
      </c>
      <c r="D6" s="402" t="s">
        <v>230</v>
      </c>
      <c r="E6" s="402" t="s">
        <v>231</v>
      </c>
      <c r="F6" s="330">
        <v>43435</v>
      </c>
      <c r="G6" s="341">
        <v>10958.05</v>
      </c>
      <c r="H6" s="411" t="s">
        <v>1335</v>
      </c>
    </row>
    <row r="7" spans="3:8" ht="24">
      <c r="C7" s="259" t="s">
        <v>208</v>
      </c>
      <c r="D7" s="402" t="s">
        <v>819</v>
      </c>
      <c r="E7" s="402" t="s">
        <v>948</v>
      </c>
      <c r="F7" s="330">
        <v>43435</v>
      </c>
      <c r="G7" s="341">
        <v>18191.04</v>
      </c>
      <c r="H7" s="411" t="s">
        <v>1335</v>
      </c>
    </row>
    <row r="8" spans="3:8">
      <c r="C8" s="403"/>
      <c r="D8" s="403"/>
      <c r="E8" s="403"/>
      <c r="F8" s="403"/>
      <c r="G8" s="413">
        <f>SUM(G3:G7)</f>
        <v>221580.43999999997</v>
      </c>
      <c r="H8" s="403"/>
    </row>
    <row r="11" spans="3:8" ht="49.5">
      <c r="C11" s="273" t="s">
        <v>728</v>
      </c>
      <c r="D11" s="273" t="s">
        <v>729</v>
      </c>
      <c r="E11" s="328" t="s">
        <v>730</v>
      </c>
      <c r="F11" s="273" t="s">
        <v>731</v>
      </c>
      <c r="G11" s="298" t="s">
        <v>1322</v>
      </c>
      <c r="H11" s="280" t="s">
        <v>733</v>
      </c>
    </row>
    <row r="12" spans="3:8" ht="16.5">
      <c r="C12" s="259" t="s">
        <v>755</v>
      </c>
      <c r="D12" s="405" t="s">
        <v>1268</v>
      </c>
      <c r="E12" s="405" t="s">
        <v>1323</v>
      </c>
      <c r="F12" s="330">
        <v>43435</v>
      </c>
      <c r="G12" s="413">
        <v>220216.99</v>
      </c>
      <c r="H12" s="408" t="s">
        <v>376</v>
      </c>
    </row>
    <row r="13" spans="3:8" ht="16.5">
      <c r="C13" s="259" t="s">
        <v>755</v>
      </c>
      <c r="D13" s="405" t="s">
        <v>820</v>
      </c>
      <c r="E13" s="405" t="s">
        <v>821</v>
      </c>
      <c r="F13" s="330">
        <v>43436</v>
      </c>
      <c r="G13" s="413">
        <v>1885.1</v>
      </c>
      <c r="H13" s="408" t="s">
        <v>376</v>
      </c>
    </row>
    <row r="14" spans="3:8" ht="24">
      <c r="C14" s="259" t="s">
        <v>755</v>
      </c>
      <c r="D14" s="405" t="s">
        <v>578</v>
      </c>
      <c r="E14" s="409" t="s">
        <v>1336</v>
      </c>
      <c r="F14" s="330">
        <v>43437</v>
      </c>
      <c r="G14" s="413">
        <v>44123.63</v>
      </c>
      <c r="H14" s="408" t="s">
        <v>376</v>
      </c>
    </row>
    <row r="15" spans="3:8" ht="16.5">
      <c r="C15" s="259" t="s">
        <v>755</v>
      </c>
      <c r="D15" s="405" t="s">
        <v>81</v>
      </c>
      <c r="E15" s="409" t="s">
        <v>1337</v>
      </c>
      <c r="F15" s="330">
        <v>43438</v>
      </c>
      <c r="G15" s="413">
        <f>6384+25436.25</f>
        <v>31820.25</v>
      </c>
      <c r="H15" s="408" t="s">
        <v>376</v>
      </c>
    </row>
    <row r="16" spans="3:8" ht="16.5">
      <c r="C16" s="259" t="s">
        <v>755</v>
      </c>
      <c r="D16" s="405" t="s">
        <v>123</v>
      </c>
      <c r="E16" s="409" t="s">
        <v>1338</v>
      </c>
      <c r="F16" s="330">
        <v>43440</v>
      </c>
      <c r="G16" s="414">
        <v>189601.87</v>
      </c>
      <c r="H16" s="408" t="s">
        <v>376</v>
      </c>
    </row>
    <row r="17" spans="3:8" ht="16.5">
      <c r="C17" s="259" t="s">
        <v>755</v>
      </c>
      <c r="D17" s="405" t="s">
        <v>133</v>
      </c>
      <c r="E17" s="405" t="s">
        <v>134</v>
      </c>
      <c r="F17" s="330">
        <v>43441</v>
      </c>
      <c r="G17" s="413">
        <v>104811.85</v>
      </c>
      <c r="H17" s="408" t="s">
        <v>376</v>
      </c>
    </row>
    <row r="18" spans="3:8" ht="16.5">
      <c r="C18" s="259" t="s">
        <v>755</v>
      </c>
      <c r="D18" s="405" t="s">
        <v>135</v>
      </c>
      <c r="E18" s="405" t="s">
        <v>136</v>
      </c>
      <c r="F18" s="330">
        <v>43442</v>
      </c>
      <c r="G18" s="413">
        <v>1268.3699999999999</v>
      </c>
      <c r="H18" s="408" t="s">
        <v>376</v>
      </c>
    </row>
    <row r="19" spans="3:8" ht="16.5">
      <c r="C19" s="259" t="s">
        <v>755</v>
      </c>
      <c r="D19" s="405" t="s">
        <v>1324</v>
      </c>
      <c r="E19" s="409" t="s">
        <v>1339</v>
      </c>
      <c r="F19" s="330">
        <v>43443</v>
      </c>
      <c r="G19" s="413">
        <v>15040.08</v>
      </c>
      <c r="H19" s="408" t="s">
        <v>376</v>
      </c>
    </row>
    <row r="20" spans="3:8" ht="16.5">
      <c r="C20" s="259" t="s">
        <v>755</v>
      </c>
      <c r="D20" s="405" t="s">
        <v>1325</v>
      </c>
      <c r="E20" s="409" t="s">
        <v>1340</v>
      </c>
      <c r="F20" s="330">
        <v>43444</v>
      </c>
      <c r="G20" s="413">
        <v>261502.52</v>
      </c>
      <c r="H20" s="408" t="s">
        <v>376</v>
      </c>
    </row>
    <row r="21" spans="3:8" ht="24">
      <c r="C21" s="259" t="s">
        <v>755</v>
      </c>
      <c r="D21" s="405" t="s">
        <v>1326</v>
      </c>
      <c r="E21" s="409" t="s">
        <v>1341</v>
      </c>
      <c r="F21" s="330">
        <v>43447</v>
      </c>
      <c r="G21" s="413">
        <f>269996.72+3837.24+4419.36</f>
        <v>278253.31999999995</v>
      </c>
      <c r="H21" s="408" t="s">
        <v>376</v>
      </c>
    </row>
    <row r="22" spans="3:8" ht="16.5">
      <c r="C22" s="259" t="s">
        <v>755</v>
      </c>
      <c r="D22" s="405" t="s">
        <v>1327</v>
      </c>
      <c r="E22" s="409" t="s">
        <v>1342</v>
      </c>
      <c r="F22" s="330">
        <v>43448</v>
      </c>
      <c r="G22" s="413">
        <v>131107.66</v>
      </c>
      <c r="H22" s="408" t="s">
        <v>376</v>
      </c>
    </row>
    <row r="23" spans="3:8" ht="16.5">
      <c r="C23" s="259" t="s">
        <v>755</v>
      </c>
      <c r="D23" s="405" t="s">
        <v>22</v>
      </c>
      <c r="E23" s="409" t="s">
        <v>413</v>
      </c>
      <c r="F23" s="330">
        <v>43449</v>
      </c>
      <c r="G23" s="413">
        <v>64934.71</v>
      </c>
      <c r="H23" s="408" t="s">
        <v>376</v>
      </c>
    </row>
    <row r="24" spans="3:8" ht="16.5">
      <c r="C24" s="259" t="s">
        <v>755</v>
      </c>
      <c r="D24" s="405" t="s">
        <v>171</v>
      </c>
      <c r="E24" s="409" t="s">
        <v>713</v>
      </c>
      <c r="F24" s="330">
        <v>43450</v>
      </c>
      <c r="G24" s="413">
        <v>2083.48</v>
      </c>
      <c r="H24" s="408" t="s">
        <v>376</v>
      </c>
    </row>
    <row r="25" spans="3:8" ht="16.5">
      <c r="C25" s="259" t="s">
        <v>755</v>
      </c>
      <c r="D25" s="405" t="s">
        <v>1328</v>
      </c>
      <c r="E25" s="409" t="s">
        <v>1343</v>
      </c>
      <c r="F25" s="330">
        <v>43451</v>
      </c>
      <c r="G25" s="413">
        <v>997.29</v>
      </c>
      <c r="H25" s="408" t="s">
        <v>376</v>
      </c>
    </row>
    <row r="26" spans="3:8" ht="16.5">
      <c r="C26" s="259" t="s">
        <v>755</v>
      </c>
      <c r="D26" s="405" t="s">
        <v>1233</v>
      </c>
      <c r="E26" s="409" t="s">
        <v>1344</v>
      </c>
      <c r="F26" s="330">
        <v>43452</v>
      </c>
      <c r="G26" s="413">
        <v>1994.57</v>
      </c>
      <c r="H26" s="408" t="s">
        <v>376</v>
      </c>
    </row>
    <row r="27" spans="3:8" ht="16.5">
      <c r="C27" s="259" t="s">
        <v>755</v>
      </c>
      <c r="D27" s="405" t="s">
        <v>1085</v>
      </c>
      <c r="E27" s="409" t="s">
        <v>1345</v>
      </c>
      <c r="F27" s="330">
        <v>43453</v>
      </c>
      <c r="G27" s="413">
        <v>997.29</v>
      </c>
      <c r="H27" s="408" t="s">
        <v>376</v>
      </c>
    </row>
    <row r="28" spans="3:8" ht="16.5">
      <c r="C28" s="259" t="s">
        <v>755</v>
      </c>
      <c r="D28" s="405" t="s">
        <v>1329</v>
      </c>
      <c r="E28" s="409" t="s">
        <v>1346</v>
      </c>
      <c r="F28" s="330">
        <v>43454</v>
      </c>
      <c r="G28" s="413">
        <v>2991.86</v>
      </c>
      <c r="H28" s="408" t="s">
        <v>376</v>
      </c>
    </row>
    <row r="29" spans="3:8" ht="16.5">
      <c r="C29" s="259" t="s">
        <v>755</v>
      </c>
      <c r="D29" s="405" t="s">
        <v>238</v>
      </c>
      <c r="E29" s="405" t="s">
        <v>239</v>
      </c>
      <c r="F29" s="330">
        <v>43455</v>
      </c>
      <c r="G29" s="413">
        <v>13615.87</v>
      </c>
      <c r="H29" s="408" t="s">
        <v>376</v>
      </c>
    </row>
    <row r="30" spans="3:8" ht="24">
      <c r="C30" s="259" t="s">
        <v>755</v>
      </c>
      <c r="D30" s="405" t="s">
        <v>862</v>
      </c>
      <c r="E30" s="406" t="s">
        <v>1330</v>
      </c>
      <c r="F30" s="330">
        <v>43456</v>
      </c>
      <c r="G30" s="413">
        <v>42181.120000000003</v>
      </c>
      <c r="H30" s="408" t="s">
        <v>376</v>
      </c>
    </row>
    <row r="31" spans="3:8" ht="24">
      <c r="C31" s="259" t="s">
        <v>755</v>
      </c>
      <c r="D31" s="405" t="s">
        <v>828</v>
      </c>
      <c r="E31" s="406" t="s">
        <v>829</v>
      </c>
      <c r="F31" s="330">
        <v>43457</v>
      </c>
      <c r="G31" s="413">
        <v>63272.131999999998</v>
      </c>
      <c r="H31" s="408" t="s">
        <v>376</v>
      </c>
    </row>
    <row r="32" spans="3:8" ht="16.5">
      <c r="C32" s="259" t="s">
        <v>755</v>
      </c>
      <c r="D32" s="405" t="s">
        <v>1119</v>
      </c>
      <c r="E32" s="409" t="s">
        <v>1347</v>
      </c>
      <c r="F32" s="330">
        <v>43458</v>
      </c>
      <c r="G32" s="413">
        <v>3698113.1</v>
      </c>
      <c r="H32" s="408" t="s">
        <v>376</v>
      </c>
    </row>
    <row r="33" spans="3:8" ht="16.5">
      <c r="C33" s="259" t="s">
        <v>755</v>
      </c>
      <c r="D33" s="405" t="s">
        <v>1270</v>
      </c>
      <c r="E33" s="409" t="s">
        <v>1348</v>
      </c>
      <c r="F33" s="330">
        <v>43459</v>
      </c>
      <c r="G33" s="413">
        <v>77076.12</v>
      </c>
      <c r="H33" s="408" t="s">
        <v>376</v>
      </c>
    </row>
    <row r="34" spans="3:8" ht="16.5">
      <c r="C34" s="259" t="s">
        <v>755</v>
      </c>
      <c r="D34" s="405" t="s">
        <v>1331</v>
      </c>
      <c r="E34" s="409" t="s">
        <v>1349</v>
      </c>
      <c r="F34" s="330">
        <v>43460</v>
      </c>
      <c r="G34" s="413">
        <v>1117152.54</v>
      </c>
      <c r="H34" s="408" t="s">
        <v>376</v>
      </c>
    </row>
    <row r="35" spans="3:8" ht="24">
      <c r="C35" s="259" t="s">
        <v>755</v>
      </c>
      <c r="D35" s="405" t="s">
        <v>1271</v>
      </c>
      <c r="E35" s="405" t="s">
        <v>1332</v>
      </c>
      <c r="F35" s="330">
        <v>43461</v>
      </c>
      <c r="G35" s="413">
        <v>213896.1</v>
      </c>
      <c r="H35" s="408" t="s">
        <v>376</v>
      </c>
    </row>
    <row r="36" spans="3:8" ht="16.5">
      <c r="C36" s="259" t="s">
        <v>755</v>
      </c>
      <c r="D36" s="405" t="s">
        <v>1243</v>
      </c>
      <c r="E36" s="409" t="s">
        <v>1350</v>
      </c>
      <c r="F36" s="330">
        <v>43462</v>
      </c>
      <c r="G36" s="413">
        <v>6600</v>
      </c>
      <c r="H36" s="408" t="s">
        <v>376</v>
      </c>
    </row>
    <row r="37" spans="3:8" s="408" customFormat="1" ht="16.5">
      <c r="C37" s="259" t="s">
        <v>755</v>
      </c>
      <c r="D37" s="416" t="s">
        <v>167</v>
      </c>
      <c r="E37" s="416" t="s">
        <v>168</v>
      </c>
      <c r="F37" s="330">
        <v>43462</v>
      </c>
      <c r="G37" s="415">
        <v>576.53</v>
      </c>
    </row>
    <row r="38" spans="3:8" s="408" customFormat="1" ht="16.5">
      <c r="C38" s="259" t="s">
        <v>755</v>
      </c>
      <c r="D38" s="417" t="s">
        <v>580</v>
      </c>
      <c r="E38" s="417" t="s">
        <v>581</v>
      </c>
      <c r="F38" s="330">
        <v>43462</v>
      </c>
      <c r="G38" s="419">
        <v>37627.56</v>
      </c>
    </row>
    <row r="39" spans="3:8" s="408" customFormat="1" ht="16.5">
      <c r="C39" s="259" t="s">
        <v>755</v>
      </c>
      <c r="D39" s="417" t="s">
        <v>582</v>
      </c>
      <c r="E39" s="417" t="s">
        <v>583</v>
      </c>
      <c r="F39" s="330">
        <v>43462</v>
      </c>
      <c r="G39" s="419">
        <v>63334.54</v>
      </c>
    </row>
    <row r="40" spans="3:8" s="408" customFormat="1" ht="16.5">
      <c r="C40" s="259" t="s">
        <v>755</v>
      </c>
      <c r="D40" s="417" t="s">
        <v>823</v>
      </c>
      <c r="E40" s="417" t="s">
        <v>824</v>
      </c>
      <c r="F40" s="330">
        <v>43462</v>
      </c>
      <c r="G40" s="419">
        <v>16999.79</v>
      </c>
    </row>
    <row r="41" spans="3:8" s="408" customFormat="1" ht="16.5">
      <c r="C41" s="259" t="s">
        <v>755</v>
      </c>
      <c r="D41" s="417" t="s">
        <v>1117</v>
      </c>
      <c r="E41" s="417" t="s">
        <v>1292</v>
      </c>
      <c r="F41" s="330">
        <v>43462</v>
      </c>
      <c r="G41" s="419">
        <v>17446.16</v>
      </c>
    </row>
    <row r="42" spans="3:8">
      <c r="C42" s="404"/>
      <c r="D42" s="404"/>
      <c r="E42" s="404"/>
      <c r="F42" s="404"/>
      <c r="G42" s="414">
        <f>SUM(G12:G41)</f>
        <v>6721522.4020000007</v>
      </c>
    </row>
    <row r="45" spans="3:8" ht="49.5">
      <c r="C45" s="273" t="s">
        <v>728</v>
      </c>
      <c r="D45" s="273" t="s">
        <v>729</v>
      </c>
      <c r="E45" s="328" t="s">
        <v>730</v>
      </c>
      <c r="F45" s="273" t="s">
        <v>731</v>
      </c>
      <c r="G45" s="274" t="s">
        <v>1267</v>
      </c>
      <c r="H45" s="274" t="s">
        <v>857</v>
      </c>
    </row>
    <row r="46" spans="3:8" ht="16.5">
      <c r="C46" s="259" t="s">
        <v>925</v>
      </c>
      <c r="D46" s="407" t="s">
        <v>1119</v>
      </c>
      <c r="E46" s="410" t="s">
        <v>1347</v>
      </c>
      <c r="F46" s="330">
        <v>43435</v>
      </c>
      <c r="G46" s="384">
        <v>1849056.61</v>
      </c>
      <c r="H46" s="408" t="s">
        <v>378</v>
      </c>
    </row>
    <row r="47" spans="3:8">
      <c r="C47" s="412"/>
      <c r="D47" s="412"/>
      <c r="E47" s="412"/>
      <c r="F47" s="412"/>
      <c r="G47" s="413">
        <f>SUM(G46)</f>
        <v>1849056.61</v>
      </c>
    </row>
    <row r="50" spans="3:7" ht="49.5">
      <c r="C50" s="273" t="s">
        <v>728</v>
      </c>
      <c r="D50" s="273" t="s">
        <v>729</v>
      </c>
      <c r="E50" s="328" t="s">
        <v>730</v>
      </c>
      <c r="F50" s="273" t="s">
        <v>731</v>
      </c>
      <c r="G50" s="274" t="s">
        <v>1267</v>
      </c>
    </row>
    <row r="51" spans="3:7">
      <c r="C51" s="149" t="s">
        <v>1334</v>
      </c>
      <c r="D51" s="410" t="s">
        <v>75</v>
      </c>
      <c r="E51" s="410" t="s">
        <v>76</v>
      </c>
      <c r="F51" s="330">
        <v>43435</v>
      </c>
      <c r="G51" s="341">
        <v>153077.37</v>
      </c>
    </row>
    <row r="52" spans="3:7">
      <c r="C52" s="149" t="s">
        <v>1334</v>
      </c>
      <c r="D52" s="410" t="s">
        <v>77</v>
      </c>
      <c r="E52" s="410" t="s">
        <v>78</v>
      </c>
      <c r="F52" s="330">
        <v>43435</v>
      </c>
      <c r="G52" s="341">
        <v>6387.42</v>
      </c>
    </row>
    <row r="53" spans="3:7">
      <c r="C53" s="149" t="s">
        <v>1334</v>
      </c>
      <c r="D53" s="410" t="s">
        <v>1034</v>
      </c>
      <c r="E53" s="410" t="s">
        <v>1333</v>
      </c>
      <c r="F53" s="330">
        <v>43435</v>
      </c>
      <c r="G53" s="341">
        <v>2589.42</v>
      </c>
    </row>
    <row r="54" spans="3:7">
      <c r="C54" s="149" t="s">
        <v>1334</v>
      </c>
      <c r="D54" s="410" t="s">
        <v>830</v>
      </c>
      <c r="E54" s="410" t="s">
        <v>832</v>
      </c>
      <c r="F54" s="330">
        <v>43435</v>
      </c>
      <c r="G54" s="341">
        <v>1493892.34</v>
      </c>
    </row>
    <row r="55" spans="3:7">
      <c r="C55" s="412"/>
      <c r="D55" s="412"/>
      <c r="E55" s="412"/>
      <c r="F55" s="412"/>
      <c r="G55" s="413">
        <f>SUM(G51:G54)</f>
        <v>1655946.55</v>
      </c>
    </row>
  </sheetData>
  <phoneticPr fontId="4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sheetPr>
    <tabColor rgb="FFFF0000"/>
  </sheetPr>
  <dimension ref="B1:CG914"/>
  <sheetViews>
    <sheetView tabSelected="1" topLeftCell="A55" zoomScale="90" zoomScaleNormal="90" workbookViewId="0">
      <selection activeCell="BV11" sqref="BV11"/>
    </sheetView>
  </sheetViews>
  <sheetFormatPr defaultRowHeight="17.25" customHeight="1"/>
  <cols>
    <col min="1" max="1" width="9.140625" style="363"/>
    <col min="2" max="2" width="9.5703125" style="363" bestFit="1" customWidth="1"/>
    <col min="3" max="3" width="9.140625" style="363"/>
    <col min="4" max="4" width="10.5703125" style="363" customWidth="1"/>
    <col min="5" max="5" width="37" style="363" customWidth="1"/>
    <col min="6" max="6" width="12.5703125" style="571" bestFit="1" customWidth="1"/>
    <col min="7" max="7" width="18.28515625" style="424" customWidth="1"/>
    <col min="8" max="8" width="14.85546875" style="424" hidden="1" customWidth="1"/>
    <col min="9" max="10" width="16.28515625" style="424" hidden="1" customWidth="1"/>
    <col min="11" max="11" width="15.140625" style="441" hidden="1" customWidth="1"/>
    <col min="12" max="12" width="17.7109375" style="363" hidden="1" customWidth="1"/>
    <col min="13" max="13" width="15.140625" style="363" hidden="1" customWidth="1"/>
    <col min="14" max="14" width="15.5703125" style="441" hidden="1" customWidth="1"/>
    <col min="15" max="15" width="15.140625" style="363" hidden="1" customWidth="1"/>
    <col min="16" max="16" width="9.140625" style="363" hidden="1" customWidth="1"/>
    <col min="17" max="17" width="15.140625" style="441" hidden="1" customWidth="1"/>
    <col min="18" max="18" width="15.140625" style="363" hidden="1" customWidth="1"/>
    <col min="19" max="19" width="9.140625" style="363" hidden="1" customWidth="1"/>
    <col min="20" max="21" width="15.140625" style="363" hidden="1" customWidth="1"/>
    <col min="22" max="22" width="9.140625" style="363" hidden="1" customWidth="1"/>
    <col min="23" max="24" width="15.140625" style="363" hidden="1" customWidth="1"/>
    <col min="25" max="25" width="9.140625" style="363" hidden="1" customWidth="1"/>
    <col min="26" max="27" width="16.28515625" style="363" hidden="1" customWidth="1"/>
    <col min="28" max="28" width="9.140625" style="363" hidden="1" customWidth="1"/>
    <col min="29" max="29" width="13.28515625" style="363" hidden="1" customWidth="1"/>
    <col min="30" max="30" width="15.140625" style="363" hidden="1" customWidth="1"/>
    <col min="31" max="31" width="9.140625" style="363" hidden="1" customWidth="1"/>
    <col min="32" max="33" width="15.140625" style="363" hidden="1" customWidth="1"/>
    <col min="34" max="34" width="9.140625" style="363" hidden="1" customWidth="1"/>
    <col min="35" max="36" width="15.140625" style="363" hidden="1" customWidth="1"/>
    <col min="37" max="37" width="13.28515625" style="363" hidden="1" customWidth="1"/>
    <col min="38" max="38" width="15.140625" style="363" hidden="1" customWidth="1"/>
    <col min="39" max="39" width="16.140625" style="363" hidden="1" customWidth="1"/>
    <col min="40" max="40" width="9.140625" style="363" hidden="1" customWidth="1"/>
    <col min="41" max="41" width="15.140625" style="363" hidden="1" customWidth="1"/>
    <col min="42" max="42" width="17.140625" style="363" hidden="1" customWidth="1"/>
    <col min="43" max="43" width="9.140625" style="363" hidden="1" customWidth="1"/>
    <col min="44" max="44" width="15.85546875" style="363" hidden="1" customWidth="1"/>
    <col min="45" max="45" width="15.85546875" style="470" hidden="1" customWidth="1"/>
    <col min="46" max="54" width="15.85546875" style="363" hidden="1" customWidth="1"/>
    <col min="55" max="55" width="9.140625" style="363" hidden="1" customWidth="1"/>
    <col min="56" max="56" width="18.5703125" style="363" hidden="1" customWidth="1"/>
    <col min="57" max="57" width="17.140625" style="363" hidden="1" customWidth="1"/>
    <col min="58" max="58" width="9.140625" style="363" hidden="1" customWidth="1"/>
    <col min="59" max="59" width="15.85546875" style="363" hidden="1" customWidth="1"/>
    <col min="60" max="60" width="17.140625" style="363" hidden="1" customWidth="1"/>
    <col min="61" max="61" width="9.140625" style="363" hidden="1" customWidth="1"/>
    <col min="62" max="62" width="15.85546875" style="363" hidden="1" customWidth="1"/>
    <col min="63" max="63" width="17.140625" style="363" hidden="1" customWidth="1"/>
    <col min="64" max="64" width="9.140625" style="363" hidden="1" customWidth="1"/>
    <col min="65" max="65" width="15.85546875" style="363" hidden="1" customWidth="1"/>
    <col min="66" max="66" width="17.140625" style="363" hidden="1" customWidth="1"/>
    <col min="67" max="67" width="9.140625" style="363" hidden="1" customWidth="1"/>
    <col min="68" max="68" width="15.85546875" style="363" hidden="1" customWidth="1"/>
    <col min="69" max="69" width="17.140625" style="363" hidden="1" customWidth="1"/>
    <col min="70" max="70" width="0" style="363" hidden="1" customWidth="1"/>
    <col min="71" max="71" width="15.85546875" style="363" hidden="1" customWidth="1"/>
    <col min="72" max="72" width="17.140625" style="363" hidden="1" customWidth="1"/>
    <col min="73" max="73" width="0" style="363" hidden="1" customWidth="1"/>
    <col min="74" max="74" width="15.85546875" style="363" bestFit="1" customWidth="1"/>
    <col min="75" max="75" width="17.140625" style="363" bestFit="1" customWidth="1"/>
    <col min="76" max="76" width="9.140625" style="363"/>
    <col min="77" max="77" width="14.140625" style="363" bestFit="1" customWidth="1"/>
    <col min="78" max="78" width="17.140625" style="363" bestFit="1" customWidth="1"/>
    <col min="79" max="16384" width="9.140625" style="363"/>
  </cols>
  <sheetData>
    <row r="1" spans="2:85" s="447" customFormat="1" ht="17.25" customHeight="1">
      <c r="B1" s="561" t="s">
        <v>2324</v>
      </c>
      <c r="E1" s="12" t="s">
        <v>2323</v>
      </c>
      <c r="F1" s="530"/>
      <c r="G1" s="440"/>
      <c r="H1" s="440"/>
      <c r="I1" s="440"/>
      <c r="J1" s="440"/>
      <c r="K1" s="444"/>
      <c r="N1" s="444"/>
      <c r="Q1" s="444"/>
      <c r="AS1" s="460"/>
    </row>
    <row r="2" spans="2:85" s="447" customFormat="1" ht="17.25" customHeight="1">
      <c r="B2" s="529" t="s">
        <v>1367</v>
      </c>
      <c r="C2" s="531" t="s">
        <v>718</v>
      </c>
      <c r="D2" s="531" t="s">
        <v>719</v>
      </c>
      <c r="E2" s="531" t="s">
        <v>720</v>
      </c>
      <c r="F2" s="532" t="s">
        <v>721</v>
      </c>
      <c r="G2" s="533" t="s">
        <v>1379</v>
      </c>
      <c r="H2" s="536" t="s">
        <v>1357</v>
      </c>
      <c r="I2" s="536" t="s">
        <v>1358</v>
      </c>
      <c r="J2" s="536" t="s">
        <v>1366</v>
      </c>
      <c r="K2" s="534" t="s">
        <v>1362</v>
      </c>
      <c r="L2" s="536" t="s">
        <v>1363</v>
      </c>
      <c r="M2" s="536" t="s">
        <v>1366</v>
      </c>
      <c r="N2" s="534" t="s">
        <v>1441</v>
      </c>
      <c r="O2" s="536" t="s">
        <v>1442</v>
      </c>
      <c r="P2" s="536" t="s">
        <v>1366</v>
      </c>
      <c r="Q2" s="534" t="s">
        <v>881</v>
      </c>
      <c r="R2" s="536" t="s">
        <v>1513</v>
      </c>
      <c r="S2" s="536" t="s">
        <v>1366</v>
      </c>
      <c r="T2" s="534" t="s">
        <v>1560</v>
      </c>
      <c r="U2" s="536" t="s">
        <v>1561</v>
      </c>
      <c r="V2" s="536" t="s">
        <v>1366</v>
      </c>
      <c r="W2" s="534" t="s">
        <v>1619</v>
      </c>
      <c r="X2" s="536" t="s">
        <v>1620</v>
      </c>
      <c r="Y2" s="536" t="s">
        <v>1366</v>
      </c>
      <c r="Z2" s="534" t="s">
        <v>1658</v>
      </c>
      <c r="AA2" s="536" t="s">
        <v>1659</v>
      </c>
      <c r="AB2" s="536" t="s">
        <v>1366</v>
      </c>
      <c r="AC2" s="534" t="s">
        <v>1685</v>
      </c>
      <c r="AD2" s="536" t="s">
        <v>1688</v>
      </c>
      <c r="AE2" s="536" t="s">
        <v>1366</v>
      </c>
      <c r="AF2" s="534" t="s">
        <v>1690</v>
      </c>
      <c r="AG2" s="536" t="s">
        <v>1691</v>
      </c>
      <c r="AH2" s="536" t="s">
        <v>1366</v>
      </c>
      <c r="AI2" s="534" t="s">
        <v>1692</v>
      </c>
      <c r="AJ2" s="536" t="s">
        <v>1693</v>
      </c>
      <c r="AK2" s="536" t="s">
        <v>1366</v>
      </c>
      <c r="AL2" s="534" t="s">
        <v>1694</v>
      </c>
      <c r="AM2" s="536" t="s">
        <v>1695</v>
      </c>
      <c r="AN2" s="536" t="s">
        <v>1366</v>
      </c>
      <c r="AO2" s="534" t="s">
        <v>1696</v>
      </c>
      <c r="AP2" s="536" t="s">
        <v>1697</v>
      </c>
      <c r="AQ2" s="536" t="s">
        <v>1366</v>
      </c>
      <c r="AR2" s="534" t="s">
        <v>2035</v>
      </c>
      <c r="AS2" s="535" t="s">
        <v>1358</v>
      </c>
      <c r="AT2" s="536" t="s">
        <v>1366</v>
      </c>
      <c r="AU2" s="534" t="s">
        <v>2072</v>
      </c>
      <c r="AV2" s="535" t="s">
        <v>1361</v>
      </c>
      <c r="AW2" s="536" t="s">
        <v>1366</v>
      </c>
      <c r="AX2" s="534" t="s">
        <v>2074</v>
      </c>
      <c r="AY2" s="535" t="s">
        <v>1442</v>
      </c>
      <c r="AZ2" s="536" t="s">
        <v>1366</v>
      </c>
      <c r="BA2" s="534" t="s">
        <v>2127</v>
      </c>
      <c r="BB2" s="535" t="s">
        <v>2128</v>
      </c>
      <c r="BC2" s="536" t="s">
        <v>1366</v>
      </c>
      <c r="BD2" s="534" t="s">
        <v>2231</v>
      </c>
      <c r="BE2" s="535" t="s">
        <v>2232</v>
      </c>
      <c r="BF2" s="536" t="s">
        <v>1366</v>
      </c>
      <c r="BG2" s="534" t="s">
        <v>2233</v>
      </c>
      <c r="BH2" s="535" t="s">
        <v>2234</v>
      </c>
      <c r="BI2" s="536" t="s">
        <v>1366</v>
      </c>
      <c r="BJ2" s="447" t="s">
        <v>2313</v>
      </c>
      <c r="BK2" s="447" t="s">
        <v>2314</v>
      </c>
      <c r="BL2" s="447" t="s">
        <v>2315</v>
      </c>
      <c r="BM2" s="447" t="s">
        <v>2316</v>
      </c>
      <c r="BN2" s="447" t="s">
        <v>2317</v>
      </c>
      <c r="BO2" s="447" t="s">
        <v>2315</v>
      </c>
      <c r="BP2" s="447" t="s">
        <v>2346</v>
      </c>
      <c r="BQ2" s="447" t="s">
        <v>2347</v>
      </c>
      <c r="BR2" s="447" t="s">
        <v>2315</v>
      </c>
      <c r="BS2" s="447" t="s">
        <v>2369</v>
      </c>
      <c r="BT2" s="447" t="s">
        <v>2370</v>
      </c>
      <c r="BU2" s="447" t="s">
        <v>2315</v>
      </c>
      <c r="BV2" s="447" t="s">
        <v>2394</v>
      </c>
      <c r="BW2" s="447" t="s">
        <v>2395</v>
      </c>
      <c r="BX2" s="447" t="s">
        <v>2315</v>
      </c>
      <c r="BY2" s="447" t="s">
        <v>2409</v>
      </c>
      <c r="BZ2" s="447" t="s">
        <v>2410</v>
      </c>
      <c r="CA2" s="447" t="s">
        <v>2315</v>
      </c>
    </row>
    <row r="3" spans="2:85" s="447" customFormat="1" ht="17.25" customHeight="1">
      <c r="B3" s="447" t="str">
        <f t="shared" ref="B3:B66" si="0">LEFT(D3,6)</f>
        <v>CU0468</v>
      </c>
      <c r="C3" s="67" t="s">
        <v>209</v>
      </c>
      <c r="D3" s="428" t="s">
        <v>1944</v>
      </c>
      <c r="E3" s="260" t="s">
        <v>717</v>
      </c>
      <c r="F3" s="429">
        <v>43070</v>
      </c>
      <c r="G3" s="430">
        <v>932505.90207547171</v>
      </c>
      <c r="H3" s="440">
        <v>150000</v>
      </c>
      <c r="I3" s="440">
        <f>G3-H3</f>
        <v>782505.90207547171</v>
      </c>
      <c r="J3" s="440" t="s">
        <v>1368</v>
      </c>
      <c r="K3" s="441">
        <v>400000</v>
      </c>
      <c r="L3" s="462">
        <f>ROUND(I3-K3,2)</f>
        <v>382505.9</v>
      </c>
      <c r="M3" s="462" t="s">
        <v>1461</v>
      </c>
      <c r="N3" s="444"/>
      <c r="O3" s="462">
        <f>L3-N3</f>
        <v>382505.9</v>
      </c>
      <c r="P3" s="447" t="s">
        <v>1522</v>
      </c>
      <c r="Q3" s="444">
        <v>111664.2</v>
      </c>
      <c r="R3" s="462">
        <f>O3-Q3</f>
        <v>270841.7</v>
      </c>
      <c r="S3" s="447" t="s">
        <v>1580</v>
      </c>
      <c r="U3" s="462">
        <f>R3-T3</f>
        <v>270841.7</v>
      </c>
      <c r="V3" s="447" t="s">
        <v>1626</v>
      </c>
      <c r="X3" s="462">
        <f>U3-W3</f>
        <v>270841.7</v>
      </c>
      <c r="Y3" s="447" t="s">
        <v>1661</v>
      </c>
      <c r="AA3" s="462">
        <f>ROUND(X3-Z3,2)</f>
        <v>270841.7</v>
      </c>
      <c r="AB3" s="447" t="s">
        <v>1716</v>
      </c>
      <c r="AD3" s="462">
        <f>AA3-AC3</f>
        <v>270841.7</v>
      </c>
      <c r="AE3" s="447" t="s">
        <v>1753</v>
      </c>
      <c r="AG3" s="462">
        <f>AD3-AF3</f>
        <v>270841.7</v>
      </c>
      <c r="AH3" s="447" t="s">
        <v>1819</v>
      </c>
      <c r="AJ3" s="462">
        <f>AG3-AI3</f>
        <v>270841.7</v>
      </c>
      <c r="AK3" s="447" t="s">
        <v>1862</v>
      </c>
      <c r="AM3" s="462">
        <f>AJ3-AL3</f>
        <v>270841.7</v>
      </c>
      <c r="AN3" s="447" t="s">
        <v>1948</v>
      </c>
      <c r="AP3" s="462">
        <f>AM3-AO3</f>
        <v>270841.7</v>
      </c>
      <c r="AQ3" s="447" t="s">
        <v>1995</v>
      </c>
      <c r="AS3" s="459">
        <f>AP3-AR3</f>
        <v>270841.7</v>
      </c>
      <c r="AV3" s="462">
        <f>AS3-AU3</f>
        <v>270841.7</v>
      </c>
      <c r="AW3" s="447" t="s">
        <v>2107</v>
      </c>
      <c r="AY3" s="462">
        <f>AV3-AX3</f>
        <v>270841.7</v>
      </c>
      <c r="AZ3" s="447" t="s">
        <v>2131</v>
      </c>
      <c r="BB3" s="462">
        <f>AY3-BA3</f>
        <v>270841.7</v>
      </c>
      <c r="BC3" s="447" t="s">
        <v>2204</v>
      </c>
      <c r="BE3" s="462">
        <f>BB3-BD3</f>
        <v>270841.7</v>
      </c>
      <c r="BF3" s="447" t="s">
        <v>2237</v>
      </c>
      <c r="BH3" s="462">
        <f>BE3-BG3</f>
        <v>270841.7</v>
      </c>
      <c r="BK3" s="462">
        <f>BH3-BJ3</f>
        <v>270841.7</v>
      </c>
      <c r="BL3" s="447" t="s">
        <v>2339</v>
      </c>
      <c r="BN3" s="462">
        <f>BK3-BM3</f>
        <v>270841.7</v>
      </c>
      <c r="BO3" s="447" t="s">
        <v>2365</v>
      </c>
      <c r="BP3" s="447">
        <f>ROUND(90200.03/1.06,2)</f>
        <v>85094.37</v>
      </c>
      <c r="BQ3" s="462">
        <f>ROUND((BN3-BP3),2)</f>
        <v>185747.33</v>
      </c>
      <c r="BR3" s="447" t="s">
        <v>2374</v>
      </c>
      <c r="BS3" s="462">
        <f>BQ3</f>
        <v>185747.33</v>
      </c>
      <c r="BT3" s="462">
        <f>ROUND((BQ3-BS3),2)</f>
        <v>0</v>
      </c>
      <c r="BW3" s="462">
        <f>ROUND((BT3-BV3),2)</f>
        <v>0</v>
      </c>
      <c r="BZ3" s="462">
        <f>ROUND((BW3-BY3),2)</f>
        <v>0</v>
      </c>
      <c r="CD3" s="418" t="str">
        <f>B3&amp;$B$1</f>
        <v>CU0468001</v>
      </c>
      <c r="CE3" s="442" t="str">
        <f>YEAR(F3)&amp;"年"&amp;MONTH(F3)&amp;"月"</f>
        <v>2017年12月</v>
      </c>
      <c r="CF3" s="418" t="str">
        <f>LEFT(E3,5)&amp;$E$1</f>
        <v>包商银行clife服务费暂估</v>
      </c>
      <c r="CG3" s="418" t="str">
        <f t="shared" ref="CG3" si="1">CE3&amp;CF3</f>
        <v>2017年12月包商银行clife服务费暂估</v>
      </c>
    </row>
    <row r="4" spans="2:85" s="447" customFormat="1" ht="17.25" customHeight="1">
      <c r="B4" s="447" t="str">
        <f t="shared" si="0"/>
        <v>CU0411</v>
      </c>
      <c r="C4" s="431" t="s">
        <v>755</v>
      </c>
      <c r="D4" s="432" t="s">
        <v>767</v>
      </c>
      <c r="E4" s="432" t="s">
        <v>768</v>
      </c>
      <c r="F4" s="433">
        <v>43101</v>
      </c>
      <c r="G4" s="430">
        <v>2499.7299999999996</v>
      </c>
      <c r="H4" s="440"/>
      <c r="I4" s="440">
        <f t="shared" ref="I4:I67" si="2">G4-H4</f>
        <v>2499.7299999999996</v>
      </c>
      <c r="J4" s="440" t="s">
        <v>1368</v>
      </c>
      <c r="K4" s="444"/>
      <c r="L4" s="462">
        <f t="shared" ref="L4:L67" si="3">ROUND(I4-K4,2)</f>
        <v>2499.73</v>
      </c>
      <c r="M4" s="462" t="s">
        <v>1461</v>
      </c>
      <c r="N4" s="444">
        <v>2543.88</v>
      </c>
      <c r="O4" s="462">
        <f t="shared" ref="O4:O67" si="4">L4-N4</f>
        <v>-44.150000000000091</v>
      </c>
      <c r="P4" s="447" t="s">
        <v>1522</v>
      </c>
      <c r="R4" s="462">
        <f t="shared" ref="R4:R67" si="5">O4-Q4</f>
        <v>-44.150000000000091</v>
      </c>
      <c r="S4" s="447" t="s">
        <v>1580</v>
      </c>
      <c r="U4" s="462">
        <f t="shared" ref="U4:U67" si="6">R4-T4</f>
        <v>-44.150000000000091</v>
      </c>
      <c r="V4" s="447" t="s">
        <v>1626</v>
      </c>
      <c r="X4" s="462">
        <f t="shared" ref="X4:X67" si="7">U4-W4</f>
        <v>-44.150000000000091</v>
      </c>
      <c r="Y4" s="447" t="s">
        <v>1661</v>
      </c>
      <c r="AA4" s="462">
        <v>0</v>
      </c>
      <c r="AB4" s="447" t="s">
        <v>1716</v>
      </c>
      <c r="AD4" s="462">
        <f t="shared" ref="AD4:AD67" si="8">AA4-AC4</f>
        <v>0</v>
      </c>
      <c r="AG4" s="462">
        <f t="shared" ref="AG4:AG67" si="9">AD4-AF4</f>
        <v>0</v>
      </c>
      <c r="AH4" s="447" t="s">
        <v>1819</v>
      </c>
      <c r="AJ4" s="462">
        <f t="shared" ref="AJ4:AJ67" si="10">AG4-AI4</f>
        <v>0</v>
      </c>
      <c r="AM4" s="462">
        <f t="shared" ref="AM4:AM67" si="11">AJ4-AL4</f>
        <v>0</v>
      </c>
      <c r="AN4" s="447" t="s">
        <v>1948</v>
      </c>
      <c r="AP4" s="462">
        <f t="shared" ref="AP4:AP67" si="12">AM4-AO4</f>
        <v>0</v>
      </c>
      <c r="AQ4" s="447" t="s">
        <v>1995</v>
      </c>
      <c r="AS4" s="459">
        <f t="shared" ref="AS4:AS67" si="13">AP4-AR4</f>
        <v>0</v>
      </c>
      <c r="AV4" s="462">
        <f t="shared" ref="AV4:AV67" si="14">AS4-AU4</f>
        <v>0</v>
      </c>
      <c r="AY4" s="462">
        <f t="shared" ref="AY4:AY67" si="15">AV4-AX4</f>
        <v>0</v>
      </c>
      <c r="BB4" s="462">
        <f t="shared" ref="BB4:BB67" si="16">AY4-BA4</f>
        <v>0</v>
      </c>
      <c r="BC4" s="447" t="s">
        <v>2204</v>
      </c>
      <c r="BE4" s="462">
        <f t="shared" ref="BE4:BE67" si="17">BB4-BD4</f>
        <v>0</v>
      </c>
      <c r="BH4" s="462">
        <f t="shared" ref="BH4:BH67" si="18">BE4-BG4</f>
        <v>0</v>
      </c>
      <c r="BK4" s="462">
        <f t="shared" ref="BK4:BK67" si="19">BH4-BJ4</f>
        <v>0</v>
      </c>
      <c r="BN4" s="462">
        <f t="shared" ref="BN4:BN67" si="20">BK4-BM4</f>
        <v>0</v>
      </c>
      <c r="BQ4" s="462">
        <f t="shared" ref="BQ4:BQ67" si="21">ROUND((BN4-BP4),2)</f>
        <v>0</v>
      </c>
      <c r="BT4" s="462">
        <f t="shared" ref="BT4:BT67" si="22">ROUND((BQ4-BS4),2)</f>
        <v>0</v>
      </c>
      <c r="BW4" s="462">
        <f t="shared" ref="BW4:BW67" si="23">ROUND((BT4-BV4),2)</f>
        <v>0</v>
      </c>
      <c r="BZ4" s="462">
        <f t="shared" ref="BZ4:BZ67" si="24">ROUND((BW4-BY4),2)</f>
        <v>0</v>
      </c>
      <c r="CD4" s="418" t="str">
        <f t="shared" ref="CD4:CD67" si="25">B4&amp;$B$1</f>
        <v>CU0411001</v>
      </c>
      <c r="CE4" s="442" t="str">
        <f t="shared" ref="CE4:CE67" si="26">YEAR(F4)&amp;"年"&amp;MONTH(F4)&amp;"月"</f>
        <v>2018年1月</v>
      </c>
      <c r="CF4" s="418" t="str">
        <f t="shared" ref="CF4:CF67" si="27">LEFT(E4,5)&amp;$E$1</f>
        <v>上海利夫兰clife服务费暂估</v>
      </c>
      <c r="CG4" s="418" t="str">
        <f t="shared" ref="CG4:CG67" si="28">CE4&amp;CF4</f>
        <v>2018年1月上海利夫兰clife服务费暂估</v>
      </c>
    </row>
    <row r="5" spans="2:85" s="447" customFormat="1" ht="17.25" customHeight="1">
      <c r="B5" s="447" t="str">
        <f t="shared" si="0"/>
        <v>CU0531</v>
      </c>
      <c r="C5" s="431" t="s">
        <v>755</v>
      </c>
      <c r="D5" s="432" t="s">
        <v>773</v>
      </c>
      <c r="E5" s="432" t="s">
        <v>774</v>
      </c>
      <c r="F5" s="433">
        <v>43101</v>
      </c>
      <c r="G5" s="430">
        <v>15234.400000000007</v>
      </c>
      <c r="H5" s="440"/>
      <c r="I5" s="440">
        <f t="shared" si="2"/>
        <v>15234.400000000007</v>
      </c>
      <c r="J5" s="440" t="s">
        <v>1368</v>
      </c>
      <c r="K5" s="444"/>
      <c r="L5" s="462">
        <f t="shared" si="3"/>
        <v>15234.4</v>
      </c>
      <c r="M5" s="462" t="s">
        <v>1461</v>
      </c>
      <c r="N5" s="444"/>
      <c r="O5" s="462">
        <f t="shared" si="4"/>
        <v>15234.4</v>
      </c>
      <c r="P5" s="447" t="s">
        <v>1522</v>
      </c>
      <c r="R5" s="462">
        <f t="shared" si="5"/>
        <v>15234.4</v>
      </c>
      <c r="S5" s="447" t="s">
        <v>1580</v>
      </c>
      <c r="U5" s="462">
        <f t="shared" si="6"/>
        <v>15234.4</v>
      </c>
      <c r="V5" s="447" t="s">
        <v>1626</v>
      </c>
      <c r="X5" s="462">
        <f t="shared" si="7"/>
        <v>15234.4</v>
      </c>
      <c r="Y5" s="447" t="s">
        <v>1661</v>
      </c>
      <c r="AA5" s="462">
        <f t="shared" ref="AA5:AA66" si="29">X5-Z5</f>
        <v>15234.4</v>
      </c>
      <c r="AB5" s="447" t="s">
        <v>1716</v>
      </c>
      <c r="AC5" s="462">
        <f>AA5</f>
        <v>15234.4</v>
      </c>
      <c r="AD5" s="462">
        <f t="shared" si="8"/>
        <v>0</v>
      </c>
      <c r="AG5" s="462">
        <f t="shared" si="9"/>
        <v>0</v>
      </c>
      <c r="AH5" s="447" t="s">
        <v>1819</v>
      </c>
      <c r="AJ5" s="462">
        <f t="shared" si="10"/>
        <v>0</v>
      </c>
      <c r="AM5" s="462">
        <f t="shared" si="11"/>
        <v>0</v>
      </c>
      <c r="AN5" s="447" t="s">
        <v>1948</v>
      </c>
      <c r="AP5" s="462">
        <f t="shared" si="12"/>
        <v>0</v>
      </c>
      <c r="AQ5" s="447" t="s">
        <v>1995</v>
      </c>
      <c r="AS5" s="459">
        <f t="shared" si="13"/>
        <v>0</v>
      </c>
      <c r="AV5" s="462">
        <f t="shared" si="14"/>
        <v>0</v>
      </c>
      <c r="AY5" s="462">
        <f t="shared" si="15"/>
        <v>0</v>
      </c>
      <c r="BB5" s="462">
        <f t="shared" si="16"/>
        <v>0</v>
      </c>
      <c r="BC5" s="447" t="s">
        <v>2204</v>
      </c>
      <c r="BE5" s="462">
        <f t="shared" si="17"/>
        <v>0</v>
      </c>
      <c r="BH5" s="462">
        <f t="shared" si="18"/>
        <v>0</v>
      </c>
      <c r="BK5" s="462">
        <f t="shared" si="19"/>
        <v>0</v>
      </c>
      <c r="BN5" s="462">
        <f t="shared" si="20"/>
        <v>0</v>
      </c>
      <c r="BQ5" s="462">
        <f t="shared" si="21"/>
        <v>0</v>
      </c>
      <c r="BT5" s="462">
        <f t="shared" si="22"/>
        <v>0</v>
      </c>
      <c r="BW5" s="462">
        <f t="shared" si="23"/>
        <v>0</v>
      </c>
      <c r="BZ5" s="462">
        <f t="shared" si="24"/>
        <v>0</v>
      </c>
      <c r="CD5" s="418" t="str">
        <f t="shared" si="25"/>
        <v>CU0531001</v>
      </c>
      <c r="CE5" s="442" t="str">
        <f t="shared" si="26"/>
        <v>2018年1月</v>
      </c>
      <c r="CF5" s="418" t="str">
        <f t="shared" si="27"/>
        <v>恩思恩时尚clife服务费暂估</v>
      </c>
      <c r="CG5" s="418" t="str">
        <f t="shared" si="28"/>
        <v>2018年1月恩思恩时尚clife服务费暂估</v>
      </c>
    </row>
    <row r="6" spans="2:85" s="447" customFormat="1" ht="17.25" customHeight="1">
      <c r="B6" s="447" t="str">
        <f t="shared" si="0"/>
        <v>CU0531</v>
      </c>
      <c r="C6" s="431" t="s">
        <v>755</v>
      </c>
      <c r="D6" s="67" t="s">
        <v>1940</v>
      </c>
      <c r="E6" s="432" t="s">
        <v>776</v>
      </c>
      <c r="F6" s="433">
        <v>43101</v>
      </c>
      <c r="G6" s="430">
        <v>26656.55</v>
      </c>
      <c r="H6" s="440"/>
      <c r="I6" s="440">
        <f t="shared" si="2"/>
        <v>26656.55</v>
      </c>
      <c r="J6" s="440" t="s">
        <v>1368</v>
      </c>
      <c r="K6" s="444"/>
      <c r="L6" s="462">
        <f t="shared" si="3"/>
        <v>26656.55</v>
      </c>
      <c r="M6" s="462" t="s">
        <v>1461</v>
      </c>
      <c r="N6" s="444"/>
      <c r="O6" s="462">
        <f t="shared" si="4"/>
        <v>26656.55</v>
      </c>
      <c r="P6" s="447" t="s">
        <v>1522</v>
      </c>
      <c r="R6" s="462">
        <f t="shared" si="5"/>
        <v>26656.55</v>
      </c>
      <c r="S6" s="447" t="s">
        <v>1580</v>
      </c>
      <c r="U6" s="462">
        <f t="shared" si="6"/>
        <v>26656.55</v>
      </c>
      <c r="V6" s="447" t="s">
        <v>1626</v>
      </c>
      <c r="X6" s="462">
        <f t="shared" si="7"/>
        <v>26656.55</v>
      </c>
      <c r="Y6" s="447" t="s">
        <v>1661</v>
      </c>
      <c r="AA6" s="462">
        <f t="shared" si="29"/>
        <v>26656.55</v>
      </c>
      <c r="AB6" s="447" t="s">
        <v>1716</v>
      </c>
      <c r="AC6" s="447">
        <f>24040-AC5</f>
        <v>8805.6</v>
      </c>
      <c r="AD6" s="462">
        <f t="shared" si="8"/>
        <v>17850.949999999997</v>
      </c>
      <c r="AE6" s="447" t="s">
        <v>1753</v>
      </c>
      <c r="AG6" s="462">
        <f t="shared" si="9"/>
        <v>17850.949999999997</v>
      </c>
      <c r="AH6" s="447" t="s">
        <v>1819</v>
      </c>
      <c r="AJ6" s="462">
        <f t="shared" si="10"/>
        <v>17850.949999999997</v>
      </c>
      <c r="AK6" s="447" t="s">
        <v>1862</v>
      </c>
      <c r="AL6" s="447">
        <f>2616.55+4381.69</f>
        <v>6998.24</v>
      </c>
      <c r="AM6" s="462">
        <f t="shared" si="11"/>
        <v>10852.709999999997</v>
      </c>
      <c r="AN6" s="447" t="s">
        <v>1948</v>
      </c>
      <c r="AP6" s="462">
        <f t="shared" si="12"/>
        <v>10852.709999999997</v>
      </c>
      <c r="AQ6" s="447" t="s">
        <v>1995</v>
      </c>
      <c r="AS6" s="459">
        <f t="shared" si="13"/>
        <v>10852.709999999997</v>
      </c>
      <c r="AV6" s="462">
        <f t="shared" si="14"/>
        <v>10852.709999999997</v>
      </c>
      <c r="AW6" s="447" t="s">
        <v>2107</v>
      </c>
      <c r="AX6" s="462">
        <f>AV6</f>
        <v>10852.709999999997</v>
      </c>
      <c r="AY6" s="462">
        <f t="shared" si="15"/>
        <v>0</v>
      </c>
      <c r="BB6" s="462">
        <f t="shared" si="16"/>
        <v>0</v>
      </c>
      <c r="BC6" s="447" t="s">
        <v>2204</v>
      </c>
      <c r="BE6" s="462">
        <f t="shared" si="17"/>
        <v>0</v>
      </c>
      <c r="BH6" s="462">
        <f t="shared" si="18"/>
        <v>0</v>
      </c>
      <c r="BK6" s="462">
        <f t="shared" si="19"/>
        <v>0</v>
      </c>
      <c r="BN6" s="462">
        <f t="shared" si="20"/>
        <v>0</v>
      </c>
      <c r="BQ6" s="462">
        <f t="shared" si="21"/>
        <v>0</v>
      </c>
      <c r="BT6" s="462">
        <f t="shared" si="22"/>
        <v>0</v>
      </c>
      <c r="BW6" s="462">
        <f t="shared" si="23"/>
        <v>0</v>
      </c>
      <c r="BZ6" s="462">
        <f t="shared" si="24"/>
        <v>0</v>
      </c>
      <c r="CD6" s="418" t="str">
        <f t="shared" si="25"/>
        <v>CU0531001</v>
      </c>
      <c r="CE6" s="442" t="str">
        <f t="shared" si="26"/>
        <v>2018年1月</v>
      </c>
      <c r="CF6" s="418" t="str">
        <f t="shared" si="27"/>
        <v>恩思恩（北clife服务费暂估</v>
      </c>
      <c r="CG6" s="418" t="str">
        <f t="shared" si="28"/>
        <v>2018年1月恩思恩（北clife服务费暂估</v>
      </c>
    </row>
    <row r="7" spans="2:85" s="447" customFormat="1" ht="17.25" customHeight="1">
      <c r="B7" s="447" t="str">
        <f t="shared" si="0"/>
        <v>CU0692</v>
      </c>
      <c r="C7" s="431" t="s">
        <v>755</v>
      </c>
      <c r="D7" s="432" t="s">
        <v>781</v>
      </c>
      <c r="E7" s="67" t="s">
        <v>1359</v>
      </c>
      <c r="F7" s="433">
        <v>43101</v>
      </c>
      <c r="G7" s="430">
        <v>13553.238867924534</v>
      </c>
      <c r="H7" s="440"/>
      <c r="I7" s="440">
        <f t="shared" si="2"/>
        <v>13553.238867924534</v>
      </c>
      <c r="J7" s="440" t="s">
        <v>1368</v>
      </c>
      <c r="K7" s="444"/>
      <c r="L7" s="462">
        <f t="shared" si="3"/>
        <v>13553.24</v>
      </c>
      <c r="M7" s="462" t="s">
        <v>1461</v>
      </c>
      <c r="N7" s="444"/>
      <c r="O7" s="462">
        <f t="shared" si="4"/>
        <v>13553.24</v>
      </c>
      <c r="P7" s="447" t="s">
        <v>1522</v>
      </c>
      <c r="R7" s="462">
        <f t="shared" si="5"/>
        <v>13553.24</v>
      </c>
      <c r="S7" s="447" t="s">
        <v>1580</v>
      </c>
      <c r="T7" s="447">
        <f>ROUND((8819.93/1.06),2)+2000</f>
        <v>10320.69</v>
      </c>
      <c r="U7" s="462">
        <f t="shared" si="6"/>
        <v>3232.5499999999993</v>
      </c>
      <c r="V7" s="447" t="s">
        <v>1626</v>
      </c>
      <c r="X7" s="462">
        <f t="shared" si="7"/>
        <v>3232.5499999999993</v>
      </c>
      <c r="Y7" s="447" t="s">
        <v>1661</v>
      </c>
      <c r="AA7" s="462">
        <f t="shared" si="29"/>
        <v>3232.5499999999993</v>
      </c>
      <c r="AB7" s="447" t="s">
        <v>1716</v>
      </c>
      <c r="AD7" s="462">
        <f t="shared" si="8"/>
        <v>3232.5499999999993</v>
      </c>
      <c r="AE7" s="447" t="s">
        <v>1753</v>
      </c>
      <c r="AG7" s="462">
        <f t="shared" si="9"/>
        <v>3232.5499999999993</v>
      </c>
      <c r="AH7" s="447" t="s">
        <v>1819</v>
      </c>
      <c r="AJ7" s="462">
        <f t="shared" si="10"/>
        <v>3232.5499999999993</v>
      </c>
      <c r="AK7" s="447" t="s">
        <v>1862</v>
      </c>
      <c r="AL7" s="447">
        <v>3232.55</v>
      </c>
      <c r="AM7" s="462">
        <f t="shared" si="11"/>
        <v>0</v>
      </c>
      <c r="AN7" s="447" t="s">
        <v>1948</v>
      </c>
      <c r="AP7" s="462">
        <f t="shared" si="12"/>
        <v>0</v>
      </c>
      <c r="AQ7" s="447" t="s">
        <v>1995</v>
      </c>
      <c r="AS7" s="459">
        <f t="shared" si="13"/>
        <v>0</v>
      </c>
      <c r="AV7" s="462">
        <f t="shared" si="14"/>
        <v>0</v>
      </c>
      <c r="AY7" s="462">
        <f t="shared" si="15"/>
        <v>0</v>
      </c>
      <c r="BB7" s="462">
        <f t="shared" si="16"/>
        <v>0</v>
      </c>
      <c r="BC7" s="447" t="s">
        <v>2204</v>
      </c>
      <c r="BE7" s="462">
        <f t="shared" si="17"/>
        <v>0</v>
      </c>
      <c r="BH7" s="462">
        <f t="shared" si="18"/>
        <v>0</v>
      </c>
      <c r="BK7" s="462">
        <f t="shared" si="19"/>
        <v>0</v>
      </c>
      <c r="BN7" s="462">
        <f t="shared" si="20"/>
        <v>0</v>
      </c>
      <c r="BQ7" s="462">
        <f t="shared" si="21"/>
        <v>0</v>
      </c>
      <c r="BT7" s="462">
        <f t="shared" si="22"/>
        <v>0</v>
      </c>
      <c r="BW7" s="462">
        <f t="shared" si="23"/>
        <v>0</v>
      </c>
      <c r="BZ7" s="462">
        <f t="shared" si="24"/>
        <v>0</v>
      </c>
      <c r="CD7" s="418" t="str">
        <f t="shared" si="25"/>
        <v>CU0692001</v>
      </c>
      <c r="CE7" s="442" t="str">
        <f t="shared" si="26"/>
        <v>2018年1月</v>
      </c>
      <c r="CF7" s="418" t="str">
        <f t="shared" si="27"/>
        <v>欧尚（中国clife服务费暂估</v>
      </c>
      <c r="CG7" s="418" t="str">
        <f t="shared" si="28"/>
        <v>2018年1月欧尚（中国clife服务费暂估</v>
      </c>
    </row>
    <row r="8" spans="2:85" s="447" customFormat="1" ht="17.25" customHeight="1">
      <c r="B8" s="447" t="str">
        <f t="shared" si="0"/>
        <v>CU0340</v>
      </c>
      <c r="C8" s="431" t="s">
        <v>755</v>
      </c>
      <c r="D8" s="432" t="s">
        <v>75</v>
      </c>
      <c r="E8" s="432" t="s">
        <v>803</v>
      </c>
      <c r="F8" s="433">
        <v>43101</v>
      </c>
      <c r="G8" s="430">
        <v>39114.152000000002</v>
      </c>
      <c r="H8" s="440"/>
      <c r="I8" s="440">
        <f t="shared" si="2"/>
        <v>39114.152000000002</v>
      </c>
      <c r="J8" s="440" t="s">
        <v>1368</v>
      </c>
      <c r="K8" s="444"/>
      <c r="L8" s="462">
        <f t="shared" si="3"/>
        <v>39114.15</v>
      </c>
      <c r="M8" s="462" t="s">
        <v>1461</v>
      </c>
      <c r="N8" s="444"/>
      <c r="O8" s="462">
        <f t="shared" si="4"/>
        <v>39114.15</v>
      </c>
      <c r="P8" s="447" t="s">
        <v>1522</v>
      </c>
      <c r="Q8" s="444">
        <f>37300+1814.15</f>
        <v>39114.15</v>
      </c>
      <c r="R8" s="462">
        <f t="shared" si="5"/>
        <v>0</v>
      </c>
      <c r="S8" s="447" t="s">
        <v>1580</v>
      </c>
      <c r="U8" s="462">
        <f t="shared" si="6"/>
        <v>0</v>
      </c>
      <c r="V8" s="447" t="s">
        <v>1626</v>
      </c>
      <c r="X8" s="462">
        <f t="shared" si="7"/>
        <v>0</v>
      </c>
      <c r="Y8" s="447" t="s">
        <v>1661</v>
      </c>
      <c r="AA8" s="462">
        <f t="shared" si="29"/>
        <v>0</v>
      </c>
      <c r="AB8" s="447" t="s">
        <v>1716</v>
      </c>
      <c r="AD8" s="462">
        <f t="shared" si="8"/>
        <v>0</v>
      </c>
      <c r="AG8" s="462">
        <f t="shared" si="9"/>
        <v>0</v>
      </c>
      <c r="AH8" s="447" t="s">
        <v>1819</v>
      </c>
      <c r="AJ8" s="462">
        <f t="shared" si="10"/>
        <v>0</v>
      </c>
      <c r="AM8" s="462">
        <f t="shared" si="11"/>
        <v>0</v>
      </c>
      <c r="AN8" s="447" t="s">
        <v>1948</v>
      </c>
      <c r="AP8" s="462">
        <f t="shared" si="12"/>
        <v>0</v>
      </c>
      <c r="AQ8" s="447" t="s">
        <v>1995</v>
      </c>
      <c r="AS8" s="459">
        <f t="shared" si="13"/>
        <v>0</v>
      </c>
      <c r="AV8" s="462">
        <f t="shared" si="14"/>
        <v>0</v>
      </c>
      <c r="AY8" s="462">
        <f t="shared" si="15"/>
        <v>0</v>
      </c>
      <c r="BB8" s="462">
        <f t="shared" si="16"/>
        <v>0</v>
      </c>
      <c r="BC8" s="447" t="s">
        <v>2204</v>
      </c>
      <c r="BE8" s="462">
        <f t="shared" si="17"/>
        <v>0</v>
      </c>
      <c r="BH8" s="462">
        <f t="shared" si="18"/>
        <v>0</v>
      </c>
      <c r="BK8" s="462">
        <f t="shared" si="19"/>
        <v>0</v>
      </c>
      <c r="BN8" s="462">
        <f t="shared" si="20"/>
        <v>0</v>
      </c>
      <c r="BQ8" s="462">
        <f t="shared" si="21"/>
        <v>0</v>
      </c>
      <c r="BT8" s="462">
        <f t="shared" si="22"/>
        <v>0</v>
      </c>
      <c r="BW8" s="462">
        <f t="shared" si="23"/>
        <v>0</v>
      </c>
      <c r="BZ8" s="462">
        <f t="shared" si="24"/>
        <v>0</v>
      </c>
      <c r="CD8" s="418" t="str">
        <f t="shared" si="25"/>
        <v>CU0340001</v>
      </c>
      <c r="CE8" s="442" t="str">
        <f t="shared" si="26"/>
        <v>2018年1月</v>
      </c>
      <c r="CF8" s="418" t="str">
        <f t="shared" si="27"/>
        <v>盖璞（上海clife服务费暂估</v>
      </c>
      <c r="CG8" s="418" t="str">
        <f t="shared" si="28"/>
        <v>2018年1月盖璞（上海clife服务费暂估</v>
      </c>
    </row>
    <row r="9" spans="2:85" s="447" customFormat="1" ht="17.25" customHeight="1">
      <c r="B9" s="447" t="str">
        <f t="shared" si="0"/>
        <v>CU0109</v>
      </c>
      <c r="C9" s="431" t="s">
        <v>755</v>
      </c>
      <c r="D9" s="432" t="s">
        <v>33</v>
      </c>
      <c r="E9" s="67" t="s">
        <v>486</v>
      </c>
      <c r="F9" s="429">
        <v>43132</v>
      </c>
      <c r="G9" s="430">
        <v>7072.52</v>
      </c>
      <c r="H9" s="440"/>
      <c r="I9" s="440">
        <f t="shared" si="2"/>
        <v>7072.52</v>
      </c>
      <c r="J9" s="440" t="s">
        <v>1368</v>
      </c>
      <c r="K9" s="444"/>
      <c r="L9" s="462">
        <f t="shared" si="3"/>
        <v>7072.52</v>
      </c>
      <c r="M9" s="462" t="s">
        <v>1461</v>
      </c>
      <c r="N9" s="444"/>
      <c r="O9" s="462">
        <f t="shared" si="4"/>
        <v>7072.52</v>
      </c>
      <c r="P9" s="447" t="s">
        <v>1522</v>
      </c>
      <c r="R9" s="462">
        <f t="shared" si="5"/>
        <v>7072.52</v>
      </c>
      <c r="S9" s="447" t="s">
        <v>1580</v>
      </c>
      <c r="T9" s="462">
        <f>R9</f>
        <v>7072.52</v>
      </c>
      <c r="U9" s="462">
        <f t="shared" si="6"/>
        <v>0</v>
      </c>
      <c r="V9" s="447" t="s">
        <v>1626</v>
      </c>
      <c r="X9" s="462">
        <f t="shared" si="7"/>
        <v>0</v>
      </c>
      <c r="Y9" s="447" t="s">
        <v>1661</v>
      </c>
      <c r="AA9" s="462">
        <f t="shared" si="29"/>
        <v>0</v>
      </c>
      <c r="AB9" s="447" t="s">
        <v>1716</v>
      </c>
      <c r="AD9" s="462">
        <f t="shared" si="8"/>
        <v>0</v>
      </c>
      <c r="AG9" s="462">
        <f t="shared" si="9"/>
        <v>0</v>
      </c>
      <c r="AH9" s="447" t="s">
        <v>1819</v>
      </c>
      <c r="AJ9" s="462">
        <f t="shared" si="10"/>
        <v>0</v>
      </c>
      <c r="AM9" s="462">
        <f t="shared" si="11"/>
        <v>0</v>
      </c>
      <c r="AN9" s="447" t="s">
        <v>1948</v>
      </c>
      <c r="AP9" s="462">
        <f t="shared" si="12"/>
        <v>0</v>
      </c>
      <c r="AQ9" s="447" t="s">
        <v>1995</v>
      </c>
      <c r="AS9" s="459">
        <f t="shared" si="13"/>
        <v>0</v>
      </c>
      <c r="AV9" s="462">
        <f t="shared" si="14"/>
        <v>0</v>
      </c>
      <c r="AY9" s="462">
        <f t="shared" si="15"/>
        <v>0</v>
      </c>
      <c r="BB9" s="462">
        <f t="shared" si="16"/>
        <v>0</v>
      </c>
      <c r="BC9" s="447" t="s">
        <v>2204</v>
      </c>
      <c r="BE9" s="462">
        <f t="shared" si="17"/>
        <v>0</v>
      </c>
      <c r="BH9" s="462">
        <f t="shared" si="18"/>
        <v>0</v>
      </c>
      <c r="BK9" s="462">
        <f t="shared" si="19"/>
        <v>0</v>
      </c>
      <c r="BN9" s="462">
        <f t="shared" si="20"/>
        <v>0</v>
      </c>
      <c r="BQ9" s="462">
        <f t="shared" si="21"/>
        <v>0</v>
      </c>
      <c r="BT9" s="462">
        <f t="shared" si="22"/>
        <v>0</v>
      </c>
      <c r="BW9" s="462">
        <f t="shared" si="23"/>
        <v>0</v>
      </c>
      <c r="BZ9" s="462">
        <f t="shared" si="24"/>
        <v>0</v>
      </c>
      <c r="CD9" s="418" t="str">
        <f t="shared" si="25"/>
        <v>CU0109001</v>
      </c>
      <c r="CE9" s="442" t="str">
        <f t="shared" si="26"/>
        <v>2018年2月</v>
      </c>
      <c r="CF9" s="418" t="str">
        <f t="shared" si="27"/>
        <v>普拉达时装clife服务费暂估</v>
      </c>
      <c r="CG9" s="418" t="str">
        <f t="shared" si="28"/>
        <v>2018年2月普拉达时装clife服务费暂估</v>
      </c>
    </row>
    <row r="10" spans="2:85" s="447" customFormat="1" ht="17.25" customHeight="1">
      <c r="B10" s="447" t="str">
        <f t="shared" si="0"/>
        <v>CU0238</v>
      </c>
      <c r="C10" s="431" t="s">
        <v>755</v>
      </c>
      <c r="D10" s="432" t="s">
        <v>53</v>
      </c>
      <c r="E10" s="67" t="s">
        <v>837</v>
      </c>
      <c r="F10" s="429">
        <v>43132</v>
      </c>
      <c r="G10" s="430">
        <v>2565</v>
      </c>
      <c r="H10" s="440"/>
      <c r="I10" s="440">
        <f t="shared" si="2"/>
        <v>2565</v>
      </c>
      <c r="J10" s="440" t="s">
        <v>1368</v>
      </c>
      <c r="K10" s="444"/>
      <c r="L10" s="462">
        <f t="shared" si="3"/>
        <v>2565</v>
      </c>
      <c r="M10" s="462" t="s">
        <v>1461</v>
      </c>
      <c r="N10" s="444"/>
      <c r="O10" s="462">
        <f t="shared" si="4"/>
        <v>2565</v>
      </c>
      <c r="P10" s="447" t="s">
        <v>1522</v>
      </c>
      <c r="R10" s="462">
        <f t="shared" si="5"/>
        <v>2565</v>
      </c>
      <c r="S10" s="447" t="s">
        <v>1580</v>
      </c>
      <c r="T10" s="462">
        <f>R10</f>
        <v>2565</v>
      </c>
      <c r="U10" s="462">
        <f t="shared" si="6"/>
        <v>0</v>
      </c>
      <c r="V10" s="447" t="s">
        <v>1626</v>
      </c>
      <c r="X10" s="462">
        <f t="shared" si="7"/>
        <v>0</v>
      </c>
      <c r="Y10" s="447" t="s">
        <v>1661</v>
      </c>
      <c r="AA10" s="462">
        <f t="shared" si="29"/>
        <v>0</v>
      </c>
      <c r="AB10" s="447" t="s">
        <v>1716</v>
      </c>
      <c r="AD10" s="462">
        <f t="shared" si="8"/>
        <v>0</v>
      </c>
      <c r="AG10" s="462">
        <f t="shared" si="9"/>
        <v>0</v>
      </c>
      <c r="AH10" s="447" t="s">
        <v>1819</v>
      </c>
      <c r="AJ10" s="462">
        <f t="shared" si="10"/>
        <v>0</v>
      </c>
      <c r="AM10" s="462">
        <f t="shared" si="11"/>
        <v>0</v>
      </c>
      <c r="AN10" s="447" t="s">
        <v>1948</v>
      </c>
      <c r="AP10" s="462">
        <f t="shared" si="12"/>
        <v>0</v>
      </c>
      <c r="AQ10" s="447" t="s">
        <v>1995</v>
      </c>
      <c r="AS10" s="459">
        <f t="shared" si="13"/>
        <v>0</v>
      </c>
      <c r="AV10" s="462">
        <f t="shared" si="14"/>
        <v>0</v>
      </c>
      <c r="AY10" s="462">
        <f t="shared" si="15"/>
        <v>0</v>
      </c>
      <c r="BB10" s="462">
        <f t="shared" si="16"/>
        <v>0</v>
      </c>
      <c r="BC10" s="447" t="s">
        <v>2204</v>
      </c>
      <c r="BE10" s="462">
        <f t="shared" si="17"/>
        <v>0</v>
      </c>
      <c r="BH10" s="462">
        <f t="shared" si="18"/>
        <v>0</v>
      </c>
      <c r="BK10" s="462">
        <f t="shared" si="19"/>
        <v>0</v>
      </c>
      <c r="BN10" s="462">
        <f t="shared" si="20"/>
        <v>0</v>
      </c>
      <c r="BQ10" s="462">
        <f t="shared" si="21"/>
        <v>0</v>
      </c>
      <c r="BT10" s="462">
        <f t="shared" si="22"/>
        <v>0</v>
      </c>
      <c r="BW10" s="462">
        <f t="shared" si="23"/>
        <v>0</v>
      </c>
      <c r="BZ10" s="462">
        <f t="shared" si="24"/>
        <v>0</v>
      </c>
      <c r="CD10" s="418" t="str">
        <f t="shared" si="25"/>
        <v>CU0238001</v>
      </c>
      <c r="CE10" s="442" t="str">
        <f t="shared" si="26"/>
        <v>2018年2月</v>
      </c>
      <c r="CF10" s="418" t="str">
        <f t="shared" si="27"/>
        <v>丘奇鞋业（clife服务费暂估</v>
      </c>
      <c r="CG10" s="418" t="str">
        <f t="shared" si="28"/>
        <v>2018年2月丘奇鞋业（clife服务费暂估</v>
      </c>
    </row>
    <row r="11" spans="2:85" s="447" customFormat="1" ht="17.25" customHeight="1">
      <c r="B11" s="447" t="str">
        <f t="shared" si="0"/>
        <v>CU0289</v>
      </c>
      <c r="C11" s="431" t="s">
        <v>755</v>
      </c>
      <c r="D11" s="432" t="s">
        <v>18</v>
      </c>
      <c r="E11" s="67" t="s">
        <v>695</v>
      </c>
      <c r="F11" s="429">
        <v>43132</v>
      </c>
      <c r="G11" s="430">
        <v>13488.772641509437</v>
      </c>
      <c r="H11" s="440"/>
      <c r="I11" s="440">
        <f t="shared" si="2"/>
        <v>13488.772641509437</v>
      </c>
      <c r="J11" s="440" t="s">
        <v>1368</v>
      </c>
      <c r="K11" s="444"/>
      <c r="L11" s="462">
        <f t="shared" si="3"/>
        <v>13488.77</v>
      </c>
      <c r="M11" s="462" t="s">
        <v>1461</v>
      </c>
      <c r="N11" s="444"/>
      <c r="O11" s="462">
        <f t="shared" si="4"/>
        <v>13488.77</v>
      </c>
      <c r="P11" s="447" t="s">
        <v>1522</v>
      </c>
      <c r="R11" s="462">
        <f t="shared" si="5"/>
        <v>13488.77</v>
      </c>
      <c r="S11" s="447" t="s">
        <v>1580</v>
      </c>
      <c r="T11" s="447">
        <f>624.43</f>
        <v>624.42999999999995</v>
      </c>
      <c r="U11" s="462">
        <f t="shared" si="6"/>
        <v>12864.34</v>
      </c>
      <c r="V11" s="447" t="s">
        <v>1626</v>
      </c>
      <c r="X11" s="462">
        <f t="shared" si="7"/>
        <v>12864.34</v>
      </c>
      <c r="Y11" s="447" t="s">
        <v>1661</v>
      </c>
      <c r="AA11" s="462">
        <f t="shared" si="29"/>
        <v>12864.34</v>
      </c>
      <c r="AB11" s="447" t="s">
        <v>1716</v>
      </c>
      <c r="AD11" s="462">
        <f t="shared" si="8"/>
        <v>12864.34</v>
      </c>
      <c r="AE11" s="447" t="s">
        <v>1753</v>
      </c>
      <c r="AG11" s="462">
        <f t="shared" si="9"/>
        <v>12864.34</v>
      </c>
      <c r="AH11" s="447" t="s">
        <v>1819</v>
      </c>
      <c r="AI11" s="447">
        <f>ROUND(7310/1.06,2)</f>
        <v>6896.23</v>
      </c>
      <c r="AJ11" s="462">
        <f t="shared" si="10"/>
        <v>5968.1100000000006</v>
      </c>
      <c r="AK11" s="447" t="s">
        <v>1862</v>
      </c>
      <c r="AL11" s="447">
        <f>476+2586.53+2905.58</f>
        <v>5968.1100000000006</v>
      </c>
      <c r="AM11" s="462">
        <f t="shared" si="11"/>
        <v>0</v>
      </c>
      <c r="AN11" s="447" t="s">
        <v>1948</v>
      </c>
      <c r="AP11" s="462">
        <f t="shared" si="12"/>
        <v>0</v>
      </c>
      <c r="AQ11" s="447" t="s">
        <v>1995</v>
      </c>
      <c r="AS11" s="459">
        <f t="shared" si="13"/>
        <v>0</v>
      </c>
      <c r="AV11" s="462">
        <f t="shared" si="14"/>
        <v>0</v>
      </c>
      <c r="AY11" s="462">
        <f t="shared" si="15"/>
        <v>0</v>
      </c>
      <c r="BB11" s="462">
        <f t="shared" si="16"/>
        <v>0</v>
      </c>
      <c r="BC11" s="447" t="s">
        <v>2204</v>
      </c>
      <c r="BE11" s="462">
        <f t="shared" si="17"/>
        <v>0</v>
      </c>
      <c r="BH11" s="462">
        <f t="shared" si="18"/>
        <v>0</v>
      </c>
      <c r="BK11" s="462">
        <f t="shared" si="19"/>
        <v>0</v>
      </c>
      <c r="BN11" s="462">
        <f t="shared" si="20"/>
        <v>0</v>
      </c>
      <c r="BQ11" s="462">
        <f t="shared" si="21"/>
        <v>0</v>
      </c>
      <c r="BT11" s="462">
        <f t="shared" si="22"/>
        <v>0</v>
      </c>
      <c r="BW11" s="462">
        <f t="shared" si="23"/>
        <v>0</v>
      </c>
      <c r="BZ11" s="462">
        <f t="shared" si="24"/>
        <v>0</v>
      </c>
      <c r="CD11" s="418" t="str">
        <f t="shared" si="25"/>
        <v>CU0289001</v>
      </c>
      <c r="CE11" s="442" t="str">
        <f t="shared" si="26"/>
        <v>2018年2月</v>
      </c>
      <c r="CF11" s="418" t="str">
        <f t="shared" si="27"/>
        <v>拉格代尔商clife服务费暂估</v>
      </c>
      <c r="CG11" s="418" t="str">
        <f t="shared" si="28"/>
        <v>2018年2月拉格代尔商clife服务费暂估</v>
      </c>
    </row>
    <row r="12" spans="2:85" s="447" customFormat="1" ht="17.25" customHeight="1">
      <c r="B12" s="447" t="str">
        <f t="shared" si="0"/>
        <v>CU0340</v>
      </c>
      <c r="C12" s="431" t="s">
        <v>755</v>
      </c>
      <c r="D12" s="432" t="s">
        <v>75</v>
      </c>
      <c r="E12" s="432" t="s">
        <v>76</v>
      </c>
      <c r="F12" s="429">
        <v>43132</v>
      </c>
      <c r="G12" s="430">
        <v>24301.599999999999</v>
      </c>
      <c r="H12" s="440"/>
      <c r="I12" s="440">
        <f t="shared" si="2"/>
        <v>24301.599999999999</v>
      </c>
      <c r="J12" s="440" t="s">
        <v>1368</v>
      </c>
      <c r="K12" s="444"/>
      <c r="L12" s="462">
        <f t="shared" si="3"/>
        <v>24301.599999999999</v>
      </c>
      <c r="M12" s="462" t="s">
        <v>1461</v>
      </c>
      <c r="N12" s="444"/>
      <c r="O12" s="462">
        <f t="shared" si="4"/>
        <v>24301.599999999999</v>
      </c>
      <c r="P12" s="447" t="s">
        <v>1522</v>
      </c>
      <c r="Q12" s="444">
        <f>O12</f>
        <v>24301.599999999999</v>
      </c>
      <c r="R12" s="462">
        <f t="shared" si="5"/>
        <v>0</v>
      </c>
      <c r="S12" s="447" t="s">
        <v>1580</v>
      </c>
      <c r="U12" s="462">
        <f t="shared" si="6"/>
        <v>0</v>
      </c>
      <c r="V12" s="447" t="s">
        <v>1626</v>
      </c>
      <c r="X12" s="462">
        <f t="shared" si="7"/>
        <v>0</v>
      </c>
      <c r="Y12" s="447" t="s">
        <v>1661</v>
      </c>
      <c r="AA12" s="462">
        <f t="shared" si="29"/>
        <v>0</v>
      </c>
      <c r="AB12" s="447" t="s">
        <v>1716</v>
      </c>
      <c r="AD12" s="462">
        <f t="shared" si="8"/>
        <v>0</v>
      </c>
      <c r="AG12" s="462">
        <f t="shared" si="9"/>
        <v>0</v>
      </c>
      <c r="AH12" s="447" t="s">
        <v>1819</v>
      </c>
      <c r="AJ12" s="462">
        <f t="shared" si="10"/>
        <v>0</v>
      </c>
      <c r="AM12" s="462">
        <f t="shared" si="11"/>
        <v>0</v>
      </c>
      <c r="AN12" s="447" t="s">
        <v>1948</v>
      </c>
      <c r="AP12" s="462">
        <f t="shared" si="12"/>
        <v>0</v>
      </c>
      <c r="AQ12" s="447" t="s">
        <v>1995</v>
      </c>
      <c r="AS12" s="459">
        <f t="shared" si="13"/>
        <v>0</v>
      </c>
      <c r="AV12" s="462">
        <f t="shared" si="14"/>
        <v>0</v>
      </c>
      <c r="AY12" s="462">
        <f t="shared" si="15"/>
        <v>0</v>
      </c>
      <c r="BB12" s="462">
        <f t="shared" si="16"/>
        <v>0</v>
      </c>
      <c r="BC12" s="447" t="s">
        <v>2204</v>
      </c>
      <c r="BE12" s="462">
        <f t="shared" si="17"/>
        <v>0</v>
      </c>
      <c r="BH12" s="462">
        <f t="shared" si="18"/>
        <v>0</v>
      </c>
      <c r="BK12" s="462">
        <f t="shared" si="19"/>
        <v>0</v>
      </c>
      <c r="BN12" s="462">
        <f t="shared" si="20"/>
        <v>0</v>
      </c>
      <c r="BQ12" s="462">
        <f t="shared" si="21"/>
        <v>0</v>
      </c>
      <c r="BT12" s="462">
        <f t="shared" si="22"/>
        <v>0</v>
      </c>
      <c r="BW12" s="462">
        <f t="shared" si="23"/>
        <v>0</v>
      </c>
      <c r="BZ12" s="462">
        <f t="shared" si="24"/>
        <v>0</v>
      </c>
      <c r="CD12" s="418" t="str">
        <f t="shared" si="25"/>
        <v>CU0340001</v>
      </c>
      <c r="CE12" s="442" t="str">
        <f t="shared" si="26"/>
        <v>2018年2月</v>
      </c>
      <c r="CF12" s="418" t="str">
        <f t="shared" si="27"/>
        <v>盖璞（上海clife服务费暂估</v>
      </c>
      <c r="CG12" s="418" t="str">
        <f t="shared" si="28"/>
        <v>2018年2月盖璞（上海clife服务费暂估</v>
      </c>
    </row>
    <row r="13" spans="2:85" s="447" customFormat="1" ht="17.25" customHeight="1">
      <c r="B13" s="447" t="str">
        <f t="shared" si="0"/>
        <v>CU0340</v>
      </c>
      <c r="C13" s="431" t="s">
        <v>755</v>
      </c>
      <c r="D13" s="432" t="s">
        <v>77</v>
      </c>
      <c r="E13" s="67" t="s">
        <v>269</v>
      </c>
      <c r="F13" s="429">
        <v>43132</v>
      </c>
      <c r="G13" s="430">
        <v>1657.21</v>
      </c>
      <c r="H13" s="440"/>
      <c r="I13" s="440">
        <f t="shared" si="2"/>
        <v>1657.21</v>
      </c>
      <c r="J13" s="440" t="s">
        <v>1368</v>
      </c>
      <c r="K13" s="444"/>
      <c r="L13" s="462">
        <f t="shared" si="3"/>
        <v>1657.21</v>
      </c>
      <c r="M13" s="462" t="s">
        <v>1461</v>
      </c>
      <c r="N13" s="444"/>
      <c r="O13" s="462">
        <f t="shared" si="4"/>
        <v>1657.21</v>
      </c>
      <c r="P13" s="447" t="s">
        <v>1522</v>
      </c>
      <c r="Q13" s="444">
        <f>27655.8-Q12-1814.15</f>
        <v>1540.0500000000006</v>
      </c>
      <c r="R13" s="462">
        <f t="shared" si="5"/>
        <v>117.1599999999994</v>
      </c>
      <c r="S13" s="447" t="s">
        <v>1580</v>
      </c>
      <c r="U13" s="462">
        <f t="shared" si="6"/>
        <v>117.1599999999994</v>
      </c>
      <c r="V13" s="447" t="s">
        <v>1626</v>
      </c>
      <c r="X13" s="462">
        <f t="shared" si="7"/>
        <v>117.1599999999994</v>
      </c>
      <c r="Y13" s="447" t="s">
        <v>1661</v>
      </c>
      <c r="AA13" s="462">
        <v>0</v>
      </c>
      <c r="AB13" s="447" t="s">
        <v>1716</v>
      </c>
      <c r="AD13" s="462">
        <f t="shared" si="8"/>
        <v>0</v>
      </c>
      <c r="AG13" s="462">
        <f t="shared" si="9"/>
        <v>0</v>
      </c>
      <c r="AH13" s="447" t="s">
        <v>1819</v>
      </c>
      <c r="AJ13" s="462">
        <f t="shared" si="10"/>
        <v>0</v>
      </c>
      <c r="AM13" s="462">
        <f t="shared" si="11"/>
        <v>0</v>
      </c>
      <c r="AN13" s="447" t="s">
        <v>1948</v>
      </c>
      <c r="AP13" s="462">
        <f t="shared" si="12"/>
        <v>0</v>
      </c>
      <c r="AQ13" s="447" t="s">
        <v>1995</v>
      </c>
      <c r="AS13" s="459">
        <f t="shared" si="13"/>
        <v>0</v>
      </c>
      <c r="AV13" s="462">
        <f t="shared" si="14"/>
        <v>0</v>
      </c>
      <c r="AY13" s="462">
        <f t="shared" si="15"/>
        <v>0</v>
      </c>
      <c r="BB13" s="462">
        <f t="shared" si="16"/>
        <v>0</v>
      </c>
      <c r="BC13" s="447" t="s">
        <v>2204</v>
      </c>
      <c r="BE13" s="462">
        <f t="shared" si="17"/>
        <v>0</v>
      </c>
      <c r="BH13" s="462">
        <f t="shared" si="18"/>
        <v>0</v>
      </c>
      <c r="BK13" s="462">
        <f t="shared" si="19"/>
        <v>0</v>
      </c>
      <c r="BN13" s="462">
        <f t="shared" si="20"/>
        <v>0</v>
      </c>
      <c r="BQ13" s="462">
        <f t="shared" si="21"/>
        <v>0</v>
      </c>
      <c r="BT13" s="462">
        <f t="shared" si="22"/>
        <v>0</v>
      </c>
      <c r="BW13" s="462">
        <f t="shared" si="23"/>
        <v>0</v>
      </c>
      <c r="BZ13" s="462">
        <f t="shared" si="24"/>
        <v>0</v>
      </c>
      <c r="CD13" s="418" t="str">
        <f t="shared" si="25"/>
        <v>CU0340001</v>
      </c>
      <c r="CE13" s="442" t="str">
        <f t="shared" si="26"/>
        <v>2018年2月</v>
      </c>
      <c r="CF13" s="418" t="str">
        <f t="shared" si="27"/>
        <v>盖璞（北京clife服务费暂估</v>
      </c>
      <c r="CG13" s="418" t="str">
        <f t="shared" si="28"/>
        <v>2018年2月盖璞（北京clife服务费暂估</v>
      </c>
    </row>
    <row r="14" spans="2:85" s="447" customFormat="1" ht="17.25" customHeight="1">
      <c r="B14" s="447" t="str">
        <f t="shared" si="0"/>
        <v>CU0411</v>
      </c>
      <c r="C14" s="431" t="s">
        <v>755</v>
      </c>
      <c r="D14" s="432" t="s">
        <v>119</v>
      </c>
      <c r="E14" s="432" t="s">
        <v>120</v>
      </c>
      <c r="F14" s="429">
        <v>43132</v>
      </c>
      <c r="G14" s="430">
        <v>1675.68</v>
      </c>
      <c r="H14" s="440"/>
      <c r="I14" s="440">
        <f t="shared" si="2"/>
        <v>1675.68</v>
      </c>
      <c r="J14" s="440" t="s">
        <v>1368</v>
      </c>
      <c r="K14" s="444"/>
      <c r="L14" s="462">
        <f t="shared" si="3"/>
        <v>1675.68</v>
      </c>
      <c r="M14" s="462" t="s">
        <v>1461</v>
      </c>
      <c r="N14" s="444">
        <v>1888</v>
      </c>
      <c r="O14" s="462">
        <f t="shared" si="4"/>
        <v>-212.31999999999994</v>
      </c>
      <c r="P14" s="447" t="s">
        <v>1522</v>
      </c>
      <c r="R14" s="462">
        <f t="shared" si="5"/>
        <v>-212.31999999999994</v>
      </c>
      <c r="S14" s="447" t="s">
        <v>1580</v>
      </c>
      <c r="U14" s="462">
        <f t="shared" si="6"/>
        <v>-212.31999999999994</v>
      </c>
      <c r="V14" s="447" t="s">
        <v>1626</v>
      </c>
      <c r="X14" s="462">
        <f t="shared" si="7"/>
        <v>-212.31999999999994</v>
      </c>
      <c r="Y14" s="447" t="s">
        <v>1661</v>
      </c>
      <c r="AA14" s="462">
        <v>0</v>
      </c>
      <c r="AB14" s="447" t="s">
        <v>1716</v>
      </c>
      <c r="AD14" s="462">
        <f t="shared" si="8"/>
        <v>0</v>
      </c>
      <c r="AG14" s="462">
        <f t="shared" si="9"/>
        <v>0</v>
      </c>
      <c r="AH14" s="447" t="s">
        <v>1819</v>
      </c>
      <c r="AJ14" s="462">
        <f t="shared" si="10"/>
        <v>0</v>
      </c>
      <c r="AM14" s="462">
        <f t="shared" si="11"/>
        <v>0</v>
      </c>
      <c r="AN14" s="447" t="s">
        <v>1948</v>
      </c>
      <c r="AP14" s="462">
        <f t="shared" si="12"/>
        <v>0</v>
      </c>
      <c r="AQ14" s="447" t="s">
        <v>1995</v>
      </c>
      <c r="AS14" s="459">
        <f t="shared" si="13"/>
        <v>0</v>
      </c>
      <c r="AV14" s="462">
        <f t="shared" si="14"/>
        <v>0</v>
      </c>
      <c r="AY14" s="462">
        <f t="shared" si="15"/>
        <v>0</v>
      </c>
      <c r="BB14" s="462">
        <f t="shared" si="16"/>
        <v>0</v>
      </c>
      <c r="BC14" s="447" t="s">
        <v>2204</v>
      </c>
      <c r="BE14" s="462">
        <f t="shared" si="17"/>
        <v>0</v>
      </c>
      <c r="BH14" s="462">
        <f t="shared" si="18"/>
        <v>0</v>
      </c>
      <c r="BK14" s="462">
        <f t="shared" si="19"/>
        <v>0</v>
      </c>
      <c r="BN14" s="462">
        <f t="shared" si="20"/>
        <v>0</v>
      </c>
      <c r="BQ14" s="462">
        <f t="shared" si="21"/>
        <v>0</v>
      </c>
      <c r="BT14" s="462">
        <f t="shared" si="22"/>
        <v>0</v>
      </c>
      <c r="BW14" s="462">
        <f t="shared" si="23"/>
        <v>0</v>
      </c>
      <c r="BZ14" s="462">
        <f t="shared" si="24"/>
        <v>0</v>
      </c>
      <c r="CD14" s="418" t="str">
        <f t="shared" si="25"/>
        <v>CU0411001</v>
      </c>
      <c r="CE14" s="442" t="str">
        <f t="shared" si="26"/>
        <v>2018年2月</v>
      </c>
      <c r="CF14" s="418" t="str">
        <f t="shared" si="27"/>
        <v>上海利夫兰clife服务费暂估</v>
      </c>
      <c r="CG14" s="418" t="str">
        <f t="shared" si="28"/>
        <v>2018年2月上海利夫兰clife服务费暂估</v>
      </c>
    </row>
    <row r="15" spans="2:85" s="447" customFormat="1" ht="17.25" customHeight="1">
      <c r="B15" s="447" t="str">
        <f t="shared" si="0"/>
        <v>CU0531</v>
      </c>
      <c r="C15" s="431" t="s">
        <v>755</v>
      </c>
      <c r="D15" s="67" t="s">
        <v>1945</v>
      </c>
      <c r="E15" s="432" t="s">
        <v>134</v>
      </c>
      <c r="F15" s="429">
        <v>43132</v>
      </c>
      <c r="G15" s="430">
        <v>16965</v>
      </c>
      <c r="H15" s="440"/>
      <c r="I15" s="440">
        <f t="shared" si="2"/>
        <v>16965</v>
      </c>
      <c r="J15" s="440" t="s">
        <v>1368</v>
      </c>
      <c r="K15" s="444"/>
      <c r="L15" s="462">
        <f t="shared" si="3"/>
        <v>16965</v>
      </c>
      <c r="M15" s="462" t="s">
        <v>1461</v>
      </c>
      <c r="N15" s="444"/>
      <c r="O15" s="462">
        <f t="shared" si="4"/>
        <v>16965</v>
      </c>
      <c r="P15" s="447" t="s">
        <v>1522</v>
      </c>
      <c r="R15" s="462">
        <f t="shared" si="5"/>
        <v>16965</v>
      </c>
      <c r="S15" s="447" t="s">
        <v>1580</v>
      </c>
      <c r="U15" s="462">
        <f t="shared" si="6"/>
        <v>16965</v>
      </c>
      <c r="V15" s="447" t="s">
        <v>1626</v>
      </c>
      <c r="X15" s="462">
        <f t="shared" si="7"/>
        <v>16965</v>
      </c>
      <c r="Y15" s="447" t="s">
        <v>1661</v>
      </c>
      <c r="AA15" s="462">
        <f t="shared" si="29"/>
        <v>16965</v>
      </c>
      <c r="AB15" s="447" t="s">
        <v>1716</v>
      </c>
      <c r="AD15" s="462">
        <f t="shared" si="8"/>
        <v>16965</v>
      </c>
      <c r="AE15" s="447" t="s">
        <v>1753</v>
      </c>
      <c r="AG15" s="462">
        <f t="shared" si="9"/>
        <v>16965</v>
      </c>
      <c r="AH15" s="447" t="s">
        <v>1819</v>
      </c>
      <c r="AJ15" s="462">
        <f t="shared" si="10"/>
        <v>16965</v>
      </c>
      <c r="AK15" s="447" t="s">
        <v>1862</v>
      </c>
      <c r="AL15" s="447">
        <v>16397.509999999998</v>
      </c>
      <c r="AM15" s="462">
        <f t="shared" si="11"/>
        <v>567.4900000000016</v>
      </c>
      <c r="AN15" s="447" t="s">
        <v>1948</v>
      </c>
      <c r="AP15" s="462">
        <f t="shared" si="12"/>
        <v>567.4900000000016</v>
      </c>
      <c r="AQ15" s="447" t="s">
        <v>1995</v>
      </c>
      <c r="AS15" s="459">
        <f t="shared" si="13"/>
        <v>567.4900000000016</v>
      </c>
      <c r="AV15" s="462">
        <f t="shared" si="14"/>
        <v>567.4900000000016</v>
      </c>
      <c r="AW15" s="447" t="s">
        <v>2107</v>
      </c>
      <c r="AX15" s="462">
        <f t="shared" ref="AX15:AX16" si="30">AV15</f>
        <v>567.4900000000016</v>
      </c>
      <c r="AY15" s="462">
        <f t="shared" si="15"/>
        <v>0</v>
      </c>
      <c r="BB15" s="462">
        <f t="shared" si="16"/>
        <v>0</v>
      </c>
      <c r="BC15" s="447" t="s">
        <v>2204</v>
      </c>
      <c r="BE15" s="462">
        <f t="shared" si="17"/>
        <v>0</v>
      </c>
      <c r="BH15" s="462">
        <f t="shared" si="18"/>
        <v>0</v>
      </c>
      <c r="BK15" s="462">
        <f t="shared" si="19"/>
        <v>0</v>
      </c>
      <c r="BN15" s="462">
        <f t="shared" si="20"/>
        <v>0</v>
      </c>
      <c r="BQ15" s="462">
        <f t="shared" si="21"/>
        <v>0</v>
      </c>
      <c r="BT15" s="462">
        <f t="shared" si="22"/>
        <v>0</v>
      </c>
      <c r="BW15" s="462">
        <f t="shared" si="23"/>
        <v>0</v>
      </c>
      <c r="BZ15" s="462">
        <f t="shared" si="24"/>
        <v>0</v>
      </c>
      <c r="CD15" s="418" t="str">
        <f t="shared" si="25"/>
        <v>CU0531001</v>
      </c>
      <c r="CE15" s="442" t="str">
        <f t="shared" si="26"/>
        <v>2018年2月</v>
      </c>
      <c r="CF15" s="418" t="str">
        <f t="shared" si="27"/>
        <v>恩思恩时尚clife服务费暂估</v>
      </c>
      <c r="CG15" s="418" t="str">
        <f t="shared" si="28"/>
        <v>2018年2月恩思恩时尚clife服务费暂估</v>
      </c>
    </row>
    <row r="16" spans="2:85" s="447" customFormat="1" ht="17.25" customHeight="1">
      <c r="B16" s="447" t="str">
        <f t="shared" si="0"/>
        <v>CU0531</v>
      </c>
      <c r="C16" s="431" t="s">
        <v>755</v>
      </c>
      <c r="D16" s="432" t="s">
        <v>135</v>
      </c>
      <c r="E16" s="432" t="s">
        <v>136</v>
      </c>
      <c r="F16" s="429">
        <v>43132</v>
      </c>
      <c r="G16" s="430">
        <v>4381.6899999999996</v>
      </c>
      <c r="H16" s="440"/>
      <c r="I16" s="440">
        <f t="shared" si="2"/>
        <v>4381.6899999999996</v>
      </c>
      <c r="J16" s="440" t="s">
        <v>1368</v>
      </c>
      <c r="K16" s="444"/>
      <c r="L16" s="462">
        <f t="shared" si="3"/>
        <v>4381.6899999999996</v>
      </c>
      <c r="M16" s="462" t="s">
        <v>1461</v>
      </c>
      <c r="N16" s="444"/>
      <c r="O16" s="462">
        <f t="shared" si="4"/>
        <v>4381.6899999999996</v>
      </c>
      <c r="P16" s="447" t="s">
        <v>1522</v>
      </c>
      <c r="R16" s="462">
        <f t="shared" si="5"/>
        <v>4381.6899999999996</v>
      </c>
      <c r="S16" s="447" t="s">
        <v>1580</v>
      </c>
      <c r="U16" s="462">
        <f t="shared" si="6"/>
        <v>4381.6899999999996</v>
      </c>
      <c r="V16" s="447" t="s">
        <v>1626</v>
      </c>
      <c r="X16" s="462">
        <f t="shared" si="7"/>
        <v>4381.6899999999996</v>
      </c>
      <c r="Y16" s="447" t="s">
        <v>1661</v>
      </c>
      <c r="AA16" s="462">
        <f t="shared" si="29"/>
        <v>4381.6899999999996</v>
      </c>
      <c r="AB16" s="447" t="s">
        <v>1716</v>
      </c>
      <c r="AD16" s="462">
        <f t="shared" si="8"/>
        <v>4381.6899999999996</v>
      </c>
      <c r="AE16" s="447" t="s">
        <v>1753</v>
      </c>
      <c r="AG16" s="462">
        <f t="shared" si="9"/>
        <v>4381.6899999999996</v>
      </c>
      <c r="AH16" s="447" t="s">
        <v>1819</v>
      </c>
      <c r="AJ16" s="462">
        <f t="shared" si="10"/>
        <v>4381.6899999999996</v>
      </c>
      <c r="AK16" s="447" t="s">
        <v>1862</v>
      </c>
      <c r="AM16" s="462">
        <f t="shared" si="11"/>
        <v>4381.6899999999996</v>
      </c>
      <c r="AN16" s="447" t="s">
        <v>1948</v>
      </c>
      <c r="AP16" s="462">
        <f t="shared" si="12"/>
        <v>4381.6899999999996</v>
      </c>
      <c r="AQ16" s="447" t="s">
        <v>1995</v>
      </c>
      <c r="AS16" s="459">
        <f t="shared" si="13"/>
        <v>4381.6899999999996</v>
      </c>
      <c r="AV16" s="462">
        <f t="shared" si="14"/>
        <v>4381.6899999999996</v>
      </c>
      <c r="AW16" s="447" t="s">
        <v>2107</v>
      </c>
      <c r="AX16" s="462">
        <f t="shared" si="30"/>
        <v>4381.6899999999996</v>
      </c>
      <c r="AY16" s="462">
        <f t="shared" si="15"/>
        <v>0</v>
      </c>
      <c r="BB16" s="462">
        <f t="shared" si="16"/>
        <v>0</v>
      </c>
      <c r="BC16" s="447" t="s">
        <v>2204</v>
      </c>
      <c r="BE16" s="462">
        <f t="shared" si="17"/>
        <v>0</v>
      </c>
      <c r="BH16" s="462">
        <f t="shared" si="18"/>
        <v>0</v>
      </c>
      <c r="BK16" s="462">
        <f t="shared" si="19"/>
        <v>0</v>
      </c>
      <c r="BN16" s="462">
        <f t="shared" si="20"/>
        <v>0</v>
      </c>
      <c r="BQ16" s="462">
        <f t="shared" si="21"/>
        <v>0</v>
      </c>
      <c r="BT16" s="462">
        <f t="shared" si="22"/>
        <v>0</v>
      </c>
      <c r="BW16" s="462">
        <f t="shared" si="23"/>
        <v>0</v>
      </c>
      <c r="BZ16" s="462">
        <f t="shared" si="24"/>
        <v>0</v>
      </c>
      <c r="CD16" s="418" t="str">
        <f t="shared" si="25"/>
        <v>CU0531001</v>
      </c>
      <c r="CE16" s="442" t="str">
        <f t="shared" si="26"/>
        <v>2018年2月</v>
      </c>
      <c r="CF16" s="418" t="str">
        <f t="shared" si="27"/>
        <v>恩思恩（北clife服务费暂估</v>
      </c>
      <c r="CG16" s="418" t="str">
        <f t="shared" si="28"/>
        <v>2018年2月恩思恩（北clife服务费暂估</v>
      </c>
    </row>
    <row r="17" spans="2:85" s="447" customFormat="1" ht="17.25" customHeight="1">
      <c r="B17" s="447" t="str">
        <f t="shared" si="0"/>
        <v>CU0109</v>
      </c>
      <c r="C17" s="434" t="s">
        <v>1311</v>
      </c>
      <c r="D17" s="434" t="s">
        <v>33</v>
      </c>
      <c r="E17" s="434" t="s">
        <v>34</v>
      </c>
      <c r="F17" s="429">
        <v>43160</v>
      </c>
      <c r="G17" s="430">
        <v>22762</v>
      </c>
      <c r="H17" s="440"/>
      <c r="I17" s="440">
        <f t="shared" si="2"/>
        <v>22762</v>
      </c>
      <c r="J17" s="440" t="s">
        <v>1368</v>
      </c>
      <c r="K17" s="444"/>
      <c r="L17" s="462">
        <f t="shared" si="3"/>
        <v>22762</v>
      </c>
      <c r="M17" s="462" t="s">
        <v>1461</v>
      </c>
      <c r="N17" s="444"/>
      <c r="O17" s="462">
        <f t="shared" si="4"/>
        <v>22762</v>
      </c>
      <c r="P17" s="447" t="s">
        <v>1522</v>
      </c>
      <c r="R17" s="462">
        <f t="shared" si="5"/>
        <v>22762</v>
      </c>
      <c r="S17" s="447" t="s">
        <v>1580</v>
      </c>
      <c r="T17" s="462">
        <f>ROUND((9535.66/1.06),2)-T9+20838.61</f>
        <v>22762</v>
      </c>
      <c r="U17" s="462">
        <f t="shared" si="6"/>
        <v>0</v>
      </c>
      <c r="V17" s="447" t="s">
        <v>1626</v>
      </c>
      <c r="X17" s="462">
        <f t="shared" si="7"/>
        <v>0</v>
      </c>
      <c r="Y17" s="447" t="s">
        <v>1661</v>
      </c>
      <c r="AA17" s="462">
        <f t="shared" si="29"/>
        <v>0</v>
      </c>
      <c r="AB17" s="447" t="s">
        <v>1716</v>
      </c>
      <c r="AD17" s="462">
        <f t="shared" si="8"/>
        <v>0</v>
      </c>
      <c r="AG17" s="462">
        <f t="shared" si="9"/>
        <v>0</v>
      </c>
      <c r="AH17" s="447" t="s">
        <v>1819</v>
      </c>
      <c r="AJ17" s="462">
        <f t="shared" si="10"/>
        <v>0</v>
      </c>
      <c r="AM17" s="462">
        <f t="shared" si="11"/>
        <v>0</v>
      </c>
      <c r="AN17" s="447" t="s">
        <v>1948</v>
      </c>
      <c r="AP17" s="462">
        <f t="shared" si="12"/>
        <v>0</v>
      </c>
      <c r="AQ17" s="447" t="s">
        <v>1995</v>
      </c>
      <c r="AS17" s="459">
        <f t="shared" si="13"/>
        <v>0</v>
      </c>
      <c r="AV17" s="462">
        <f t="shared" si="14"/>
        <v>0</v>
      </c>
      <c r="AY17" s="462">
        <f t="shared" si="15"/>
        <v>0</v>
      </c>
      <c r="BB17" s="462">
        <f t="shared" si="16"/>
        <v>0</v>
      </c>
      <c r="BC17" s="447" t="s">
        <v>2204</v>
      </c>
      <c r="BE17" s="462">
        <f t="shared" si="17"/>
        <v>0</v>
      </c>
      <c r="BH17" s="462">
        <f t="shared" si="18"/>
        <v>0</v>
      </c>
      <c r="BK17" s="462">
        <f t="shared" si="19"/>
        <v>0</v>
      </c>
      <c r="BN17" s="462">
        <f t="shared" si="20"/>
        <v>0</v>
      </c>
      <c r="BQ17" s="462">
        <f t="shared" si="21"/>
        <v>0</v>
      </c>
      <c r="BT17" s="462">
        <f t="shared" si="22"/>
        <v>0</v>
      </c>
      <c r="BW17" s="462">
        <f t="shared" si="23"/>
        <v>0</v>
      </c>
      <c r="BZ17" s="462">
        <f t="shared" si="24"/>
        <v>0</v>
      </c>
      <c r="CD17" s="418" t="str">
        <f t="shared" si="25"/>
        <v>CU0109001</v>
      </c>
      <c r="CE17" s="442" t="str">
        <f t="shared" si="26"/>
        <v>2018年3月</v>
      </c>
      <c r="CF17" s="418" t="str">
        <f t="shared" si="27"/>
        <v>普拉达时装clife服务费暂估</v>
      </c>
      <c r="CG17" s="418" t="str">
        <f t="shared" si="28"/>
        <v>2018年3月普拉达时装clife服务费暂估</v>
      </c>
    </row>
    <row r="18" spans="2:85" s="447" customFormat="1" ht="17.25" customHeight="1">
      <c r="B18" s="447" t="str">
        <f t="shared" si="0"/>
        <v>CU0238</v>
      </c>
      <c r="C18" s="434" t="s">
        <v>1311</v>
      </c>
      <c r="D18" s="434" t="s">
        <v>53</v>
      </c>
      <c r="E18" s="434" t="s">
        <v>54</v>
      </c>
      <c r="F18" s="429">
        <v>43160</v>
      </c>
      <c r="G18" s="430">
        <v>285</v>
      </c>
      <c r="H18" s="440"/>
      <c r="I18" s="440">
        <f t="shared" si="2"/>
        <v>285</v>
      </c>
      <c r="J18" s="440" t="s">
        <v>1368</v>
      </c>
      <c r="K18" s="444"/>
      <c r="L18" s="462">
        <f t="shared" si="3"/>
        <v>285</v>
      </c>
      <c r="M18" s="462" t="s">
        <v>1461</v>
      </c>
      <c r="N18" s="444"/>
      <c r="O18" s="462">
        <f t="shared" si="4"/>
        <v>285</v>
      </c>
      <c r="P18" s="447" t="s">
        <v>1522</v>
      </c>
      <c r="R18" s="462">
        <f t="shared" si="5"/>
        <v>285</v>
      </c>
      <c r="S18" s="447" t="s">
        <v>1580</v>
      </c>
      <c r="T18" s="462">
        <f>R18</f>
        <v>285</v>
      </c>
      <c r="U18" s="462">
        <f t="shared" si="6"/>
        <v>0</v>
      </c>
      <c r="V18" s="447" t="s">
        <v>1626</v>
      </c>
      <c r="X18" s="462">
        <f t="shared" si="7"/>
        <v>0</v>
      </c>
      <c r="Y18" s="447" t="s">
        <v>1661</v>
      </c>
      <c r="AA18" s="462">
        <f t="shared" si="29"/>
        <v>0</v>
      </c>
      <c r="AB18" s="447" t="s">
        <v>1716</v>
      </c>
      <c r="AD18" s="462">
        <f t="shared" si="8"/>
        <v>0</v>
      </c>
      <c r="AG18" s="462">
        <f t="shared" si="9"/>
        <v>0</v>
      </c>
      <c r="AH18" s="447" t="s">
        <v>1819</v>
      </c>
      <c r="AJ18" s="462">
        <f t="shared" si="10"/>
        <v>0</v>
      </c>
      <c r="AM18" s="462">
        <f t="shared" si="11"/>
        <v>0</v>
      </c>
      <c r="AN18" s="447" t="s">
        <v>1948</v>
      </c>
      <c r="AP18" s="462">
        <f t="shared" si="12"/>
        <v>0</v>
      </c>
      <c r="AQ18" s="447" t="s">
        <v>1995</v>
      </c>
      <c r="AS18" s="459">
        <f t="shared" si="13"/>
        <v>0</v>
      </c>
      <c r="AV18" s="462">
        <f t="shared" si="14"/>
        <v>0</v>
      </c>
      <c r="AY18" s="462">
        <f t="shared" si="15"/>
        <v>0</v>
      </c>
      <c r="BB18" s="462">
        <f t="shared" si="16"/>
        <v>0</v>
      </c>
      <c r="BC18" s="447" t="s">
        <v>2204</v>
      </c>
      <c r="BE18" s="462">
        <f t="shared" si="17"/>
        <v>0</v>
      </c>
      <c r="BH18" s="462">
        <f t="shared" si="18"/>
        <v>0</v>
      </c>
      <c r="BK18" s="462">
        <f t="shared" si="19"/>
        <v>0</v>
      </c>
      <c r="BN18" s="462">
        <f t="shared" si="20"/>
        <v>0</v>
      </c>
      <c r="BQ18" s="462">
        <f t="shared" si="21"/>
        <v>0</v>
      </c>
      <c r="BT18" s="462">
        <f t="shared" si="22"/>
        <v>0</v>
      </c>
      <c r="BW18" s="462">
        <f t="shared" si="23"/>
        <v>0</v>
      </c>
      <c r="BZ18" s="462">
        <f t="shared" si="24"/>
        <v>0</v>
      </c>
      <c r="CD18" s="418" t="str">
        <f t="shared" si="25"/>
        <v>CU0238001</v>
      </c>
      <c r="CE18" s="442" t="str">
        <f t="shared" si="26"/>
        <v>2018年3月</v>
      </c>
      <c r="CF18" s="418" t="str">
        <f t="shared" si="27"/>
        <v>丘奇鞋业（clife服务费暂估</v>
      </c>
      <c r="CG18" s="418" t="str">
        <f t="shared" si="28"/>
        <v>2018年3月丘奇鞋业（clife服务费暂估</v>
      </c>
    </row>
    <row r="19" spans="2:85" s="447" customFormat="1" ht="17.25" customHeight="1">
      <c r="B19" s="447" t="str">
        <f t="shared" si="0"/>
        <v>CU0411</v>
      </c>
      <c r="C19" s="434" t="s">
        <v>1311</v>
      </c>
      <c r="D19" s="434" t="s">
        <v>119</v>
      </c>
      <c r="E19" s="434" t="s">
        <v>120</v>
      </c>
      <c r="F19" s="429">
        <v>43160</v>
      </c>
      <c r="G19" s="430">
        <v>295.70999999999998</v>
      </c>
      <c r="H19" s="440"/>
      <c r="I19" s="440">
        <f t="shared" si="2"/>
        <v>295.70999999999998</v>
      </c>
      <c r="J19" s="440" t="s">
        <v>1368</v>
      </c>
      <c r="K19" s="444"/>
      <c r="L19" s="462">
        <f t="shared" si="3"/>
        <v>295.70999999999998</v>
      </c>
      <c r="M19" s="462" t="s">
        <v>1461</v>
      </c>
      <c r="N19" s="444">
        <f>572.4/1.06+337.92</f>
        <v>877.92000000000007</v>
      </c>
      <c r="O19" s="462">
        <f t="shared" si="4"/>
        <v>-582.21</v>
      </c>
      <c r="P19" s="447" t="s">
        <v>1522</v>
      </c>
      <c r="R19" s="462">
        <f t="shared" si="5"/>
        <v>-582.21</v>
      </c>
      <c r="S19" s="447" t="s">
        <v>1580</v>
      </c>
      <c r="U19" s="462">
        <f t="shared" si="6"/>
        <v>-582.21</v>
      </c>
      <c r="V19" s="447" t="s">
        <v>1626</v>
      </c>
      <c r="X19" s="462">
        <f t="shared" si="7"/>
        <v>-582.21</v>
      </c>
      <c r="Y19" s="447" t="s">
        <v>1661</v>
      </c>
      <c r="AA19" s="462">
        <v>0</v>
      </c>
      <c r="AB19" s="447" t="s">
        <v>1716</v>
      </c>
      <c r="AD19" s="462">
        <f t="shared" si="8"/>
        <v>0</v>
      </c>
      <c r="AG19" s="462">
        <f t="shared" si="9"/>
        <v>0</v>
      </c>
      <c r="AH19" s="447" t="s">
        <v>1819</v>
      </c>
      <c r="AJ19" s="462">
        <f t="shared" si="10"/>
        <v>0</v>
      </c>
      <c r="AM19" s="462">
        <f t="shared" si="11"/>
        <v>0</v>
      </c>
      <c r="AN19" s="447" t="s">
        <v>1948</v>
      </c>
      <c r="AP19" s="462">
        <f t="shared" si="12"/>
        <v>0</v>
      </c>
      <c r="AQ19" s="447" t="s">
        <v>1995</v>
      </c>
      <c r="AS19" s="459">
        <f t="shared" si="13"/>
        <v>0</v>
      </c>
      <c r="AV19" s="462">
        <f t="shared" si="14"/>
        <v>0</v>
      </c>
      <c r="AY19" s="462">
        <f t="shared" si="15"/>
        <v>0</v>
      </c>
      <c r="BB19" s="462">
        <f t="shared" si="16"/>
        <v>0</v>
      </c>
      <c r="BC19" s="447" t="s">
        <v>2204</v>
      </c>
      <c r="BE19" s="462">
        <f t="shared" si="17"/>
        <v>0</v>
      </c>
      <c r="BH19" s="462">
        <f t="shared" si="18"/>
        <v>0</v>
      </c>
      <c r="BK19" s="462">
        <f t="shared" si="19"/>
        <v>0</v>
      </c>
      <c r="BN19" s="462">
        <f t="shared" si="20"/>
        <v>0</v>
      </c>
      <c r="BQ19" s="462">
        <f t="shared" si="21"/>
        <v>0</v>
      </c>
      <c r="BT19" s="462">
        <f t="shared" si="22"/>
        <v>0</v>
      </c>
      <c r="BW19" s="462">
        <f t="shared" si="23"/>
        <v>0</v>
      </c>
      <c r="BZ19" s="462">
        <f t="shared" si="24"/>
        <v>0</v>
      </c>
      <c r="CD19" s="418" t="str">
        <f t="shared" si="25"/>
        <v>CU0411001</v>
      </c>
      <c r="CE19" s="442" t="str">
        <f t="shared" si="26"/>
        <v>2018年3月</v>
      </c>
      <c r="CF19" s="418" t="str">
        <f t="shared" si="27"/>
        <v>上海利夫兰clife服务费暂估</v>
      </c>
      <c r="CG19" s="418" t="str">
        <f t="shared" si="28"/>
        <v>2018年3月上海利夫兰clife服务费暂估</v>
      </c>
    </row>
    <row r="20" spans="2:85" s="447" customFormat="1" ht="17.25" customHeight="1">
      <c r="B20" s="447" t="str">
        <f t="shared" si="0"/>
        <v>CU0531</v>
      </c>
      <c r="C20" s="434" t="s">
        <v>1311</v>
      </c>
      <c r="D20" s="434" t="s">
        <v>133</v>
      </c>
      <c r="E20" s="434" t="s">
        <v>134</v>
      </c>
      <c r="F20" s="429">
        <v>43160</v>
      </c>
      <c r="G20" s="430">
        <v>16235.3</v>
      </c>
      <c r="H20" s="440"/>
      <c r="I20" s="440">
        <f t="shared" si="2"/>
        <v>16235.3</v>
      </c>
      <c r="J20" s="440" t="s">
        <v>1368</v>
      </c>
      <c r="K20" s="444"/>
      <c r="L20" s="462">
        <f t="shared" si="3"/>
        <v>16235.3</v>
      </c>
      <c r="M20" s="462" t="s">
        <v>1461</v>
      </c>
      <c r="N20" s="444">
        <f>L20</f>
        <v>16235.3</v>
      </c>
      <c r="O20" s="462">
        <f t="shared" si="4"/>
        <v>0</v>
      </c>
      <c r="P20" s="447" t="s">
        <v>1522</v>
      </c>
      <c r="R20" s="462">
        <f t="shared" si="5"/>
        <v>0</v>
      </c>
      <c r="S20" s="447" t="s">
        <v>1580</v>
      </c>
      <c r="U20" s="462">
        <f t="shared" si="6"/>
        <v>0</v>
      </c>
      <c r="V20" s="447" t="s">
        <v>1626</v>
      </c>
      <c r="X20" s="462">
        <f t="shared" si="7"/>
        <v>0</v>
      </c>
      <c r="Y20" s="447" t="s">
        <v>1661</v>
      </c>
      <c r="AA20" s="462">
        <f t="shared" si="29"/>
        <v>0</v>
      </c>
      <c r="AB20" s="447" t="s">
        <v>1716</v>
      </c>
      <c r="AD20" s="462">
        <f t="shared" si="8"/>
        <v>0</v>
      </c>
      <c r="AG20" s="462">
        <f t="shared" si="9"/>
        <v>0</v>
      </c>
      <c r="AH20" s="447" t="s">
        <v>1819</v>
      </c>
      <c r="AJ20" s="462">
        <f t="shared" si="10"/>
        <v>0</v>
      </c>
      <c r="AM20" s="462">
        <f t="shared" si="11"/>
        <v>0</v>
      </c>
      <c r="AN20" s="447" t="s">
        <v>1948</v>
      </c>
      <c r="AP20" s="462">
        <f t="shared" si="12"/>
        <v>0</v>
      </c>
      <c r="AQ20" s="447" t="s">
        <v>1995</v>
      </c>
      <c r="AS20" s="459">
        <f t="shared" si="13"/>
        <v>0</v>
      </c>
      <c r="AV20" s="462">
        <f t="shared" si="14"/>
        <v>0</v>
      </c>
      <c r="AY20" s="462">
        <f t="shared" si="15"/>
        <v>0</v>
      </c>
      <c r="BB20" s="462">
        <f t="shared" si="16"/>
        <v>0</v>
      </c>
      <c r="BC20" s="447" t="s">
        <v>2204</v>
      </c>
      <c r="BE20" s="462">
        <f t="shared" si="17"/>
        <v>0</v>
      </c>
      <c r="BH20" s="462">
        <f t="shared" si="18"/>
        <v>0</v>
      </c>
      <c r="BK20" s="462">
        <f t="shared" si="19"/>
        <v>0</v>
      </c>
      <c r="BN20" s="462">
        <f t="shared" si="20"/>
        <v>0</v>
      </c>
      <c r="BQ20" s="462">
        <f t="shared" si="21"/>
        <v>0</v>
      </c>
      <c r="BT20" s="462">
        <f t="shared" si="22"/>
        <v>0</v>
      </c>
      <c r="BW20" s="462">
        <f t="shared" si="23"/>
        <v>0</v>
      </c>
      <c r="BZ20" s="462">
        <f t="shared" si="24"/>
        <v>0</v>
      </c>
      <c r="CD20" s="418" t="str">
        <f t="shared" si="25"/>
        <v>CU0531001</v>
      </c>
      <c r="CE20" s="442" t="str">
        <f t="shared" si="26"/>
        <v>2018年3月</v>
      </c>
      <c r="CF20" s="418" t="str">
        <f t="shared" si="27"/>
        <v>恩思恩时尚clife服务费暂估</v>
      </c>
      <c r="CG20" s="418" t="str">
        <f t="shared" si="28"/>
        <v>2018年3月恩思恩时尚clife服务费暂估</v>
      </c>
    </row>
    <row r="21" spans="2:85" s="447" customFormat="1" ht="17.25" customHeight="1">
      <c r="B21" s="447" t="str">
        <f t="shared" si="0"/>
        <v>CU0531</v>
      </c>
      <c r="C21" s="434" t="s">
        <v>1311</v>
      </c>
      <c r="D21" s="434" t="s">
        <v>135</v>
      </c>
      <c r="E21" s="434" t="s">
        <v>136</v>
      </c>
      <c r="F21" s="429">
        <v>43160</v>
      </c>
      <c r="G21" s="430">
        <v>4314.28</v>
      </c>
      <c r="H21" s="440"/>
      <c r="I21" s="440">
        <f t="shared" si="2"/>
        <v>4314.28</v>
      </c>
      <c r="J21" s="440" t="s">
        <v>1368</v>
      </c>
      <c r="K21" s="444"/>
      <c r="L21" s="462">
        <f t="shared" si="3"/>
        <v>4314.28</v>
      </c>
      <c r="M21" s="462" t="s">
        <v>1461</v>
      </c>
      <c r="N21" s="444">
        <f>L21</f>
        <v>4314.28</v>
      </c>
      <c r="O21" s="462">
        <f t="shared" si="4"/>
        <v>0</v>
      </c>
      <c r="P21" s="447" t="s">
        <v>1522</v>
      </c>
      <c r="R21" s="462">
        <f t="shared" si="5"/>
        <v>0</v>
      </c>
      <c r="S21" s="447" t="s">
        <v>1580</v>
      </c>
      <c r="U21" s="462">
        <f t="shared" si="6"/>
        <v>0</v>
      </c>
      <c r="V21" s="447" t="s">
        <v>1626</v>
      </c>
      <c r="X21" s="462">
        <f t="shared" si="7"/>
        <v>0</v>
      </c>
      <c r="Y21" s="447" t="s">
        <v>1661</v>
      </c>
      <c r="AA21" s="462">
        <f t="shared" si="29"/>
        <v>0</v>
      </c>
      <c r="AB21" s="447" t="s">
        <v>1716</v>
      </c>
      <c r="AD21" s="462">
        <f t="shared" si="8"/>
        <v>0</v>
      </c>
      <c r="AG21" s="462">
        <f t="shared" si="9"/>
        <v>0</v>
      </c>
      <c r="AH21" s="447" t="s">
        <v>1819</v>
      </c>
      <c r="AJ21" s="462">
        <f t="shared" si="10"/>
        <v>0</v>
      </c>
      <c r="AM21" s="462">
        <f t="shared" si="11"/>
        <v>0</v>
      </c>
      <c r="AN21" s="447" t="s">
        <v>1948</v>
      </c>
      <c r="AP21" s="462">
        <f t="shared" si="12"/>
        <v>0</v>
      </c>
      <c r="AQ21" s="447" t="s">
        <v>1995</v>
      </c>
      <c r="AS21" s="459">
        <f t="shared" si="13"/>
        <v>0</v>
      </c>
      <c r="AV21" s="462">
        <f t="shared" si="14"/>
        <v>0</v>
      </c>
      <c r="AY21" s="462">
        <f t="shared" si="15"/>
        <v>0</v>
      </c>
      <c r="BB21" s="462">
        <f t="shared" si="16"/>
        <v>0</v>
      </c>
      <c r="BC21" s="447" t="s">
        <v>2204</v>
      </c>
      <c r="BE21" s="462">
        <f t="shared" si="17"/>
        <v>0</v>
      </c>
      <c r="BH21" s="462">
        <f t="shared" si="18"/>
        <v>0</v>
      </c>
      <c r="BK21" s="462">
        <f t="shared" si="19"/>
        <v>0</v>
      </c>
      <c r="BN21" s="462">
        <f t="shared" si="20"/>
        <v>0</v>
      </c>
      <c r="BQ21" s="462">
        <f t="shared" si="21"/>
        <v>0</v>
      </c>
      <c r="BT21" s="462">
        <f t="shared" si="22"/>
        <v>0</v>
      </c>
      <c r="BW21" s="462">
        <f t="shared" si="23"/>
        <v>0</v>
      </c>
      <c r="BZ21" s="462">
        <f t="shared" si="24"/>
        <v>0</v>
      </c>
      <c r="CD21" s="418" t="str">
        <f t="shared" si="25"/>
        <v>CU0531001</v>
      </c>
      <c r="CE21" s="442" t="str">
        <f t="shared" si="26"/>
        <v>2018年3月</v>
      </c>
      <c r="CF21" s="418" t="str">
        <f t="shared" si="27"/>
        <v>恩思恩（北clife服务费暂估</v>
      </c>
      <c r="CG21" s="418" t="str">
        <f t="shared" si="28"/>
        <v>2018年3月恩思恩（北clife服务费暂估</v>
      </c>
    </row>
    <row r="22" spans="2:85" s="447" customFormat="1" ht="17.25" customHeight="1">
      <c r="B22" s="447" t="str">
        <f t="shared" si="0"/>
        <v>CU0813</v>
      </c>
      <c r="C22" s="434" t="s">
        <v>1311</v>
      </c>
      <c r="D22" s="434" t="s">
        <v>199</v>
      </c>
      <c r="E22" s="434" t="s">
        <v>200</v>
      </c>
      <c r="F22" s="429">
        <v>43160</v>
      </c>
      <c r="G22" s="430">
        <v>466.37</v>
      </c>
      <c r="H22" s="440"/>
      <c r="I22" s="440">
        <f t="shared" si="2"/>
        <v>466.37</v>
      </c>
      <c r="J22" s="440" t="s">
        <v>1368</v>
      </c>
      <c r="K22" s="444">
        <v>283.02</v>
      </c>
      <c r="L22" s="462">
        <f t="shared" si="3"/>
        <v>183.35</v>
      </c>
      <c r="M22" s="462" t="s">
        <v>1461</v>
      </c>
      <c r="N22" s="444"/>
      <c r="O22" s="462">
        <f t="shared" si="4"/>
        <v>183.35</v>
      </c>
      <c r="P22" s="447" t="s">
        <v>1523</v>
      </c>
      <c r="R22" s="462">
        <f t="shared" si="5"/>
        <v>183.35</v>
      </c>
      <c r="S22" s="447" t="s">
        <v>1580</v>
      </c>
      <c r="T22" s="447">
        <f>ROUND((194.35/1.06),2)</f>
        <v>183.35</v>
      </c>
      <c r="U22" s="462">
        <f t="shared" si="6"/>
        <v>0</v>
      </c>
      <c r="V22" s="447" t="s">
        <v>1626</v>
      </c>
      <c r="X22" s="462">
        <f t="shared" si="7"/>
        <v>0</v>
      </c>
      <c r="Y22" s="447" t="s">
        <v>1661</v>
      </c>
      <c r="AA22" s="462">
        <f t="shared" si="29"/>
        <v>0</v>
      </c>
      <c r="AB22" s="447" t="s">
        <v>1716</v>
      </c>
      <c r="AD22" s="462">
        <f t="shared" si="8"/>
        <v>0</v>
      </c>
      <c r="AG22" s="462">
        <f t="shared" si="9"/>
        <v>0</v>
      </c>
      <c r="AH22" s="447" t="s">
        <v>1819</v>
      </c>
      <c r="AJ22" s="462">
        <f t="shared" si="10"/>
        <v>0</v>
      </c>
      <c r="AM22" s="462">
        <f t="shared" si="11"/>
        <v>0</v>
      </c>
      <c r="AN22" s="447" t="s">
        <v>1948</v>
      </c>
      <c r="AP22" s="462">
        <f t="shared" si="12"/>
        <v>0</v>
      </c>
      <c r="AQ22" s="447" t="s">
        <v>1995</v>
      </c>
      <c r="AS22" s="459">
        <f t="shared" si="13"/>
        <v>0</v>
      </c>
      <c r="AV22" s="462">
        <f t="shared" si="14"/>
        <v>0</v>
      </c>
      <c r="AY22" s="462">
        <f t="shared" si="15"/>
        <v>0</v>
      </c>
      <c r="BB22" s="462">
        <f t="shared" si="16"/>
        <v>0</v>
      </c>
      <c r="BC22" s="447" t="s">
        <v>2204</v>
      </c>
      <c r="BE22" s="462">
        <f t="shared" si="17"/>
        <v>0</v>
      </c>
      <c r="BH22" s="462">
        <f t="shared" si="18"/>
        <v>0</v>
      </c>
      <c r="BK22" s="462">
        <f t="shared" si="19"/>
        <v>0</v>
      </c>
      <c r="BN22" s="462">
        <f t="shared" si="20"/>
        <v>0</v>
      </c>
      <c r="BQ22" s="462">
        <f t="shared" si="21"/>
        <v>0</v>
      </c>
      <c r="BT22" s="462">
        <f t="shared" si="22"/>
        <v>0</v>
      </c>
      <c r="BW22" s="462">
        <f t="shared" si="23"/>
        <v>0</v>
      </c>
      <c r="BZ22" s="462">
        <f t="shared" si="24"/>
        <v>0</v>
      </c>
      <c r="CD22" s="418" t="str">
        <f t="shared" si="25"/>
        <v>CU0813001</v>
      </c>
      <c r="CE22" s="442" t="str">
        <f t="shared" si="26"/>
        <v>2018年3月</v>
      </c>
      <c r="CF22" s="418" t="str">
        <f t="shared" si="27"/>
        <v>北京陌陌信clife服务费暂估</v>
      </c>
      <c r="CG22" s="418" t="str">
        <f t="shared" si="28"/>
        <v>2018年3月北京陌陌信clife服务费暂估</v>
      </c>
    </row>
    <row r="23" spans="2:85" s="447" customFormat="1" ht="17.25" customHeight="1">
      <c r="B23" s="447" t="str">
        <f t="shared" si="0"/>
        <v>CU0531</v>
      </c>
      <c r="C23" s="431" t="s">
        <v>755</v>
      </c>
      <c r="D23" s="67" t="s">
        <v>133</v>
      </c>
      <c r="E23" s="435" t="s">
        <v>134</v>
      </c>
      <c r="F23" s="429">
        <v>43191</v>
      </c>
      <c r="G23" s="430">
        <v>16515.59</v>
      </c>
      <c r="H23" s="440"/>
      <c r="I23" s="440">
        <f t="shared" si="2"/>
        <v>16515.59</v>
      </c>
      <c r="J23" s="440" t="s">
        <v>1368</v>
      </c>
      <c r="K23" s="444"/>
      <c r="L23" s="462">
        <f t="shared" si="3"/>
        <v>16515.59</v>
      </c>
      <c r="M23" s="462" t="s">
        <v>1461</v>
      </c>
      <c r="N23" s="444">
        <f t="shared" ref="N23:N24" si="31">L23</f>
        <v>16515.59</v>
      </c>
      <c r="O23" s="462">
        <f t="shared" si="4"/>
        <v>0</v>
      </c>
      <c r="P23" s="447" t="s">
        <v>1522</v>
      </c>
      <c r="R23" s="462">
        <f t="shared" si="5"/>
        <v>0</v>
      </c>
      <c r="S23" s="447" t="s">
        <v>1580</v>
      </c>
      <c r="U23" s="462">
        <f t="shared" si="6"/>
        <v>0</v>
      </c>
      <c r="V23" s="447" t="s">
        <v>1626</v>
      </c>
      <c r="X23" s="462">
        <f t="shared" si="7"/>
        <v>0</v>
      </c>
      <c r="Y23" s="447" t="s">
        <v>1661</v>
      </c>
      <c r="AA23" s="462">
        <f t="shared" si="29"/>
        <v>0</v>
      </c>
      <c r="AB23" s="447" t="s">
        <v>1716</v>
      </c>
      <c r="AD23" s="462">
        <f t="shared" si="8"/>
        <v>0</v>
      </c>
      <c r="AG23" s="462">
        <f t="shared" si="9"/>
        <v>0</v>
      </c>
      <c r="AH23" s="447" t="s">
        <v>1819</v>
      </c>
      <c r="AJ23" s="462">
        <f t="shared" si="10"/>
        <v>0</v>
      </c>
      <c r="AM23" s="462">
        <f t="shared" si="11"/>
        <v>0</v>
      </c>
      <c r="AN23" s="447" t="s">
        <v>1948</v>
      </c>
      <c r="AP23" s="462">
        <f t="shared" si="12"/>
        <v>0</v>
      </c>
      <c r="AQ23" s="447" t="s">
        <v>1995</v>
      </c>
      <c r="AS23" s="459">
        <f t="shared" si="13"/>
        <v>0</v>
      </c>
      <c r="AV23" s="462">
        <f t="shared" si="14"/>
        <v>0</v>
      </c>
      <c r="AY23" s="462">
        <f t="shared" si="15"/>
        <v>0</v>
      </c>
      <c r="BB23" s="462">
        <f t="shared" si="16"/>
        <v>0</v>
      </c>
      <c r="BC23" s="447" t="s">
        <v>2204</v>
      </c>
      <c r="BE23" s="462">
        <f t="shared" si="17"/>
        <v>0</v>
      </c>
      <c r="BH23" s="462">
        <f t="shared" si="18"/>
        <v>0</v>
      </c>
      <c r="BK23" s="462">
        <f t="shared" si="19"/>
        <v>0</v>
      </c>
      <c r="BN23" s="462">
        <f t="shared" si="20"/>
        <v>0</v>
      </c>
      <c r="BQ23" s="462">
        <f t="shared" si="21"/>
        <v>0</v>
      </c>
      <c r="BT23" s="462">
        <f t="shared" si="22"/>
        <v>0</v>
      </c>
      <c r="BW23" s="462">
        <f t="shared" si="23"/>
        <v>0</v>
      </c>
      <c r="BZ23" s="462">
        <f t="shared" si="24"/>
        <v>0</v>
      </c>
      <c r="CD23" s="418" t="str">
        <f t="shared" si="25"/>
        <v>CU0531001</v>
      </c>
      <c r="CE23" s="442" t="str">
        <f t="shared" si="26"/>
        <v>2018年4月</v>
      </c>
      <c r="CF23" s="418" t="str">
        <f t="shared" si="27"/>
        <v>恩思恩时尚clife服务费暂估</v>
      </c>
      <c r="CG23" s="418" t="str">
        <f t="shared" si="28"/>
        <v>2018年4月恩思恩时尚clife服务费暂估</v>
      </c>
    </row>
    <row r="24" spans="2:85" s="447" customFormat="1" ht="17.25" customHeight="1">
      <c r="B24" s="447" t="str">
        <f t="shared" si="0"/>
        <v>CU0531</v>
      </c>
      <c r="C24" s="431" t="s">
        <v>755</v>
      </c>
      <c r="D24" s="67" t="s">
        <v>135</v>
      </c>
      <c r="E24" s="435" t="s">
        <v>136</v>
      </c>
      <c r="F24" s="429">
        <v>43191</v>
      </c>
      <c r="G24" s="430">
        <v>3482.88</v>
      </c>
      <c r="H24" s="440"/>
      <c r="I24" s="440">
        <f t="shared" si="2"/>
        <v>3482.88</v>
      </c>
      <c r="J24" s="440" t="s">
        <v>1368</v>
      </c>
      <c r="K24" s="444"/>
      <c r="L24" s="462">
        <f t="shared" si="3"/>
        <v>3482.88</v>
      </c>
      <c r="M24" s="462" t="s">
        <v>1461</v>
      </c>
      <c r="N24" s="444">
        <f t="shared" si="31"/>
        <v>3482.88</v>
      </c>
      <c r="O24" s="462">
        <f t="shared" si="4"/>
        <v>0</v>
      </c>
      <c r="P24" s="447" t="s">
        <v>1522</v>
      </c>
      <c r="R24" s="462">
        <f t="shared" si="5"/>
        <v>0</v>
      </c>
      <c r="S24" s="447" t="s">
        <v>1580</v>
      </c>
      <c r="U24" s="462">
        <f t="shared" si="6"/>
        <v>0</v>
      </c>
      <c r="V24" s="447" t="s">
        <v>1626</v>
      </c>
      <c r="X24" s="462">
        <f t="shared" si="7"/>
        <v>0</v>
      </c>
      <c r="Y24" s="447" t="s">
        <v>1661</v>
      </c>
      <c r="AA24" s="462">
        <f t="shared" si="29"/>
        <v>0</v>
      </c>
      <c r="AB24" s="447" t="s">
        <v>1716</v>
      </c>
      <c r="AD24" s="462">
        <f t="shared" si="8"/>
        <v>0</v>
      </c>
      <c r="AG24" s="462">
        <f t="shared" si="9"/>
        <v>0</v>
      </c>
      <c r="AH24" s="447" t="s">
        <v>1819</v>
      </c>
      <c r="AJ24" s="462">
        <f t="shared" si="10"/>
        <v>0</v>
      </c>
      <c r="AM24" s="462">
        <f t="shared" si="11"/>
        <v>0</v>
      </c>
      <c r="AN24" s="447" t="s">
        <v>1948</v>
      </c>
      <c r="AP24" s="462">
        <f t="shared" si="12"/>
        <v>0</v>
      </c>
      <c r="AQ24" s="447" t="s">
        <v>1995</v>
      </c>
      <c r="AS24" s="459">
        <f t="shared" si="13"/>
        <v>0</v>
      </c>
      <c r="AV24" s="462">
        <f t="shared" si="14"/>
        <v>0</v>
      </c>
      <c r="AY24" s="462">
        <f t="shared" si="15"/>
        <v>0</v>
      </c>
      <c r="BB24" s="462">
        <f t="shared" si="16"/>
        <v>0</v>
      </c>
      <c r="BC24" s="447" t="s">
        <v>2204</v>
      </c>
      <c r="BE24" s="462">
        <f t="shared" si="17"/>
        <v>0</v>
      </c>
      <c r="BH24" s="462">
        <f t="shared" si="18"/>
        <v>0</v>
      </c>
      <c r="BK24" s="462">
        <f t="shared" si="19"/>
        <v>0</v>
      </c>
      <c r="BN24" s="462">
        <f t="shared" si="20"/>
        <v>0</v>
      </c>
      <c r="BQ24" s="462">
        <f t="shared" si="21"/>
        <v>0</v>
      </c>
      <c r="BT24" s="462">
        <f t="shared" si="22"/>
        <v>0</v>
      </c>
      <c r="BW24" s="462">
        <f t="shared" si="23"/>
        <v>0</v>
      </c>
      <c r="BZ24" s="462">
        <f t="shared" si="24"/>
        <v>0</v>
      </c>
      <c r="CD24" s="418" t="str">
        <f t="shared" si="25"/>
        <v>CU0531001</v>
      </c>
      <c r="CE24" s="442" t="str">
        <f t="shared" si="26"/>
        <v>2018年4月</v>
      </c>
      <c r="CF24" s="418" t="str">
        <f t="shared" si="27"/>
        <v>恩思恩（北clife服务费暂估</v>
      </c>
      <c r="CG24" s="418" t="str">
        <f t="shared" si="28"/>
        <v>2018年4月恩思恩（北clife服务费暂估</v>
      </c>
    </row>
    <row r="25" spans="2:85" s="447" customFormat="1" ht="17.25" customHeight="1">
      <c r="B25" s="447" t="str">
        <f t="shared" si="0"/>
        <v>CU0643</v>
      </c>
      <c r="C25" s="431" t="s">
        <v>755</v>
      </c>
      <c r="D25" s="67" t="s">
        <v>159</v>
      </c>
      <c r="E25" s="435" t="s">
        <v>427</v>
      </c>
      <c r="F25" s="429">
        <v>43191</v>
      </c>
      <c r="G25" s="430">
        <v>47866.27</v>
      </c>
      <c r="H25" s="440"/>
      <c r="I25" s="440">
        <f t="shared" si="2"/>
        <v>47866.27</v>
      </c>
      <c r="J25" s="440" t="s">
        <v>1368</v>
      </c>
      <c r="K25" s="444">
        <f>I25</f>
        <v>47866.27</v>
      </c>
      <c r="L25" s="462">
        <f t="shared" si="3"/>
        <v>0</v>
      </c>
      <c r="M25" s="462" t="s">
        <v>1461</v>
      </c>
      <c r="N25" s="444"/>
      <c r="O25" s="462">
        <f t="shared" si="4"/>
        <v>0</v>
      </c>
      <c r="P25" s="447" t="s">
        <v>1522</v>
      </c>
      <c r="R25" s="462">
        <f t="shared" si="5"/>
        <v>0</v>
      </c>
      <c r="S25" s="447" t="s">
        <v>1580</v>
      </c>
      <c r="U25" s="462">
        <f t="shared" si="6"/>
        <v>0</v>
      </c>
      <c r="V25" s="447" t="s">
        <v>1626</v>
      </c>
      <c r="X25" s="462">
        <f t="shared" si="7"/>
        <v>0</v>
      </c>
      <c r="Y25" s="447" t="s">
        <v>1661</v>
      </c>
      <c r="AA25" s="462">
        <f t="shared" si="29"/>
        <v>0</v>
      </c>
      <c r="AB25" s="447" t="s">
        <v>1716</v>
      </c>
      <c r="AD25" s="462">
        <f t="shared" si="8"/>
        <v>0</v>
      </c>
      <c r="AG25" s="462">
        <f t="shared" si="9"/>
        <v>0</v>
      </c>
      <c r="AH25" s="447" t="s">
        <v>1819</v>
      </c>
      <c r="AJ25" s="462">
        <f t="shared" si="10"/>
        <v>0</v>
      </c>
      <c r="AM25" s="462">
        <f t="shared" si="11"/>
        <v>0</v>
      </c>
      <c r="AN25" s="447" t="s">
        <v>1948</v>
      </c>
      <c r="AP25" s="462">
        <f t="shared" si="12"/>
        <v>0</v>
      </c>
      <c r="AQ25" s="447" t="s">
        <v>1995</v>
      </c>
      <c r="AS25" s="459">
        <f t="shared" si="13"/>
        <v>0</v>
      </c>
      <c r="AV25" s="462">
        <f t="shared" si="14"/>
        <v>0</v>
      </c>
      <c r="AY25" s="462">
        <f t="shared" si="15"/>
        <v>0</v>
      </c>
      <c r="BB25" s="462">
        <f t="shared" si="16"/>
        <v>0</v>
      </c>
      <c r="BC25" s="447" t="s">
        <v>2204</v>
      </c>
      <c r="BE25" s="462">
        <f t="shared" si="17"/>
        <v>0</v>
      </c>
      <c r="BH25" s="462">
        <f t="shared" si="18"/>
        <v>0</v>
      </c>
      <c r="BK25" s="462">
        <f t="shared" si="19"/>
        <v>0</v>
      </c>
      <c r="BN25" s="462">
        <f t="shared" si="20"/>
        <v>0</v>
      </c>
      <c r="BQ25" s="462">
        <f t="shared" si="21"/>
        <v>0</v>
      </c>
      <c r="BT25" s="462">
        <f t="shared" si="22"/>
        <v>0</v>
      </c>
      <c r="BW25" s="462">
        <f t="shared" si="23"/>
        <v>0</v>
      </c>
      <c r="BZ25" s="462">
        <f t="shared" si="24"/>
        <v>0</v>
      </c>
      <c r="CD25" s="418" t="str">
        <f t="shared" si="25"/>
        <v>CU0643001</v>
      </c>
      <c r="CE25" s="442" t="str">
        <f t="shared" si="26"/>
        <v>2018年4月</v>
      </c>
      <c r="CF25" s="418" t="str">
        <f t="shared" si="27"/>
        <v>上海绿谷制clife服务费暂估</v>
      </c>
      <c r="CG25" s="418" t="str">
        <f t="shared" si="28"/>
        <v>2018年4月上海绿谷制clife服务费暂估</v>
      </c>
    </row>
    <row r="26" spans="2:85" s="447" customFormat="1" ht="17.25" customHeight="1">
      <c r="B26" s="447" t="str">
        <f t="shared" si="0"/>
        <v>CU0285</v>
      </c>
      <c r="C26" s="431" t="s">
        <v>755</v>
      </c>
      <c r="D26" s="67" t="s">
        <v>67</v>
      </c>
      <c r="E26" s="435" t="s">
        <v>937</v>
      </c>
      <c r="F26" s="429">
        <v>43221</v>
      </c>
      <c r="G26" s="430">
        <v>7423.2079245282985</v>
      </c>
      <c r="H26" s="440"/>
      <c r="I26" s="440">
        <f t="shared" si="2"/>
        <v>7423.2079245282985</v>
      </c>
      <c r="J26" s="440" t="s">
        <v>1368</v>
      </c>
      <c r="K26" s="444"/>
      <c r="L26" s="462">
        <f t="shared" si="3"/>
        <v>7423.21</v>
      </c>
      <c r="M26" s="462" t="s">
        <v>1461</v>
      </c>
      <c r="N26" s="444"/>
      <c r="O26" s="462">
        <f t="shared" si="4"/>
        <v>7423.21</v>
      </c>
      <c r="P26" s="447" t="s">
        <v>1522</v>
      </c>
      <c r="Q26" s="444">
        <f>O26</f>
        <v>7423.21</v>
      </c>
      <c r="R26" s="462">
        <f t="shared" si="5"/>
        <v>0</v>
      </c>
      <c r="S26" s="447" t="s">
        <v>1580</v>
      </c>
      <c r="U26" s="462">
        <f t="shared" si="6"/>
        <v>0</v>
      </c>
      <c r="V26" s="447" t="s">
        <v>1626</v>
      </c>
      <c r="X26" s="462">
        <f t="shared" si="7"/>
        <v>0</v>
      </c>
      <c r="Y26" s="447" t="s">
        <v>1661</v>
      </c>
      <c r="AA26" s="462">
        <f t="shared" si="29"/>
        <v>0</v>
      </c>
      <c r="AB26" s="447" t="s">
        <v>1716</v>
      </c>
      <c r="AD26" s="462">
        <f t="shared" si="8"/>
        <v>0</v>
      </c>
      <c r="AG26" s="462">
        <f t="shared" si="9"/>
        <v>0</v>
      </c>
      <c r="AH26" s="447" t="s">
        <v>1819</v>
      </c>
      <c r="AJ26" s="462">
        <f t="shared" si="10"/>
        <v>0</v>
      </c>
      <c r="AM26" s="462">
        <f t="shared" si="11"/>
        <v>0</v>
      </c>
      <c r="AN26" s="447" t="s">
        <v>1948</v>
      </c>
      <c r="AP26" s="462">
        <f t="shared" si="12"/>
        <v>0</v>
      </c>
      <c r="AQ26" s="447" t="s">
        <v>1995</v>
      </c>
      <c r="AS26" s="459">
        <f t="shared" si="13"/>
        <v>0</v>
      </c>
      <c r="AV26" s="462">
        <f t="shared" si="14"/>
        <v>0</v>
      </c>
      <c r="AY26" s="462">
        <f t="shared" si="15"/>
        <v>0</v>
      </c>
      <c r="BB26" s="462">
        <f t="shared" si="16"/>
        <v>0</v>
      </c>
      <c r="BC26" s="447" t="s">
        <v>2204</v>
      </c>
      <c r="BE26" s="462">
        <f t="shared" si="17"/>
        <v>0</v>
      </c>
      <c r="BH26" s="462">
        <f t="shared" si="18"/>
        <v>0</v>
      </c>
      <c r="BK26" s="462">
        <f t="shared" si="19"/>
        <v>0</v>
      </c>
      <c r="BN26" s="462">
        <f t="shared" si="20"/>
        <v>0</v>
      </c>
      <c r="BQ26" s="462">
        <f t="shared" si="21"/>
        <v>0</v>
      </c>
      <c r="BT26" s="462">
        <f t="shared" si="22"/>
        <v>0</v>
      </c>
      <c r="BW26" s="462">
        <f t="shared" si="23"/>
        <v>0</v>
      </c>
      <c r="BZ26" s="462">
        <f t="shared" si="24"/>
        <v>0</v>
      </c>
      <c r="CD26" s="418" t="str">
        <f t="shared" si="25"/>
        <v>CU0285001</v>
      </c>
      <c r="CE26" s="442" t="str">
        <f t="shared" si="26"/>
        <v>2018年5月</v>
      </c>
      <c r="CF26" s="418" t="str">
        <f t="shared" si="27"/>
        <v>大连文思海clife服务费暂估</v>
      </c>
      <c r="CG26" s="418" t="str">
        <f t="shared" si="28"/>
        <v>2018年5月大连文思海clife服务费暂估</v>
      </c>
    </row>
    <row r="27" spans="2:85" s="447" customFormat="1" ht="17.25" customHeight="1">
      <c r="B27" s="447" t="str">
        <f t="shared" si="0"/>
        <v>CU0285</v>
      </c>
      <c r="C27" s="431" t="s">
        <v>755</v>
      </c>
      <c r="D27" s="67" t="s">
        <v>69</v>
      </c>
      <c r="E27" s="435" t="s">
        <v>938</v>
      </c>
      <c r="F27" s="429">
        <v>43221</v>
      </c>
      <c r="G27" s="430">
        <v>12790.279999999999</v>
      </c>
      <c r="H27" s="440"/>
      <c r="I27" s="440">
        <f t="shared" si="2"/>
        <v>12790.279999999999</v>
      </c>
      <c r="J27" s="440" t="s">
        <v>1368</v>
      </c>
      <c r="K27" s="444"/>
      <c r="L27" s="462">
        <f t="shared" si="3"/>
        <v>12790.28</v>
      </c>
      <c r="M27" s="462" t="s">
        <v>1461</v>
      </c>
      <c r="N27" s="444"/>
      <c r="O27" s="462">
        <f t="shared" si="4"/>
        <v>12790.28</v>
      </c>
      <c r="P27" s="447" t="s">
        <v>1522</v>
      </c>
      <c r="Q27" s="444">
        <f>O27</f>
        <v>12790.28</v>
      </c>
      <c r="R27" s="462">
        <f t="shared" si="5"/>
        <v>0</v>
      </c>
      <c r="S27" s="447" t="s">
        <v>1580</v>
      </c>
      <c r="U27" s="462">
        <f t="shared" si="6"/>
        <v>0</v>
      </c>
      <c r="V27" s="447" t="s">
        <v>1626</v>
      </c>
      <c r="X27" s="462">
        <f t="shared" si="7"/>
        <v>0</v>
      </c>
      <c r="Y27" s="447" t="s">
        <v>1661</v>
      </c>
      <c r="AA27" s="462">
        <f t="shared" si="29"/>
        <v>0</v>
      </c>
      <c r="AB27" s="447" t="s">
        <v>1716</v>
      </c>
      <c r="AD27" s="462">
        <f t="shared" si="8"/>
        <v>0</v>
      </c>
      <c r="AG27" s="462">
        <f t="shared" si="9"/>
        <v>0</v>
      </c>
      <c r="AH27" s="447" t="s">
        <v>1819</v>
      </c>
      <c r="AJ27" s="462">
        <f t="shared" si="10"/>
        <v>0</v>
      </c>
      <c r="AM27" s="462">
        <f t="shared" si="11"/>
        <v>0</v>
      </c>
      <c r="AN27" s="447" t="s">
        <v>1948</v>
      </c>
      <c r="AP27" s="462">
        <f t="shared" si="12"/>
        <v>0</v>
      </c>
      <c r="AQ27" s="447" t="s">
        <v>1995</v>
      </c>
      <c r="AS27" s="459">
        <f t="shared" si="13"/>
        <v>0</v>
      </c>
      <c r="AV27" s="462">
        <f t="shared" si="14"/>
        <v>0</v>
      </c>
      <c r="AY27" s="462">
        <f t="shared" si="15"/>
        <v>0</v>
      </c>
      <c r="BB27" s="462">
        <f t="shared" si="16"/>
        <v>0</v>
      </c>
      <c r="BC27" s="447" t="s">
        <v>2204</v>
      </c>
      <c r="BE27" s="462">
        <f t="shared" si="17"/>
        <v>0</v>
      </c>
      <c r="BH27" s="462">
        <f t="shared" si="18"/>
        <v>0</v>
      </c>
      <c r="BK27" s="462">
        <f t="shared" si="19"/>
        <v>0</v>
      </c>
      <c r="BN27" s="462">
        <f t="shared" si="20"/>
        <v>0</v>
      </c>
      <c r="BQ27" s="462">
        <f t="shared" si="21"/>
        <v>0</v>
      </c>
      <c r="BT27" s="462">
        <f t="shared" si="22"/>
        <v>0</v>
      </c>
      <c r="BW27" s="462">
        <f t="shared" si="23"/>
        <v>0</v>
      </c>
      <c r="BZ27" s="462">
        <f t="shared" si="24"/>
        <v>0</v>
      </c>
      <c r="CD27" s="418" t="str">
        <f t="shared" si="25"/>
        <v>CU0285001</v>
      </c>
      <c r="CE27" s="442" t="str">
        <f t="shared" si="26"/>
        <v>2018年5月</v>
      </c>
      <c r="CF27" s="418" t="str">
        <f t="shared" si="27"/>
        <v>文思海辉技clife服务费暂估</v>
      </c>
      <c r="CG27" s="418" t="str">
        <f t="shared" si="28"/>
        <v>2018年5月文思海辉技clife服务费暂估</v>
      </c>
    </row>
    <row r="28" spans="2:85" s="447" customFormat="1" ht="17.25" customHeight="1">
      <c r="B28" s="447" t="str">
        <f t="shared" si="0"/>
        <v>CU0411</v>
      </c>
      <c r="C28" s="431" t="s">
        <v>755</v>
      </c>
      <c r="D28" s="67" t="s">
        <v>119</v>
      </c>
      <c r="E28" s="435" t="s">
        <v>930</v>
      </c>
      <c r="F28" s="429">
        <v>43221</v>
      </c>
      <c r="G28" s="430">
        <v>2135.34</v>
      </c>
      <c r="H28" s="440"/>
      <c r="I28" s="440">
        <f t="shared" si="2"/>
        <v>2135.34</v>
      </c>
      <c r="J28" s="440" t="s">
        <v>1368</v>
      </c>
      <c r="K28" s="444"/>
      <c r="L28" s="462">
        <f t="shared" si="3"/>
        <v>2135.34</v>
      </c>
      <c r="M28" s="462" t="s">
        <v>1461</v>
      </c>
      <c r="N28" s="444">
        <v>1244</v>
      </c>
      <c r="O28" s="462">
        <f t="shared" si="4"/>
        <v>891.34000000000015</v>
      </c>
      <c r="P28" s="447" t="s">
        <v>1522</v>
      </c>
      <c r="R28" s="462">
        <f t="shared" si="5"/>
        <v>891.34000000000015</v>
      </c>
      <c r="S28" s="447" t="s">
        <v>1580</v>
      </c>
      <c r="U28" s="462">
        <f t="shared" si="6"/>
        <v>891.34000000000015</v>
      </c>
      <c r="V28" s="447" t="s">
        <v>1626</v>
      </c>
      <c r="X28" s="462">
        <f t="shared" si="7"/>
        <v>891.34000000000015</v>
      </c>
      <c r="Y28" s="447" t="s">
        <v>1661</v>
      </c>
      <c r="AA28" s="462">
        <v>0</v>
      </c>
      <c r="AB28" s="447" t="s">
        <v>1716</v>
      </c>
      <c r="AD28" s="462">
        <f t="shared" si="8"/>
        <v>0</v>
      </c>
      <c r="AG28" s="462">
        <f t="shared" si="9"/>
        <v>0</v>
      </c>
      <c r="AH28" s="447" t="s">
        <v>1819</v>
      </c>
      <c r="AJ28" s="462">
        <f t="shared" si="10"/>
        <v>0</v>
      </c>
      <c r="AM28" s="462">
        <f t="shared" si="11"/>
        <v>0</v>
      </c>
      <c r="AN28" s="447" t="s">
        <v>1948</v>
      </c>
      <c r="AP28" s="462">
        <f t="shared" si="12"/>
        <v>0</v>
      </c>
      <c r="AQ28" s="447" t="s">
        <v>1995</v>
      </c>
      <c r="AS28" s="459">
        <f t="shared" si="13"/>
        <v>0</v>
      </c>
      <c r="AV28" s="462">
        <f t="shared" si="14"/>
        <v>0</v>
      </c>
      <c r="AY28" s="462">
        <f t="shared" si="15"/>
        <v>0</v>
      </c>
      <c r="BB28" s="462">
        <f t="shared" si="16"/>
        <v>0</v>
      </c>
      <c r="BC28" s="447" t="s">
        <v>2204</v>
      </c>
      <c r="BE28" s="462">
        <f t="shared" si="17"/>
        <v>0</v>
      </c>
      <c r="BH28" s="462">
        <f t="shared" si="18"/>
        <v>0</v>
      </c>
      <c r="BK28" s="462">
        <f t="shared" si="19"/>
        <v>0</v>
      </c>
      <c r="BN28" s="462">
        <f t="shared" si="20"/>
        <v>0</v>
      </c>
      <c r="BQ28" s="462">
        <f t="shared" si="21"/>
        <v>0</v>
      </c>
      <c r="BT28" s="462">
        <f t="shared" si="22"/>
        <v>0</v>
      </c>
      <c r="BW28" s="462">
        <f t="shared" si="23"/>
        <v>0</v>
      </c>
      <c r="BZ28" s="462">
        <f t="shared" si="24"/>
        <v>0</v>
      </c>
      <c r="CD28" s="418" t="str">
        <f t="shared" si="25"/>
        <v>CU0411001</v>
      </c>
      <c r="CE28" s="442" t="str">
        <f t="shared" si="26"/>
        <v>2018年5月</v>
      </c>
      <c r="CF28" s="418" t="str">
        <f t="shared" si="27"/>
        <v>上海利夫兰clife服务费暂估</v>
      </c>
      <c r="CG28" s="418" t="str">
        <f t="shared" si="28"/>
        <v>2018年5月上海利夫兰clife服务费暂估</v>
      </c>
    </row>
    <row r="29" spans="2:85" s="447" customFormat="1" ht="17.25" customHeight="1">
      <c r="B29" s="447" t="str">
        <f t="shared" si="0"/>
        <v>CU0531</v>
      </c>
      <c r="C29" s="431" t="s">
        <v>949</v>
      </c>
      <c r="D29" s="331" t="s">
        <v>133</v>
      </c>
      <c r="E29" s="331" t="s">
        <v>134</v>
      </c>
      <c r="F29" s="429">
        <v>43221</v>
      </c>
      <c r="G29" s="430">
        <v>17458.04</v>
      </c>
      <c r="H29" s="440"/>
      <c r="I29" s="440">
        <f t="shared" si="2"/>
        <v>17458.04</v>
      </c>
      <c r="J29" s="440" t="s">
        <v>1368</v>
      </c>
      <c r="K29" s="444"/>
      <c r="L29" s="462">
        <f t="shared" si="3"/>
        <v>17458.04</v>
      </c>
      <c r="M29" s="462" t="s">
        <v>1461</v>
      </c>
      <c r="N29" s="444">
        <f t="shared" ref="N29:N30" si="32">L29</f>
        <v>17458.04</v>
      </c>
      <c r="O29" s="462">
        <f t="shared" si="4"/>
        <v>0</v>
      </c>
      <c r="P29" s="447" t="s">
        <v>1522</v>
      </c>
      <c r="R29" s="462">
        <f t="shared" si="5"/>
        <v>0</v>
      </c>
      <c r="S29" s="447" t="s">
        <v>1580</v>
      </c>
      <c r="U29" s="462">
        <f t="shared" si="6"/>
        <v>0</v>
      </c>
      <c r="V29" s="447" t="s">
        <v>1626</v>
      </c>
      <c r="X29" s="462">
        <f t="shared" si="7"/>
        <v>0</v>
      </c>
      <c r="Y29" s="447" t="s">
        <v>1661</v>
      </c>
      <c r="AA29" s="462">
        <f t="shared" si="29"/>
        <v>0</v>
      </c>
      <c r="AB29" s="447" t="s">
        <v>1716</v>
      </c>
      <c r="AD29" s="462">
        <f t="shared" si="8"/>
        <v>0</v>
      </c>
      <c r="AG29" s="462">
        <f t="shared" si="9"/>
        <v>0</v>
      </c>
      <c r="AH29" s="447" t="s">
        <v>1819</v>
      </c>
      <c r="AJ29" s="462">
        <f t="shared" si="10"/>
        <v>0</v>
      </c>
      <c r="AM29" s="462">
        <f t="shared" si="11"/>
        <v>0</v>
      </c>
      <c r="AN29" s="447" t="s">
        <v>1948</v>
      </c>
      <c r="AP29" s="462">
        <f t="shared" si="12"/>
        <v>0</v>
      </c>
      <c r="AQ29" s="447" t="s">
        <v>1995</v>
      </c>
      <c r="AS29" s="459">
        <f t="shared" si="13"/>
        <v>0</v>
      </c>
      <c r="AV29" s="462">
        <f t="shared" si="14"/>
        <v>0</v>
      </c>
      <c r="AY29" s="462">
        <f t="shared" si="15"/>
        <v>0</v>
      </c>
      <c r="BB29" s="462">
        <f t="shared" si="16"/>
        <v>0</v>
      </c>
      <c r="BC29" s="447" t="s">
        <v>2204</v>
      </c>
      <c r="BE29" s="462">
        <f t="shared" si="17"/>
        <v>0</v>
      </c>
      <c r="BH29" s="462">
        <f t="shared" si="18"/>
        <v>0</v>
      </c>
      <c r="BK29" s="462">
        <f t="shared" si="19"/>
        <v>0</v>
      </c>
      <c r="BN29" s="462">
        <f t="shared" si="20"/>
        <v>0</v>
      </c>
      <c r="BQ29" s="462">
        <f t="shared" si="21"/>
        <v>0</v>
      </c>
      <c r="BT29" s="462">
        <f t="shared" si="22"/>
        <v>0</v>
      </c>
      <c r="BW29" s="462">
        <f t="shared" si="23"/>
        <v>0</v>
      </c>
      <c r="BZ29" s="462">
        <f t="shared" si="24"/>
        <v>0</v>
      </c>
      <c r="CD29" s="418" t="str">
        <f t="shared" si="25"/>
        <v>CU0531001</v>
      </c>
      <c r="CE29" s="442" t="str">
        <f t="shared" si="26"/>
        <v>2018年5月</v>
      </c>
      <c r="CF29" s="418" t="str">
        <f t="shared" si="27"/>
        <v>恩思恩时尚clife服务费暂估</v>
      </c>
      <c r="CG29" s="418" t="str">
        <f t="shared" si="28"/>
        <v>2018年5月恩思恩时尚clife服务费暂估</v>
      </c>
    </row>
    <row r="30" spans="2:85" s="447" customFormat="1" ht="17.25" customHeight="1">
      <c r="B30" s="447" t="str">
        <f t="shared" si="0"/>
        <v>CU0531</v>
      </c>
      <c r="C30" s="431" t="s">
        <v>949</v>
      </c>
      <c r="D30" s="331" t="s">
        <v>135</v>
      </c>
      <c r="E30" s="331" t="s">
        <v>136</v>
      </c>
      <c r="F30" s="429">
        <v>43221</v>
      </c>
      <c r="G30" s="430">
        <v>3378.97</v>
      </c>
      <c r="H30" s="440"/>
      <c r="I30" s="440">
        <f t="shared" si="2"/>
        <v>3378.97</v>
      </c>
      <c r="J30" s="440" t="s">
        <v>1368</v>
      </c>
      <c r="K30" s="444"/>
      <c r="L30" s="462">
        <f t="shared" si="3"/>
        <v>3378.97</v>
      </c>
      <c r="M30" s="462" t="s">
        <v>1461</v>
      </c>
      <c r="N30" s="444">
        <f t="shared" si="32"/>
        <v>3378.97</v>
      </c>
      <c r="O30" s="462">
        <f t="shared" si="4"/>
        <v>0</v>
      </c>
      <c r="P30" s="447" t="s">
        <v>1522</v>
      </c>
      <c r="R30" s="462">
        <f t="shared" si="5"/>
        <v>0</v>
      </c>
      <c r="S30" s="447" t="s">
        <v>1580</v>
      </c>
      <c r="U30" s="462">
        <f t="shared" si="6"/>
        <v>0</v>
      </c>
      <c r="V30" s="447" t="s">
        <v>1626</v>
      </c>
      <c r="X30" s="462">
        <f t="shared" si="7"/>
        <v>0</v>
      </c>
      <c r="Y30" s="447" t="s">
        <v>1661</v>
      </c>
      <c r="AA30" s="462">
        <f t="shared" si="29"/>
        <v>0</v>
      </c>
      <c r="AB30" s="447" t="s">
        <v>1716</v>
      </c>
      <c r="AD30" s="462">
        <f t="shared" si="8"/>
        <v>0</v>
      </c>
      <c r="AG30" s="462">
        <f t="shared" si="9"/>
        <v>0</v>
      </c>
      <c r="AH30" s="447" t="s">
        <v>1819</v>
      </c>
      <c r="AJ30" s="462">
        <f t="shared" si="10"/>
        <v>0</v>
      </c>
      <c r="AM30" s="462">
        <f t="shared" si="11"/>
        <v>0</v>
      </c>
      <c r="AN30" s="447" t="s">
        <v>1948</v>
      </c>
      <c r="AP30" s="462">
        <f t="shared" si="12"/>
        <v>0</v>
      </c>
      <c r="AQ30" s="447" t="s">
        <v>1995</v>
      </c>
      <c r="AS30" s="459">
        <f t="shared" si="13"/>
        <v>0</v>
      </c>
      <c r="AV30" s="462">
        <f t="shared" si="14"/>
        <v>0</v>
      </c>
      <c r="AY30" s="462">
        <f t="shared" si="15"/>
        <v>0</v>
      </c>
      <c r="BB30" s="462">
        <f t="shared" si="16"/>
        <v>0</v>
      </c>
      <c r="BC30" s="447" t="s">
        <v>2204</v>
      </c>
      <c r="BE30" s="462">
        <f t="shared" si="17"/>
        <v>0</v>
      </c>
      <c r="BH30" s="462">
        <f t="shared" si="18"/>
        <v>0</v>
      </c>
      <c r="BK30" s="462">
        <f t="shared" si="19"/>
        <v>0</v>
      </c>
      <c r="BN30" s="462">
        <f t="shared" si="20"/>
        <v>0</v>
      </c>
      <c r="BQ30" s="462">
        <f t="shared" si="21"/>
        <v>0</v>
      </c>
      <c r="BT30" s="462">
        <f t="shared" si="22"/>
        <v>0</v>
      </c>
      <c r="BW30" s="462">
        <f t="shared" si="23"/>
        <v>0</v>
      </c>
      <c r="BZ30" s="462">
        <f t="shared" si="24"/>
        <v>0</v>
      </c>
      <c r="CD30" s="418" t="str">
        <f t="shared" si="25"/>
        <v>CU0531001</v>
      </c>
      <c r="CE30" s="442" t="str">
        <f t="shared" si="26"/>
        <v>2018年5月</v>
      </c>
      <c r="CF30" s="418" t="str">
        <f t="shared" si="27"/>
        <v>恩思恩（北clife服务费暂估</v>
      </c>
      <c r="CG30" s="418" t="str">
        <f t="shared" si="28"/>
        <v>2018年5月恩思恩（北clife服务费暂估</v>
      </c>
    </row>
    <row r="31" spans="2:85" s="447" customFormat="1" ht="17.25" customHeight="1">
      <c r="B31" s="447" t="str">
        <f t="shared" si="0"/>
        <v>CU0182</v>
      </c>
      <c r="C31" s="431" t="s">
        <v>755</v>
      </c>
      <c r="D31" s="67" t="s">
        <v>822</v>
      </c>
      <c r="E31" s="435" t="s">
        <v>2045</v>
      </c>
      <c r="F31" s="433">
        <v>43252</v>
      </c>
      <c r="G31" s="430">
        <v>13804.150000000001</v>
      </c>
      <c r="H31" s="440"/>
      <c r="I31" s="440">
        <f t="shared" si="2"/>
        <v>13804.150000000001</v>
      </c>
      <c r="J31" s="440" t="s">
        <v>1368</v>
      </c>
      <c r="K31" s="444"/>
      <c r="L31" s="462">
        <f t="shared" si="3"/>
        <v>13804.15</v>
      </c>
      <c r="M31" s="462" t="s">
        <v>1461</v>
      </c>
      <c r="N31" s="444"/>
      <c r="O31" s="462">
        <f t="shared" si="4"/>
        <v>13804.15</v>
      </c>
      <c r="P31" s="447" t="s">
        <v>1523</v>
      </c>
      <c r="R31" s="462">
        <f t="shared" si="5"/>
        <v>13804.15</v>
      </c>
      <c r="S31" s="447" t="s">
        <v>1580</v>
      </c>
      <c r="U31" s="462">
        <f t="shared" si="6"/>
        <v>13804.15</v>
      </c>
      <c r="V31" s="447" t="s">
        <v>1626</v>
      </c>
      <c r="X31" s="462">
        <f t="shared" si="7"/>
        <v>13804.15</v>
      </c>
      <c r="Y31" s="447" t="s">
        <v>1661</v>
      </c>
      <c r="Z31" s="462">
        <f>ROUND(X31,2)</f>
        <v>13804.15</v>
      </c>
      <c r="AA31" s="462">
        <f t="shared" si="29"/>
        <v>0</v>
      </c>
      <c r="AB31" s="447" t="s">
        <v>1716</v>
      </c>
      <c r="AD31" s="462">
        <f t="shared" si="8"/>
        <v>0</v>
      </c>
      <c r="AG31" s="462">
        <f t="shared" si="9"/>
        <v>0</v>
      </c>
      <c r="AH31" s="447" t="s">
        <v>1819</v>
      </c>
      <c r="AJ31" s="462">
        <f t="shared" si="10"/>
        <v>0</v>
      </c>
      <c r="AM31" s="462">
        <f t="shared" si="11"/>
        <v>0</v>
      </c>
      <c r="AN31" s="447" t="s">
        <v>1948</v>
      </c>
      <c r="AP31" s="462">
        <f t="shared" si="12"/>
        <v>0</v>
      </c>
      <c r="AQ31" s="447" t="s">
        <v>1995</v>
      </c>
      <c r="AS31" s="459">
        <f t="shared" si="13"/>
        <v>0</v>
      </c>
      <c r="AV31" s="462">
        <f t="shared" si="14"/>
        <v>0</v>
      </c>
      <c r="AY31" s="462">
        <f t="shared" si="15"/>
        <v>0</v>
      </c>
      <c r="BB31" s="462">
        <f t="shared" si="16"/>
        <v>0</v>
      </c>
      <c r="BC31" s="447" t="s">
        <v>2204</v>
      </c>
      <c r="BE31" s="462">
        <f t="shared" si="17"/>
        <v>0</v>
      </c>
      <c r="BH31" s="462">
        <f t="shared" si="18"/>
        <v>0</v>
      </c>
      <c r="BK31" s="462">
        <f t="shared" si="19"/>
        <v>0</v>
      </c>
      <c r="BN31" s="462">
        <f t="shared" si="20"/>
        <v>0</v>
      </c>
      <c r="BQ31" s="462">
        <f t="shared" si="21"/>
        <v>0</v>
      </c>
      <c r="BT31" s="462">
        <f t="shared" si="22"/>
        <v>0</v>
      </c>
      <c r="BW31" s="462">
        <f t="shared" si="23"/>
        <v>0</v>
      </c>
      <c r="BZ31" s="462">
        <f t="shared" si="24"/>
        <v>0</v>
      </c>
      <c r="CD31" s="418" t="str">
        <f t="shared" si="25"/>
        <v>CU0182001</v>
      </c>
      <c r="CE31" s="442" t="str">
        <f t="shared" si="26"/>
        <v>2018年6月</v>
      </c>
      <c r="CF31" s="418" t="str">
        <f t="shared" si="27"/>
        <v>阿姆斯壮世clife服务费暂估</v>
      </c>
      <c r="CG31" s="418" t="str">
        <f t="shared" si="28"/>
        <v>2018年6月阿姆斯壮世clife服务费暂估</v>
      </c>
    </row>
    <row r="32" spans="2:85" s="447" customFormat="1" ht="17.25" customHeight="1">
      <c r="B32" s="447" t="str">
        <f t="shared" si="0"/>
        <v>CU0289</v>
      </c>
      <c r="C32" s="431" t="s">
        <v>755</v>
      </c>
      <c r="D32" s="67" t="s">
        <v>18</v>
      </c>
      <c r="E32" s="435" t="s">
        <v>1009</v>
      </c>
      <c r="F32" s="433">
        <v>43252</v>
      </c>
      <c r="G32" s="430">
        <v>894.01</v>
      </c>
      <c r="H32" s="440"/>
      <c r="I32" s="440">
        <f t="shared" si="2"/>
        <v>894.01</v>
      </c>
      <c r="J32" s="440" t="s">
        <v>1368</v>
      </c>
      <c r="K32" s="444"/>
      <c r="L32" s="462">
        <f t="shared" si="3"/>
        <v>894.01</v>
      </c>
      <c r="M32" s="462" t="s">
        <v>1461</v>
      </c>
      <c r="N32" s="444"/>
      <c r="O32" s="462">
        <f t="shared" si="4"/>
        <v>894.01</v>
      </c>
      <c r="P32" s="447" t="s">
        <v>1522</v>
      </c>
      <c r="R32" s="462">
        <f t="shared" si="5"/>
        <v>894.01</v>
      </c>
      <c r="S32" s="447" t="s">
        <v>1580</v>
      </c>
      <c r="U32" s="462">
        <f t="shared" si="6"/>
        <v>894.01</v>
      </c>
      <c r="V32" s="447" t="s">
        <v>1626</v>
      </c>
      <c r="X32" s="462">
        <f t="shared" si="7"/>
        <v>894.01</v>
      </c>
      <c r="Y32" s="447" t="s">
        <v>1661</v>
      </c>
      <c r="AA32" s="462">
        <f t="shared" si="29"/>
        <v>894.01</v>
      </c>
      <c r="AB32" s="447" t="s">
        <v>1716</v>
      </c>
      <c r="AD32" s="462">
        <f t="shared" si="8"/>
        <v>894.01</v>
      </c>
      <c r="AE32" s="447" t="s">
        <v>1753</v>
      </c>
      <c r="AG32" s="462">
        <f t="shared" si="9"/>
        <v>894.01</v>
      </c>
      <c r="AH32" s="447" t="s">
        <v>1819</v>
      </c>
      <c r="AJ32" s="462">
        <f t="shared" si="10"/>
        <v>894.01</v>
      </c>
      <c r="AK32" s="447" t="s">
        <v>1862</v>
      </c>
      <c r="AL32" s="462">
        <f>AJ32</f>
        <v>894.01</v>
      </c>
      <c r="AM32" s="462">
        <f t="shared" si="11"/>
        <v>0</v>
      </c>
      <c r="AN32" s="447" t="s">
        <v>1948</v>
      </c>
      <c r="AP32" s="462">
        <f t="shared" si="12"/>
        <v>0</v>
      </c>
      <c r="AQ32" s="447" t="s">
        <v>1995</v>
      </c>
      <c r="AS32" s="459">
        <f t="shared" si="13"/>
        <v>0</v>
      </c>
      <c r="AV32" s="462">
        <f t="shared" si="14"/>
        <v>0</v>
      </c>
      <c r="AY32" s="462">
        <f t="shared" si="15"/>
        <v>0</v>
      </c>
      <c r="BB32" s="462">
        <f t="shared" si="16"/>
        <v>0</v>
      </c>
      <c r="BC32" s="447" t="s">
        <v>2204</v>
      </c>
      <c r="BE32" s="462">
        <f t="shared" si="17"/>
        <v>0</v>
      </c>
      <c r="BH32" s="462">
        <f t="shared" si="18"/>
        <v>0</v>
      </c>
      <c r="BK32" s="462">
        <f t="shared" si="19"/>
        <v>0</v>
      </c>
      <c r="BN32" s="462">
        <f t="shared" si="20"/>
        <v>0</v>
      </c>
      <c r="BQ32" s="462">
        <f t="shared" si="21"/>
        <v>0</v>
      </c>
      <c r="BT32" s="462">
        <f t="shared" si="22"/>
        <v>0</v>
      </c>
      <c r="BW32" s="462">
        <f t="shared" si="23"/>
        <v>0</v>
      </c>
      <c r="BZ32" s="462">
        <f t="shared" si="24"/>
        <v>0</v>
      </c>
      <c r="CD32" s="418" t="str">
        <f t="shared" si="25"/>
        <v>CU0289001</v>
      </c>
      <c r="CE32" s="442" t="str">
        <f t="shared" si="26"/>
        <v>2018年6月</v>
      </c>
      <c r="CF32" s="418" t="str">
        <f t="shared" si="27"/>
        <v>拉格代尔商clife服务费暂估</v>
      </c>
      <c r="CG32" s="418" t="str">
        <f t="shared" si="28"/>
        <v>2018年6月拉格代尔商clife服务费暂估</v>
      </c>
    </row>
    <row r="33" spans="2:85" s="447" customFormat="1" ht="17.25" customHeight="1">
      <c r="B33" s="447" t="str">
        <f t="shared" si="0"/>
        <v>CU0468</v>
      </c>
      <c r="C33" s="431" t="s">
        <v>755</v>
      </c>
      <c r="D33" s="67" t="s">
        <v>976</v>
      </c>
      <c r="E33" s="435" t="s">
        <v>977</v>
      </c>
      <c r="F33" s="433">
        <v>43252</v>
      </c>
      <c r="G33" s="430">
        <v>1876.42</v>
      </c>
      <c r="H33" s="440"/>
      <c r="I33" s="440">
        <f t="shared" si="2"/>
        <v>1876.42</v>
      </c>
      <c r="J33" s="440" t="s">
        <v>1368</v>
      </c>
      <c r="K33" s="444"/>
      <c r="L33" s="462">
        <f t="shared" si="3"/>
        <v>1876.42</v>
      </c>
      <c r="M33" s="462" t="s">
        <v>1461</v>
      </c>
      <c r="N33" s="444"/>
      <c r="O33" s="462">
        <f t="shared" si="4"/>
        <v>1876.42</v>
      </c>
      <c r="P33" s="447" t="s">
        <v>1522</v>
      </c>
      <c r="R33" s="462">
        <f t="shared" si="5"/>
        <v>1876.42</v>
      </c>
      <c r="S33" s="447" t="s">
        <v>1580</v>
      </c>
      <c r="U33" s="462">
        <f t="shared" si="6"/>
        <v>1876.42</v>
      </c>
      <c r="V33" s="447" t="s">
        <v>1626</v>
      </c>
      <c r="X33" s="462">
        <f t="shared" si="7"/>
        <v>1876.42</v>
      </c>
      <c r="Y33" s="447" t="s">
        <v>1661</v>
      </c>
      <c r="AA33" s="462">
        <f t="shared" si="29"/>
        <v>1876.42</v>
      </c>
      <c r="AB33" s="447" t="s">
        <v>1716</v>
      </c>
      <c r="AD33" s="462">
        <f t="shared" si="8"/>
        <v>1876.42</v>
      </c>
      <c r="AE33" s="447" t="s">
        <v>1753</v>
      </c>
      <c r="AG33" s="462">
        <f t="shared" si="9"/>
        <v>1876.42</v>
      </c>
      <c r="AH33" s="447" t="s">
        <v>1819</v>
      </c>
      <c r="AJ33" s="462">
        <f t="shared" si="10"/>
        <v>1876.42</v>
      </c>
      <c r="AK33" s="447" t="s">
        <v>1862</v>
      </c>
      <c r="AL33" s="447">
        <v>1411</v>
      </c>
      <c r="AM33" s="462">
        <f t="shared" si="11"/>
        <v>465.42000000000007</v>
      </c>
      <c r="AN33" s="447" t="s">
        <v>1948</v>
      </c>
      <c r="AP33" s="462">
        <f t="shared" si="12"/>
        <v>465.42000000000007</v>
      </c>
      <c r="AQ33" s="447" t="s">
        <v>1995</v>
      </c>
      <c r="AS33" s="459">
        <f t="shared" si="13"/>
        <v>465.42000000000007</v>
      </c>
      <c r="AV33" s="462">
        <f t="shared" si="14"/>
        <v>465.42000000000007</v>
      </c>
      <c r="AW33" s="447" t="s">
        <v>2107</v>
      </c>
      <c r="AY33" s="462">
        <f t="shared" si="15"/>
        <v>465.42000000000007</v>
      </c>
      <c r="AZ33" s="447" t="s">
        <v>2131</v>
      </c>
      <c r="BB33" s="462">
        <f t="shared" si="16"/>
        <v>465.42000000000007</v>
      </c>
      <c r="BC33" s="447" t="s">
        <v>2204</v>
      </c>
      <c r="BE33" s="462">
        <f t="shared" si="17"/>
        <v>465.42000000000007</v>
      </c>
      <c r="BF33" s="447" t="s">
        <v>2237</v>
      </c>
      <c r="BH33" s="462">
        <f t="shared" si="18"/>
        <v>465.42000000000007</v>
      </c>
      <c r="BI33" s="447" t="s">
        <v>2292</v>
      </c>
      <c r="BK33" s="462">
        <f t="shared" si="19"/>
        <v>465.42000000000007</v>
      </c>
      <c r="BL33" s="447" t="s">
        <v>2339</v>
      </c>
      <c r="BN33" s="462">
        <f t="shared" si="20"/>
        <v>465.42000000000007</v>
      </c>
      <c r="BO33" s="447" t="s">
        <v>2365</v>
      </c>
      <c r="BQ33" s="462">
        <f t="shared" si="21"/>
        <v>465.42</v>
      </c>
      <c r="BR33" s="447" t="s">
        <v>2374</v>
      </c>
      <c r="BS33" s="462">
        <f>BQ33</f>
        <v>465.42</v>
      </c>
      <c r="BT33" s="462">
        <f t="shared" si="22"/>
        <v>0</v>
      </c>
      <c r="BW33" s="462">
        <f t="shared" si="23"/>
        <v>0</v>
      </c>
      <c r="BZ33" s="462">
        <f t="shared" si="24"/>
        <v>0</v>
      </c>
      <c r="CD33" s="418" t="str">
        <f t="shared" si="25"/>
        <v>CU0468001</v>
      </c>
      <c r="CE33" s="442" t="str">
        <f t="shared" si="26"/>
        <v>2018年6月</v>
      </c>
      <c r="CF33" s="418" t="str">
        <f t="shared" si="27"/>
        <v>包商银行股clife服务费暂估</v>
      </c>
      <c r="CG33" s="418" t="str">
        <f t="shared" si="28"/>
        <v>2018年6月包商银行股clife服务费暂估</v>
      </c>
    </row>
    <row r="34" spans="2:85" s="447" customFormat="1" ht="17.25" customHeight="1">
      <c r="B34" s="447" t="str">
        <f t="shared" si="0"/>
        <v>CU0531</v>
      </c>
      <c r="C34" s="431" t="s">
        <v>755</v>
      </c>
      <c r="D34" s="67" t="s">
        <v>133</v>
      </c>
      <c r="E34" s="435" t="s">
        <v>134</v>
      </c>
      <c r="F34" s="433">
        <v>43252</v>
      </c>
      <c r="G34" s="430">
        <v>21221.59</v>
      </c>
      <c r="H34" s="440"/>
      <c r="I34" s="440">
        <f t="shared" si="2"/>
        <v>21221.59</v>
      </c>
      <c r="J34" s="440" t="s">
        <v>1368</v>
      </c>
      <c r="K34" s="444"/>
      <c r="L34" s="462">
        <f t="shared" si="3"/>
        <v>21221.59</v>
      </c>
      <c r="M34" s="462" t="s">
        <v>1461</v>
      </c>
      <c r="N34" s="444">
        <f>L34</f>
        <v>21221.59</v>
      </c>
      <c r="O34" s="462">
        <f t="shared" si="4"/>
        <v>0</v>
      </c>
      <c r="P34" s="447" t="s">
        <v>1522</v>
      </c>
      <c r="R34" s="462">
        <f t="shared" si="5"/>
        <v>0</v>
      </c>
      <c r="S34" s="447" t="s">
        <v>1580</v>
      </c>
      <c r="U34" s="462">
        <f t="shared" si="6"/>
        <v>0</v>
      </c>
      <c r="V34" s="447" t="s">
        <v>1626</v>
      </c>
      <c r="X34" s="462">
        <f t="shared" si="7"/>
        <v>0</v>
      </c>
      <c r="Y34" s="447" t="s">
        <v>1661</v>
      </c>
      <c r="AA34" s="462">
        <f t="shared" si="29"/>
        <v>0</v>
      </c>
      <c r="AB34" s="447" t="s">
        <v>1716</v>
      </c>
      <c r="AD34" s="462">
        <f t="shared" si="8"/>
        <v>0</v>
      </c>
      <c r="AG34" s="462">
        <f t="shared" si="9"/>
        <v>0</v>
      </c>
      <c r="AH34" s="447" t="s">
        <v>1819</v>
      </c>
      <c r="AJ34" s="462">
        <f t="shared" si="10"/>
        <v>0</v>
      </c>
      <c r="AM34" s="462">
        <f t="shared" si="11"/>
        <v>0</v>
      </c>
      <c r="AN34" s="447" t="s">
        <v>1948</v>
      </c>
      <c r="AP34" s="462">
        <f t="shared" si="12"/>
        <v>0</v>
      </c>
      <c r="AQ34" s="447" t="s">
        <v>1995</v>
      </c>
      <c r="AS34" s="459">
        <f t="shared" si="13"/>
        <v>0</v>
      </c>
      <c r="AV34" s="462">
        <f t="shared" si="14"/>
        <v>0</v>
      </c>
      <c r="AY34" s="462">
        <f t="shared" si="15"/>
        <v>0</v>
      </c>
      <c r="BB34" s="462">
        <f t="shared" si="16"/>
        <v>0</v>
      </c>
      <c r="BC34" s="447" t="s">
        <v>2204</v>
      </c>
      <c r="BE34" s="462">
        <f t="shared" si="17"/>
        <v>0</v>
      </c>
      <c r="BH34" s="462">
        <f t="shared" si="18"/>
        <v>0</v>
      </c>
      <c r="BK34" s="462">
        <f t="shared" si="19"/>
        <v>0</v>
      </c>
      <c r="BN34" s="462">
        <f t="shared" si="20"/>
        <v>0</v>
      </c>
      <c r="BQ34" s="462">
        <f t="shared" si="21"/>
        <v>0</v>
      </c>
      <c r="BT34" s="462">
        <f t="shared" si="22"/>
        <v>0</v>
      </c>
      <c r="BW34" s="462">
        <f t="shared" si="23"/>
        <v>0</v>
      </c>
      <c r="BZ34" s="462">
        <f t="shared" si="24"/>
        <v>0</v>
      </c>
      <c r="CD34" s="418" t="str">
        <f t="shared" si="25"/>
        <v>CU0531001</v>
      </c>
      <c r="CE34" s="442" t="str">
        <f t="shared" si="26"/>
        <v>2018年6月</v>
      </c>
      <c r="CF34" s="418" t="str">
        <f t="shared" si="27"/>
        <v>恩思恩时尚clife服务费暂估</v>
      </c>
      <c r="CG34" s="418" t="str">
        <f t="shared" si="28"/>
        <v>2018年6月恩思恩时尚clife服务费暂估</v>
      </c>
    </row>
    <row r="35" spans="2:85" s="447" customFormat="1" ht="17.25" customHeight="1">
      <c r="B35" s="447" t="str">
        <f t="shared" si="0"/>
        <v>CU0531</v>
      </c>
      <c r="C35" s="431" t="s">
        <v>755</v>
      </c>
      <c r="D35" s="67" t="s">
        <v>135</v>
      </c>
      <c r="E35" s="435" t="s">
        <v>136</v>
      </c>
      <c r="F35" s="433">
        <v>43252</v>
      </c>
      <c r="G35" s="430">
        <v>2665.68</v>
      </c>
      <c r="H35" s="440"/>
      <c r="I35" s="440">
        <f t="shared" si="2"/>
        <v>2665.68</v>
      </c>
      <c r="J35" s="440" t="s">
        <v>1368</v>
      </c>
      <c r="K35" s="444"/>
      <c r="L35" s="462">
        <f t="shared" si="3"/>
        <v>2665.68</v>
      </c>
      <c r="M35" s="462" t="s">
        <v>1461</v>
      </c>
      <c r="N35" s="444">
        <f>L35</f>
        <v>2665.68</v>
      </c>
      <c r="O35" s="462">
        <f t="shared" si="4"/>
        <v>0</v>
      </c>
      <c r="P35" s="447" t="s">
        <v>1522</v>
      </c>
      <c r="R35" s="462">
        <f t="shared" si="5"/>
        <v>0</v>
      </c>
      <c r="S35" s="447" t="s">
        <v>1580</v>
      </c>
      <c r="U35" s="462">
        <f t="shared" si="6"/>
        <v>0</v>
      </c>
      <c r="V35" s="447" t="s">
        <v>1626</v>
      </c>
      <c r="X35" s="462">
        <f t="shared" si="7"/>
        <v>0</v>
      </c>
      <c r="Y35" s="447" t="s">
        <v>1661</v>
      </c>
      <c r="AA35" s="462">
        <f t="shared" si="29"/>
        <v>0</v>
      </c>
      <c r="AB35" s="447" t="s">
        <v>1716</v>
      </c>
      <c r="AD35" s="462">
        <f t="shared" si="8"/>
        <v>0</v>
      </c>
      <c r="AG35" s="462">
        <f t="shared" si="9"/>
        <v>0</v>
      </c>
      <c r="AH35" s="447" t="s">
        <v>1819</v>
      </c>
      <c r="AJ35" s="462">
        <f t="shared" si="10"/>
        <v>0</v>
      </c>
      <c r="AM35" s="462">
        <f t="shared" si="11"/>
        <v>0</v>
      </c>
      <c r="AN35" s="447" t="s">
        <v>1948</v>
      </c>
      <c r="AP35" s="462">
        <f t="shared" si="12"/>
        <v>0</v>
      </c>
      <c r="AQ35" s="447" t="s">
        <v>1995</v>
      </c>
      <c r="AS35" s="459">
        <f t="shared" si="13"/>
        <v>0</v>
      </c>
      <c r="AV35" s="462">
        <f t="shared" si="14"/>
        <v>0</v>
      </c>
      <c r="AY35" s="462">
        <f t="shared" si="15"/>
        <v>0</v>
      </c>
      <c r="BB35" s="462">
        <f t="shared" si="16"/>
        <v>0</v>
      </c>
      <c r="BC35" s="447" t="s">
        <v>2204</v>
      </c>
      <c r="BE35" s="462">
        <f t="shared" si="17"/>
        <v>0</v>
      </c>
      <c r="BH35" s="462">
        <f t="shared" si="18"/>
        <v>0</v>
      </c>
      <c r="BK35" s="462">
        <f t="shared" si="19"/>
        <v>0</v>
      </c>
      <c r="BN35" s="462">
        <f t="shared" si="20"/>
        <v>0</v>
      </c>
      <c r="BQ35" s="462">
        <f t="shared" si="21"/>
        <v>0</v>
      </c>
      <c r="BT35" s="462">
        <f t="shared" si="22"/>
        <v>0</v>
      </c>
      <c r="BW35" s="462">
        <f t="shared" si="23"/>
        <v>0</v>
      </c>
      <c r="BZ35" s="462">
        <f t="shared" si="24"/>
        <v>0</v>
      </c>
      <c r="CD35" s="418" t="str">
        <f t="shared" si="25"/>
        <v>CU0531001</v>
      </c>
      <c r="CE35" s="442" t="str">
        <f t="shared" si="26"/>
        <v>2018年6月</v>
      </c>
      <c r="CF35" s="418" t="str">
        <f t="shared" si="27"/>
        <v>恩思恩（北clife服务费暂估</v>
      </c>
      <c r="CG35" s="418" t="str">
        <f t="shared" si="28"/>
        <v>2018年6月恩思恩（北clife服务费暂估</v>
      </c>
    </row>
    <row r="36" spans="2:85" s="447" customFormat="1" ht="17.25" customHeight="1">
      <c r="B36" s="447" t="str">
        <f t="shared" si="0"/>
        <v>CU0869</v>
      </c>
      <c r="C36" s="431" t="s">
        <v>755</v>
      </c>
      <c r="D36" s="67" t="s">
        <v>989</v>
      </c>
      <c r="E36" s="435" t="s">
        <v>988</v>
      </c>
      <c r="F36" s="433">
        <v>43252</v>
      </c>
      <c r="G36" s="430">
        <v>3863.94</v>
      </c>
      <c r="H36" s="440"/>
      <c r="I36" s="440">
        <f t="shared" si="2"/>
        <v>3863.94</v>
      </c>
      <c r="J36" s="440" t="s">
        <v>1368</v>
      </c>
      <c r="K36" s="444"/>
      <c r="L36" s="462">
        <f t="shared" si="3"/>
        <v>3863.94</v>
      </c>
      <c r="M36" s="462" t="s">
        <v>1461</v>
      </c>
      <c r="N36" s="444"/>
      <c r="O36" s="462">
        <f t="shared" si="4"/>
        <v>3863.94</v>
      </c>
      <c r="P36" s="447" t="s">
        <v>1522</v>
      </c>
      <c r="R36" s="462">
        <f t="shared" si="5"/>
        <v>3863.94</v>
      </c>
      <c r="S36" s="447" t="s">
        <v>1580</v>
      </c>
      <c r="T36" s="462">
        <f>R36</f>
        <v>3863.94</v>
      </c>
      <c r="U36" s="462">
        <f t="shared" si="6"/>
        <v>0</v>
      </c>
      <c r="V36" s="447" t="s">
        <v>1626</v>
      </c>
      <c r="X36" s="462">
        <f t="shared" si="7"/>
        <v>0</v>
      </c>
      <c r="Y36" s="447" t="s">
        <v>1661</v>
      </c>
      <c r="AA36" s="462">
        <f t="shared" si="29"/>
        <v>0</v>
      </c>
      <c r="AB36" s="447" t="s">
        <v>1716</v>
      </c>
      <c r="AD36" s="462">
        <f t="shared" si="8"/>
        <v>0</v>
      </c>
      <c r="AG36" s="462">
        <f t="shared" si="9"/>
        <v>0</v>
      </c>
      <c r="AH36" s="447" t="s">
        <v>1819</v>
      </c>
      <c r="AJ36" s="462">
        <f t="shared" si="10"/>
        <v>0</v>
      </c>
      <c r="AM36" s="462">
        <f t="shared" si="11"/>
        <v>0</v>
      </c>
      <c r="AN36" s="447" t="s">
        <v>1948</v>
      </c>
      <c r="AP36" s="462">
        <f t="shared" si="12"/>
        <v>0</v>
      </c>
      <c r="AQ36" s="447" t="s">
        <v>1995</v>
      </c>
      <c r="AS36" s="459">
        <f t="shared" si="13"/>
        <v>0</v>
      </c>
      <c r="AV36" s="462">
        <f t="shared" si="14"/>
        <v>0</v>
      </c>
      <c r="AY36" s="462">
        <f t="shared" si="15"/>
        <v>0</v>
      </c>
      <c r="BB36" s="462">
        <f t="shared" si="16"/>
        <v>0</v>
      </c>
      <c r="BC36" s="447" t="s">
        <v>2204</v>
      </c>
      <c r="BE36" s="462">
        <f t="shared" si="17"/>
        <v>0</v>
      </c>
      <c r="BH36" s="462">
        <f t="shared" si="18"/>
        <v>0</v>
      </c>
      <c r="BK36" s="462">
        <f t="shared" si="19"/>
        <v>0</v>
      </c>
      <c r="BN36" s="462">
        <f t="shared" si="20"/>
        <v>0</v>
      </c>
      <c r="BQ36" s="462">
        <f t="shared" si="21"/>
        <v>0</v>
      </c>
      <c r="BT36" s="462">
        <f t="shared" si="22"/>
        <v>0</v>
      </c>
      <c r="BW36" s="462">
        <f t="shared" si="23"/>
        <v>0</v>
      </c>
      <c r="BZ36" s="462">
        <f t="shared" si="24"/>
        <v>0</v>
      </c>
      <c r="CD36" s="418" t="str">
        <f t="shared" si="25"/>
        <v>CU0869001</v>
      </c>
      <c r="CE36" s="442" t="str">
        <f t="shared" si="26"/>
        <v>2018年6月</v>
      </c>
      <c r="CF36" s="418" t="str">
        <f t="shared" si="27"/>
        <v>叶睿职业技clife服务费暂估</v>
      </c>
      <c r="CG36" s="418" t="str">
        <f t="shared" si="28"/>
        <v>2018年6月叶睿职业技clife服务费暂估</v>
      </c>
    </row>
    <row r="37" spans="2:85" s="447" customFormat="1" ht="17.25" customHeight="1">
      <c r="B37" s="447" t="str">
        <f t="shared" si="0"/>
        <v>CU0531</v>
      </c>
      <c r="C37" s="431" t="s">
        <v>755</v>
      </c>
      <c r="D37" s="67" t="s">
        <v>133</v>
      </c>
      <c r="E37" s="435" t="s">
        <v>134</v>
      </c>
      <c r="F37" s="433">
        <v>43282</v>
      </c>
      <c r="G37" s="430">
        <v>18264.72</v>
      </c>
      <c r="H37" s="440"/>
      <c r="I37" s="440">
        <f t="shared" si="2"/>
        <v>18264.72</v>
      </c>
      <c r="J37" s="440" t="s">
        <v>1368</v>
      </c>
      <c r="K37" s="444"/>
      <c r="L37" s="462">
        <f t="shared" si="3"/>
        <v>18264.72</v>
      </c>
      <c r="M37" s="462" t="s">
        <v>1461</v>
      </c>
      <c r="N37" s="444">
        <f>L37</f>
        <v>18264.72</v>
      </c>
      <c r="O37" s="462">
        <f t="shared" si="4"/>
        <v>0</v>
      </c>
      <c r="P37" s="447" t="s">
        <v>1522</v>
      </c>
      <c r="R37" s="462">
        <f t="shared" si="5"/>
        <v>0</v>
      </c>
      <c r="S37" s="447" t="s">
        <v>1580</v>
      </c>
      <c r="U37" s="462">
        <f t="shared" si="6"/>
        <v>0</v>
      </c>
      <c r="V37" s="447" t="s">
        <v>1626</v>
      </c>
      <c r="X37" s="462">
        <f t="shared" si="7"/>
        <v>0</v>
      </c>
      <c r="Y37" s="447" t="s">
        <v>1661</v>
      </c>
      <c r="AA37" s="462">
        <f t="shared" si="29"/>
        <v>0</v>
      </c>
      <c r="AB37" s="447" t="s">
        <v>1716</v>
      </c>
      <c r="AD37" s="462">
        <f t="shared" si="8"/>
        <v>0</v>
      </c>
      <c r="AG37" s="462">
        <f t="shared" si="9"/>
        <v>0</v>
      </c>
      <c r="AH37" s="447" t="s">
        <v>1819</v>
      </c>
      <c r="AJ37" s="462">
        <f t="shared" si="10"/>
        <v>0</v>
      </c>
      <c r="AM37" s="462">
        <f t="shared" si="11"/>
        <v>0</v>
      </c>
      <c r="AN37" s="447" t="s">
        <v>1948</v>
      </c>
      <c r="AP37" s="462">
        <f t="shared" si="12"/>
        <v>0</v>
      </c>
      <c r="AQ37" s="447" t="s">
        <v>1995</v>
      </c>
      <c r="AS37" s="459">
        <f t="shared" si="13"/>
        <v>0</v>
      </c>
      <c r="AV37" s="462">
        <f t="shared" si="14"/>
        <v>0</v>
      </c>
      <c r="AY37" s="462">
        <f t="shared" si="15"/>
        <v>0</v>
      </c>
      <c r="BB37" s="462">
        <f t="shared" si="16"/>
        <v>0</v>
      </c>
      <c r="BC37" s="447" t="s">
        <v>2204</v>
      </c>
      <c r="BE37" s="462">
        <f t="shared" si="17"/>
        <v>0</v>
      </c>
      <c r="BH37" s="462">
        <f t="shared" si="18"/>
        <v>0</v>
      </c>
      <c r="BK37" s="462">
        <f t="shared" si="19"/>
        <v>0</v>
      </c>
      <c r="BN37" s="462">
        <f t="shared" si="20"/>
        <v>0</v>
      </c>
      <c r="BQ37" s="462">
        <f t="shared" si="21"/>
        <v>0</v>
      </c>
      <c r="BT37" s="462">
        <f t="shared" si="22"/>
        <v>0</v>
      </c>
      <c r="BW37" s="462">
        <f t="shared" si="23"/>
        <v>0</v>
      </c>
      <c r="BZ37" s="462">
        <f t="shared" si="24"/>
        <v>0</v>
      </c>
      <c r="CD37" s="418" t="str">
        <f t="shared" si="25"/>
        <v>CU0531001</v>
      </c>
      <c r="CE37" s="442" t="str">
        <f t="shared" si="26"/>
        <v>2018年7月</v>
      </c>
      <c r="CF37" s="418" t="str">
        <f t="shared" si="27"/>
        <v>恩思恩时尚clife服务费暂估</v>
      </c>
      <c r="CG37" s="418" t="str">
        <f t="shared" si="28"/>
        <v>2018年7月恩思恩时尚clife服务费暂估</v>
      </c>
    </row>
    <row r="38" spans="2:85" s="447" customFormat="1" ht="17.25" customHeight="1">
      <c r="B38" s="447" t="str">
        <f t="shared" si="0"/>
        <v>CU0531</v>
      </c>
      <c r="C38" s="431" t="s">
        <v>755</v>
      </c>
      <c r="D38" s="67" t="s">
        <v>135</v>
      </c>
      <c r="E38" s="435" t="s">
        <v>136</v>
      </c>
      <c r="F38" s="433">
        <v>43282</v>
      </c>
      <c r="G38" s="430">
        <v>2458.71</v>
      </c>
      <c r="H38" s="440"/>
      <c r="I38" s="440">
        <f t="shared" si="2"/>
        <v>2458.71</v>
      </c>
      <c r="J38" s="440" t="s">
        <v>1368</v>
      </c>
      <c r="K38" s="444"/>
      <c r="L38" s="462">
        <f t="shared" si="3"/>
        <v>2458.71</v>
      </c>
      <c r="M38" s="462" t="s">
        <v>1461</v>
      </c>
      <c r="N38" s="444">
        <f>L38</f>
        <v>2458.71</v>
      </c>
      <c r="O38" s="462">
        <f t="shared" si="4"/>
        <v>0</v>
      </c>
      <c r="P38" s="447" t="s">
        <v>1522</v>
      </c>
      <c r="R38" s="462">
        <f t="shared" si="5"/>
        <v>0</v>
      </c>
      <c r="S38" s="447" t="s">
        <v>1580</v>
      </c>
      <c r="U38" s="462">
        <f t="shared" si="6"/>
        <v>0</v>
      </c>
      <c r="V38" s="447" t="s">
        <v>1626</v>
      </c>
      <c r="X38" s="462">
        <f t="shared" si="7"/>
        <v>0</v>
      </c>
      <c r="Y38" s="447" t="s">
        <v>1661</v>
      </c>
      <c r="AA38" s="462">
        <f t="shared" si="29"/>
        <v>0</v>
      </c>
      <c r="AB38" s="447" t="s">
        <v>1716</v>
      </c>
      <c r="AD38" s="462">
        <f t="shared" si="8"/>
        <v>0</v>
      </c>
      <c r="AG38" s="462">
        <f t="shared" si="9"/>
        <v>0</v>
      </c>
      <c r="AH38" s="447" t="s">
        <v>1819</v>
      </c>
      <c r="AJ38" s="462">
        <f t="shared" si="10"/>
        <v>0</v>
      </c>
      <c r="AM38" s="462">
        <f t="shared" si="11"/>
        <v>0</v>
      </c>
      <c r="AN38" s="447" t="s">
        <v>1948</v>
      </c>
      <c r="AP38" s="462">
        <f t="shared" si="12"/>
        <v>0</v>
      </c>
      <c r="AQ38" s="447" t="s">
        <v>1995</v>
      </c>
      <c r="AS38" s="459">
        <f t="shared" si="13"/>
        <v>0</v>
      </c>
      <c r="AV38" s="462">
        <f t="shared" si="14"/>
        <v>0</v>
      </c>
      <c r="AY38" s="462">
        <f t="shared" si="15"/>
        <v>0</v>
      </c>
      <c r="BB38" s="462">
        <f t="shared" si="16"/>
        <v>0</v>
      </c>
      <c r="BC38" s="447" t="s">
        <v>2204</v>
      </c>
      <c r="BE38" s="462">
        <f t="shared" si="17"/>
        <v>0</v>
      </c>
      <c r="BH38" s="462">
        <f t="shared" si="18"/>
        <v>0</v>
      </c>
      <c r="BK38" s="462">
        <f t="shared" si="19"/>
        <v>0</v>
      </c>
      <c r="BN38" s="462">
        <f t="shared" si="20"/>
        <v>0</v>
      </c>
      <c r="BQ38" s="462">
        <f t="shared" si="21"/>
        <v>0</v>
      </c>
      <c r="BT38" s="462">
        <f t="shared" si="22"/>
        <v>0</v>
      </c>
      <c r="BW38" s="462">
        <f t="shared" si="23"/>
        <v>0</v>
      </c>
      <c r="BZ38" s="462">
        <f t="shared" si="24"/>
        <v>0</v>
      </c>
      <c r="CD38" s="418" t="str">
        <f t="shared" si="25"/>
        <v>CU0531001</v>
      </c>
      <c r="CE38" s="442" t="str">
        <f t="shared" si="26"/>
        <v>2018年7月</v>
      </c>
      <c r="CF38" s="418" t="str">
        <f t="shared" si="27"/>
        <v>恩思恩（北clife服务费暂估</v>
      </c>
      <c r="CG38" s="418" t="str">
        <f t="shared" si="28"/>
        <v>2018年7月恩思恩（北clife服务费暂估</v>
      </c>
    </row>
    <row r="39" spans="2:85" s="447" customFormat="1" ht="17.25" customHeight="1">
      <c r="B39" s="447" t="str">
        <f t="shared" si="0"/>
        <v>CU0869</v>
      </c>
      <c r="C39" s="431" t="s">
        <v>755</v>
      </c>
      <c r="D39" s="67" t="s">
        <v>989</v>
      </c>
      <c r="E39" s="435" t="s">
        <v>988</v>
      </c>
      <c r="F39" s="433">
        <v>43282</v>
      </c>
      <c r="G39" s="430">
        <v>21982.16</v>
      </c>
      <c r="H39" s="440"/>
      <c r="I39" s="440">
        <f t="shared" si="2"/>
        <v>21982.16</v>
      </c>
      <c r="J39" s="440" t="s">
        <v>1368</v>
      </c>
      <c r="K39" s="444"/>
      <c r="L39" s="462">
        <f t="shared" si="3"/>
        <v>21982.16</v>
      </c>
      <c r="M39" s="462" t="s">
        <v>1461</v>
      </c>
      <c r="N39" s="444">
        <v>25705</v>
      </c>
      <c r="O39" s="462">
        <f t="shared" si="4"/>
        <v>-3722.84</v>
      </c>
      <c r="P39" s="447" t="s">
        <v>1522</v>
      </c>
      <c r="R39" s="462">
        <f t="shared" si="5"/>
        <v>-3722.84</v>
      </c>
      <c r="S39" s="447" t="s">
        <v>1580</v>
      </c>
      <c r="T39" s="462">
        <f>R39</f>
        <v>-3722.84</v>
      </c>
      <c r="U39" s="462">
        <f t="shared" si="6"/>
        <v>0</v>
      </c>
      <c r="V39" s="447" t="s">
        <v>1626</v>
      </c>
      <c r="X39" s="462">
        <f t="shared" si="7"/>
        <v>0</v>
      </c>
      <c r="Y39" s="447" t="s">
        <v>1661</v>
      </c>
      <c r="AA39" s="462">
        <f t="shared" si="29"/>
        <v>0</v>
      </c>
      <c r="AB39" s="447" t="s">
        <v>1716</v>
      </c>
      <c r="AD39" s="462">
        <f t="shared" si="8"/>
        <v>0</v>
      </c>
      <c r="AG39" s="462">
        <f t="shared" si="9"/>
        <v>0</v>
      </c>
      <c r="AH39" s="447" t="s">
        <v>1819</v>
      </c>
      <c r="AJ39" s="462">
        <f t="shared" si="10"/>
        <v>0</v>
      </c>
      <c r="AM39" s="462">
        <f t="shared" si="11"/>
        <v>0</v>
      </c>
      <c r="AN39" s="447" t="s">
        <v>1948</v>
      </c>
      <c r="AP39" s="462">
        <f t="shared" si="12"/>
        <v>0</v>
      </c>
      <c r="AQ39" s="447" t="s">
        <v>1995</v>
      </c>
      <c r="AS39" s="459">
        <f t="shared" si="13"/>
        <v>0</v>
      </c>
      <c r="AV39" s="462">
        <f t="shared" si="14"/>
        <v>0</v>
      </c>
      <c r="AY39" s="462">
        <f t="shared" si="15"/>
        <v>0</v>
      </c>
      <c r="BB39" s="462">
        <f t="shared" si="16"/>
        <v>0</v>
      </c>
      <c r="BC39" s="447" t="s">
        <v>2204</v>
      </c>
      <c r="BE39" s="462">
        <f t="shared" si="17"/>
        <v>0</v>
      </c>
      <c r="BH39" s="462">
        <f t="shared" si="18"/>
        <v>0</v>
      </c>
      <c r="BK39" s="462">
        <f t="shared" si="19"/>
        <v>0</v>
      </c>
      <c r="BN39" s="462">
        <f t="shared" si="20"/>
        <v>0</v>
      </c>
      <c r="BQ39" s="462">
        <f t="shared" si="21"/>
        <v>0</v>
      </c>
      <c r="BT39" s="462">
        <f t="shared" si="22"/>
        <v>0</v>
      </c>
      <c r="BW39" s="462">
        <f t="shared" si="23"/>
        <v>0</v>
      </c>
      <c r="BZ39" s="462">
        <f t="shared" si="24"/>
        <v>0</v>
      </c>
      <c r="CD39" s="418" t="str">
        <f t="shared" si="25"/>
        <v>CU0869001</v>
      </c>
      <c r="CE39" s="442" t="str">
        <f t="shared" si="26"/>
        <v>2018年7月</v>
      </c>
      <c r="CF39" s="418" t="str">
        <f t="shared" si="27"/>
        <v>叶睿职业技clife服务费暂估</v>
      </c>
      <c r="CG39" s="418" t="str">
        <f t="shared" si="28"/>
        <v>2018年7月叶睿职业技clife服务费暂估</v>
      </c>
    </row>
    <row r="40" spans="2:85" s="447" customFormat="1" ht="17.25" customHeight="1">
      <c r="B40" s="447" t="str">
        <f t="shared" si="0"/>
        <v>CU0182</v>
      </c>
      <c r="C40" s="431" t="s">
        <v>755</v>
      </c>
      <c r="D40" s="67" t="s">
        <v>820</v>
      </c>
      <c r="E40" s="435" t="s">
        <v>821</v>
      </c>
      <c r="F40" s="433">
        <v>43313</v>
      </c>
      <c r="G40" s="430">
        <v>3329.93</v>
      </c>
      <c r="H40" s="440"/>
      <c r="I40" s="440">
        <f t="shared" si="2"/>
        <v>3329.93</v>
      </c>
      <c r="J40" s="440" t="s">
        <v>1368</v>
      </c>
      <c r="K40" s="444"/>
      <c r="L40" s="462">
        <f t="shared" si="3"/>
        <v>3329.93</v>
      </c>
      <c r="M40" s="462" t="s">
        <v>1461</v>
      </c>
      <c r="N40" s="444"/>
      <c r="O40" s="462">
        <f t="shared" si="4"/>
        <v>3329.93</v>
      </c>
      <c r="P40" s="447" t="s">
        <v>1523</v>
      </c>
      <c r="R40" s="462">
        <f t="shared" si="5"/>
        <v>3329.93</v>
      </c>
      <c r="S40" s="447" t="s">
        <v>1580</v>
      </c>
      <c r="U40" s="462">
        <f t="shared" si="6"/>
        <v>3329.93</v>
      </c>
      <c r="V40" s="447" t="s">
        <v>1626</v>
      </c>
      <c r="X40" s="462">
        <f t="shared" si="7"/>
        <v>3329.93</v>
      </c>
      <c r="Y40" s="447" t="s">
        <v>1661</v>
      </c>
      <c r="Z40" s="462">
        <f t="shared" ref="Z40:Z41" si="33">ROUND(X40,2)</f>
        <v>3329.93</v>
      </c>
      <c r="AA40" s="462">
        <f t="shared" si="29"/>
        <v>0</v>
      </c>
      <c r="AB40" s="447" t="s">
        <v>1716</v>
      </c>
      <c r="AD40" s="462">
        <f t="shared" si="8"/>
        <v>0</v>
      </c>
      <c r="AG40" s="462">
        <f t="shared" si="9"/>
        <v>0</v>
      </c>
      <c r="AH40" s="447" t="s">
        <v>1819</v>
      </c>
      <c r="AJ40" s="462">
        <f t="shared" si="10"/>
        <v>0</v>
      </c>
      <c r="AM40" s="462">
        <f t="shared" si="11"/>
        <v>0</v>
      </c>
      <c r="AN40" s="447" t="s">
        <v>1948</v>
      </c>
      <c r="AP40" s="462">
        <f t="shared" si="12"/>
        <v>0</v>
      </c>
      <c r="AQ40" s="447" t="s">
        <v>1995</v>
      </c>
      <c r="AS40" s="459">
        <f t="shared" si="13"/>
        <v>0</v>
      </c>
      <c r="AV40" s="462">
        <f t="shared" si="14"/>
        <v>0</v>
      </c>
      <c r="AY40" s="462">
        <f t="shared" si="15"/>
        <v>0</v>
      </c>
      <c r="BB40" s="462">
        <f t="shared" si="16"/>
        <v>0</v>
      </c>
      <c r="BC40" s="447" t="s">
        <v>2204</v>
      </c>
      <c r="BE40" s="462">
        <f t="shared" si="17"/>
        <v>0</v>
      </c>
      <c r="BH40" s="462">
        <f t="shared" si="18"/>
        <v>0</v>
      </c>
      <c r="BK40" s="462">
        <f t="shared" si="19"/>
        <v>0</v>
      </c>
      <c r="BN40" s="462">
        <f t="shared" si="20"/>
        <v>0</v>
      </c>
      <c r="BQ40" s="462">
        <f t="shared" si="21"/>
        <v>0</v>
      </c>
      <c r="BT40" s="462">
        <f t="shared" si="22"/>
        <v>0</v>
      </c>
      <c r="BW40" s="462">
        <f t="shared" si="23"/>
        <v>0</v>
      </c>
      <c r="BZ40" s="462">
        <f t="shared" si="24"/>
        <v>0</v>
      </c>
      <c r="CD40" s="418" t="str">
        <f t="shared" si="25"/>
        <v>CU0182001</v>
      </c>
      <c r="CE40" s="442" t="str">
        <f t="shared" si="26"/>
        <v>2018年8月</v>
      </c>
      <c r="CF40" s="418" t="str">
        <f t="shared" si="27"/>
        <v>阿姆斯壮（clife服务费暂估</v>
      </c>
      <c r="CG40" s="418" t="str">
        <f t="shared" si="28"/>
        <v>2018年8月阿姆斯壮（clife服务费暂估</v>
      </c>
    </row>
    <row r="41" spans="2:85" s="447" customFormat="1" ht="17.25" customHeight="1">
      <c r="B41" s="447" t="str">
        <f t="shared" si="0"/>
        <v>CU0182</v>
      </c>
      <c r="C41" s="431" t="s">
        <v>755</v>
      </c>
      <c r="D41" s="67" t="s">
        <v>822</v>
      </c>
      <c r="E41" s="435" t="s">
        <v>861</v>
      </c>
      <c r="F41" s="433">
        <v>43313</v>
      </c>
      <c r="G41" s="430">
        <v>15048</v>
      </c>
      <c r="H41" s="440"/>
      <c r="I41" s="440">
        <f t="shared" si="2"/>
        <v>15048</v>
      </c>
      <c r="J41" s="440" t="s">
        <v>1368</v>
      </c>
      <c r="K41" s="444"/>
      <c r="L41" s="462">
        <f t="shared" si="3"/>
        <v>15048</v>
      </c>
      <c r="M41" s="462" t="s">
        <v>1461</v>
      </c>
      <c r="N41" s="444"/>
      <c r="O41" s="462">
        <f t="shared" si="4"/>
        <v>15048</v>
      </c>
      <c r="P41" s="447" t="s">
        <v>1523</v>
      </c>
      <c r="R41" s="462">
        <f t="shared" si="5"/>
        <v>15048</v>
      </c>
      <c r="S41" s="447" t="s">
        <v>1580</v>
      </c>
      <c r="U41" s="462">
        <f t="shared" si="6"/>
        <v>15048</v>
      </c>
      <c r="V41" s="447" t="s">
        <v>1626</v>
      </c>
      <c r="X41" s="462">
        <f t="shared" si="7"/>
        <v>15048</v>
      </c>
      <c r="Y41" s="447" t="s">
        <v>1661</v>
      </c>
      <c r="Z41" s="462">
        <f t="shared" si="33"/>
        <v>15048</v>
      </c>
      <c r="AA41" s="462">
        <f t="shared" si="29"/>
        <v>0</v>
      </c>
      <c r="AB41" s="447" t="s">
        <v>1716</v>
      </c>
      <c r="AD41" s="462">
        <f t="shared" si="8"/>
        <v>0</v>
      </c>
      <c r="AG41" s="462">
        <f t="shared" si="9"/>
        <v>0</v>
      </c>
      <c r="AH41" s="447" t="s">
        <v>1819</v>
      </c>
      <c r="AJ41" s="462">
        <f t="shared" si="10"/>
        <v>0</v>
      </c>
      <c r="AM41" s="462">
        <f t="shared" si="11"/>
        <v>0</v>
      </c>
      <c r="AN41" s="447" t="s">
        <v>1948</v>
      </c>
      <c r="AP41" s="462">
        <f t="shared" si="12"/>
        <v>0</v>
      </c>
      <c r="AQ41" s="447" t="s">
        <v>1995</v>
      </c>
      <c r="AS41" s="459">
        <f t="shared" si="13"/>
        <v>0</v>
      </c>
      <c r="AV41" s="462">
        <f t="shared" si="14"/>
        <v>0</v>
      </c>
      <c r="AY41" s="462">
        <f t="shared" si="15"/>
        <v>0</v>
      </c>
      <c r="BB41" s="462">
        <f t="shared" si="16"/>
        <v>0</v>
      </c>
      <c r="BC41" s="447" t="s">
        <v>2204</v>
      </c>
      <c r="BE41" s="462">
        <f t="shared" si="17"/>
        <v>0</v>
      </c>
      <c r="BH41" s="462">
        <f t="shared" si="18"/>
        <v>0</v>
      </c>
      <c r="BK41" s="462">
        <f t="shared" si="19"/>
        <v>0</v>
      </c>
      <c r="BN41" s="462">
        <f t="shared" si="20"/>
        <v>0</v>
      </c>
      <c r="BQ41" s="462">
        <f t="shared" si="21"/>
        <v>0</v>
      </c>
      <c r="BT41" s="462">
        <f t="shared" si="22"/>
        <v>0</v>
      </c>
      <c r="BW41" s="462">
        <f t="shared" si="23"/>
        <v>0</v>
      </c>
      <c r="BZ41" s="462">
        <f t="shared" si="24"/>
        <v>0</v>
      </c>
      <c r="CD41" s="418" t="str">
        <f t="shared" si="25"/>
        <v>CU0182001</v>
      </c>
      <c r="CE41" s="442" t="str">
        <f t="shared" si="26"/>
        <v>2018年8月</v>
      </c>
      <c r="CF41" s="418" t="str">
        <f t="shared" si="27"/>
        <v>阿姆斯壮世clife服务费暂估</v>
      </c>
      <c r="CG41" s="418" t="str">
        <f t="shared" si="28"/>
        <v>2018年8月阿姆斯壮世clife服务费暂估</v>
      </c>
    </row>
    <row r="42" spans="2:85" s="447" customFormat="1" ht="17.25" customHeight="1">
      <c r="B42" s="447" t="str">
        <f t="shared" si="0"/>
        <v>CU0531</v>
      </c>
      <c r="C42" s="431" t="s">
        <v>755</v>
      </c>
      <c r="D42" s="67" t="s">
        <v>133</v>
      </c>
      <c r="E42" s="435" t="s">
        <v>134</v>
      </c>
      <c r="F42" s="433">
        <v>43313</v>
      </c>
      <c r="G42" s="430">
        <v>19007.41</v>
      </c>
      <c r="H42" s="440"/>
      <c r="I42" s="440">
        <f t="shared" si="2"/>
        <v>19007.41</v>
      </c>
      <c r="J42" s="440" t="s">
        <v>1368</v>
      </c>
      <c r="K42" s="444"/>
      <c r="L42" s="462">
        <f t="shared" si="3"/>
        <v>19007.41</v>
      </c>
      <c r="M42" s="462" t="s">
        <v>1461</v>
      </c>
      <c r="N42" s="444">
        <f t="shared" ref="N42:N43" si="34">L42</f>
        <v>19007.41</v>
      </c>
      <c r="O42" s="462">
        <f t="shared" si="4"/>
        <v>0</v>
      </c>
      <c r="P42" s="447" t="s">
        <v>1522</v>
      </c>
      <c r="R42" s="462">
        <f t="shared" si="5"/>
        <v>0</v>
      </c>
      <c r="S42" s="447" t="s">
        <v>1580</v>
      </c>
      <c r="U42" s="462">
        <f t="shared" si="6"/>
        <v>0</v>
      </c>
      <c r="V42" s="447" t="s">
        <v>1626</v>
      </c>
      <c r="X42" s="462">
        <f t="shared" si="7"/>
        <v>0</v>
      </c>
      <c r="Y42" s="447" t="s">
        <v>1661</v>
      </c>
      <c r="AA42" s="462">
        <f t="shared" si="29"/>
        <v>0</v>
      </c>
      <c r="AB42" s="447" t="s">
        <v>1716</v>
      </c>
      <c r="AD42" s="462">
        <f t="shared" si="8"/>
        <v>0</v>
      </c>
      <c r="AG42" s="462">
        <f t="shared" si="9"/>
        <v>0</v>
      </c>
      <c r="AH42" s="447" t="s">
        <v>1819</v>
      </c>
      <c r="AJ42" s="462">
        <f t="shared" si="10"/>
        <v>0</v>
      </c>
      <c r="AM42" s="462">
        <f t="shared" si="11"/>
        <v>0</v>
      </c>
      <c r="AN42" s="447" t="s">
        <v>1948</v>
      </c>
      <c r="AP42" s="462">
        <f t="shared" si="12"/>
        <v>0</v>
      </c>
      <c r="AQ42" s="447" t="s">
        <v>1995</v>
      </c>
      <c r="AS42" s="459">
        <f t="shared" si="13"/>
        <v>0</v>
      </c>
      <c r="AV42" s="462">
        <f t="shared" si="14"/>
        <v>0</v>
      </c>
      <c r="AY42" s="462">
        <f t="shared" si="15"/>
        <v>0</v>
      </c>
      <c r="BB42" s="462">
        <f t="shared" si="16"/>
        <v>0</v>
      </c>
      <c r="BC42" s="447" t="s">
        <v>2204</v>
      </c>
      <c r="BE42" s="462">
        <f t="shared" si="17"/>
        <v>0</v>
      </c>
      <c r="BH42" s="462">
        <f t="shared" si="18"/>
        <v>0</v>
      </c>
      <c r="BK42" s="462">
        <f t="shared" si="19"/>
        <v>0</v>
      </c>
      <c r="BN42" s="462">
        <f t="shared" si="20"/>
        <v>0</v>
      </c>
      <c r="BQ42" s="462">
        <f t="shared" si="21"/>
        <v>0</v>
      </c>
      <c r="BT42" s="462">
        <f t="shared" si="22"/>
        <v>0</v>
      </c>
      <c r="BW42" s="462">
        <f t="shared" si="23"/>
        <v>0</v>
      </c>
      <c r="BZ42" s="462">
        <f t="shared" si="24"/>
        <v>0</v>
      </c>
      <c r="CD42" s="418" t="str">
        <f t="shared" si="25"/>
        <v>CU0531001</v>
      </c>
      <c r="CE42" s="442" t="str">
        <f t="shared" si="26"/>
        <v>2018年8月</v>
      </c>
      <c r="CF42" s="418" t="str">
        <f t="shared" si="27"/>
        <v>恩思恩时尚clife服务费暂估</v>
      </c>
      <c r="CG42" s="418" t="str">
        <f t="shared" si="28"/>
        <v>2018年8月恩思恩时尚clife服务费暂估</v>
      </c>
    </row>
    <row r="43" spans="2:85" s="447" customFormat="1" ht="17.25" customHeight="1">
      <c r="B43" s="447" t="str">
        <f t="shared" si="0"/>
        <v>CU0531</v>
      </c>
      <c r="C43" s="431" t="s">
        <v>755</v>
      </c>
      <c r="D43" s="67" t="s">
        <v>135</v>
      </c>
      <c r="E43" s="435" t="s">
        <v>136</v>
      </c>
      <c r="F43" s="433">
        <v>43313</v>
      </c>
      <c r="G43" s="430">
        <v>2317.9699999999998</v>
      </c>
      <c r="H43" s="440"/>
      <c r="I43" s="440">
        <f t="shared" si="2"/>
        <v>2317.9699999999998</v>
      </c>
      <c r="J43" s="440" t="s">
        <v>1368</v>
      </c>
      <c r="K43" s="444"/>
      <c r="L43" s="462">
        <f t="shared" si="3"/>
        <v>2317.9699999999998</v>
      </c>
      <c r="M43" s="462" t="s">
        <v>1461</v>
      </c>
      <c r="N43" s="444">
        <f t="shared" si="34"/>
        <v>2317.9699999999998</v>
      </c>
      <c r="O43" s="462">
        <f t="shared" si="4"/>
        <v>0</v>
      </c>
      <c r="P43" s="447" t="s">
        <v>1522</v>
      </c>
      <c r="R43" s="462">
        <f t="shared" si="5"/>
        <v>0</v>
      </c>
      <c r="S43" s="447" t="s">
        <v>1580</v>
      </c>
      <c r="U43" s="462">
        <f t="shared" si="6"/>
        <v>0</v>
      </c>
      <c r="V43" s="447" t="s">
        <v>1626</v>
      </c>
      <c r="X43" s="462">
        <f t="shared" si="7"/>
        <v>0</v>
      </c>
      <c r="Y43" s="447" t="s">
        <v>1661</v>
      </c>
      <c r="AA43" s="462">
        <f t="shared" si="29"/>
        <v>0</v>
      </c>
      <c r="AB43" s="447" t="s">
        <v>1716</v>
      </c>
      <c r="AD43" s="462">
        <f t="shared" si="8"/>
        <v>0</v>
      </c>
      <c r="AG43" s="462">
        <f t="shared" si="9"/>
        <v>0</v>
      </c>
      <c r="AH43" s="447" t="s">
        <v>1819</v>
      </c>
      <c r="AJ43" s="462">
        <f t="shared" si="10"/>
        <v>0</v>
      </c>
      <c r="AM43" s="462">
        <f t="shared" si="11"/>
        <v>0</v>
      </c>
      <c r="AN43" s="447" t="s">
        <v>1948</v>
      </c>
      <c r="AP43" s="462">
        <f t="shared" si="12"/>
        <v>0</v>
      </c>
      <c r="AQ43" s="447" t="s">
        <v>1995</v>
      </c>
      <c r="AS43" s="459">
        <f t="shared" si="13"/>
        <v>0</v>
      </c>
      <c r="AV43" s="462">
        <f t="shared" si="14"/>
        <v>0</v>
      </c>
      <c r="AY43" s="462">
        <f t="shared" si="15"/>
        <v>0</v>
      </c>
      <c r="BB43" s="462">
        <f t="shared" si="16"/>
        <v>0</v>
      </c>
      <c r="BC43" s="447" t="s">
        <v>2204</v>
      </c>
      <c r="BE43" s="462">
        <f t="shared" si="17"/>
        <v>0</v>
      </c>
      <c r="BH43" s="462">
        <f t="shared" si="18"/>
        <v>0</v>
      </c>
      <c r="BK43" s="462">
        <f t="shared" si="19"/>
        <v>0</v>
      </c>
      <c r="BN43" s="462">
        <f t="shared" si="20"/>
        <v>0</v>
      </c>
      <c r="BQ43" s="462">
        <f t="shared" si="21"/>
        <v>0</v>
      </c>
      <c r="BT43" s="462">
        <f t="shared" si="22"/>
        <v>0</v>
      </c>
      <c r="BW43" s="462">
        <f t="shared" si="23"/>
        <v>0</v>
      </c>
      <c r="BZ43" s="462">
        <f t="shared" si="24"/>
        <v>0</v>
      </c>
      <c r="CD43" s="418" t="str">
        <f t="shared" si="25"/>
        <v>CU0531001</v>
      </c>
      <c r="CE43" s="442" t="str">
        <f t="shared" si="26"/>
        <v>2018年8月</v>
      </c>
      <c r="CF43" s="418" t="str">
        <f t="shared" si="27"/>
        <v>恩思恩（北clife服务费暂估</v>
      </c>
      <c r="CG43" s="418" t="str">
        <f t="shared" si="28"/>
        <v>2018年8月恩思恩（北clife服务费暂估</v>
      </c>
    </row>
    <row r="44" spans="2:85" s="447" customFormat="1" ht="17.25" customHeight="1">
      <c r="B44" s="447" t="str">
        <f t="shared" si="0"/>
        <v>CU0667</v>
      </c>
      <c r="C44" s="431" t="s">
        <v>755</v>
      </c>
      <c r="D44" s="67" t="s">
        <v>167</v>
      </c>
      <c r="E44" s="435" t="s">
        <v>168</v>
      </c>
      <c r="F44" s="433">
        <v>43313</v>
      </c>
      <c r="G44" s="430">
        <v>569.19999999999993</v>
      </c>
      <c r="H44" s="440"/>
      <c r="I44" s="440">
        <f t="shared" si="2"/>
        <v>569.19999999999993</v>
      </c>
      <c r="J44" s="440" t="s">
        <v>1368</v>
      </c>
      <c r="K44" s="444"/>
      <c r="L44" s="462">
        <f t="shared" si="3"/>
        <v>569.20000000000005</v>
      </c>
      <c r="M44" s="462" t="s">
        <v>1461</v>
      </c>
      <c r="N44" s="444"/>
      <c r="O44" s="462">
        <f t="shared" si="4"/>
        <v>569.20000000000005</v>
      </c>
      <c r="P44" s="447" t="s">
        <v>1522</v>
      </c>
      <c r="Q44" s="444">
        <f>O44</f>
        <v>569.20000000000005</v>
      </c>
      <c r="R44" s="462">
        <f t="shared" si="5"/>
        <v>0</v>
      </c>
      <c r="S44" s="447" t="s">
        <v>1580</v>
      </c>
      <c r="U44" s="462">
        <f t="shared" si="6"/>
        <v>0</v>
      </c>
      <c r="V44" s="447" t="s">
        <v>1626</v>
      </c>
      <c r="X44" s="462">
        <f t="shared" si="7"/>
        <v>0</v>
      </c>
      <c r="Y44" s="447" t="s">
        <v>1661</v>
      </c>
      <c r="AA44" s="462">
        <f t="shared" si="29"/>
        <v>0</v>
      </c>
      <c r="AB44" s="447" t="s">
        <v>1716</v>
      </c>
      <c r="AD44" s="462">
        <f t="shared" si="8"/>
        <v>0</v>
      </c>
      <c r="AG44" s="462">
        <f t="shared" si="9"/>
        <v>0</v>
      </c>
      <c r="AH44" s="447" t="s">
        <v>1819</v>
      </c>
      <c r="AJ44" s="462">
        <f t="shared" si="10"/>
        <v>0</v>
      </c>
      <c r="AM44" s="462">
        <f t="shared" si="11"/>
        <v>0</v>
      </c>
      <c r="AN44" s="447" t="s">
        <v>1948</v>
      </c>
      <c r="AP44" s="462">
        <f t="shared" si="12"/>
        <v>0</v>
      </c>
      <c r="AQ44" s="447" t="s">
        <v>1995</v>
      </c>
      <c r="AS44" s="459">
        <f t="shared" si="13"/>
        <v>0</v>
      </c>
      <c r="AV44" s="462">
        <f t="shared" si="14"/>
        <v>0</v>
      </c>
      <c r="AY44" s="462">
        <f t="shared" si="15"/>
        <v>0</v>
      </c>
      <c r="BB44" s="462">
        <f t="shared" si="16"/>
        <v>0</v>
      </c>
      <c r="BC44" s="447" t="s">
        <v>2204</v>
      </c>
      <c r="BE44" s="462">
        <f t="shared" si="17"/>
        <v>0</v>
      </c>
      <c r="BH44" s="462">
        <f t="shared" si="18"/>
        <v>0</v>
      </c>
      <c r="BK44" s="462">
        <f t="shared" si="19"/>
        <v>0</v>
      </c>
      <c r="BN44" s="462">
        <f t="shared" si="20"/>
        <v>0</v>
      </c>
      <c r="BQ44" s="462">
        <f t="shared" si="21"/>
        <v>0</v>
      </c>
      <c r="BT44" s="462">
        <f t="shared" si="22"/>
        <v>0</v>
      </c>
      <c r="BW44" s="462">
        <f t="shared" si="23"/>
        <v>0</v>
      </c>
      <c r="BZ44" s="462">
        <f t="shared" si="24"/>
        <v>0</v>
      </c>
      <c r="CD44" s="418" t="str">
        <f t="shared" si="25"/>
        <v>CU0667001</v>
      </c>
      <c r="CE44" s="442" t="str">
        <f t="shared" si="26"/>
        <v>2018年8月</v>
      </c>
      <c r="CF44" s="418" t="str">
        <f t="shared" si="27"/>
        <v>北京杰迪安clife服务费暂估</v>
      </c>
      <c r="CG44" s="418" t="str">
        <f t="shared" si="28"/>
        <v>2018年8月北京杰迪安clife服务费暂估</v>
      </c>
    </row>
    <row r="45" spans="2:85" s="447" customFormat="1" ht="17.25" customHeight="1">
      <c r="B45" s="447" t="str">
        <f t="shared" si="0"/>
        <v>CU0772</v>
      </c>
      <c r="C45" s="431" t="s">
        <v>755</v>
      </c>
      <c r="D45" s="67" t="s">
        <v>1947</v>
      </c>
      <c r="E45" s="435" t="s">
        <v>192</v>
      </c>
      <c r="F45" s="433">
        <v>43313</v>
      </c>
      <c r="G45" s="430">
        <v>13406.35</v>
      </c>
      <c r="H45" s="440"/>
      <c r="I45" s="440">
        <f t="shared" si="2"/>
        <v>13406.35</v>
      </c>
      <c r="J45" s="440" t="s">
        <v>1368</v>
      </c>
      <c r="K45" s="444"/>
      <c r="L45" s="462">
        <f t="shared" si="3"/>
        <v>13406.35</v>
      </c>
      <c r="M45" s="462" t="s">
        <v>1461</v>
      </c>
      <c r="N45" s="444"/>
      <c r="O45" s="462">
        <f t="shared" si="4"/>
        <v>13406.35</v>
      </c>
      <c r="P45" s="447" t="s">
        <v>1523</v>
      </c>
      <c r="R45" s="462">
        <f t="shared" si="5"/>
        <v>13406.35</v>
      </c>
      <c r="S45" s="447" t="s">
        <v>1580</v>
      </c>
      <c r="U45" s="462">
        <f t="shared" si="6"/>
        <v>13406.35</v>
      </c>
      <c r="V45" s="447" t="s">
        <v>1626</v>
      </c>
      <c r="X45" s="462">
        <f t="shared" si="7"/>
        <v>13406.35</v>
      </c>
      <c r="Y45" s="447" t="s">
        <v>1661</v>
      </c>
      <c r="AA45" s="462">
        <f t="shared" si="29"/>
        <v>13406.35</v>
      </c>
      <c r="AB45" s="447" t="s">
        <v>1716</v>
      </c>
      <c r="AD45" s="462">
        <f t="shared" si="8"/>
        <v>13406.35</v>
      </c>
      <c r="AE45" s="447" t="s">
        <v>1753</v>
      </c>
      <c r="AG45" s="462">
        <f t="shared" si="9"/>
        <v>13406.35</v>
      </c>
      <c r="AH45" s="447" t="s">
        <v>1819</v>
      </c>
      <c r="AJ45" s="462">
        <f t="shared" si="10"/>
        <v>13406.35</v>
      </c>
      <c r="AK45" s="447" t="s">
        <v>1862</v>
      </c>
      <c r="AL45" s="447">
        <f>2640+10106+636</f>
        <v>13382</v>
      </c>
      <c r="AM45" s="462">
        <f t="shared" si="11"/>
        <v>24.350000000000364</v>
      </c>
      <c r="AN45" s="447" t="s">
        <v>1948</v>
      </c>
      <c r="AP45" s="462">
        <f t="shared" si="12"/>
        <v>24.350000000000364</v>
      </c>
      <c r="AQ45" s="447" t="s">
        <v>1995</v>
      </c>
      <c r="AS45" s="459">
        <f t="shared" si="13"/>
        <v>24.350000000000364</v>
      </c>
      <c r="AV45" s="462">
        <f t="shared" si="14"/>
        <v>24.350000000000364</v>
      </c>
      <c r="AW45" s="447" t="s">
        <v>2107</v>
      </c>
      <c r="AX45" s="447">
        <f>14.36+9.99</f>
        <v>24.35</v>
      </c>
      <c r="AY45" s="462">
        <f t="shared" si="15"/>
        <v>3.6237679523765109E-13</v>
      </c>
      <c r="BB45" s="462">
        <f t="shared" si="16"/>
        <v>3.6237679523765109E-13</v>
      </c>
      <c r="BC45" s="447" t="s">
        <v>2204</v>
      </c>
      <c r="BE45" s="462">
        <f t="shared" si="17"/>
        <v>3.6237679523765109E-13</v>
      </c>
      <c r="BH45" s="462">
        <f t="shared" si="18"/>
        <v>3.6237679523765109E-13</v>
      </c>
      <c r="BK45" s="462">
        <f t="shared" si="19"/>
        <v>3.6237679523765109E-13</v>
      </c>
      <c r="BN45" s="462">
        <f t="shared" si="20"/>
        <v>3.6237679523765109E-13</v>
      </c>
      <c r="BQ45" s="462">
        <f t="shared" si="21"/>
        <v>0</v>
      </c>
      <c r="BT45" s="462">
        <f t="shared" si="22"/>
        <v>0</v>
      </c>
      <c r="BW45" s="462">
        <f t="shared" si="23"/>
        <v>0</v>
      </c>
      <c r="BZ45" s="462">
        <f t="shared" si="24"/>
        <v>0</v>
      </c>
      <c r="CD45" s="418" t="str">
        <f t="shared" si="25"/>
        <v>CU0772001</v>
      </c>
      <c r="CE45" s="442" t="str">
        <f t="shared" si="26"/>
        <v>2018年8月</v>
      </c>
      <c r="CF45" s="418" t="str">
        <f t="shared" si="27"/>
        <v>上海歌行电clife服务费暂估</v>
      </c>
      <c r="CG45" s="418" t="str">
        <f t="shared" si="28"/>
        <v>2018年8月上海歌行电clife服务费暂估</v>
      </c>
    </row>
    <row r="46" spans="2:85" s="447" customFormat="1" ht="17.25" customHeight="1">
      <c r="B46" s="447" t="str">
        <f t="shared" si="0"/>
        <v>CU0869</v>
      </c>
      <c r="C46" s="431" t="s">
        <v>755</v>
      </c>
      <c r="D46" s="67" t="s">
        <v>982</v>
      </c>
      <c r="E46" s="435" t="s">
        <v>983</v>
      </c>
      <c r="F46" s="433">
        <v>43313</v>
      </c>
      <c r="G46" s="430">
        <v>14362.057924528308</v>
      </c>
      <c r="H46" s="440">
        <f>10900/1.06</f>
        <v>10283.018867924528</v>
      </c>
      <c r="I46" s="440">
        <f t="shared" si="2"/>
        <v>4079.0390566037804</v>
      </c>
      <c r="J46" s="440" t="s">
        <v>1368</v>
      </c>
      <c r="K46" s="444"/>
      <c r="L46" s="462">
        <f t="shared" si="3"/>
        <v>4079.04</v>
      </c>
      <c r="M46" s="462" t="s">
        <v>1461</v>
      </c>
      <c r="N46" s="444"/>
      <c r="O46" s="462">
        <f t="shared" si="4"/>
        <v>4079.04</v>
      </c>
      <c r="P46" s="447" t="s">
        <v>1522</v>
      </c>
      <c r="R46" s="462">
        <f t="shared" si="5"/>
        <v>4079.04</v>
      </c>
      <c r="S46" s="447" t="s">
        <v>1580</v>
      </c>
      <c r="T46" s="462">
        <f>R46</f>
        <v>4079.04</v>
      </c>
      <c r="U46" s="462">
        <f t="shared" si="6"/>
        <v>0</v>
      </c>
      <c r="V46" s="447" t="s">
        <v>1626</v>
      </c>
      <c r="X46" s="462">
        <f t="shared" si="7"/>
        <v>0</v>
      </c>
      <c r="Y46" s="447" t="s">
        <v>1661</v>
      </c>
      <c r="AA46" s="462">
        <f t="shared" si="29"/>
        <v>0</v>
      </c>
      <c r="AB46" s="447" t="s">
        <v>1716</v>
      </c>
      <c r="AD46" s="462">
        <f t="shared" si="8"/>
        <v>0</v>
      </c>
      <c r="AG46" s="462">
        <f t="shared" si="9"/>
        <v>0</v>
      </c>
      <c r="AH46" s="447" t="s">
        <v>1819</v>
      </c>
      <c r="AJ46" s="462">
        <f t="shared" si="10"/>
        <v>0</v>
      </c>
      <c r="AM46" s="462">
        <f t="shared" si="11"/>
        <v>0</v>
      </c>
      <c r="AN46" s="447" t="s">
        <v>1948</v>
      </c>
      <c r="AP46" s="462">
        <f t="shared" si="12"/>
        <v>0</v>
      </c>
      <c r="AQ46" s="447" t="s">
        <v>1995</v>
      </c>
      <c r="AS46" s="459">
        <f t="shared" si="13"/>
        <v>0</v>
      </c>
      <c r="AV46" s="462">
        <f t="shared" si="14"/>
        <v>0</v>
      </c>
      <c r="AY46" s="462">
        <f t="shared" si="15"/>
        <v>0</v>
      </c>
      <c r="BB46" s="462">
        <f t="shared" si="16"/>
        <v>0</v>
      </c>
      <c r="BC46" s="447" t="s">
        <v>2204</v>
      </c>
      <c r="BE46" s="462">
        <f t="shared" si="17"/>
        <v>0</v>
      </c>
      <c r="BH46" s="462">
        <f t="shared" si="18"/>
        <v>0</v>
      </c>
      <c r="BK46" s="462">
        <f t="shared" si="19"/>
        <v>0</v>
      </c>
      <c r="BN46" s="462">
        <f t="shared" si="20"/>
        <v>0</v>
      </c>
      <c r="BQ46" s="462">
        <f t="shared" si="21"/>
        <v>0</v>
      </c>
      <c r="BT46" s="462">
        <f t="shared" si="22"/>
        <v>0</v>
      </c>
      <c r="BW46" s="462">
        <f t="shared" si="23"/>
        <v>0</v>
      </c>
      <c r="BZ46" s="462">
        <f t="shared" si="24"/>
        <v>0</v>
      </c>
      <c r="CD46" s="418" t="str">
        <f t="shared" si="25"/>
        <v>CU0869001</v>
      </c>
      <c r="CE46" s="442" t="str">
        <f t="shared" si="26"/>
        <v>2018年8月</v>
      </c>
      <c r="CF46" s="418" t="str">
        <f t="shared" si="27"/>
        <v>智睿企业咨clife服务费暂估</v>
      </c>
      <c r="CG46" s="418" t="str">
        <f t="shared" si="28"/>
        <v>2018年8月智睿企业咨clife服务费暂估</v>
      </c>
    </row>
    <row r="47" spans="2:85" s="447" customFormat="1" ht="17.25" customHeight="1">
      <c r="B47" s="447" t="str">
        <f t="shared" si="0"/>
        <v>CU0869</v>
      </c>
      <c r="C47" s="431" t="s">
        <v>755</v>
      </c>
      <c r="D47" s="67" t="s">
        <v>986</v>
      </c>
      <c r="E47" s="435" t="s">
        <v>987</v>
      </c>
      <c r="F47" s="433">
        <v>43313</v>
      </c>
      <c r="G47" s="430">
        <v>405171.83</v>
      </c>
      <c r="H47" s="440">
        <f>32900/1.06+95500</f>
        <v>126537.7358490566</v>
      </c>
      <c r="I47" s="440">
        <f t="shared" si="2"/>
        <v>278634.09415094345</v>
      </c>
      <c r="J47" s="440" t="s">
        <v>1368</v>
      </c>
      <c r="K47" s="444">
        <f>ROUND(65700/1.06,2)</f>
        <v>61981.13</v>
      </c>
      <c r="L47" s="462">
        <f t="shared" si="3"/>
        <v>216652.96</v>
      </c>
      <c r="M47" s="462" t="s">
        <v>1461</v>
      </c>
      <c r="N47" s="444"/>
      <c r="O47" s="462">
        <f t="shared" si="4"/>
        <v>216652.96</v>
      </c>
      <c r="P47" s="447" t="s">
        <v>1522</v>
      </c>
      <c r="R47" s="462">
        <f t="shared" si="5"/>
        <v>216652.96</v>
      </c>
      <c r="S47" s="447" t="s">
        <v>1580</v>
      </c>
      <c r="T47" s="447">
        <f>ROUND((65700/1.06),2)-T36-T39-T46</f>
        <v>57760.99</v>
      </c>
      <c r="U47" s="462">
        <f t="shared" si="6"/>
        <v>158891.97</v>
      </c>
      <c r="V47" s="447" t="s">
        <v>1626</v>
      </c>
      <c r="W47" s="447">
        <f>61766.01+ROUND(65700/1.06,2)</f>
        <v>123747.14</v>
      </c>
      <c r="X47" s="462">
        <f t="shared" si="7"/>
        <v>35144.83</v>
      </c>
      <c r="Y47" s="447" t="s">
        <v>1661</v>
      </c>
      <c r="Z47" s="462">
        <f>X47</f>
        <v>35144.83</v>
      </c>
      <c r="AA47" s="462">
        <f t="shared" si="29"/>
        <v>0</v>
      </c>
      <c r="AB47" s="447" t="s">
        <v>1716</v>
      </c>
      <c r="AD47" s="462">
        <f t="shared" si="8"/>
        <v>0</v>
      </c>
      <c r="AG47" s="462">
        <f t="shared" si="9"/>
        <v>0</v>
      </c>
      <c r="AH47" s="447" t="s">
        <v>1819</v>
      </c>
      <c r="AJ47" s="462">
        <f t="shared" si="10"/>
        <v>0</v>
      </c>
      <c r="AM47" s="462">
        <f t="shared" si="11"/>
        <v>0</v>
      </c>
      <c r="AN47" s="447" t="s">
        <v>1948</v>
      </c>
      <c r="AP47" s="462">
        <f t="shared" si="12"/>
        <v>0</v>
      </c>
      <c r="AQ47" s="447" t="s">
        <v>1995</v>
      </c>
      <c r="AS47" s="459">
        <f t="shared" si="13"/>
        <v>0</v>
      </c>
      <c r="AV47" s="462">
        <f t="shared" si="14"/>
        <v>0</v>
      </c>
      <c r="AY47" s="462">
        <f t="shared" si="15"/>
        <v>0</v>
      </c>
      <c r="BB47" s="462">
        <f t="shared" si="16"/>
        <v>0</v>
      </c>
      <c r="BC47" s="447" t="s">
        <v>2204</v>
      </c>
      <c r="BE47" s="462">
        <f t="shared" si="17"/>
        <v>0</v>
      </c>
      <c r="BH47" s="462">
        <f t="shared" si="18"/>
        <v>0</v>
      </c>
      <c r="BK47" s="462">
        <f t="shared" si="19"/>
        <v>0</v>
      </c>
      <c r="BN47" s="462">
        <f t="shared" si="20"/>
        <v>0</v>
      </c>
      <c r="BQ47" s="462">
        <f t="shared" si="21"/>
        <v>0</v>
      </c>
      <c r="BT47" s="462">
        <f t="shared" si="22"/>
        <v>0</v>
      </c>
      <c r="BW47" s="462">
        <f t="shared" si="23"/>
        <v>0</v>
      </c>
      <c r="BZ47" s="462">
        <f t="shared" si="24"/>
        <v>0</v>
      </c>
      <c r="CD47" s="418" t="str">
        <f t="shared" si="25"/>
        <v>CU0869001</v>
      </c>
      <c r="CE47" s="442" t="str">
        <f t="shared" si="26"/>
        <v>2018年8月</v>
      </c>
      <c r="CF47" s="418" t="str">
        <f t="shared" si="27"/>
        <v>智睿企业咨clife服务费暂估</v>
      </c>
      <c r="CG47" s="418" t="str">
        <f t="shared" si="28"/>
        <v>2018年8月智睿企业咨clife服务费暂估</v>
      </c>
    </row>
    <row r="48" spans="2:85" s="447" customFormat="1" ht="17.25" customHeight="1">
      <c r="B48" s="447" t="str">
        <f t="shared" si="0"/>
        <v>CU0093</v>
      </c>
      <c r="C48" s="434" t="s">
        <v>1311</v>
      </c>
      <c r="D48" s="434" t="s">
        <v>31</v>
      </c>
      <c r="E48" s="434" t="s">
        <v>32</v>
      </c>
      <c r="F48" s="433">
        <v>43344</v>
      </c>
      <c r="G48" s="430">
        <v>2436.6400000000003</v>
      </c>
      <c r="H48" s="440"/>
      <c r="I48" s="440">
        <f t="shared" si="2"/>
        <v>2436.6400000000003</v>
      </c>
      <c r="J48" s="440" t="s">
        <v>1368</v>
      </c>
      <c r="K48" s="444"/>
      <c r="L48" s="462">
        <f t="shared" si="3"/>
        <v>2436.64</v>
      </c>
      <c r="M48" s="462" t="s">
        <v>1461</v>
      </c>
      <c r="N48" s="444"/>
      <c r="O48" s="462">
        <f t="shared" si="4"/>
        <v>2436.64</v>
      </c>
      <c r="P48" s="447" t="s">
        <v>1522</v>
      </c>
      <c r="Q48" s="444">
        <f>O48</f>
        <v>2436.64</v>
      </c>
      <c r="R48" s="462">
        <f t="shared" si="5"/>
        <v>0</v>
      </c>
      <c r="S48" s="447" t="s">
        <v>1580</v>
      </c>
      <c r="U48" s="462">
        <f t="shared" si="6"/>
        <v>0</v>
      </c>
      <c r="V48" s="447" t="s">
        <v>1626</v>
      </c>
      <c r="X48" s="462">
        <f t="shared" si="7"/>
        <v>0</v>
      </c>
      <c r="Y48" s="447" t="s">
        <v>1661</v>
      </c>
      <c r="AA48" s="462">
        <f t="shared" si="29"/>
        <v>0</v>
      </c>
      <c r="AB48" s="447" t="s">
        <v>1716</v>
      </c>
      <c r="AD48" s="462">
        <f t="shared" si="8"/>
        <v>0</v>
      </c>
      <c r="AG48" s="462">
        <f t="shared" si="9"/>
        <v>0</v>
      </c>
      <c r="AH48" s="447" t="s">
        <v>1819</v>
      </c>
      <c r="AJ48" s="462">
        <f t="shared" si="10"/>
        <v>0</v>
      </c>
      <c r="AM48" s="462">
        <f t="shared" si="11"/>
        <v>0</v>
      </c>
      <c r="AN48" s="447" t="s">
        <v>1948</v>
      </c>
      <c r="AP48" s="462">
        <f t="shared" si="12"/>
        <v>0</v>
      </c>
      <c r="AQ48" s="447" t="s">
        <v>1995</v>
      </c>
      <c r="AS48" s="459">
        <f t="shared" si="13"/>
        <v>0</v>
      </c>
      <c r="AV48" s="462">
        <f t="shared" si="14"/>
        <v>0</v>
      </c>
      <c r="AY48" s="462">
        <f t="shared" si="15"/>
        <v>0</v>
      </c>
      <c r="BB48" s="462">
        <f t="shared" si="16"/>
        <v>0</v>
      </c>
      <c r="BC48" s="447" t="s">
        <v>2204</v>
      </c>
      <c r="BE48" s="462">
        <f t="shared" si="17"/>
        <v>0</v>
      </c>
      <c r="BH48" s="462">
        <f t="shared" si="18"/>
        <v>0</v>
      </c>
      <c r="BK48" s="462">
        <f t="shared" si="19"/>
        <v>0</v>
      </c>
      <c r="BN48" s="462">
        <f t="shared" si="20"/>
        <v>0</v>
      </c>
      <c r="BQ48" s="462">
        <f t="shared" si="21"/>
        <v>0</v>
      </c>
      <c r="BT48" s="462">
        <f t="shared" si="22"/>
        <v>0</v>
      </c>
      <c r="BW48" s="462">
        <f t="shared" si="23"/>
        <v>0</v>
      </c>
      <c r="BZ48" s="462">
        <f t="shared" si="24"/>
        <v>0</v>
      </c>
      <c r="CD48" s="418" t="str">
        <f t="shared" si="25"/>
        <v>CU0093001</v>
      </c>
      <c r="CE48" s="442" t="str">
        <f t="shared" si="26"/>
        <v>2018年9月</v>
      </c>
      <c r="CF48" s="418" t="str">
        <f t="shared" si="27"/>
        <v>日立保险代clife服务费暂估</v>
      </c>
      <c r="CG48" s="418" t="str">
        <f t="shared" si="28"/>
        <v>2018年9月日立保险代clife服务费暂估</v>
      </c>
    </row>
    <row r="49" spans="2:85" s="447" customFormat="1" ht="17.25" customHeight="1">
      <c r="B49" s="447" t="str">
        <f t="shared" si="0"/>
        <v>CU0109</v>
      </c>
      <c r="C49" s="434" t="s">
        <v>1311</v>
      </c>
      <c r="D49" s="434" t="s">
        <v>33</v>
      </c>
      <c r="E49" s="434" t="s">
        <v>34</v>
      </c>
      <c r="F49" s="433">
        <v>43344</v>
      </c>
      <c r="G49" s="430">
        <v>1370.7900000000081</v>
      </c>
      <c r="H49" s="440"/>
      <c r="I49" s="440">
        <f t="shared" si="2"/>
        <v>1370.7900000000081</v>
      </c>
      <c r="J49" s="440" t="s">
        <v>1368</v>
      </c>
      <c r="K49" s="444"/>
      <c r="L49" s="462">
        <f t="shared" si="3"/>
        <v>1370.79</v>
      </c>
      <c r="M49" s="462" t="s">
        <v>1461</v>
      </c>
      <c r="N49" s="444"/>
      <c r="O49" s="462">
        <f t="shared" si="4"/>
        <v>1370.79</v>
      </c>
      <c r="P49" s="447" t="s">
        <v>1522</v>
      </c>
      <c r="R49" s="462">
        <f t="shared" si="5"/>
        <v>1370.79</v>
      </c>
      <c r="S49" s="447" t="s">
        <v>1580</v>
      </c>
      <c r="T49" s="462">
        <f>R49</f>
        <v>1370.79</v>
      </c>
      <c r="U49" s="462">
        <f t="shared" si="6"/>
        <v>0</v>
      </c>
      <c r="V49" s="447" t="s">
        <v>1626</v>
      </c>
      <c r="X49" s="462">
        <f t="shared" si="7"/>
        <v>0</v>
      </c>
      <c r="Y49" s="447" t="s">
        <v>1661</v>
      </c>
      <c r="AA49" s="462">
        <f t="shared" si="29"/>
        <v>0</v>
      </c>
      <c r="AB49" s="447" t="s">
        <v>1716</v>
      </c>
      <c r="AD49" s="462">
        <f t="shared" si="8"/>
        <v>0</v>
      </c>
      <c r="AG49" s="462">
        <f t="shared" si="9"/>
        <v>0</v>
      </c>
      <c r="AH49" s="447" t="s">
        <v>1819</v>
      </c>
      <c r="AJ49" s="462">
        <f t="shared" si="10"/>
        <v>0</v>
      </c>
      <c r="AM49" s="462">
        <f t="shared" si="11"/>
        <v>0</v>
      </c>
      <c r="AN49" s="447" t="s">
        <v>1948</v>
      </c>
      <c r="AP49" s="462">
        <f t="shared" si="12"/>
        <v>0</v>
      </c>
      <c r="AQ49" s="447" t="s">
        <v>1995</v>
      </c>
      <c r="AS49" s="459">
        <f t="shared" si="13"/>
        <v>0</v>
      </c>
      <c r="AV49" s="462">
        <f t="shared" si="14"/>
        <v>0</v>
      </c>
      <c r="AY49" s="462">
        <f t="shared" si="15"/>
        <v>0</v>
      </c>
      <c r="BB49" s="462">
        <f t="shared" si="16"/>
        <v>0</v>
      </c>
      <c r="BC49" s="447" t="s">
        <v>2204</v>
      </c>
      <c r="BE49" s="462">
        <f t="shared" si="17"/>
        <v>0</v>
      </c>
      <c r="BH49" s="462">
        <f t="shared" si="18"/>
        <v>0</v>
      </c>
      <c r="BK49" s="462">
        <f t="shared" si="19"/>
        <v>0</v>
      </c>
      <c r="BN49" s="462">
        <f t="shared" si="20"/>
        <v>0</v>
      </c>
      <c r="BQ49" s="462">
        <f t="shared" si="21"/>
        <v>0</v>
      </c>
      <c r="BT49" s="462">
        <f t="shared" si="22"/>
        <v>0</v>
      </c>
      <c r="BW49" s="462">
        <f t="shared" si="23"/>
        <v>0</v>
      </c>
      <c r="BZ49" s="462">
        <f t="shared" si="24"/>
        <v>0</v>
      </c>
      <c r="CD49" s="418" t="str">
        <f t="shared" si="25"/>
        <v>CU0109001</v>
      </c>
      <c r="CE49" s="442" t="str">
        <f t="shared" si="26"/>
        <v>2018年9月</v>
      </c>
      <c r="CF49" s="418" t="str">
        <f t="shared" si="27"/>
        <v>普拉达时装clife服务费暂估</v>
      </c>
      <c r="CG49" s="418" t="str">
        <f t="shared" si="28"/>
        <v>2018年9月普拉达时装clife服务费暂估</v>
      </c>
    </row>
    <row r="50" spans="2:85" s="447" customFormat="1" ht="17.25" customHeight="1">
      <c r="B50" s="447" t="str">
        <f t="shared" si="0"/>
        <v>CU0182</v>
      </c>
      <c r="C50" s="434" t="s">
        <v>1311</v>
      </c>
      <c r="D50" s="434" t="s">
        <v>820</v>
      </c>
      <c r="E50" s="434" t="s">
        <v>821</v>
      </c>
      <c r="F50" s="433">
        <v>43344</v>
      </c>
      <c r="G50" s="430">
        <v>22632.98</v>
      </c>
      <c r="H50" s="440">
        <f>40300/1.06-H51</f>
        <v>22632.977924528299</v>
      </c>
      <c r="I50" s="440">
        <f t="shared" si="2"/>
        <v>2.0754717006639112E-3</v>
      </c>
      <c r="J50" s="440" t="s">
        <v>1368</v>
      </c>
      <c r="K50" s="444"/>
      <c r="L50" s="462">
        <f t="shared" si="3"/>
        <v>0</v>
      </c>
      <c r="M50" s="462" t="s">
        <v>1461</v>
      </c>
      <c r="N50" s="444"/>
      <c r="O50" s="462">
        <f t="shared" si="4"/>
        <v>0</v>
      </c>
      <c r="P50" s="447" t="s">
        <v>1523</v>
      </c>
      <c r="R50" s="462">
        <f t="shared" si="5"/>
        <v>0</v>
      </c>
      <c r="S50" s="447" t="s">
        <v>1580</v>
      </c>
      <c r="U50" s="462">
        <f t="shared" si="6"/>
        <v>0</v>
      </c>
      <c r="V50" s="447" t="s">
        <v>1626</v>
      </c>
      <c r="X50" s="462">
        <f t="shared" si="7"/>
        <v>0</v>
      </c>
      <c r="Y50" s="447" t="s">
        <v>1661</v>
      </c>
      <c r="Z50" s="462"/>
      <c r="AA50" s="462">
        <f t="shared" si="29"/>
        <v>0</v>
      </c>
      <c r="AB50" s="447" t="s">
        <v>1716</v>
      </c>
      <c r="AD50" s="462">
        <f t="shared" si="8"/>
        <v>0</v>
      </c>
      <c r="AG50" s="462">
        <f t="shared" si="9"/>
        <v>0</v>
      </c>
      <c r="AH50" s="447" t="s">
        <v>1819</v>
      </c>
      <c r="AJ50" s="462">
        <f t="shared" si="10"/>
        <v>0</v>
      </c>
      <c r="AM50" s="462">
        <f t="shared" si="11"/>
        <v>0</v>
      </c>
      <c r="AN50" s="447" t="s">
        <v>1948</v>
      </c>
      <c r="AP50" s="462">
        <f t="shared" si="12"/>
        <v>0</v>
      </c>
      <c r="AQ50" s="447" t="s">
        <v>1995</v>
      </c>
      <c r="AS50" s="459">
        <f t="shared" si="13"/>
        <v>0</v>
      </c>
      <c r="AV50" s="462">
        <f t="shared" si="14"/>
        <v>0</v>
      </c>
      <c r="AY50" s="462">
        <f t="shared" si="15"/>
        <v>0</v>
      </c>
      <c r="BB50" s="462">
        <f t="shared" si="16"/>
        <v>0</v>
      </c>
      <c r="BC50" s="447" t="s">
        <v>2204</v>
      </c>
      <c r="BE50" s="462">
        <f t="shared" si="17"/>
        <v>0</v>
      </c>
      <c r="BH50" s="462">
        <f t="shared" si="18"/>
        <v>0</v>
      </c>
      <c r="BK50" s="462">
        <f t="shared" si="19"/>
        <v>0</v>
      </c>
      <c r="BN50" s="462">
        <f t="shared" si="20"/>
        <v>0</v>
      </c>
      <c r="BQ50" s="462">
        <f t="shared" si="21"/>
        <v>0</v>
      </c>
      <c r="BT50" s="462">
        <f t="shared" si="22"/>
        <v>0</v>
      </c>
      <c r="BW50" s="462">
        <f t="shared" si="23"/>
        <v>0</v>
      </c>
      <c r="BZ50" s="462">
        <f t="shared" si="24"/>
        <v>0</v>
      </c>
      <c r="CD50" s="418" t="str">
        <f t="shared" si="25"/>
        <v>CU0182001</v>
      </c>
      <c r="CE50" s="442" t="str">
        <f t="shared" si="26"/>
        <v>2018年9月</v>
      </c>
      <c r="CF50" s="418" t="str">
        <f t="shared" si="27"/>
        <v>阿姆斯壮（clife服务费暂估</v>
      </c>
      <c r="CG50" s="418" t="str">
        <f t="shared" si="28"/>
        <v>2018年9月阿姆斯壮（clife服务费暂估</v>
      </c>
    </row>
    <row r="51" spans="2:85" s="447" customFormat="1" ht="17.25" customHeight="1">
      <c r="B51" s="447" t="str">
        <f t="shared" si="0"/>
        <v>CU0182</v>
      </c>
      <c r="C51" s="434" t="s">
        <v>1311</v>
      </c>
      <c r="D51" s="434" t="s">
        <v>822</v>
      </c>
      <c r="E51" s="434" t="s">
        <v>861</v>
      </c>
      <c r="F51" s="433">
        <v>43344</v>
      </c>
      <c r="G51" s="430">
        <v>32991.54</v>
      </c>
      <c r="H51" s="440">
        <v>15385.89</v>
      </c>
      <c r="I51" s="440">
        <f t="shared" si="2"/>
        <v>17605.650000000001</v>
      </c>
      <c r="J51" s="440" t="s">
        <v>1368</v>
      </c>
      <c r="K51" s="444"/>
      <c r="L51" s="462">
        <f t="shared" si="3"/>
        <v>17605.650000000001</v>
      </c>
      <c r="M51" s="462" t="s">
        <v>1461</v>
      </c>
      <c r="N51" s="444"/>
      <c r="O51" s="462">
        <f t="shared" si="4"/>
        <v>17605.650000000001</v>
      </c>
      <c r="P51" s="447" t="s">
        <v>1523</v>
      </c>
      <c r="R51" s="462">
        <f t="shared" si="5"/>
        <v>17605.650000000001</v>
      </c>
      <c r="S51" s="447" t="s">
        <v>1580</v>
      </c>
      <c r="U51" s="462">
        <f t="shared" si="6"/>
        <v>17605.650000000001</v>
      </c>
      <c r="V51" s="447" t="s">
        <v>1626</v>
      </c>
      <c r="X51" s="462">
        <f t="shared" si="7"/>
        <v>17605.650000000001</v>
      </c>
      <c r="Y51" s="447" t="s">
        <v>1661</v>
      </c>
      <c r="Z51" s="462">
        <f t="shared" ref="Z51" si="35">ROUND(X51,2)</f>
        <v>17605.650000000001</v>
      </c>
      <c r="AA51" s="462">
        <f t="shared" si="29"/>
        <v>0</v>
      </c>
      <c r="AB51" s="447" t="s">
        <v>1716</v>
      </c>
      <c r="AD51" s="462">
        <f t="shared" si="8"/>
        <v>0</v>
      </c>
      <c r="AG51" s="462">
        <f t="shared" si="9"/>
        <v>0</v>
      </c>
      <c r="AH51" s="447" t="s">
        <v>1819</v>
      </c>
      <c r="AJ51" s="462">
        <f t="shared" si="10"/>
        <v>0</v>
      </c>
      <c r="AM51" s="462">
        <f t="shared" si="11"/>
        <v>0</v>
      </c>
      <c r="AN51" s="447" t="s">
        <v>1948</v>
      </c>
      <c r="AP51" s="462">
        <f t="shared" si="12"/>
        <v>0</v>
      </c>
      <c r="AQ51" s="447" t="s">
        <v>1995</v>
      </c>
      <c r="AS51" s="459">
        <f t="shared" si="13"/>
        <v>0</v>
      </c>
      <c r="AV51" s="462">
        <f t="shared" si="14"/>
        <v>0</v>
      </c>
      <c r="AY51" s="462">
        <f t="shared" si="15"/>
        <v>0</v>
      </c>
      <c r="BB51" s="462">
        <f t="shared" si="16"/>
        <v>0</v>
      </c>
      <c r="BC51" s="447" t="s">
        <v>2204</v>
      </c>
      <c r="BE51" s="462">
        <f t="shared" si="17"/>
        <v>0</v>
      </c>
      <c r="BH51" s="462">
        <f t="shared" si="18"/>
        <v>0</v>
      </c>
      <c r="BK51" s="462">
        <f t="shared" si="19"/>
        <v>0</v>
      </c>
      <c r="BN51" s="462">
        <f t="shared" si="20"/>
        <v>0</v>
      </c>
      <c r="BQ51" s="462">
        <f t="shared" si="21"/>
        <v>0</v>
      </c>
      <c r="BT51" s="462">
        <f t="shared" si="22"/>
        <v>0</v>
      </c>
      <c r="BW51" s="462">
        <f t="shared" si="23"/>
        <v>0</v>
      </c>
      <c r="BZ51" s="462">
        <f t="shared" si="24"/>
        <v>0</v>
      </c>
      <c r="CD51" s="418" t="str">
        <f t="shared" si="25"/>
        <v>CU0182001</v>
      </c>
      <c r="CE51" s="442" t="str">
        <f t="shared" si="26"/>
        <v>2018年9月</v>
      </c>
      <c r="CF51" s="418" t="str">
        <f t="shared" si="27"/>
        <v>阿姆斯壮世clife服务费暂估</v>
      </c>
      <c r="CG51" s="418" t="str">
        <f t="shared" si="28"/>
        <v>2018年9月阿姆斯壮世clife服务费暂估</v>
      </c>
    </row>
    <row r="52" spans="2:85" s="447" customFormat="1" ht="17.25" customHeight="1">
      <c r="B52" s="447" t="str">
        <f t="shared" si="0"/>
        <v>CU0238</v>
      </c>
      <c r="C52" s="434" t="s">
        <v>1311</v>
      </c>
      <c r="D52" s="434" t="s">
        <v>53</v>
      </c>
      <c r="E52" s="434" t="s">
        <v>54</v>
      </c>
      <c r="F52" s="433">
        <v>43344</v>
      </c>
      <c r="G52" s="430">
        <v>4276.8</v>
      </c>
      <c r="H52" s="440"/>
      <c r="I52" s="440">
        <f t="shared" si="2"/>
        <v>4276.8</v>
      </c>
      <c r="J52" s="440" t="s">
        <v>1368</v>
      </c>
      <c r="K52" s="444"/>
      <c r="L52" s="462">
        <f t="shared" si="3"/>
        <v>4276.8</v>
      </c>
      <c r="M52" s="462" t="s">
        <v>1461</v>
      </c>
      <c r="N52" s="444"/>
      <c r="O52" s="462">
        <f t="shared" si="4"/>
        <v>4276.8</v>
      </c>
      <c r="P52" s="447" t="s">
        <v>1522</v>
      </c>
      <c r="R52" s="462">
        <f t="shared" si="5"/>
        <v>4276.8</v>
      </c>
      <c r="S52" s="447" t="s">
        <v>1580</v>
      </c>
      <c r="T52" s="462">
        <f>ROUND((7252.31/1.06),2)-T10-T18+285</f>
        <v>4276.8</v>
      </c>
      <c r="U52" s="462">
        <f t="shared" si="6"/>
        <v>0</v>
      </c>
      <c r="V52" s="447" t="s">
        <v>1626</v>
      </c>
      <c r="X52" s="462">
        <f t="shared" si="7"/>
        <v>0</v>
      </c>
      <c r="Y52" s="447" t="s">
        <v>1661</v>
      </c>
      <c r="AA52" s="462">
        <f t="shared" si="29"/>
        <v>0</v>
      </c>
      <c r="AB52" s="447" t="s">
        <v>1716</v>
      </c>
      <c r="AD52" s="462">
        <f t="shared" si="8"/>
        <v>0</v>
      </c>
      <c r="AG52" s="462">
        <f t="shared" si="9"/>
        <v>0</v>
      </c>
      <c r="AH52" s="447" t="s">
        <v>1819</v>
      </c>
      <c r="AJ52" s="462">
        <f t="shared" si="10"/>
        <v>0</v>
      </c>
      <c r="AM52" s="462">
        <f t="shared" si="11"/>
        <v>0</v>
      </c>
      <c r="AN52" s="447" t="s">
        <v>1948</v>
      </c>
      <c r="AP52" s="462">
        <f t="shared" si="12"/>
        <v>0</v>
      </c>
      <c r="AQ52" s="447" t="s">
        <v>1995</v>
      </c>
      <c r="AS52" s="459">
        <f t="shared" si="13"/>
        <v>0</v>
      </c>
      <c r="AV52" s="462">
        <f t="shared" si="14"/>
        <v>0</v>
      </c>
      <c r="AY52" s="462">
        <f t="shared" si="15"/>
        <v>0</v>
      </c>
      <c r="BB52" s="462">
        <f t="shared" si="16"/>
        <v>0</v>
      </c>
      <c r="BC52" s="447" t="s">
        <v>2204</v>
      </c>
      <c r="BE52" s="462">
        <f t="shared" si="17"/>
        <v>0</v>
      </c>
      <c r="BH52" s="462">
        <f t="shared" si="18"/>
        <v>0</v>
      </c>
      <c r="BK52" s="462">
        <f t="shared" si="19"/>
        <v>0</v>
      </c>
      <c r="BN52" s="462">
        <f t="shared" si="20"/>
        <v>0</v>
      </c>
      <c r="BQ52" s="462">
        <f t="shared" si="21"/>
        <v>0</v>
      </c>
      <c r="BT52" s="462">
        <f t="shared" si="22"/>
        <v>0</v>
      </c>
      <c r="BW52" s="462">
        <f t="shared" si="23"/>
        <v>0</v>
      </c>
      <c r="BZ52" s="462">
        <f t="shared" si="24"/>
        <v>0</v>
      </c>
      <c r="CD52" s="418" t="str">
        <f t="shared" si="25"/>
        <v>CU0238001</v>
      </c>
      <c r="CE52" s="442" t="str">
        <f t="shared" si="26"/>
        <v>2018年9月</v>
      </c>
      <c r="CF52" s="418" t="str">
        <f t="shared" si="27"/>
        <v>丘奇鞋业（clife服务费暂估</v>
      </c>
      <c r="CG52" s="418" t="str">
        <f t="shared" si="28"/>
        <v>2018年9月丘奇鞋业（clife服务费暂估</v>
      </c>
    </row>
    <row r="53" spans="2:85" s="447" customFormat="1" ht="17.25" customHeight="1">
      <c r="B53" s="447" t="str">
        <f t="shared" si="0"/>
        <v>CU0285</v>
      </c>
      <c r="C53" s="434" t="s">
        <v>1311</v>
      </c>
      <c r="D53" s="434" t="s">
        <v>1312</v>
      </c>
      <c r="E53" s="434" t="s">
        <v>1313</v>
      </c>
      <c r="F53" s="433">
        <v>43344</v>
      </c>
      <c r="G53" s="430">
        <f>414452.56+6180</f>
        <v>420632.56</v>
      </c>
      <c r="H53" s="440">
        <f>100000+100000/1.06+155000</f>
        <v>349339.6226415094</v>
      </c>
      <c r="I53" s="440">
        <f t="shared" si="2"/>
        <v>71292.937358490599</v>
      </c>
      <c r="J53" s="440" t="s">
        <v>1368</v>
      </c>
      <c r="K53" s="444"/>
      <c r="L53" s="462">
        <f t="shared" si="3"/>
        <v>71292.94</v>
      </c>
      <c r="M53" s="462" t="s">
        <v>1461</v>
      </c>
      <c r="N53" s="444"/>
      <c r="O53" s="462">
        <f t="shared" si="4"/>
        <v>71292.94</v>
      </c>
      <c r="P53" s="447" t="s">
        <v>1522</v>
      </c>
      <c r="Q53" s="444">
        <f>O53</f>
        <v>71292.94</v>
      </c>
      <c r="R53" s="462">
        <f t="shared" si="5"/>
        <v>0</v>
      </c>
      <c r="S53" s="447" t="s">
        <v>1580</v>
      </c>
      <c r="U53" s="462">
        <f t="shared" si="6"/>
        <v>0</v>
      </c>
      <c r="V53" s="447" t="s">
        <v>1626</v>
      </c>
      <c r="X53" s="462">
        <f t="shared" si="7"/>
        <v>0</v>
      </c>
      <c r="Y53" s="447" t="s">
        <v>1661</v>
      </c>
      <c r="AA53" s="462">
        <f t="shared" si="29"/>
        <v>0</v>
      </c>
      <c r="AB53" s="447" t="s">
        <v>1716</v>
      </c>
      <c r="AD53" s="462">
        <f t="shared" si="8"/>
        <v>0</v>
      </c>
      <c r="AG53" s="462">
        <f t="shared" si="9"/>
        <v>0</v>
      </c>
      <c r="AH53" s="447" t="s">
        <v>1819</v>
      </c>
      <c r="AJ53" s="462">
        <f t="shared" si="10"/>
        <v>0</v>
      </c>
      <c r="AM53" s="462">
        <f t="shared" si="11"/>
        <v>0</v>
      </c>
      <c r="AN53" s="447" t="s">
        <v>1948</v>
      </c>
      <c r="AP53" s="462">
        <f t="shared" si="12"/>
        <v>0</v>
      </c>
      <c r="AQ53" s="447" t="s">
        <v>1995</v>
      </c>
      <c r="AS53" s="459">
        <f t="shared" si="13"/>
        <v>0</v>
      </c>
      <c r="AV53" s="462">
        <f t="shared" si="14"/>
        <v>0</v>
      </c>
      <c r="AY53" s="462">
        <f t="shared" si="15"/>
        <v>0</v>
      </c>
      <c r="BB53" s="462">
        <f t="shared" si="16"/>
        <v>0</v>
      </c>
      <c r="BC53" s="447" t="s">
        <v>2204</v>
      </c>
      <c r="BE53" s="462">
        <f t="shared" si="17"/>
        <v>0</v>
      </c>
      <c r="BH53" s="462">
        <f t="shared" si="18"/>
        <v>0</v>
      </c>
      <c r="BK53" s="462">
        <f t="shared" si="19"/>
        <v>0</v>
      </c>
      <c r="BN53" s="462">
        <f t="shared" si="20"/>
        <v>0</v>
      </c>
      <c r="BQ53" s="462">
        <f t="shared" si="21"/>
        <v>0</v>
      </c>
      <c r="BT53" s="462">
        <f t="shared" si="22"/>
        <v>0</v>
      </c>
      <c r="BW53" s="462">
        <f t="shared" si="23"/>
        <v>0</v>
      </c>
      <c r="BZ53" s="462">
        <f t="shared" si="24"/>
        <v>0</v>
      </c>
      <c r="CD53" s="418" t="str">
        <f t="shared" si="25"/>
        <v>CU0285001</v>
      </c>
      <c r="CE53" s="442" t="str">
        <f t="shared" si="26"/>
        <v>2018年9月</v>
      </c>
      <c r="CF53" s="418" t="str">
        <f t="shared" si="27"/>
        <v>文思海辉clife服务费暂估</v>
      </c>
      <c r="CG53" s="418" t="str">
        <f t="shared" si="28"/>
        <v>2018年9月文思海辉clife服务费暂估</v>
      </c>
    </row>
    <row r="54" spans="2:85" s="447" customFormat="1" ht="17.25" customHeight="1">
      <c r="B54" s="447" t="str">
        <f t="shared" si="0"/>
        <v>CU0296</v>
      </c>
      <c r="C54" s="434" t="s">
        <v>1311</v>
      </c>
      <c r="D54" s="434" t="s">
        <v>71</v>
      </c>
      <c r="E54" s="434" t="s">
        <v>72</v>
      </c>
      <c r="F54" s="433">
        <v>43344</v>
      </c>
      <c r="G54" s="430">
        <v>5762.57</v>
      </c>
      <c r="H54" s="440"/>
      <c r="I54" s="440">
        <f t="shared" si="2"/>
        <v>5762.57</v>
      </c>
      <c r="J54" s="440" t="s">
        <v>1368</v>
      </c>
      <c r="K54" s="444"/>
      <c r="L54" s="462">
        <f t="shared" si="3"/>
        <v>5762.57</v>
      </c>
      <c r="M54" s="462" t="s">
        <v>1461</v>
      </c>
      <c r="N54" s="444"/>
      <c r="O54" s="462">
        <f t="shared" si="4"/>
        <v>5762.57</v>
      </c>
      <c r="P54" s="447" t="s">
        <v>1523</v>
      </c>
      <c r="Q54" s="444"/>
      <c r="R54" s="462">
        <f t="shared" si="5"/>
        <v>5762.57</v>
      </c>
      <c r="S54" s="447" t="s">
        <v>1580</v>
      </c>
      <c r="T54" s="447">
        <v>5762.57</v>
      </c>
      <c r="U54" s="462">
        <f t="shared" si="6"/>
        <v>0</v>
      </c>
      <c r="V54" s="447" t="s">
        <v>1626</v>
      </c>
      <c r="X54" s="462">
        <f t="shared" si="7"/>
        <v>0</v>
      </c>
      <c r="Y54" s="447" t="s">
        <v>1661</v>
      </c>
      <c r="AA54" s="462">
        <f t="shared" si="29"/>
        <v>0</v>
      </c>
      <c r="AB54" s="447" t="s">
        <v>1716</v>
      </c>
      <c r="AD54" s="462">
        <f t="shared" si="8"/>
        <v>0</v>
      </c>
      <c r="AG54" s="462">
        <f t="shared" si="9"/>
        <v>0</v>
      </c>
      <c r="AH54" s="447" t="s">
        <v>1819</v>
      </c>
      <c r="AJ54" s="462">
        <f t="shared" si="10"/>
        <v>0</v>
      </c>
      <c r="AM54" s="462">
        <f t="shared" si="11"/>
        <v>0</v>
      </c>
      <c r="AN54" s="447" t="s">
        <v>1948</v>
      </c>
      <c r="AP54" s="462">
        <f t="shared" si="12"/>
        <v>0</v>
      </c>
      <c r="AQ54" s="447" t="s">
        <v>1995</v>
      </c>
      <c r="AS54" s="459">
        <f t="shared" si="13"/>
        <v>0</v>
      </c>
      <c r="AV54" s="462">
        <f t="shared" si="14"/>
        <v>0</v>
      </c>
      <c r="AY54" s="462">
        <f t="shared" si="15"/>
        <v>0</v>
      </c>
      <c r="BB54" s="462">
        <f t="shared" si="16"/>
        <v>0</v>
      </c>
      <c r="BC54" s="447" t="s">
        <v>2204</v>
      </c>
      <c r="BE54" s="462">
        <f t="shared" si="17"/>
        <v>0</v>
      </c>
      <c r="BH54" s="462">
        <f t="shared" si="18"/>
        <v>0</v>
      </c>
      <c r="BK54" s="462">
        <f t="shared" si="19"/>
        <v>0</v>
      </c>
      <c r="BN54" s="462">
        <f t="shared" si="20"/>
        <v>0</v>
      </c>
      <c r="BQ54" s="462">
        <f t="shared" si="21"/>
        <v>0</v>
      </c>
      <c r="BT54" s="462">
        <f t="shared" si="22"/>
        <v>0</v>
      </c>
      <c r="BW54" s="462">
        <f t="shared" si="23"/>
        <v>0</v>
      </c>
      <c r="BZ54" s="462">
        <f t="shared" si="24"/>
        <v>0</v>
      </c>
      <c r="CD54" s="418" t="str">
        <f t="shared" si="25"/>
        <v>CU0296001</v>
      </c>
      <c r="CE54" s="442" t="str">
        <f t="shared" si="26"/>
        <v>2018年9月</v>
      </c>
      <c r="CF54" s="418" t="str">
        <f t="shared" si="27"/>
        <v>德莎国际货clife服务费暂估</v>
      </c>
      <c r="CG54" s="418" t="str">
        <f t="shared" si="28"/>
        <v>2018年9月德莎国际货clife服务费暂估</v>
      </c>
    </row>
    <row r="55" spans="2:85" s="447" customFormat="1" ht="17.25" customHeight="1">
      <c r="B55" s="447" t="str">
        <f t="shared" si="0"/>
        <v>CU0531</v>
      </c>
      <c r="C55" s="434" t="s">
        <v>1311</v>
      </c>
      <c r="D55" s="434" t="s">
        <v>133</v>
      </c>
      <c r="E55" s="434" t="s">
        <v>134</v>
      </c>
      <c r="F55" s="433">
        <v>43344</v>
      </c>
      <c r="G55" s="430">
        <v>20606.349999999999</v>
      </c>
      <c r="H55" s="440"/>
      <c r="I55" s="440">
        <f t="shared" si="2"/>
        <v>20606.349999999999</v>
      </c>
      <c r="J55" s="440" t="s">
        <v>1368</v>
      </c>
      <c r="K55" s="444"/>
      <c r="L55" s="462">
        <f t="shared" si="3"/>
        <v>20606.349999999999</v>
      </c>
      <c r="M55" s="462" t="s">
        <v>1461</v>
      </c>
      <c r="N55" s="444">
        <f t="shared" ref="N55:N56" si="36">L55</f>
        <v>20606.349999999999</v>
      </c>
      <c r="O55" s="462">
        <f t="shared" si="4"/>
        <v>0</v>
      </c>
      <c r="P55" s="447" t="s">
        <v>1522</v>
      </c>
      <c r="R55" s="462">
        <f t="shared" si="5"/>
        <v>0</v>
      </c>
      <c r="S55" s="447" t="s">
        <v>1580</v>
      </c>
      <c r="U55" s="462">
        <f t="shared" si="6"/>
        <v>0</v>
      </c>
      <c r="V55" s="447" t="s">
        <v>1626</v>
      </c>
      <c r="X55" s="462">
        <f t="shared" si="7"/>
        <v>0</v>
      </c>
      <c r="Y55" s="447" t="s">
        <v>1661</v>
      </c>
      <c r="AA55" s="462">
        <f t="shared" si="29"/>
        <v>0</v>
      </c>
      <c r="AB55" s="447" t="s">
        <v>1716</v>
      </c>
      <c r="AD55" s="462">
        <f t="shared" si="8"/>
        <v>0</v>
      </c>
      <c r="AG55" s="462">
        <f t="shared" si="9"/>
        <v>0</v>
      </c>
      <c r="AH55" s="447" t="s">
        <v>1819</v>
      </c>
      <c r="AJ55" s="462">
        <f t="shared" si="10"/>
        <v>0</v>
      </c>
      <c r="AM55" s="462">
        <f t="shared" si="11"/>
        <v>0</v>
      </c>
      <c r="AN55" s="447" t="s">
        <v>1948</v>
      </c>
      <c r="AP55" s="462">
        <f t="shared" si="12"/>
        <v>0</v>
      </c>
      <c r="AQ55" s="447" t="s">
        <v>1995</v>
      </c>
      <c r="AS55" s="459">
        <f t="shared" si="13"/>
        <v>0</v>
      </c>
      <c r="AV55" s="462">
        <f t="shared" si="14"/>
        <v>0</v>
      </c>
      <c r="AY55" s="462">
        <f t="shared" si="15"/>
        <v>0</v>
      </c>
      <c r="BB55" s="462">
        <f t="shared" si="16"/>
        <v>0</v>
      </c>
      <c r="BC55" s="447" t="s">
        <v>2204</v>
      </c>
      <c r="BE55" s="462">
        <f t="shared" si="17"/>
        <v>0</v>
      </c>
      <c r="BH55" s="462">
        <f t="shared" si="18"/>
        <v>0</v>
      </c>
      <c r="BK55" s="462">
        <f t="shared" si="19"/>
        <v>0</v>
      </c>
      <c r="BN55" s="462">
        <f t="shared" si="20"/>
        <v>0</v>
      </c>
      <c r="BQ55" s="462">
        <f t="shared" si="21"/>
        <v>0</v>
      </c>
      <c r="BT55" s="462">
        <f t="shared" si="22"/>
        <v>0</v>
      </c>
      <c r="BW55" s="462">
        <f t="shared" si="23"/>
        <v>0</v>
      </c>
      <c r="BZ55" s="462">
        <f t="shared" si="24"/>
        <v>0</v>
      </c>
      <c r="CD55" s="418" t="str">
        <f t="shared" si="25"/>
        <v>CU0531001</v>
      </c>
      <c r="CE55" s="442" t="str">
        <f t="shared" si="26"/>
        <v>2018年9月</v>
      </c>
      <c r="CF55" s="418" t="str">
        <f t="shared" si="27"/>
        <v>恩思恩时尚clife服务费暂估</v>
      </c>
      <c r="CG55" s="418" t="str">
        <f t="shared" si="28"/>
        <v>2018年9月恩思恩时尚clife服务费暂估</v>
      </c>
    </row>
    <row r="56" spans="2:85" s="447" customFormat="1" ht="17.25" customHeight="1">
      <c r="B56" s="447" t="str">
        <f t="shared" si="0"/>
        <v>CU0531</v>
      </c>
      <c r="C56" s="434" t="s">
        <v>1311</v>
      </c>
      <c r="D56" s="434" t="s">
        <v>135</v>
      </c>
      <c r="E56" s="434" t="s">
        <v>136</v>
      </c>
      <c r="F56" s="433">
        <v>43344</v>
      </c>
      <c r="G56" s="430">
        <v>468.33</v>
      </c>
      <c r="H56" s="440"/>
      <c r="I56" s="440">
        <f t="shared" si="2"/>
        <v>468.33</v>
      </c>
      <c r="J56" s="440" t="s">
        <v>1368</v>
      </c>
      <c r="K56" s="444"/>
      <c r="L56" s="462">
        <f t="shared" si="3"/>
        <v>468.33</v>
      </c>
      <c r="M56" s="462" t="s">
        <v>1461</v>
      </c>
      <c r="N56" s="444">
        <f t="shared" si="36"/>
        <v>468.33</v>
      </c>
      <c r="O56" s="462">
        <f t="shared" si="4"/>
        <v>0</v>
      </c>
      <c r="P56" s="447" t="s">
        <v>1522</v>
      </c>
      <c r="R56" s="462">
        <f t="shared" si="5"/>
        <v>0</v>
      </c>
      <c r="S56" s="447" t="s">
        <v>1580</v>
      </c>
      <c r="U56" s="462">
        <f t="shared" si="6"/>
        <v>0</v>
      </c>
      <c r="V56" s="447" t="s">
        <v>1626</v>
      </c>
      <c r="X56" s="462">
        <f t="shared" si="7"/>
        <v>0</v>
      </c>
      <c r="Y56" s="447" t="s">
        <v>1661</v>
      </c>
      <c r="AA56" s="462">
        <f t="shared" si="29"/>
        <v>0</v>
      </c>
      <c r="AB56" s="447" t="s">
        <v>1716</v>
      </c>
      <c r="AD56" s="462">
        <f t="shared" si="8"/>
        <v>0</v>
      </c>
      <c r="AG56" s="462">
        <f t="shared" si="9"/>
        <v>0</v>
      </c>
      <c r="AH56" s="447" t="s">
        <v>1819</v>
      </c>
      <c r="AJ56" s="462">
        <f t="shared" si="10"/>
        <v>0</v>
      </c>
      <c r="AM56" s="462">
        <f t="shared" si="11"/>
        <v>0</v>
      </c>
      <c r="AN56" s="447" t="s">
        <v>1948</v>
      </c>
      <c r="AP56" s="462">
        <f t="shared" si="12"/>
        <v>0</v>
      </c>
      <c r="AQ56" s="447" t="s">
        <v>1995</v>
      </c>
      <c r="AS56" s="459">
        <f t="shared" si="13"/>
        <v>0</v>
      </c>
      <c r="AV56" s="462">
        <f t="shared" si="14"/>
        <v>0</v>
      </c>
      <c r="AY56" s="462">
        <f t="shared" si="15"/>
        <v>0</v>
      </c>
      <c r="BB56" s="462">
        <f t="shared" si="16"/>
        <v>0</v>
      </c>
      <c r="BC56" s="447" t="s">
        <v>2204</v>
      </c>
      <c r="BE56" s="462">
        <f t="shared" si="17"/>
        <v>0</v>
      </c>
      <c r="BH56" s="462">
        <f t="shared" si="18"/>
        <v>0</v>
      </c>
      <c r="BK56" s="462">
        <f t="shared" si="19"/>
        <v>0</v>
      </c>
      <c r="BN56" s="462">
        <f t="shared" si="20"/>
        <v>0</v>
      </c>
      <c r="BQ56" s="462">
        <f t="shared" si="21"/>
        <v>0</v>
      </c>
      <c r="BT56" s="462">
        <f t="shared" si="22"/>
        <v>0</v>
      </c>
      <c r="BW56" s="462">
        <f t="shared" si="23"/>
        <v>0</v>
      </c>
      <c r="BZ56" s="462">
        <f t="shared" si="24"/>
        <v>0</v>
      </c>
      <c r="CD56" s="418" t="str">
        <f t="shared" si="25"/>
        <v>CU0531001</v>
      </c>
      <c r="CE56" s="442" t="str">
        <f t="shared" si="26"/>
        <v>2018年9月</v>
      </c>
      <c r="CF56" s="418" t="str">
        <f t="shared" si="27"/>
        <v>恩思恩（北clife服务费暂估</v>
      </c>
      <c r="CG56" s="418" t="str">
        <f t="shared" si="28"/>
        <v>2018年9月恩思恩（北clife服务费暂估</v>
      </c>
    </row>
    <row r="57" spans="2:85" s="447" customFormat="1" ht="17.25" customHeight="1">
      <c r="B57" s="447" t="str">
        <f t="shared" si="0"/>
        <v>CU0643</v>
      </c>
      <c r="C57" s="434" t="s">
        <v>1311</v>
      </c>
      <c r="D57" s="434" t="s">
        <v>157</v>
      </c>
      <c r="E57" s="434" t="s">
        <v>158</v>
      </c>
      <c r="F57" s="433">
        <v>43344</v>
      </c>
      <c r="G57" s="430">
        <v>16125.79</v>
      </c>
      <c r="H57" s="440"/>
      <c r="I57" s="440">
        <f t="shared" si="2"/>
        <v>16125.79</v>
      </c>
      <c r="J57" s="440" t="s">
        <v>1368</v>
      </c>
      <c r="K57" s="444">
        <f>ROUND((67831.58/1.06),2)-K25</f>
        <v>16125.79</v>
      </c>
      <c r="L57" s="462">
        <f t="shared" si="3"/>
        <v>0</v>
      </c>
      <c r="M57" s="462" t="s">
        <v>1461</v>
      </c>
      <c r="N57" s="444"/>
      <c r="O57" s="462">
        <f t="shared" si="4"/>
        <v>0</v>
      </c>
      <c r="P57" s="447" t="s">
        <v>1522</v>
      </c>
      <c r="R57" s="462">
        <f t="shared" si="5"/>
        <v>0</v>
      </c>
      <c r="S57" s="447" t="s">
        <v>1580</v>
      </c>
      <c r="U57" s="462">
        <f t="shared" si="6"/>
        <v>0</v>
      </c>
      <c r="V57" s="447" t="s">
        <v>1626</v>
      </c>
      <c r="X57" s="462">
        <f t="shared" si="7"/>
        <v>0</v>
      </c>
      <c r="Y57" s="447" t="s">
        <v>1661</v>
      </c>
      <c r="AA57" s="462">
        <f t="shared" si="29"/>
        <v>0</v>
      </c>
      <c r="AB57" s="447" t="s">
        <v>1716</v>
      </c>
      <c r="AD57" s="462">
        <f t="shared" si="8"/>
        <v>0</v>
      </c>
      <c r="AG57" s="462">
        <f t="shared" si="9"/>
        <v>0</v>
      </c>
      <c r="AH57" s="447" t="s">
        <v>1819</v>
      </c>
      <c r="AJ57" s="462">
        <f t="shared" si="10"/>
        <v>0</v>
      </c>
      <c r="AM57" s="462">
        <f t="shared" si="11"/>
        <v>0</v>
      </c>
      <c r="AN57" s="447" t="s">
        <v>1948</v>
      </c>
      <c r="AP57" s="462">
        <f t="shared" si="12"/>
        <v>0</v>
      </c>
      <c r="AQ57" s="447" t="s">
        <v>1995</v>
      </c>
      <c r="AS57" s="459">
        <f t="shared" si="13"/>
        <v>0</v>
      </c>
      <c r="AV57" s="462">
        <f t="shared" si="14"/>
        <v>0</v>
      </c>
      <c r="AY57" s="462">
        <f t="shared" si="15"/>
        <v>0</v>
      </c>
      <c r="BB57" s="462">
        <f t="shared" si="16"/>
        <v>0</v>
      </c>
      <c r="BC57" s="447" t="s">
        <v>2204</v>
      </c>
      <c r="BE57" s="462">
        <f t="shared" si="17"/>
        <v>0</v>
      </c>
      <c r="BH57" s="462">
        <f t="shared" si="18"/>
        <v>0</v>
      </c>
      <c r="BK57" s="462">
        <f t="shared" si="19"/>
        <v>0</v>
      </c>
      <c r="BN57" s="462">
        <f t="shared" si="20"/>
        <v>0</v>
      </c>
      <c r="BQ57" s="462">
        <f t="shared" si="21"/>
        <v>0</v>
      </c>
      <c r="BT57" s="462">
        <f t="shared" si="22"/>
        <v>0</v>
      </c>
      <c r="BW57" s="462">
        <f t="shared" si="23"/>
        <v>0</v>
      </c>
      <c r="BZ57" s="462">
        <f t="shared" si="24"/>
        <v>0</v>
      </c>
      <c r="CD57" s="418" t="str">
        <f t="shared" si="25"/>
        <v>CU0643001</v>
      </c>
      <c r="CE57" s="442" t="str">
        <f t="shared" si="26"/>
        <v>2018年9月</v>
      </c>
      <c r="CF57" s="418" t="str">
        <f t="shared" si="27"/>
        <v>绿谷clife服务费暂估</v>
      </c>
      <c r="CG57" s="418" t="str">
        <f t="shared" si="28"/>
        <v>2018年9月绿谷clife服务费暂估</v>
      </c>
    </row>
    <row r="58" spans="2:85" s="447" customFormat="1" ht="17.25" customHeight="1">
      <c r="B58" s="447" t="str">
        <f t="shared" si="0"/>
        <v>CU0667</v>
      </c>
      <c r="C58" s="434" t="s">
        <v>1311</v>
      </c>
      <c r="D58" s="434" t="s">
        <v>167</v>
      </c>
      <c r="E58" s="434" t="s">
        <v>168</v>
      </c>
      <c r="F58" s="433">
        <v>43344</v>
      </c>
      <c r="G58" s="430">
        <v>248.94999999999993</v>
      </c>
      <c r="H58" s="440"/>
      <c r="I58" s="440">
        <f t="shared" si="2"/>
        <v>248.94999999999993</v>
      </c>
      <c r="J58" s="440" t="s">
        <v>1368</v>
      </c>
      <c r="K58" s="444"/>
      <c r="L58" s="462">
        <f t="shared" si="3"/>
        <v>248.95</v>
      </c>
      <c r="M58" s="462" t="s">
        <v>1461</v>
      </c>
      <c r="N58" s="444"/>
      <c r="O58" s="462">
        <f t="shared" si="4"/>
        <v>248.95</v>
      </c>
      <c r="P58" s="447" t="s">
        <v>1522</v>
      </c>
      <c r="Q58" s="444">
        <f>700/1.06-Q44+157.77</f>
        <v>248.94735849056602</v>
      </c>
      <c r="R58" s="462">
        <f t="shared" si="5"/>
        <v>2.6415094339711231E-3</v>
      </c>
      <c r="S58" s="447" t="s">
        <v>1580</v>
      </c>
      <c r="U58" s="462">
        <f t="shared" si="6"/>
        <v>2.6415094339711231E-3</v>
      </c>
      <c r="V58" s="447" t="s">
        <v>1626</v>
      </c>
      <c r="X58" s="462">
        <f t="shared" si="7"/>
        <v>2.6415094339711231E-3</v>
      </c>
      <c r="Y58" s="447" t="s">
        <v>1661</v>
      </c>
      <c r="AA58" s="462">
        <f t="shared" si="29"/>
        <v>2.6415094339711231E-3</v>
      </c>
      <c r="AB58" s="447" t="s">
        <v>1716</v>
      </c>
      <c r="AD58" s="462">
        <f t="shared" si="8"/>
        <v>2.6415094339711231E-3</v>
      </c>
      <c r="AG58" s="462">
        <f t="shared" si="9"/>
        <v>2.6415094339711231E-3</v>
      </c>
      <c r="AH58" s="447" t="s">
        <v>1819</v>
      </c>
      <c r="AJ58" s="462">
        <f t="shared" si="10"/>
        <v>2.6415094339711231E-3</v>
      </c>
      <c r="AM58" s="462">
        <f t="shared" si="11"/>
        <v>2.6415094339711231E-3</v>
      </c>
      <c r="AN58" s="447" t="s">
        <v>1948</v>
      </c>
      <c r="AP58" s="462">
        <f t="shared" si="12"/>
        <v>2.6415094339711231E-3</v>
      </c>
      <c r="AQ58" s="447" t="s">
        <v>1995</v>
      </c>
      <c r="AS58" s="459">
        <f t="shared" si="13"/>
        <v>2.6415094339711231E-3</v>
      </c>
      <c r="AV58" s="462">
        <f t="shared" si="14"/>
        <v>2.6415094339711231E-3</v>
      </c>
      <c r="AY58" s="462">
        <f t="shared" si="15"/>
        <v>2.6415094339711231E-3</v>
      </c>
      <c r="BB58" s="462">
        <f t="shared" si="16"/>
        <v>2.6415094339711231E-3</v>
      </c>
      <c r="BC58" s="447" t="s">
        <v>2204</v>
      </c>
      <c r="BE58" s="462">
        <f t="shared" si="17"/>
        <v>2.6415094339711231E-3</v>
      </c>
      <c r="BH58" s="462">
        <f t="shared" si="18"/>
        <v>2.6415094339711231E-3</v>
      </c>
      <c r="BK58" s="462">
        <f t="shared" si="19"/>
        <v>2.6415094339711231E-3</v>
      </c>
      <c r="BN58" s="462">
        <f t="shared" si="20"/>
        <v>2.6415094339711231E-3</v>
      </c>
      <c r="BQ58" s="462">
        <f t="shared" si="21"/>
        <v>0</v>
      </c>
      <c r="BT58" s="462">
        <f t="shared" si="22"/>
        <v>0</v>
      </c>
      <c r="BW58" s="462">
        <f t="shared" si="23"/>
        <v>0</v>
      </c>
      <c r="BZ58" s="462">
        <f t="shared" si="24"/>
        <v>0</v>
      </c>
      <c r="CD58" s="418" t="str">
        <f t="shared" si="25"/>
        <v>CU0667001</v>
      </c>
      <c r="CE58" s="442" t="str">
        <f t="shared" si="26"/>
        <v>2018年9月</v>
      </c>
      <c r="CF58" s="418" t="str">
        <f t="shared" si="27"/>
        <v>北京杰迪安clife服务费暂估</v>
      </c>
      <c r="CG58" s="418" t="str">
        <f t="shared" si="28"/>
        <v>2018年9月北京杰迪安clife服务费暂估</v>
      </c>
    </row>
    <row r="59" spans="2:85" s="447" customFormat="1" ht="17.25" customHeight="1">
      <c r="B59" s="447" t="str">
        <f t="shared" si="0"/>
        <v>CU0669</v>
      </c>
      <c r="C59" s="434" t="s">
        <v>1311</v>
      </c>
      <c r="D59" s="434" t="s">
        <v>228</v>
      </c>
      <c r="E59" s="434" t="s">
        <v>229</v>
      </c>
      <c r="F59" s="433">
        <v>43344</v>
      </c>
      <c r="G59" s="430">
        <v>39891.4</v>
      </c>
      <c r="H59" s="440"/>
      <c r="I59" s="440">
        <f t="shared" si="2"/>
        <v>39891.4</v>
      </c>
      <c r="J59" s="440" t="s">
        <v>1368</v>
      </c>
      <c r="K59" s="444"/>
      <c r="L59" s="462">
        <f t="shared" si="3"/>
        <v>39891.4</v>
      </c>
      <c r="M59" s="462" t="s">
        <v>1461</v>
      </c>
      <c r="N59" s="444"/>
      <c r="O59" s="462">
        <f t="shared" si="4"/>
        <v>39891.4</v>
      </c>
      <c r="P59" s="447" t="s">
        <v>1522</v>
      </c>
      <c r="R59" s="462">
        <f t="shared" si="5"/>
        <v>39891.4</v>
      </c>
      <c r="S59" s="447" t="s">
        <v>1580</v>
      </c>
      <c r="T59" s="447">
        <v>39891.4</v>
      </c>
      <c r="U59" s="462">
        <f t="shared" si="6"/>
        <v>0</v>
      </c>
      <c r="V59" s="447" t="s">
        <v>1626</v>
      </c>
      <c r="X59" s="462">
        <f t="shared" si="7"/>
        <v>0</v>
      </c>
      <c r="Y59" s="447" t="s">
        <v>1661</v>
      </c>
      <c r="AA59" s="462">
        <f t="shared" si="29"/>
        <v>0</v>
      </c>
      <c r="AB59" s="447" t="s">
        <v>1716</v>
      </c>
      <c r="AD59" s="462">
        <f t="shared" si="8"/>
        <v>0</v>
      </c>
      <c r="AG59" s="462">
        <f t="shared" si="9"/>
        <v>0</v>
      </c>
      <c r="AH59" s="447" t="s">
        <v>1819</v>
      </c>
      <c r="AJ59" s="462">
        <f t="shared" si="10"/>
        <v>0</v>
      </c>
      <c r="AM59" s="462">
        <f t="shared" si="11"/>
        <v>0</v>
      </c>
      <c r="AN59" s="447" t="s">
        <v>1948</v>
      </c>
      <c r="AP59" s="462">
        <f t="shared" si="12"/>
        <v>0</v>
      </c>
      <c r="AQ59" s="447" t="s">
        <v>1995</v>
      </c>
      <c r="AS59" s="459">
        <f t="shared" si="13"/>
        <v>0</v>
      </c>
      <c r="AV59" s="462">
        <f t="shared" si="14"/>
        <v>0</v>
      </c>
      <c r="AY59" s="462">
        <f t="shared" si="15"/>
        <v>0</v>
      </c>
      <c r="BB59" s="462">
        <f t="shared" si="16"/>
        <v>0</v>
      </c>
      <c r="BC59" s="447" t="s">
        <v>2204</v>
      </c>
      <c r="BE59" s="462">
        <f t="shared" si="17"/>
        <v>0</v>
      </c>
      <c r="BH59" s="462">
        <f t="shared" si="18"/>
        <v>0</v>
      </c>
      <c r="BK59" s="462">
        <f t="shared" si="19"/>
        <v>0</v>
      </c>
      <c r="BN59" s="462">
        <f t="shared" si="20"/>
        <v>0</v>
      </c>
      <c r="BQ59" s="462">
        <f t="shared" si="21"/>
        <v>0</v>
      </c>
      <c r="BT59" s="462">
        <f t="shared" si="22"/>
        <v>0</v>
      </c>
      <c r="BW59" s="462">
        <f t="shared" si="23"/>
        <v>0</v>
      </c>
      <c r="BZ59" s="462">
        <f t="shared" si="24"/>
        <v>0</v>
      </c>
      <c r="CD59" s="418" t="str">
        <f t="shared" si="25"/>
        <v>CU0669001</v>
      </c>
      <c r="CE59" s="442" t="str">
        <f t="shared" si="26"/>
        <v>2018年9月</v>
      </c>
      <c r="CF59" s="418" t="str">
        <f t="shared" si="27"/>
        <v>北京博禹国clife服务费暂估</v>
      </c>
      <c r="CG59" s="418" t="str">
        <f t="shared" si="28"/>
        <v>2018年9月北京博禹国clife服务费暂估</v>
      </c>
    </row>
    <row r="60" spans="2:85" s="447" customFormat="1" ht="17.25" customHeight="1">
      <c r="B60" s="447" t="str">
        <f t="shared" si="0"/>
        <v>CU0692</v>
      </c>
      <c r="C60" s="434" t="s">
        <v>1311</v>
      </c>
      <c r="D60" s="434" t="s">
        <v>171</v>
      </c>
      <c r="E60" s="434" t="s">
        <v>172</v>
      </c>
      <c r="F60" s="433">
        <v>43344</v>
      </c>
      <c r="G60" s="430">
        <v>31564.07</v>
      </c>
      <c r="H60" s="440">
        <f>1533+23013/1.06</f>
        <v>23243.377358490565</v>
      </c>
      <c r="I60" s="440">
        <f t="shared" si="2"/>
        <v>8320.6926415094349</v>
      </c>
      <c r="J60" s="440" t="s">
        <v>1368</v>
      </c>
      <c r="K60" s="444"/>
      <c r="L60" s="462">
        <f t="shared" si="3"/>
        <v>8320.69</v>
      </c>
      <c r="M60" s="462" t="s">
        <v>1461</v>
      </c>
      <c r="N60" s="444"/>
      <c r="O60" s="462">
        <f t="shared" si="4"/>
        <v>8320.69</v>
      </c>
      <c r="P60" s="447" t="s">
        <v>1522</v>
      </c>
      <c r="R60" s="462">
        <f t="shared" si="5"/>
        <v>8320.69</v>
      </c>
      <c r="S60" s="447" t="s">
        <v>1580</v>
      </c>
      <c r="U60" s="462">
        <f t="shared" si="6"/>
        <v>8320.69</v>
      </c>
      <c r="V60" s="447" t="s">
        <v>1626</v>
      </c>
      <c r="X60" s="462">
        <f t="shared" si="7"/>
        <v>8320.69</v>
      </c>
      <c r="Y60" s="447" t="s">
        <v>1661</v>
      </c>
      <c r="AA60" s="462">
        <f t="shared" si="29"/>
        <v>8320.69</v>
      </c>
      <c r="AB60" s="447" t="s">
        <v>1716</v>
      </c>
      <c r="AD60" s="462">
        <f t="shared" si="8"/>
        <v>8320.69</v>
      </c>
      <c r="AE60" s="447" t="s">
        <v>1753</v>
      </c>
      <c r="AG60" s="462">
        <f t="shared" si="9"/>
        <v>8320.69</v>
      </c>
      <c r="AH60" s="447" t="s">
        <v>1819</v>
      </c>
      <c r="AJ60" s="462">
        <f t="shared" si="10"/>
        <v>8320.69</v>
      </c>
      <c r="AK60" s="447" t="s">
        <v>1862</v>
      </c>
      <c r="AL60" s="447">
        <v>8320.69</v>
      </c>
      <c r="AM60" s="462">
        <f t="shared" si="11"/>
        <v>0</v>
      </c>
      <c r="AN60" s="447" t="s">
        <v>1948</v>
      </c>
      <c r="AP60" s="462">
        <f t="shared" si="12"/>
        <v>0</v>
      </c>
      <c r="AQ60" s="447" t="s">
        <v>1995</v>
      </c>
      <c r="AS60" s="459">
        <f t="shared" si="13"/>
        <v>0</v>
      </c>
      <c r="AV60" s="462">
        <f t="shared" si="14"/>
        <v>0</v>
      </c>
      <c r="AY60" s="462">
        <f t="shared" si="15"/>
        <v>0</v>
      </c>
      <c r="BB60" s="462">
        <f t="shared" si="16"/>
        <v>0</v>
      </c>
      <c r="BC60" s="447" t="s">
        <v>2204</v>
      </c>
      <c r="BE60" s="462">
        <f t="shared" si="17"/>
        <v>0</v>
      </c>
      <c r="BH60" s="462">
        <f t="shared" si="18"/>
        <v>0</v>
      </c>
      <c r="BK60" s="462">
        <f t="shared" si="19"/>
        <v>0</v>
      </c>
      <c r="BN60" s="462">
        <f t="shared" si="20"/>
        <v>0</v>
      </c>
      <c r="BQ60" s="462">
        <f t="shared" si="21"/>
        <v>0</v>
      </c>
      <c r="BT60" s="462">
        <f t="shared" si="22"/>
        <v>0</v>
      </c>
      <c r="BW60" s="462">
        <f t="shared" si="23"/>
        <v>0</v>
      </c>
      <c r="BZ60" s="462">
        <f t="shared" si="24"/>
        <v>0</v>
      </c>
      <c r="CD60" s="418" t="str">
        <f t="shared" si="25"/>
        <v>CU0692001</v>
      </c>
      <c r="CE60" s="442" t="str">
        <f t="shared" si="26"/>
        <v>2018年9月</v>
      </c>
      <c r="CF60" s="418" t="str">
        <f t="shared" si="27"/>
        <v>欧尚（中国clife服务费暂估</v>
      </c>
      <c r="CG60" s="418" t="str">
        <f t="shared" si="28"/>
        <v>2018年9月欧尚（中国clife服务费暂估</v>
      </c>
    </row>
    <row r="61" spans="2:85" s="447" customFormat="1" ht="17.25" customHeight="1">
      <c r="B61" s="447" t="str">
        <f t="shared" si="0"/>
        <v>CU0812</v>
      </c>
      <c r="C61" s="434" t="s">
        <v>1311</v>
      </c>
      <c r="D61" s="434" t="s">
        <v>1314</v>
      </c>
      <c r="E61" s="434" t="s">
        <v>1315</v>
      </c>
      <c r="F61" s="433">
        <v>43344</v>
      </c>
      <c r="G61" s="430">
        <v>25019.780000000002</v>
      </c>
      <c r="H61" s="440"/>
      <c r="I61" s="440">
        <f t="shared" si="2"/>
        <v>25019.780000000002</v>
      </c>
      <c r="J61" s="440" t="s">
        <v>1368</v>
      </c>
      <c r="K61" s="444"/>
      <c r="L61" s="462">
        <f t="shared" si="3"/>
        <v>25019.78</v>
      </c>
      <c r="M61" s="462" t="s">
        <v>1461</v>
      </c>
      <c r="N61" s="444">
        <f>L61</f>
        <v>25019.78</v>
      </c>
      <c r="O61" s="462">
        <f t="shared" si="4"/>
        <v>0</v>
      </c>
      <c r="P61" s="447" t="s">
        <v>1523</v>
      </c>
      <c r="R61" s="462">
        <f t="shared" si="5"/>
        <v>0</v>
      </c>
      <c r="S61" s="447" t="s">
        <v>1580</v>
      </c>
      <c r="U61" s="462">
        <f t="shared" si="6"/>
        <v>0</v>
      </c>
      <c r="V61" s="447" t="s">
        <v>1626</v>
      </c>
      <c r="X61" s="462">
        <f t="shared" si="7"/>
        <v>0</v>
      </c>
      <c r="Y61" s="447" t="s">
        <v>1661</v>
      </c>
      <c r="AA61" s="462">
        <f t="shared" si="29"/>
        <v>0</v>
      </c>
      <c r="AB61" s="447" t="s">
        <v>1716</v>
      </c>
      <c r="AD61" s="462">
        <f t="shared" si="8"/>
        <v>0</v>
      </c>
      <c r="AG61" s="462">
        <f t="shared" si="9"/>
        <v>0</v>
      </c>
      <c r="AH61" s="447" t="s">
        <v>1819</v>
      </c>
      <c r="AJ61" s="462">
        <f t="shared" si="10"/>
        <v>0</v>
      </c>
      <c r="AM61" s="462">
        <f t="shared" si="11"/>
        <v>0</v>
      </c>
      <c r="AN61" s="447" t="s">
        <v>1948</v>
      </c>
      <c r="AP61" s="462">
        <f t="shared" si="12"/>
        <v>0</v>
      </c>
      <c r="AQ61" s="447" t="s">
        <v>1995</v>
      </c>
      <c r="AS61" s="459">
        <f t="shared" si="13"/>
        <v>0</v>
      </c>
      <c r="AV61" s="462">
        <f t="shared" si="14"/>
        <v>0</v>
      </c>
      <c r="AY61" s="462">
        <f t="shared" si="15"/>
        <v>0</v>
      </c>
      <c r="BB61" s="462">
        <f t="shared" si="16"/>
        <v>0</v>
      </c>
      <c r="BC61" s="447" t="s">
        <v>2204</v>
      </c>
      <c r="BE61" s="462">
        <f t="shared" si="17"/>
        <v>0</v>
      </c>
      <c r="BH61" s="462">
        <f t="shared" si="18"/>
        <v>0</v>
      </c>
      <c r="BK61" s="462">
        <f t="shared" si="19"/>
        <v>0</v>
      </c>
      <c r="BN61" s="462">
        <f t="shared" si="20"/>
        <v>0</v>
      </c>
      <c r="BQ61" s="462">
        <f t="shared" si="21"/>
        <v>0</v>
      </c>
      <c r="BT61" s="462">
        <f t="shared" si="22"/>
        <v>0</v>
      </c>
      <c r="BW61" s="462">
        <f t="shared" si="23"/>
        <v>0</v>
      </c>
      <c r="BZ61" s="462">
        <f t="shared" si="24"/>
        <v>0</v>
      </c>
      <c r="CD61" s="418" t="str">
        <f t="shared" si="25"/>
        <v>CU0812001</v>
      </c>
      <c r="CE61" s="442" t="str">
        <f t="shared" si="26"/>
        <v>2018年9月</v>
      </c>
      <c r="CF61" s="418" t="str">
        <f t="shared" si="27"/>
        <v>恩派clife服务费暂估</v>
      </c>
      <c r="CG61" s="418" t="str">
        <f t="shared" si="28"/>
        <v>2018年9月恩派clife服务费暂估</v>
      </c>
    </row>
    <row r="62" spans="2:85" s="447" customFormat="1" ht="17.25" customHeight="1">
      <c r="B62" s="447" t="str">
        <f t="shared" si="0"/>
        <v>CU0822</v>
      </c>
      <c r="C62" s="434" t="s">
        <v>1311</v>
      </c>
      <c r="D62" s="434" t="s">
        <v>238</v>
      </c>
      <c r="E62" s="434" t="s">
        <v>239</v>
      </c>
      <c r="F62" s="433">
        <v>43344</v>
      </c>
      <c r="G62" s="430">
        <v>39022.737358490558</v>
      </c>
      <c r="H62" s="440">
        <f>91889.96/1.06-H78-H92-H125</f>
        <v>39022.721509433963</v>
      </c>
      <c r="I62" s="440">
        <f t="shared" si="2"/>
        <v>1.5849056595470756E-2</v>
      </c>
      <c r="J62" s="440" t="s">
        <v>1368</v>
      </c>
      <c r="K62" s="444"/>
      <c r="L62" s="462">
        <f t="shared" si="3"/>
        <v>0.02</v>
      </c>
      <c r="M62" s="462" t="s">
        <v>1461</v>
      </c>
      <c r="N62" s="444"/>
      <c r="O62" s="462">
        <f t="shared" si="4"/>
        <v>0.02</v>
      </c>
      <c r="P62" s="447" t="s">
        <v>1523</v>
      </c>
      <c r="R62" s="462">
        <f t="shared" si="5"/>
        <v>0.02</v>
      </c>
      <c r="S62" s="447" t="s">
        <v>1580</v>
      </c>
      <c r="U62" s="462">
        <f t="shared" si="6"/>
        <v>0.02</v>
      </c>
      <c r="V62" s="447" t="s">
        <v>1626</v>
      </c>
      <c r="X62" s="462">
        <f t="shared" si="7"/>
        <v>0.02</v>
      </c>
      <c r="Y62" s="447" t="s">
        <v>1661</v>
      </c>
      <c r="AA62" s="462">
        <v>0</v>
      </c>
      <c r="AB62" s="447" t="s">
        <v>1716</v>
      </c>
      <c r="AD62" s="462">
        <f t="shared" si="8"/>
        <v>0</v>
      </c>
      <c r="AG62" s="462">
        <f t="shared" si="9"/>
        <v>0</v>
      </c>
      <c r="AH62" s="447" t="s">
        <v>1819</v>
      </c>
      <c r="AJ62" s="462">
        <f t="shared" si="10"/>
        <v>0</v>
      </c>
      <c r="AM62" s="462">
        <f t="shared" si="11"/>
        <v>0</v>
      </c>
      <c r="AN62" s="447" t="s">
        <v>1948</v>
      </c>
      <c r="AP62" s="462">
        <f t="shared" si="12"/>
        <v>0</v>
      </c>
      <c r="AQ62" s="447" t="s">
        <v>1995</v>
      </c>
      <c r="AS62" s="459">
        <f t="shared" si="13"/>
        <v>0</v>
      </c>
      <c r="AV62" s="462">
        <f t="shared" si="14"/>
        <v>0</v>
      </c>
      <c r="AY62" s="462">
        <f t="shared" si="15"/>
        <v>0</v>
      </c>
      <c r="BB62" s="462">
        <f t="shared" si="16"/>
        <v>0</v>
      </c>
      <c r="BC62" s="447" t="s">
        <v>2204</v>
      </c>
      <c r="BE62" s="462">
        <f t="shared" si="17"/>
        <v>0</v>
      </c>
      <c r="BH62" s="462">
        <f t="shared" si="18"/>
        <v>0</v>
      </c>
      <c r="BK62" s="462">
        <f t="shared" si="19"/>
        <v>0</v>
      </c>
      <c r="BN62" s="462">
        <f t="shared" si="20"/>
        <v>0</v>
      </c>
      <c r="BQ62" s="462">
        <f t="shared" si="21"/>
        <v>0</v>
      </c>
      <c r="BT62" s="462">
        <f t="shared" si="22"/>
        <v>0</v>
      </c>
      <c r="BW62" s="462">
        <f t="shared" si="23"/>
        <v>0</v>
      </c>
      <c r="BZ62" s="462">
        <f t="shared" si="24"/>
        <v>0</v>
      </c>
      <c r="CD62" s="418" t="str">
        <f t="shared" si="25"/>
        <v>CU0822001</v>
      </c>
      <c r="CE62" s="442" t="str">
        <f t="shared" si="26"/>
        <v>2018年9月</v>
      </c>
      <c r="CF62" s="418" t="str">
        <f t="shared" si="27"/>
        <v>美克国际家clife服务费暂估</v>
      </c>
      <c r="CG62" s="418" t="str">
        <f t="shared" si="28"/>
        <v>2018年9月美克国际家clife服务费暂估</v>
      </c>
    </row>
    <row r="63" spans="2:85" s="447" customFormat="1" ht="17.25" customHeight="1">
      <c r="B63" s="447" t="str">
        <f t="shared" si="0"/>
        <v>CU0822</v>
      </c>
      <c r="C63" s="434" t="s">
        <v>1311</v>
      </c>
      <c r="D63" s="434" t="s">
        <v>1116</v>
      </c>
      <c r="E63" s="434" t="s">
        <v>1269</v>
      </c>
      <c r="F63" s="433">
        <v>43344</v>
      </c>
      <c r="G63" s="430">
        <v>7390.9364150943366</v>
      </c>
      <c r="H63" s="440"/>
      <c r="I63" s="440">
        <f t="shared" si="2"/>
        <v>7390.9364150943366</v>
      </c>
      <c r="J63" s="440" t="s">
        <v>1368</v>
      </c>
      <c r="K63" s="444"/>
      <c r="L63" s="462">
        <f t="shared" si="3"/>
        <v>7390.94</v>
      </c>
      <c r="M63" s="462" t="s">
        <v>1461</v>
      </c>
      <c r="N63" s="444"/>
      <c r="O63" s="462">
        <f t="shared" si="4"/>
        <v>7390.94</v>
      </c>
      <c r="P63" s="447" t="s">
        <v>1523</v>
      </c>
      <c r="R63" s="462">
        <f t="shared" si="5"/>
        <v>7390.94</v>
      </c>
      <c r="S63" s="447" t="s">
        <v>1580</v>
      </c>
      <c r="T63" s="462">
        <f>R63</f>
        <v>7390.94</v>
      </c>
      <c r="U63" s="462">
        <f t="shared" si="6"/>
        <v>0</v>
      </c>
      <c r="V63" s="447" t="s">
        <v>1626</v>
      </c>
      <c r="X63" s="462">
        <f t="shared" si="7"/>
        <v>0</v>
      </c>
      <c r="Y63" s="447" t="s">
        <v>1661</v>
      </c>
      <c r="AA63" s="462">
        <f t="shared" si="29"/>
        <v>0</v>
      </c>
      <c r="AB63" s="447" t="s">
        <v>1716</v>
      </c>
      <c r="AD63" s="462">
        <f t="shared" si="8"/>
        <v>0</v>
      </c>
      <c r="AG63" s="462">
        <f t="shared" si="9"/>
        <v>0</v>
      </c>
      <c r="AH63" s="447" t="s">
        <v>1819</v>
      </c>
      <c r="AJ63" s="462">
        <f t="shared" si="10"/>
        <v>0</v>
      </c>
      <c r="AM63" s="462">
        <f t="shared" si="11"/>
        <v>0</v>
      </c>
      <c r="AN63" s="447" t="s">
        <v>1948</v>
      </c>
      <c r="AP63" s="462">
        <f t="shared" si="12"/>
        <v>0</v>
      </c>
      <c r="AQ63" s="447" t="s">
        <v>1995</v>
      </c>
      <c r="AS63" s="459">
        <f t="shared" si="13"/>
        <v>0</v>
      </c>
      <c r="AV63" s="462">
        <f t="shared" si="14"/>
        <v>0</v>
      </c>
      <c r="AY63" s="462">
        <f t="shared" si="15"/>
        <v>0</v>
      </c>
      <c r="BB63" s="462">
        <f t="shared" si="16"/>
        <v>0</v>
      </c>
      <c r="BC63" s="447" t="s">
        <v>2204</v>
      </c>
      <c r="BE63" s="462">
        <f t="shared" si="17"/>
        <v>0</v>
      </c>
      <c r="BH63" s="462">
        <f t="shared" si="18"/>
        <v>0</v>
      </c>
      <c r="BK63" s="462">
        <f t="shared" si="19"/>
        <v>0</v>
      </c>
      <c r="BN63" s="462">
        <f t="shared" si="20"/>
        <v>0</v>
      </c>
      <c r="BQ63" s="462">
        <f t="shared" si="21"/>
        <v>0</v>
      </c>
      <c r="BT63" s="462">
        <f t="shared" si="22"/>
        <v>0</v>
      </c>
      <c r="BW63" s="462">
        <f t="shared" si="23"/>
        <v>0</v>
      </c>
      <c r="BZ63" s="462">
        <f t="shared" si="24"/>
        <v>0</v>
      </c>
      <c r="CD63" s="418" t="str">
        <f t="shared" si="25"/>
        <v>CU0822001</v>
      </c>
      <c r="CE63" s="442" t="str">
        <f t="shared" si="26"/>
        <v>2018年9月</v>
      </c>
      <c r="CF63" s="418" t="str">
        <f t="shared" si="27"/>
        <v>新疆昆仑美clife服务费暂估</v>
      </c>
      <c r="CG63" s="418" t="str">
        <f t="shared" si="28"/>
        <v>2018年9月新疆昆仑美clife服务费暂估</v>
      </c>
    </row>
    <row r="64" spans="2:85" s="447" customFormat="1" ht="17.25" customHeight="1">
      <c r="B64" s="447" t="str">
        <f t="shared" si="0"/>
        <v>CU0869</v>
      </c>
      <c r="C64" s="434" t="s">
        <v>1311</v>
      </c>
      <c r="D64" s="434" t="s">
        <v>828</v>
      </c>
      <c r="E64" s="434" t="s">
        <v>829</v>
      </c>
      <c r="F64" s="433">
        <v>43344</v>
      </c>
      <c r="G64" s="430">
        <v>12201.93</v>
      </c>
      <c r="H64" s="440"/>
      <c r="I64" s="440">
        <f t="shared" si="2"/>
        <v>12201.93</v>
      </c>
      <c r="J64" s="440" t="s">
        <v>1368</v>
      </c>
      <c r="K64" s="444"/>
      <c r="L64" s="462">
        <f t="shared" si="3"/>
        <v>12201.93</v>
      </c>
      <c r="M64" s="462" t="s">
        <v>1461</v>
      </c>
      <c r="N64" s="444"/>
      <c r="O64" s="462">
        <f t="shared" si="4"/>
        <v>12201.93</v>
      </c>
      <c r="P64" s="447" t="s">
        <v>1522</v>
      </c>
      <c r="R64" s="462">
        <f t="shared" si="5"/>
        <v>12201.93</v>
      </c>
      <c r="S64" s="447" t="s">
        <v>1580</v>
      </c>
      <c r="U64" s="462">
        <f t="shared" si="6"/>
        <v>12201.93</v>
      </c>
      <c r="V64" s="447" t="s">
        <v>1626</v>
      </c>
      <c r="X64" s="462">
        <f t="shared" si="7"/>
        <v>12201.93</v>
      </c>
      <c r="Y64" s="447" t="s">
        <v>1661</v>
      </c>
      <c r="Z64" s="462">
        <f>X64</f>
        <v>12201.93</v>
      </c>
      <c r="AA64" s="462">
        <f t="shared" si="29"/>
        <v>0</v>
      </c>
      <c r="AB64" s="447" t="s">
        <v>1716</v>
      </c>
      <c r="AD64" s="462">
        <f t="shared" si="8"/>
        <v>0</v>
      </c>
      <c r="AG64" s="462">
        <f t="shared" si="9"/>
        <v>0</v>
      </c>
      <c r="AH64" s="447" t="s">
        <v>1819</v>
      </c>
      <c r="AJ64" s="462">
        <f t="shared" si="10"/>
        <v>0</v>
      </c>
      <c r="AM64" s="462">
        <f t="shared" si="11"/>
        <v>0</v>
      </c>
      <c r="AN64" s="447" t="s">
        <v>1948</v>
      </c>
      <c r="AP64" s="462">
        <f t="shared" si="12"/>
        <v>0</v>
      </c>
      <c r="AQ64" s="447" t="s">
        <v>1995</v>
      </c>
      <c r="AS64" s="459">
        <f t="shared" si="13"/>
        <v>0</v>
      </c>
      <c r="AV64" s="462">
        <f t="shared" si="14"/>
        <v>0</v>
      </c>
      <c r="AY64" s="462">
        <f t="shared" si="15"/>
        <v>0</v>
      </c>
      <c r="BB64" s="462">
        <f t="shared" si="16"/>
        <v>0</v>
      </c>
      <c r="BC64" s="447" t="s">
        <v>2204</v>
      </c>
      <c r="BE64" s="462">
        <f t="shared" si="17"/>
        <v>0</v>
      </c>
      <c r="BH64" s="462">
        <f t="shared" si="18"/>
        <v>0</v>
      </c>
      <c r="BK64" s="462">
        <f t="shared" si="19"/>
        <v>0</v>
      </c>
      <c r="BN64" s="462">
        <f t="shared" si="20"/>
        <v>0</v>
      </c>
      <c r="BQ64" s="462">
        <f t="shared" si="21"/>
        <v>0</v>
      </c>
      <c r="BT64" s="462">
        <f t="shared" si="22"/>
        <v>0</v>
      </c>
      <c r="BW64" s="462">
        <f t="shared" si="23"/>
        <v>0</v>
      </c>
      <c r="BZ64" s="462">
        <f t="shared" si="24"/>
        <v>0</v>
      </c>
      <c r="CD64" s="418" t="str">
        <f t="shared" si="25"/>
        <v>CU0869001</v>
      </c>
      <c r="CE64" s="442" t="str">
        <f t="shared" si="26"/>
        <v>2018年9月</v>
      </c>
      <c r="CF64" s="418" t="str">
        <f t="shared" si="27"/>
        <v>智睿企业咨clife服务费暂估</v>
      </c>
      <c r="CG64" s="418" t="str">
        <f t="shared" si="28"/>
        <v>2018年9月智睿企业咨clife服务费暂估</v>
      </c>
    </row>
    <row r="65" spans="2:85" s="447" customFormat="1" ht="17.25" customHeight="1">
      <c r="B65" s="447" t="str">
        <f t="shared" si="0"/>
        <v>CU0904</v>
      </c>
      <c r="C65" s="434" t="s">
        <v>1311</v>
      </c>
      <c r="D65" s="434" t="s">
        <v>1118</v>
      </c>
      <c r="E65" s="434" t="s">
        <v>1316</v>
      </c>
      <c r="F65" s="433">
        <v>43344</v>
      </c>
      <c r="G65" s="430">
        <v>-922.61999999999534</v>
      </c>
      <c r="H65" s="440"/>
      <c r="I65" s="440">
        <f t="shared" si="2"/>
        <v>-922.61999999999534</v>
      </c>
      <c r="J65" s="440" t="s">
        <v>1368</v>
      </c>
      <c r="K65" s="444"/>
      <c r="L65" s="462">
        <f t="shared" si="3"/>
        <v>-922.62</v>
      </c>
      <c r="M65" s="462" t="s">
        <v>1461</v>
      </c>
      <c r="N65" s="444"/>
      <c r="O65" s="462">
        <f t="shared" si="4"/>
        <v>-922.62</v>
      </c>
      <c r="P65" s="447" t="s">
        <v>1522</v>
      </c>
      <c r="R65" s="462">
        <f t="shared" si="5"/>
        <v>-922.62</v>
      </c>
      <c r="S65" s="447" t="s">
        <v>1580</v>
      </c>
      <c r="U65" s="462">
        <f t="shared" si="6"/>
        <v>-922.62</v>
      </c>
      <c r="V65" s="447" t="s">
        <v>1626</v>
      </c>
      <c r="W65" s="462">
        <f>U65</f>
        <v>-922.62</v>
      </c>
      <c r="X65" s="462">
        <f t="shared" si="7"/>
        <v>0</v>
      </c>
      <c r="Y65" s="447" t="s">
        <v>1661</v>
      </c>
      <c r="AA65" s="462">
        <f t="shared" si="29"/>
        <v>0</v>
      </c>
      <c r="AB65" s="447" t="s">
        <v>1716</v>
      </c>
      <c r="AD65" s="462">
        <f t="shared" si="8"/>
        <v>0</v>
      </c>
      <c r="AG65" s="462">
        <f t="shared" si="9"/>
        <v>0</v>
      </c>
      <c r="AH65" s="447" t="s">
        <v>1819</v>
      </c>
      <c r="AJ65" s="462">
        <f t="shared" si="10"/>
        <v>0</v>
      </c>
      <c r="AM65" s="462">
        <f t="shared" si="11"/>
        <v>0</v>
      </c>
      <c r="AN65" s="447" t="s">
        <v>1948</v>
      </c>
      <c r="AP65" s="462">
        <f t="shared" si="12"/>
        <v>0</v>
      </c>
      <c r="AQ65" s="447" t="s">
        <v>1995</v>
      </c>
      <c r="AS65" s="459">
        <f t="shared" si="13"/>
        <v>0</v>
      </c>
      <c r="AV65" s="462">
        <f t="shared" si="14"/>
        <v>0</v>
      </c>
      <c r="AY65" s="462">
        <f t="shared" si="15"/>
        <v>0</v>
      </c>
      <c r="BB65" s="462">
        <f t="shared" si="16"/>
        <v>0</v>
      </c>
      <c r="BC65" s="447" t="s">
        <v>2204</v>
      </c>
      <c r="BE65" s="462">
        <f t="shared" si="17"/>
        <v>0</v>
      </c>
      <c r="BH65" s="462">
        <f t="shared" si="18"/>
        <v>0</v>
      </c>
      <c r="BK65" s="462">
        <f t="shared" si="19"/>
        <v>0</v>
      </c>
      <c r="BN65" s="462">
        <f t="shared" si="20"/>
        <v>0</v>
      </c>
      <c r="BQ65" s="462">
        <f t="shared" si="21"/>
        <v>0</v>
      </c>
      <c r="BT65" s="462">
        <f t="shared" si="22"/>
        <v>0</v>
      </c>
      <c r="BW65" s="462">
        <f t="shared" si="23"/>
        <v>0</v>
      </c>
      <c r="BZ65" s="462">
        <f t="shared" si="24"/>
        <v>0</v>
      </c>
      <c r="CD65" s="418" t="str">
        <f t="shared" si="25"/>
        <v>CU0904001</v>
      </c>
      <c r="CE65" s="442" t="str">
        <f t="shared" si="26"/>
        <v>2018年9月</v>
      </c>
      <c r="CF65" s="418" t="str">
        <f t="shared" si="27"/>
        <v>紫光集团clife服务费暂估</v>
      </c>
      <c r="CG65" s="418" t="str">
        <f t="shared" si="28"/>
        <v>2018年9月紫光集团clife服务费暂估</v>
      </c>
    </row>
    <row r="66" spans="2:85" s="447" customFormat="1" ht="17.25" customHeight="1">
      <c r="B66" s="447" t="str">
        <f t="shared" si="0"/>
        <v>CU1048</v>
      </c>
      <c r="C66" s="434" t="s">
        <v>1311</v>
      </c>
      <c r="D66" s="434" t="s">
        <v>1120</v>
      </c>
      <c r="E66" s="434" t="s">
        <v>1317</v>
      </c>
      <c r="F66" s="433">
        <v>43344</v>
      </c>
      <c r="G66" s="430">
        <v>15951.32</v>
      </c>
      <c r="H66" s="440"/>
      <c r="I66" s="440">
        <f t="shared" si="2"/>
        <v>15951.32</v>
      </c>
      <c r="J66" s="440" t="s">
        <v>1368</v>
      </c>
      <c r="K66" s="444"/>
      <c r="L66" s="462">
        <f t="shared" si="3"/>
        <v>15951.32</v>
      </c>
      <c r="M66" s="462" t="s">
        <v>1461</v>
      </c>
      <c r="N66" s="444">
        <v>13975</v>
      </c>
      <c r="O66" s="462">
        <f t="shared" si="4"/>
        <v>1976.3199999999997</v>
      </c>
      <c r="P66" s="447" t="s">
        <v>1522</v>
      </c>
      <c r="Q66" s="444">
        <f>1260/1.06</f>
        <v>1188.6792452830189</v>
      </c>
      <c r="R66" s="462">
        <f t="shared" si="5"/>
        <v>787.64075471698084</v>
      </c>
      <c r="S66" s="447" t="s">
        <v>1580</v>
      </c>
      <c r="T66" s="462">
        <f>R66</f>
        <v>787.64075471698084</v>
      </c>
      <c r="U66" s="462">
        <f t="shared" si="6"/>
        <v>0</v>
      </c>
      <c r="V66" s="447" t="s">
        <v>1626</v>
      </c>
      <c r="X66" s="462">
        <f t="shared" si="7"/>
        <v>0</v>
      </c>
      <c r="Y66" s="447" t="s">
        <v>1661</v>
      </c>
      <c r="AA66" s="462">
        <f t="shared" si="29"/>
        <v>0</v>
      </c>
      <c r="AB66" s="447" t="s">
        <v>1716</v>
      </c>
      <c r="AD66" s="462">
        <f t="shared" si="8"/>
        <v>0</v>
      </c>
      <c r="AG66" s="462">
        <f t="shared" si="9"/>
        <v>0</v>
      </c>
      <c r="AH66" s="447" t="s">
        <v>1819</v>
      </c>
      <c r="AJ66" s="462">
        <f t="shared" si="10"/>
        <v>0</v>
      </c>
      <c r="AM66" s="462">
        <f t="shared" si="11"/>
        <v>0</v>
      </c>
      <c r="AN66" s="447" t="s">
        <v>1948</v>
      </c>
      <c r="AP66" s="462">
        <f t="shared" si="12"/>
        <v>0</v>
      </c>
      <c r="AQ66" s="447" t="s">
        <v>1995</v>
      </c>
      <c r="AS66" s="459">
        <f t="shared" si="13"/>
        <v>0</v>
      </c>
      <c r="AV66" s="462">
        <f t="shared" si="14"/>
        <v>0</v>
      </c>
      <c r="AY66" s="462">
        <f t="shared" si="15"/>
        <v>0</v>
      </c>
      <c r="BB66" s="462">
        <f t="shared" si="16"/>
        <v>0</v>
      </c>
      <c r="BC66" s="447" t="s">
        <v>2204</v>
      </c>
      <c r="BE66" s="462">
        <f t="shared" si="17"/>
        <v>0</v>
      </c>
      <c r="BH66" s="462">
        <f t="shared" si="18"/>
        <v>0</v>
      </c>
      <c r="BK66" s="462">
        <f t="shared" si="19"/>
        <v>0</v>
      </c>
      <c r="BN66" s="462">
        <f t="shared" si="20"/>
        <v>0</v>
      </c>
      <c r="BQ66" s="462">
        <f t="shared" si="21"/>
        <v>0</v>
      </c>
      <c r="BT66" s="462">
        <f t="shared" si="22"/>
        <v>0</v>
      </c>
      <c r="BW66" s="462">
        <f t="shared" si="23"/>
        <v>0</v>
      </c>
      <c r="BZ66" s="462">
        <f t="shared" si="24"/>
        <v>0</v>
      </c>
      <c r="CD66" s="418" t="str">
        <f t="shared" si="25"/>
        <v>CU1048001</v>
      </c>
      <c r="CE66" s="442" t="str">
        <f t="shared" si="26"/>
        <v>2018年9月</v>
      </c>
      <c r="CF66" s="418" t="str">
        <f t="shared" si="27"/>
        <v>奥托博克（clife服务费暂估</v>
      </c>
      <c r="CG66" s="418" t="str">
        <f t="shared" si="28"/>
        <v>2018年9月奥托博克（clife服务费暂估</v>
      </c>
    </row>
    <row r="67" spans="2:85" s="447" customFormat="1" ht="17.25" customHeight="1">
      <c r="B67" s="447" t="str">
        <f t="shared" ref="B67:B130" si="37">LEFT(D67,6)</f>
        <v>CU1048</v>
      </c>
      <c r="C67" s="434" t="s">
        <v>1311</v>
      </c>
      <c r="D67" s="434" t="s">
        <v>1121</v>
      </c>
      <c r="E67" s="434" t="s">
        <v>1318</v>
      </c>
      <c r="F67" s="433">
        <v>43344</v>
      </c>
      <c r="G67" s="430">
        <v>2820.66</v>
      </c>
      <c r="H67" s="440"/>
      <c r="I67" s="440">
        <f t="shared" si="2"/>
        <v>2820.66</v>
      </c>
      <c r="J67" s="440" t="s">
        <v>1368</v>
      </c>
      <c r="K67" s="444"/>
      <c r="L67" s="462">
        <f t="shared" si="3"/>
        <v>2820.66</v>
      </c>
      <c r="M67" s="462" t="s">
        <v>1461</v>
      </c>
      <c r="N67" s="444"/>
      <c r="O67" s="462">
        <f t="shared" si="4"/>
        <v>2820.66</v>
      </c>
      <c r="P67" s="447" t="s">
        <v>1522</v>
      </c>
      <c r="R67" s="462">
        <f t="shared" si="5"/>
        <v>2820.66</v>
      </c>
      <c r="S67" s="447" t="s">
        <v>1580</v>
      </c>
      <c r="T67" s="462">
        <f>ROUND((1520/1.06),2)-T66+ROUND((650/1.06),2)+187.2+582.52</f>
        <v>2029.2492452830193</v>
      </c>
      <c r="U67" s="462">
        <f t="shared" si="6"/>
        <v>791.41075471698059</v>
      </c>
      <c r="V67" s="447" t="s">
        <v>1626</v>
      </c>
      <c r="X67" s="462">
        <f t="shared" si="7"/>
        <v>791.41075471698059</v>
      </c>
      <c r="Y67" s="447" t="s">
        <v>1661</v>
      </c>
      <c r="AA67" s="462">
        <v>0</v>
      </c>
      <c r="AB67" s="447" t="s">
        <v>1716</v>
      </c>
      <c r="AD67" s="462">
        <f t="shared" si="8"/>
        <v>0</v>
      </c>
      <c r="AG67" s="462">
        <f t="shared" si="9"/>
        <v>0</v>
      </c>
      <c r="AH67" s="447" t="s">
        <v>1819</v>
      </c>
      <c r="AJ67" s="462">
        <f t="shared" si="10"/>
        <v>0</v>
      </c>
      <c r="AM67" s="462">
        <f t="shared" si="11"/>
        <v>0</v>
      </c>
      <c r="AN67" s="447" t="s">
        <v>1948</v>
      </c>
      <c r="AP67" s="462">
        <f t="shared" si="12"/>
        <v>0</v>
      </c>
      <c r="AQ67" s="447" t="s">
        <v>1995</v>
      </c>
      <c r="AS67" s="459">
        <f t="shared" si="13"/>
        <v>0</v>
      </c>
      <c r="AV67" s="462">
        <f t="shared" si="14"/>
        <v>0</v>
      </c>
      <c r="AY67" s="462">
        <f t="shared" si="15"/>
        <v>0</v>
      </c>
      <c r="BB67" s="462">
        <f t="shared" si="16"/>
        <v>0</v>
      </c>
      <c r="BC67" s="447" t="s">
        <v>2204</v>
      </c>
      <c r="BE67" s="462">
        <f t="shared" si="17"/>
        <v>0</v>
      </c>
      <c r="BH67" s="462">
        <f t="shared" si="18"/>
        <v>0</v>
      </c>
      <c r="BK67" s="462">
        <f t="shared" si="19"/>
        <v>0</v>
      </c>
      <c r="BN67" s="462">
        <f t="shared" si="20"/>
        <v>0</v>
      </c>
      <c r="BQ67" s="462">
        <f t="shared" si="21"/>
        <v>0</v>
      </c>
      <c r="BT67" s="462">
        <f t="shared" si="22"/>
        <v>0</v>
      </c>
      <c r="BW67" s="462">
        <f t="shared" si="23"/>
        <v>0</v>
      </c>
      <c r="BZ67" s="462">
        <f t="shared" si="24"/>
        <v>0</v>
      </c>
      <c r="CD67" s="418" t="str">
        <f t="shared" si="25"/>
        <v>CU1048001</v>
      </c>
      <c r="CE67" s="442" t="str">
        <f t="shared" si="26"/>
        <v>2018年9月</v>
      </c>
      <c r="CF67" s="418" t="str">
        <f t="shared" si="27"/>
        <v>北京奥博斯clife服务费暂估</v>
      </c>
      <c r="CG67" s="418" t="str">
        <f t="shared" si="28"/>
        <v>2018年9月北京奥博斯clife服务费暂估</v>
      </c>
    </row>
    <row r="68" spans="2:85" s="447" customFormat="1" ht="17.25" customHeight="1">
      <c r="B68" s="447" t="str">
        <f t="shared" si="37"/>
        <v>CU1050</v>
      </c>
      <c r="C68" s="434" t="s">
        <v>1311</v>
      </c>
      <c r="D68" s="434" t="s">
        <v>1122</v>
      </c>
      <c r="E68" s="434" t="s">
        <v>1319</v>
      </c>
      <c r="F68" s="433">
        <v>43344</v>
      </c>
      <c r="G68" s="430">
        <v>5162.26</v>
      </c>
      <c r="H68" s="440"/>
      <c r="I68" s="440">
        <f t="shared" ref="I68:I129" si="38">G68-H68</f>
        <v>5162.26</v>
      </c>
      <c r="J68" s="440" t="s">
        <v>1368</v>
      </c>
      <c r="K68" s="444"/>
      <c r="L68" s="462">
        <f t="shared" ref="L68:L131" si="39">ROUND(I68-K68,2)</f>
        <v>5162.26</v>
      </c>
      <c r="M68" s="462" t="s">
        <v>1461</v>
      </c>
      <c r="N68" s="444">
        <v>782</v>
      </c>
      <c r="O68" s="462">
        <f t="shared" ref="O68:O131" si="40">L68-N68</f>
        <v>4380.26</v>
      </c>
      <c r="P68" s="447" t="s">
        <v>1523</v>
      </c>
      <c r="Q68" s="444">
        <f>2600/1.06+999+954/1.06</f>
        <v>4351.8301886792451</v>
      </c>
      <c r="R68" s="462">
        <f t="shared" ref="R68:R131" si="41">O68-Q68</f>
        <v>28.429811320755107</v>
      </c>
      <c r="S68" s="447" t="s">
        <v>1580</v>
      </c>
      <c r="T68" s="447">
        <v>28.43</v>
      </c>
      <c r="U68" s="462">
        <f t="shared" ref="U68:U131" si="42">R68-T68</f>
        <v>-1.8867924489285315E-4</v>
      </c>
      <c r="V68" s="447" t="s">
        <v>1626</v>
      </c>
      <c r="X68" s="462">
        <f t="shared" ref="X68:X131" si="43">U68-W68</f>
        <v>-1.8867924489285315E-4</v>
      </c>
      <c r="Y68" s="447" t="s">
        <v>1661</v>
      </c>
      <c r="AA68" s="462">
        <f t="shared" ref="AA68:AA130" si="44">X68-Z68</f>
        <v>-1.8867924489285315E-4</v>
      </c>
      <c r="AB68" s="447" t="s">
        <v>1716</v>
      </c>
      <c r="AD68" s="462">
        <f t="shared" ref="AD68:AD131" si="45">AA68-AC68</f>
        <v>-1.8867924489285315E-4</v>
      </c>
      <c r="AG68" s="462">
        <f t="shared" ref="AG68:AG131" si="46">AD68-AF68</f>
        <v>-1.8867924489285315E-4</v>
      </c>
      <c r="AH68" s="447" t="s">
        <v>1819</v>
      </c>
      <c r="AJ68" s="462">
        <f t="shared" ref="AJ68:AJ131" si="47">AG68-AI68</f>
        <v>-1.8867924489285315E-4</v>
      </c>
      <c r="AM68" s="462">
        <f t="shared" ref="AM68:AM131" si="48">AJ68-AL68</f>
        <v>-1.8867924489285315E-4</v>
      </c>
      <c r="AN68" s="447" t="s">
        <v>1948</v>
      </c>
      <c r="AP68" s="462">
        <f t="shared" ref="AP68:AP131" si="49">AM68-AO68</f>
        <v>-1.8867924489285315E-4</v>
      </c>
      <c r="AQ68" s="447" t="s">
        <v>1995</v>
      </c>
      <c r="AS68" s="459">
        <f t="shared" ref="AS68:AS131" si="50">AP68-AR68</f>
        <v>-1.8867924489285315E-4</v>
      </c>
      <c r="AV68" s="462">
        <f t="shared" ref="AV68:AV131" si="51">AS68-AU68</f>
        <v>-1.8867924489285315E-4</v>
      </c>
      <c r="AY68" s="462">
        <f t="shared" ref="AY68:AY131" si="52">AV68-AX68</f>
        <v>-1.8867924489285315E-4</v>
      </c>
      <c r="BB68" s="462">
        <f t="shared" ref="BB68:BB131" si="53">AY68-BA68</f>
        <v>-1.8867924489285315E-4</v>
      </c>
      <c r="BC68" s="447" t="s">
        <v>2204</v>
      </c>
      <c r="BE68" s="462">
        <f t="shared" ref="BE68:BE131" si="54">BB68-BD68</f>
        <v>-1.8867924489285315E-4</v>
      </c>
      <c r="BH68" s="462">
        <f t="shared" ref="BH68:BH131" si="55">BE68-BG68</f>
        <v>-1.8867924489285315E-4</v>
      </c>
      <c r="BK68" s="462">
        <f t="shared" ref="BK68:BK131" si="56">BH68-BJ68</f>
        <v>-1.8867924489285315E-4</v>
      </c>
      <c r="BN68" s="462">
        <f t="shared" ref="BN68:BN131" si="57">BK68-BM68</f>
        <v>-1.8867924489285315E-4</v>
      </c>
      <c r="BQ68" s="462">
        <f t="shared" ref="BQ68:BQ131" si="58">ROUND((BN68-BP68),2)</f>
        <v>0</v>
      </c>
      <c r="BT68" s="462">
        <f t="shared" ref="BT68:BT131" si="59">ROUND((BQ68-BS68),2)</f>
        <v>0</v>
      </c>
      <c r="BW68" s="462">
        <f t="shared" ref="BW68:BW131" si="60">ROUND((BT68-BV68),2)</f>
        <v>0</v>
      </c>
      <c r="BZ68" s="462">
        <f t="shared" ref="BZ68:BZ131" si="61">ROUND((BW68-BY68),2)</f>
        <v>0</v>
      </c>
      <c r="CD68" s="418" t="str">
        <f t="shared" ref="CD68:CD131" si="62">B68&amp;$B$1</f>
        <v>CU1050001</v>
      </c>
      <c r="CE68" s="442" t="str">
        <f t="shared" ref="CE68:CE131" si="63">YEAR(F68)&amp;"年"&amp;MONTH(F68)&amp;"月"</f>
        <v>2018年9月</v>
      </c>
      <c r="CF68" s="418" t="str">
        <f t="shared" ref="CF68:CF131" si="64">LEFT(E68,5)&amp;$E$1</f>
        <v>华润万家有clife服务费暂估</v>
      </c>
      <c r="CG68" s="418" t="str">
        <f t="shared" ref="CG68:CG131" si="65">CE68&amp;CF68</f>
        <v>2018年9月华润万家有clife服务费暂估</v>
      </c>
    </row>
    <row r="69" spans="2:85" s="447" customFormat="1" ht="17.25" customHeight="1">
      <c r="B69" s="447" t="str">
        <f t="shared" si="37"/>
        <v>CU1065</v>
      </c>
      <c r="C69" s="434" t="s">
        <v>1311</v>
      </c>
      <c r="D69" s="434" t="s">
        <v>1499</v>
      </c>
      <c r="E69" s="434" t="s">
        <v>1320</v>
      </c>
      <c r="F69" s="433">
        <v>43344</v>
      </c>
      <c r="G69" s="430">
        <v>8688.5499999999884</v>
      </c>
      <c r="H69" s="440"/>
      <c r="I69" s="440">
        <f t="shared" si="38"/>
        <v>8688.5499999999884</v>
      </c>
      <c r="J69" s="440" t="s">
        <v>1368</v>
      </c>
      <c r="K69" s="444">
        <f>ROUND((954/1.06+5700+350/1.06),2)</f>
        <v>6930.19</v>
      </c>
      <c r="L69" s="462">
        <f t="shared" si="39"/>
        <v>1758.36</v>
      </c>
      <c r="M69" s="462" t="s">
        <v>1461</v>
      </c>
      <c r="N69" s="444">
        <v>1182.28</v>
      </c>
      <c r="O69" s="462">
        <f t="shared" si="40"/>
        <v>576.07999999999993</v>
      </c>
      <c r="P69" s="447" t="s">
        <v>1522</v>
      </c>
      <c r="R69" s="462">
        <f t="shared" si="41"/>
        <v>576.07999999999993</v>
      </c>
      <c r="S69" s="447" t="s">
        <v>1580</v>
      </c>
      <c r="T69" s="447">
        <f>ROUND((610.64/1.06),2)</f>
        <v>576.08000000000004</v>
      </c>
      <c r="U69" s="462">
        <f t="shared" si="42"/>
        <v>0</v>
      </c>
      <c r="V69" s="447" t="s">
        <v>1626</v>
      </c>
      <c r="X69" s="462">
        <f t="shared" si="43"/>
        <v>0</v>
      </c>
      <c r="Y69" s="447" t="s">
        <v>1661</v>
      </c>
      <c r="AA69" s="462">
        <f t="shared" si="44"/>
        <v>0</v>
      </c>
      <c r="AB69" s="447" t="s">
        <v>1716</v>
      </c>
      <c r="AD69" s="462">
        <f t="shared" si="45"/>
        <v>0</v>
      </c>
      <c r="AG69" s="462">
        <f t="shared" si="46"/>
        <v>0</v>
      </c>
      <c r="AH69" s="447" t="s">
        <v>1819</v>
      </c>
      <c r="AJ69" s="462">
        <f t="shared" si="47"/>
        <v>0</v>
      </c>
      <c r="AM69" s="462">
        <f t="shared" si="48"/>
        <v>0</v>
      </c>
      <c r="AN69" s="447" t="s">
        <v>1948</v>
      </c>
      <c r="AP69" s="462">
        <f t="shared" si="49"/>
        <v>0</v>
      </c>
      <c r="AQ69" s="447" t="s">
        <v>1995</v>
      </c>
      <c r="AS69" s="459">
        <f t="shared" si="50"/>
        <v>0</v>
      </c>
      <c r="AV69" s="462">
        <f t="shared" si="51"/>
        <v>0</v>
      </c>
      <c r="AY69" s="462">
        <f t="shared" si="52"/>
        <v>0</v>
      </c>
      <c r="BB69" s="462">
        <f t="shared" si="53"/>
        <v>0</v>
      </c>
      <c r="BC69" s="447" t="s">
        <v>2204</v>
      </c>
      <c r="BE69" s="462">
        <f t="shared" si="54"/>
        <v>0</v>
      </c>
      <c r="BH69" s="462">
        <f t="shared" si="55"/>
        <v>0</v>
      </c>
      <c r="BK69" s="462">
        <f t="shared" si="56"/>
        <v>0</v>
      </c>
      <c r="BN69" s="462">
        <f t="shared" si="57"/>
        <v>0</v>
      </c>
      <c r="BQ69" s="462">
        <f t="shared" si="58"/>
        <v>0</v>
      </c>
      <c r="BT69" s="462">
        <f t="shared" si="59"/>
        <v>0</v>
      </c>
      <c r="BW69" s="462">
        <f t="shared" si="60"/>
        <v>0</v>
      </c>
      <c r="BZ69" s="462">
        <f t="shared" si="61"/>
        <v>0</v>
      </c>
      <c r="CD69" s="418" t="str">
        <f t="shared" si="62"/>
        <v>CU1065001</v>
      </c>
      <c r="CE69" s="442" t="str">
        <f t="shared" si="63"/>
        <v>2018年9月</v>
      </c>
      <c r="CF69" s="418" t="str">
        <f t="shared" si="64"/>
        <v>上海蔚真企clife服务费暂估</v>
      </c>
      <c r="CG69" s="418" t="str">
        <f t="shared" si="65"/>
        <v>2018年9月上海蔚真企clife服务费暂估</v>
      </c>
    </row>
    <row r="70" spans="2:85" s="447" customFormat="1" ht="17.25" customHeight="1">
      <c r="B70" s="447" t="str">
        <f t="shared" si="37"/>
        <v>CU0109</v>
      </c>
      <c r="C70" s="431" t="s">
        <v>755</v>
      </c>
      <c r="D70" s="435" t="s">
        <v>33</v>
      </c>
      <c r="E70" s="435" t="s">
        <v>1224</v>
      </c>
      <c r="F70" s="433">
        <v>43374</v>
      </c>
      <c r="G70" s="430">
        <v>1960.2</v>
      </c>
      <c r="H70" s="440"/>
      <c r="I70" s="440">
        <f t="shared" si="38"/>
        <v>1960.2</v>
      </c>
      <c r="J70" s="440" t="s">
        <v>1368</v>
      </c>
      <c r="K70" s="444"/>
      <c r="L70" s="462">
        <f t="shared" si="39"/>
        <v>1960.2</v>
      </c>
      <c r="M70" s="462" t="s">
        <v>1461</v>
      </c>
      <c r="N70" s="444"/>
      <c r="O70" s="462">
        <f t="shared" si="40"/>
        <v>1960.2</v>
      </c>
      <c r="P70" s="447" t="s">
        <v>1522</v>
      </c>
      <c r="R70" s="462">
        <f t="shared" si="41"/>
        <v>1960.2</v>
      </c>
      <c r="S70" s="447" t="s">
        <v>1580</v>
      </c>
      <c r="T70" s="462">
        <f>R70</f>
        <v>1960.2</v>
      </c>
      <c r="U70" s="462">
        <f t="shared" si="42"/>
        <v>0</v>
      </c>
      <c r="V70" s="447" t="s">
        <v>1626</v>
      </c>
      <c r="X70" s="462">
        <f t="shared" si="43"/>
        <v>0</v>
      </c>
      <c r="Y70" s="447" t="s">
        <v>1661</v>
      </c>
      <c r="AA70" s="462">
        <f t="shared" si="44"/>
        <v>0</v>
      </c>
      <c r="AB70" s="447" t="s">
        <v>1716</v>
      </c>
      <c r="AD70" s="462">
        <f t="shared" si="45"/>
        <v>0</v>
      </c>
      <c r="AG70" s="462">
        <f t="shared" si="46"/>
        <v>0</v>
      </c>
      <c r="AH70" s="447" t="s">
        <v>1819</v>
      </c>
      <c r="AJ70" s="462">
        <f t="shared" si="47"/>
        <v>0</v>
      </c>
      <c r="AM70" s="462">
        <f t="shared" si="48"/>
        <v>0</v>
      </c>
      <c r="AN70" s="447" t="s">
        <v>1948</v>
      </c>
      <c r="AP70" s="462">
        <f t="shared" si="49"/>
        <v>0</v>
      </c>
      <c r="AQ70" s="447" t="s">
        <v>1995</v>
      </c>
      <c r="AS70" s="459">
        <f t="shared" si="50"/>
        <v>0</v>
      </c>
      <c r="AV70" s="462">
        <f t="shared" si="51"/>
        <v>0</v>
      </c>
      <c r="AY70" s="462">
        <f t="shared" si="52"/>
        <v>0</v>
      </c>
      <c r="BB70" s="462">
        <f t="shared" si="53"/>
        <v>0</v>
      </c>
      <c r="BC70" s="447" t="s">
        <v>2204</v>
      </c>
      <c r="BE70" s="462">
        <f t="shared" si="54"/>
        <v>0</v>
      </c>
      <c r="BH70" s="462">
        <f t="shared" si="55"/>
        <v>0</v>
      </c>
      <c r="BK70" s="462">
        <f t="shared" si="56"/>
        <v>0</v>
      </c>
      <c r="BN70" s="462">
        <f t="shared" si="57"/>
        <v>0</v>
      </c>
      <c r="BQ70" s="462">
        <f t="shared" si="58"/>
        <v>0</v>
      </c>
      <c r="BT70" s="462">
        <f t="shared" si="59"/>
        <v>0</v>
      </c>
      <c r="BW70" s="462">
        <f t="shared" si="60"/>
        <v>0</v>
      </c>
      <c r="BZ70" s="462">
        <f t="shared" si="61"/>
        <v>0</v>
      </c>
      <c r="CD70" s="418" t="str">
        <f t="shared" si="62"/>
        <v>CU0109001</v>
      </c>
      <c r="CE70" s="442" t="str">
        <f t="shared" si="63"/>
        <v>2018年10月</v>
      </c>
      <c r="CF70" s="418" t="str">
        <f t="shared" si="64"/>
        <v>普拉达时装clife服务费暂估</v>
      </c>
      <c r="CG70" s="418" t="str">
        <f t="shared" si="65"/>
        <v>2018年10月普拉达时装clife服务费暂估</v>
      </c>
    </row>
    <row r="71" spans="2:85" s="447" customFormat="1" ht="17.25" customHeight="1">
      <c r="B71" s="447" t="str">
        <f t="shared" si="37"/>
        <v>CU0182</v>
      </c>
      <c r="C71" s="431" t="s">
        <v>755</v>
      </c>
      <c r="D71" s="436" t="s">
        <v>822</v>
      </c>
      <c r="E71" s="436" t="s">
        <v>861</v>
      </c>
      <c r="F71" s="433">
        <v>43374</v>
      </c>
      <c r="G71" s="430">
        <v>3963.87</v>
      </c>
      <c r="H71" s="440"/>
      <c r="I71" s="440">
        <f t="shared" si="38"/>
        <v>3963.87</v>
      </c>
      <c r="J71" s="440" t="s">
        <v>1368</v>
      </c>
      <c r="K71" s="444"/>
      <c r="L71" s="462">
        <f t="shared" si="39"/>
        <v>3963.87</v>
      </c>
      <c r="M71" s="462" t="s">
        <v>1461</v>
      </c>
      <c r="N71" s="444"/>
      <c r="O71" s="462">
        <f t="shared" si="40"/>
        <v>3963.87</v>
      </c>
      <c r="P71" s="447" t="s">
        <v>1523</v>
      </c>
      <c r="R71" s="462">
        <f t="shared" si="41"/>
        <v>3963.87</v>
      </c>
      <c r="S71" s="447" t="s">
        <v>1580</v>
      </c>
      <c r="U71" s="462">
        <f t="shared" si="42"/>
        <v>3963.87</v>
      </c>
      <c r="V71" s="447" t="s">
        <v>1626</v>
      </c>
      <c r="X71" s="462">
        <f t="shared" si="43"/>
        <v>3963.87</v>
      </c>
      <c r="Y71" s="447" t="s">
        <v>1661</v>
      </c>
      <c r="Z71" s="462">
        <f>ROUND(X71,2)</f>
        <v>3963.87</v>
      </c>
      <c r="AA71" s="462">
        <f t="shared" si="44"/>
        <v>0</v>
      </c>
      <c r="AB71" s="447" t="s">
        <v>1716</v>
      </c>
      <c r="AD71" s="462">
        <f t="shared" si="45"/>
        <v>0</v>
      </c>
      <c r="AG71" s="462">
        <f t="shared" si="46"/>
        <v>0</v>
      </c>
      <c r="AH71" s="447" t="s">
        <v>1819</v>
      </c>
      <c r="AJ71" s="462">
        <f t="shared" si="47"/>
        <v>0</v>
      </c>
      <c r="AM71" s="462">
        <f t="shared" si="48"/>
        <v>0</v>
      </c>
      <c r="AN71" s="447" t="s">
        <v>1948</v>
      </c>
      <c r="AP71" s="462">
        <f t="shared" si="49"/>
        <v>0</v>
      </c>
      <c r="AQ71" s="447" t="s">
        <v>1995</v>
      </c>
      <c r="AS71" s="459">
        <f t="shared" si="50"/>
        <v>0</v>
      </c>
      <c r="AV71" s="462">
        <f t="shared" si="51"/>
        <v>0</v>
      </c>
      <c r="AY71" s="462">
        <f t="shared" si="52"/>
        <v>0</v>
      </c>
      <c r="BB71" s="462">
        <f t="shared" si="53"/>
        <v>0</v>
      </c>
      <c r="BC71" s="447" t="s">
        <v>2204</v>
      </c>
      <c r="BE71" s="462">
        <f t="shared" si="54"/>
        <v>0</v>
      </c>
      <c r="BH71" s="462">
        <f t="shared" si="55"/>
        <v>0</v>
      </c>
      <c r="BK71" s="462">
        <f t="shared" si="56"/>
        <v>0</v>
      </c>
      <c r="BN71" s="462">
        <f t="shared" si="57"/>
        <v>0</v>
      </c>
      <c r="BQ71" s="462">
        <f t="shared" si="58"/>
        <v>0</v>
      </c>
      <c r="BT71" s="462">
        <f t="shared" si="59"/>
        <v>0</v>
      </c>
      <c r="BW71" s="462">
        <f t="shared" si="60"/>
        <v>0</v>
      </c>
      <c r="BZ71" s="462">
        <f t="shared" si="61"/>
        <v>0</v>
      </c>
      <c r="CD71" s="418" t="str">
        <f t="shared" si="62"/>
        <v>CU0182001</v>
      </c>
      <c r="CE71" s="442" t="str">
        <f t="shared" si="63"/>
        <v>2018年10月</v>
      </c>
      <c r="CF71" s="418" t="str">
        <f t="shared" si="64"/>
        <v>阿姆斯壮世clife服务费暂估</v>
      </c>
      <c r="CG71" s="418" t="str">
        <f t="shared" si="65"/>
        <v>2018年10月阿姆斯壮世clife服务费暂估</v>
      </c>
    </row>
    <row r="72" spans="2:85" s="447" customFormat="1" ht="17.25" customHeight="1">
      <c r="B72" s="447" t="str">
        <f t="shared" si="37"/>
        <v>CU0351</v>
      </c>
      <c r="C72" s="431" t="s">
        <v>755</v>
      </c>
      <c r="D72" s="435" t="s">
        <v>81</v>
      </c>
      <c r="E72" s="435" t="s">
        <v>1226</v>
      </c>
      <c r="F72" s="433">
        <v>43374</v>
      </c>
      <c r="G72" s="430">
        <v>3921.3199999999997</v>
      </c>
      <c r="H72" s="440"/>
      <c r="I72" s="440">
        <f t="shared" si="38"/>
        <v>3921.3199999999997</v>
      </c>
      <c r="J72" s="440" t="s">
        <v>1368</v>
      </c>
      <c r="K72" s="444"/>
      <c r="L72" s="462">
        <f t="shared" si="39"/>
        <v>3921.32</v>
      </c>
      <c r="M72" s="462" t="s">
        <v>1461</v>
      </c>
      <c r="N72" s="444"/>
      <c r="O72" s="462">
        <f t="shared" si="40"/>
        <v>3921.32</v>
      </c>
      <c r="P72" s="447" t="s">
        <v>1522</v>
      </c>
      <c r="R72" s="462">
        <f t="shared" si="41"/>
        <v>3921.32</v>
      </c>
      <c r="S72" s="447" t="s">
        <v>1580</v>
      </c>
      <c r="U72" s="462">
        <f t="shared" si="42"/>
        <v>3921.32</v>
      </c>
      <c r="V72" s="447" t="s">
        <v>1626</v>
      </c>
      <c r="X72" s="462">
        <f t="shared" si="43"/>
        <v>3921.32</v>
      </c>
      <c r="Y72" s="447" t="s">
        <v>1661</v>
      </c>
      <c r="Z72" s="462">
        <f>X72</f>
        <v>3921.32</v>
      </c>
      <c r="AA72" s="462">
        <f t="shared" si="44"/>
        <v>0</v>
      </c>
      <c r="AB72" s="447" t="s">
        <v>1716</v>
      </c>
      <c r="AD72" s="462">
        <f t="shared" si="45"/>
        <v>0</v>
      </c>
      <c r="AG72" s="462">
        <f t="shared" si="46"/>
        <v>0</v>
      </c>
      <c r="AH72" s="447" t="s">
        <v>1819</v>
      </c>
      <c r="AJ72" s="462">
        <f t="shared" si="47"/>
        <v>0</v>
      </c>
      <c r="AM72" s="462">
        <f t="shared" si="48"/>
        <v>0</v>
      </c>
      <c r="AN72" s="447" t="s">
        <v>1948</v>
      </c>
      <c r="AP72" s="462">
        <f t="shared" si="49"/>
        <v>0</v>
      </c>
      <c r="AQ72" s="447" t="s">
        <v>1995</v>
      </c>
      <c r="AS72" s="459">
        <f t="shared" si="50"/>
        <v>0</v>
      </c>
      <c r="AV72" s="462">
        <f t="shared" si="51"/>
        <v>0</v>
      </c>
      <c r="AY72" s="462">
        <f t="shared" si="52"/>
        <v>0</v>
      </c>
      <c r="BB72" s="462">
        <f t="shared" si="53"/>
        <v>0</v>
      </c>
      <c r="BC72" s="447" t="s">
        <v>2204</v>
      </c>
      <c r="BE72" s="462">
        <f t="shared" si="54"/>
        <v>0</v>
      </c>
      <c r="BH72" s="462">
        <f t="shared" si="55"/>
        <v>0</v>
      </c>
      <c r="BK72" s="462">
        <f t="shared" si="56"/>
        <v>0</v>
      </c>
      <c r="BN72" s="462">
        <f t="shared" si="57"/>
        <v>0</v>
      </c>
      <c r="BQ72" s="462">
        <f t="shared" si="58"/>
        <v>0</v>
      </c>
      <c r="BT72" s="462">
        <f t="shared" si="59"/>
        <v>0</v>
      </c>
      <c r="BW72" s="462">
        <f t="shared" si="60"/>
        <v>0</v>
      </c>
      <c r="BZ72" s="462">
        <f t="shared" si="61"/>
        <v>0</v>
      </c>
      <c r="CD72" s="418" t="str">
        <f t="shared" si="62"/>
        <v>CU0351001</v>
      </c>
      <c r="CE72" s="442" t="str">
        <f t="shared" si="63"/>
        <v>2018年10月</v>
      </c>
      <c r="CF72" s="418" t="str">
        <f t="shared" si="64"/>
        <v>克鲁勃润滑clife服务费暂估</v>
      </c>
      <c r="CG72" s="418" t="str">
        <f t="shared" si="65"/>
        <v>2018年10月克鲁勃润滑clife服务费暂估</v>
      </c>
    </row>
    <row r="73" spans="2:85" s="447" customFormat="1" ht="17.25" customHeight="1">
      <c r="B73" s="447" t="str">
        <f t="shared" si="37"/>
        <v>CU0531</v>
      </c>
      <c r="C73" s="431" t="s">
        <v>755</v>
      </c>
      <c r="D73" s="435" t="s">
        <v>133</v>
      </c>
      <c r="E73" s="435" t="s">
        <v>1230</v>
      </c>
      <c r="F73" s="433">
        <v>43374</v>
      </c>
      <c r="G73" s="430">
        <v>19201.36</v>
      </c>
      <c r="H73" s="440"/>
      <c r="I73" s="440">
        <f t="shared" si="38"/>
        <v>19201.36</v>
      </c>
      <c r="J73" s="440" t="s">
        <v>1368</v>
      </c>
      <c r="K73" s="444"/>
      <c r="L73" s="462">
        <f t="shared" si="39"/>
        <v>19201.36</v>
      </c>
      <c r="M73" s="462" t="s">
        <v>1461</v>
      </c>
      <c r="N73" s="444">
        <f>L73</f>
        <v>19201.36</v>
      </c>
      <c r="O73" s="462">
        <f t="shared" si="40"/>
        <v>0</v>
      </c>
      <c r="P73" s="447" t="s">
        <v>1522</v>
      </c>
      <c r="R73" s="462">
        <f t="shared" si="41"/>
        <v>0</v>
      </c>
      <c r="S73" s="447" t="s">
        <v>1580</v>
      </c>
      <c r="U73" s="462">
        <f t="shared" si="42"/>
        <v>0</v>
      </c>
      <c r="V73" s="447" t="s">
        <v>1626</v>
      </c>
      <c r="X73" s="462">
        <f t="shared" si="43"/>
        <v>0</v>
      </c>
      <c r="Y73" s="447" t="s">
        <v>1661</v>
      </c>
      <c r="AA73" s="462">
        <f t="shared" si="44"/>
        <v>0</v>
      </c>
      <c r="AB73" s="447" t="s">
        <v>1716</v>
      </c>
      <c r="AD73" s="462">
        <f t="shared" si="45"/>
        <v>0</v>
      </c>
      <c r="AG73" s="462">
        <f t="shared" si="46"/>
        <v>0</v>
      </c>
      <c r="AH73" s="447" t="s">
        <v>1819</v>
      </c>
      <c r="AJ73" s="462">
        <f t="shared" si="47"/>
        <v>0</v>
      </c>
      <c r="AM73" s="462">
        <f t="shared" si="48"/>
        <v>0</v>
      </c>
      <c r="AN73" s="447" t="s">
        <v>1948</v>
      </c>
      <c r="AP73" s="462">
        <f t="shared" si="49"/>
        <v>0</v>
      </c>
      <c r="AQ73" s="447" t="s">
        <v>1995</v>
      </c>
      <c r="AS73" s="459">
        <f t="shared" si="50"/>
        <v>0</v>
      </c>
      <c r="AV73" s="462">
        <f t="shared" si="51"/>
        <v>0</v>
      </c>
      <c r="AY73" s="462">
        <f t="shared" si="52"/>
        <v>0</v>
      </c>
      <c r="BB73" s="462">
        <f t="shared" si="53"/>
        <v>0</v>
      </c>
      <c r="BC73" s="447" t="s">
        <v>2204</v>
      </c>
      <c r="BE73" s="462">
        <f t="shared" si="54"/>
        <v>0</v>
      </c>
      <c r="BH73" s="462">
        <f t="shared" si="55"/>
        <v>0</v>
      </c>
      <c r="BK73" s="462">
        <f t="shared" si="56"/>
        <v>0</v>
      </c>
      <c r="BN73" s="462">
        <f t="shared" si="57"/>
        <v>0</v>
      </c>
      <c r="BQ73" s="462">
        <f t="shared" si="58"/>
        <v>0</v>
      </c>
      <c r="BT73" s="462">
        <f t="shared" si="59"/>
        <v>0</v>
      </c>
      <c r="BW73" s="462">
        <f t="shared" si="60"/>
        <v>0</v>
      </c>
      <c r="BZ73" s="462">
        <f t="shared" si="61"/>
        <v>0</v>
      </c>
      <c r="CD73" s="418" t="str">
        <f t="shared" si="62"/>
        <v>CU0531001</v>
      </c>
      <c r="CE73" s="442" t="str">
        <f t="shared" si="63"/>
        <v>2018年10月</v>
      </c>
      <c r="CF73" s="418" t="str">
        <f t="shared" si="64"/>
        <v>恩思恩时尚clife服务费暂估</v>
      </c>
      <c r="CG73" s="418" t="str">
        <f t="shared" si="65"/>
        <v>2018年10月恩思恩时尚clife服务费暂估</v>
      </c>
    </row>
    <row r="74" spans="2:85" s="447" customFormat="1" ht="17.25" customHeight="1">
      <c r="B74" s="447" t="str">
        <f t="shared" si="37"/>
        <v>CU0667</v>
      </c>
      <c r="C74" s="431" t="s">
        <v>755</v>
      </c>
      <c r="D74" s="435" t="s">
        <v>167</v>
      </c>
      <c r="E74" s="435" t="s">
        <v>1231</v>
      </c>
      <c r="F74" s="433">
        <v>43374</v>
      </c>
      <c r="G74" s="430">
        <v>153.61999999999995</v>
      </c>
      <c r="H74" s="440"/>
      <c r="I74" s="440">
        <f t="shared" si="38"/>
        <v>153.61999999999995</v>
      </c>
      <c r="J74" s="440" t="s">
        <v>1368</v>
      </c>
      <c r="K74" s="444"/>
      <c r="L74" s="462">
        <f t="shared" si="39"/>
        <v>153.62</v>
      </c>
      <c r="M74" s="462" t="s">
        <v>1461</v>
      </c>
      <c r="N74" s="444"/>
      <c r="O74" s="462">
        <f t="shared" si="40"/>
        <v>153.62</v>
      </c>
      <c r="P74" s="447" t="s">
        <v>1522</v>
      </c>
      <c r="Q74" s="444">
        <f>O74</f>
        <v>153.62</v>
      </c>
      <c r="R74" s="462">
        <f t="shared" si="41"/>
        <v>0</v>
      </c>
      <c r="S74" s="447" t="s">
        <v>1580</v>
      </c>
      <c r="U74" s="462">
        <f t="shared" si="42"/>
        <v>0</v>
      </c>
      <c r="V74" s="447" t="s">
        <v>1626</v>
      </c>
      <c r="X74" s="462">
        <f t="shared" si="43"/>
        <v>0</v>
      </c>
      <c r="Y74" s="447" t="s">
        <v>1661</v>
      </c>
      <c r="AA74" s="462">
        <f t="shared" si="44"/>
        <v>0</v>
      </c>
      <c r="AB74" s="447" t="s">
        <v>1716</v>
      </c>
      <c r="AD74" s="462">
        <f t="shared" si="45"/>
        <v>0</v>
      </c>
      <c r="AG74" s="462">
        <f t="shared" si="46"/>
        <v>0</v>
      </c>
      <c r="AH74" s="447" t="s">
        <v>1819</v>
      </c>
      <c r="AJ74" s="462">
        <f t="shared" si="47"/>
        <v>0</v>
      </c>
      <c r="AM74" s="462">
        <f t="shared" si="48"/>
        <v>0</v>
      </c>
      <c r="AN74" s="447" t="s">
        <v>1948</v>
      </c>
      <c r="AP74" s="462">
        <f t="shared" si="49"/>
        <v>0</v>
      </c>
      <c r="AQ74" s="447" t="s">
        <v>1995</v>
      </c>
      <c r="AS74" s="459">
        <f t="shared" si="50"/>
        <v>0</v>
      </c>
      <c r="AV74" s="462">
        <f t="shared" si="51"/>
        <v>0</v>
      </c>
      <c r="AY74" s="462">
        <f t="shared" si="52"/>
        <v>0</v>
      </c>
      <c r="BB74" s="462">
        <f t="shared" si="53"/>
        <v>0</v>
      </c>
      <c r="BC74" s="447" t="s">
        <v>2204</v>
      </c>
      <c r="BE74" s="462">
        <f t="shared" si="54"/>
        <v>0</v>
      </c>
      <c r="BH74" s="462">
        <f t="shared" si="55"/>
        <v>0</v>
      </c>
      <c r="BK74" s="462">
        <f t="shared" si="56"/>
        <v>0</v>
      </c>
      <c r="BN74" s="462">
        <f t="shared" si="57"/>
        <v>0</v>
      </c>
      <c r="BQ74" s="462">
        <f t="shared" si="58"/>
        <v>0</v>
      </c>
      <c r="BT74" s="462">
        <f t="shared" si="59"/>
        <v>0</v>
      </c>
      <c r="BW74" s="462">
        <f t="shared" si="60"/>
        <v>0</v>
      </c>
      <c r="BZ74" s="462">
        <f t="shared" si="61"/>
        <v>0</v>
      </c>
      <c r="CD74" s="418" t="str">
        <f t="shared" si="62"/>
        <v>CU0667001</v>
      </c>
      <c r="CE74" s="442" t="str">
        <f t="shared" si="63"/>
        <v>2018年10月</v>
      </c>
      <c r="CF74" s="418" t="str">
        <f t="shared" si="64"/>
        <v>北京杰迪安clife服务费暂估</v>
      </c>
      <c r="CG74" s="418" t="str">
        <f t="shared" si="65"/>
        <v>2018年10月北京杰迪安clife服务费暂估</v>
      </c>
    </row>
    <row r="75" spans="2:85" s="447" customFormat="1" ht="17.25" customHeight="1">
      <c r="B75" s="447" t="str">
        <f t="shared" si="37"/>
        <v>CU0769</v>
      </c>
      <c r="C75" s="431" t="s">
        <v>755</v>
      </c>
      <c r="D75" s="436" t="s">
        <v>187</v>
      </c>
      <c r="E75" s="436" t="s">
        <v>188</v>
      </c>
      <c r="F75" s="433">
        <v>43374</v>
      </c>
      <c r="G75" s="430">
        <v>1270.75</v>
      </c>
      <c r="H75" s="440"/>
      <c r="I75" s="440">
        <f t="shared" si="38"/>
        <v>1270.75</v>
      </c>
      <c r="J75" s="440" t="s">
        <v>1368</v>
      </c>
      <c r="K75" s="444"/>
      <c r="L75" s="462">
        <f t="shared" si="39"/>
        <v>1270.75</v>
      </c>
      <c r="M75" s="462" t="s">
        <v>1461</v>
      </c>
      <c r="N75" s="444"/>
      <c r="O75" s="462">
        <f t="shared" si="40"/>
        <v>1270.75</v>
      </c>
      <c r="P75" s="447" t="s">
        <v>1523</v>
      </c>
      <c r="R75" s="462">
        <f t="shared" si="41"/>
        <v>1270.75</v>
      </c>
      <c r="S75" s="447" t="s">
        <v>1580</v>
      </c>
      <c r="T75" s="462">
        <f>ROUND((1347/1.06),2)</f>
        <v>1270.75</v>
      </c>
      <c r="U75" s="462">
        <f t="shared" si="42"/>
        <v>0</v>
      </c>
      <c r="V75" s="447" t="s">
        <v>1626</v>
      </c>
      <c r="X75" s="462">
        <f t="shared" si="43"/>
        <v>0</v>
      </c>
      <c r="Y75" s="447" t="s">
        <v>1661</v>
      </c>
      <c r="AA75" s="462">
        <f t="shared" si="44"/>
        <v>0</v>
      </c>
      <c r="AB75" s="447" t="s">
        <v>1716</v>
      </c>
      <c r="AD75" s="462">
        <f t="shared" si="45"/>
        <v>0</v>
      </c>
      <c r="AG75" s="462">
        <f t="shared" si="46"/>
        <v>0</v>
      </c>
      <c r="AH75" s="447" t="s">
        <v>1819</v>
      </c>
      <c r="AJ75" s="462">
        <f t="shared" si="47"/>
        <v>0</v>
      </c>
      <c r="AM75" s="462">
        <f t="shared" si="48"/>
        <v>0</v>
      </c>
      <c r="AN75" s="447" t="s">
        <v>1948</v>
      </c>
      <c r="AP75" s="462">
        <f t="shared" si="49"/>
        <v>0</v>
      </c>
      <c r="AQ75" s="447" t="s">
        <v>1995</v>
      </c>
      <c r="AS75" s="459">
        <f t="shared" si="50"/>
        <v>0</v>
      </c>
      <c r="AV75" s="462">
        <f t="shared" si="51"/>
        <v>0</v>
      </c>
      <c r="AY75" s="462">
        <f t="shared" si="52"/>
        <v>0</v>
      </c>
      <c r="BB75" s="462">
        <f t="shared" si="53"/>
        <v>0</v>
      </c>
      <c r="BC75" s="447" t="s">
        <v>2204</v>
      </c>
      <c r="BE75" s="462">
        <f t="shared" si="54"/>
        <v>0</v>
      </c>
      <c r="BH75" s="462">
        <f t="shared" si="55"/>
        <v>0</v>
      </c>
      <c r="BK75" s="462">
        <f t="shared" si="56"/>
        <v>0</v>
      </c>
      <c r="BN75" s="462">
        <f t="shared" si="57"/>
        <v>0</v>
      </c>
      <c r="BQ75" s="462">
        <f t="shared" si="58"/>
        <v>0</v>
      </c>
      <c r="BT75" s="462">
        <f t="shared" si="59"/>
        <v>0</v>
      </c>
      <c r="BW75" s="462">
        <f t="shared" si="60"/>
        <v>0</v>
      </c>
      <c r="BZ75" s="462">
        <f t="shared" si="61"/>
        <v>0</v>
      </c>
      <c r="CD75" s="418" t="str">
        <f t="shared" si="62"/>
        <v>CU0769001</v>
      </c>
      <c r="CE75" s="442" t="str">
        <f t="shared" si="63"/>
        <v>2018年10月</v>
      </c>
      <c r="CF75" s="418" t="str">
        <f t="shared" si="64"/>
        <v>思童嘉商贸clife服务费暂估</v>
      </c>
      <c r="CG75" s="418" t="str">
        <f t="shared" si="65"/>
        <v>2018年10月思童嘉商贸clife服务费暂估</v>
      </c>
    </row>
    <row r="76" spans="2:85" s="447" customFormat="1" ht="17.25" customHeight="1">
      <c r="B76" s="447" t="str">
        <f t="shared" si="37"/>
        <v>CU0782</v>
      </c>
      <c r="C76" s="431" t="s">
        <v>755</v>
      </c>
      <c r="D76" s="435" t="s">
        <v>193</v>
      </c>
      <c r="E76" s="435" t="s">
        <v>1232</v>
      </c>
      <c r="F76" s="433">
        <v>43374</v>
      </c>
      <c r="G76" s="430">
        <f>474522.945283019-3746.45</f>
        <v>470776.49528301897</v>
      </c>
      <c r="H76" s="440"/>
      <c r="I76" s="440">
        <f t="shared" si="38"/>
        <v>470776.49528301897</v>
      </c>
      <c r="J76" s="440" t="s">
        <v>1368</v>
      </c>
      <c r="K76" s="444">
        <f>ROUND((70014/1.06+400000),2)</f>
        <v>466050.94</v>
      </c>
      <c r="L76" s="462">
        <f t="shared" si="39"/>
        <v>4725.5600000000004</v>
      </c>
      <c r="M76" s="462" t="s">
        <v>1461</v>
      </c>
      <c r="N76" s="444"/>
      <c r="O76" s="462">
        <f t="shared" si="40"/>
        <v>4725.5600000000004</v>
      </c>
      <c r="P76" s="447" t="s">
        <v>1523</v>
      </c>
      <c r="Q76" s="444">
        <f>O76</f>
        <v>4725.5600000000004</v>
      </c>
      <c r="R76" s="462">
        <f t="shared" si="41"/>
        <v>0</v>
      </c>
      <c r="S76" s="447" t="s">
        <v>1580</v>
      </c>
      <c r="U76" s="462">
        <f t="shared" si="42"/>
        <v>0</v>
      </c>
      <c r="V76" s="447" t="s">
        <v>1626</v>
      </c>
      <c r="X76" s="462">
        <f t="shared" si="43"/>
        <v>0</v>
      </c>
      <c r="Y76" s="447" t="s">
        <v>1661</v>
      </c>
      <c r="AA76" s="462">
        <f t="shared" si="44"/>
        <v>0</v>
      </c>
      <c r="AB76" s="447" t="s">
        <v>1716</v>
      </c>
      <c r="AD76" s="462">
        <f t="shared" si="45"/>
        <v>0</v>
      </c>
      <c r="AG76" s="462">
        <f t="shared" si="46"/>
        <v>0</v>
      </c>
      <c r="AH76" s="447" t="s">
        <v>1819</v>
      </c>
      <c r="AJ76" s="462">
        <f t="shared" si="47"/>
        <v>0</v>
      </c>
      <c r="AM76" s="462">
        <f t="shared" si="48"/>
        <v>0</v>
      </c>
      <c r="AN76" s="447" t="s">
        <v>1948</v>
      </c>
      <c r="AP76" s="462">
        <f t="shared" si="49"/>
        <v>0</v>
      </c>
      <c r="AQ76" s="447" t="s">
        <v>1995</v>
      </c>
      <c r="AS76" s="459">
        <f t="shared" si="50"/>
        <v>0</v>
      </c>
      <c r="AV76" s="462">
        <f t="shared" si="51"/>
        <v>0</v>
      </c>
      <c r="AY76" s="462">
        <f t="shared" si="52"/>
        <v>0</v>
      </c>
      <c r="BB76" s="462">
        <f t="shared" si="53"/>
        <v>0</v>
      </c>
      <c r="BC76" s="447" t="s">
        <v>2204</v>
      </c>
      <c r="BE76" s="462">
        <f t="shared" si="54"/>
        <v>0</v>
      </c>
      <c r="BH76" s="462">
        <f t="shared" si="55"/>
        <v>0</v>
      </c>
      <c r="BK76" s="462">
        <f t="shared" si="56"/>
        <v>0</v>
      </c>
      <c r="BN76" s="462">
        <f t="shared" si="57"/>
        <v>0</v>
      </c>
      <c r="BQ76" s="462">
        <f t="shared" si="58"/>
        <v>0</v>
      </c>
      <c r="BT76" s="462">
        <f t="shared" si="59"/>
        <v>0</v>
      </c>
      <c r="BW76" s="462">
        <f t="shared" si="60"/>
        <v>0</v>
      </c>
      <c r="BZ76" s="462">
        <f t="shared" si="61"/>
        <v>0</v>
      </c>
      <c r="CD76" s="418" t="str">
        <f t="shared" si="62"/>
        <v>CU0782001</v>
      </c>
      <c r="CE76" s="442" t="str">
        <f t="shared" si="63"/>
        <v>2018年10月</v>
      </c>
      <c r="CF76" s="418" t="str">
        <f t="shared" si="64"/>
        <v>天职集团clife服务费暂估</v>
      </c>
      <c r="CG76" s="418" t="str">
        <f t="shared" si="65"/>
        <v>2018年10月天职集团clife服务费暂估</v>
      </c>
    </row>
    <row r="77" spans="2:85" s="447" customFormat="1" ht="17.25" customHeight="1">
      <c r="B77" s="447" t="str">
        <f t="shared" si="37"/>
        <v>CU0812</v>
      </c>
      <c r="C77" s="431" t="s">
        <v>755</v>
      </c>
      <c r="D77" s="436" t="s">
        <v>1233</v>
      </c>
      <c r="E77" s="436" t="s">
        <v>1234</v>
      </c>
      <c r="F77" s="433">
        <v>43374</v>
      </c>
      <c r="G77" s="430">
        <v>3425.01</v>
      </c>
      <c r="H77" s="440"/>
      <c r="I77" s="440">
        <f t="shared" si="38"/>
        <v>3425.01</v>
      </c>
      <c r="J77" s="440" t="s">
        <v>1368</v>
      </c>
      <c r="K77" s="444"/>
      <c r="L77" s="462">
        <f t="shared" si="39"/>
        <v>3425.01</v>
      </c>
      <c r="M77" s="462" t="s">
        <v>1461</v>
      </c>
      <c r="N77" s="444">
        <f>L77</f>
        <v>3425.01</v>
      </c>
      <c r="O77" s="462">
        <f t="shared" si="40"/>
        <v>0</v>
      </c>
      <c r="P77" s="447" t="s">
        <v>1523</v>
      </c>
      <c r="R77" s="462">
        <f t="shared" si="41"/>
        <v>0</v>
      </c>
      <c r="S77" s="447" t="s">
        <v>1580</v>
      </c>
      <c r="U77" s="462">
        <f t="shared" si="42"/>
        <v>0</v>
      </c>
      <c r="V77" s="447" t="s">
        <v>1626</v>
      </c>
      <c r="X77" s="462">
        <f t="shared" si="43"/>
        <v>0</v>
      </c>
      <c r="Y77" s="447" t="s">
        <v>1661</v>
      </c>
      <c r="AA77" s="462">
        <f t="shared" si="44"/>
        <v>0</v>
      </c>
      <c r="AB77" s="447" t="s">
        <v>1716</v>
      </c>
      <c r="AD77" s="462">
        <f t="shared" si="45"/>
        <v>0</v>
      </c>
      <c r="AG77" s="462">
        <f t="shared" si="46"/>
        <v>0</v>
      </c>
      <c r="AH77" s="447" t="s">
        <v>1819</v>
      </c>
      <c r="AJ77" s="462">
        <f t="shared" si="47"/>
        <v>0</v>
      </c>
      <c r="AM77" s="462">
        <f t="shared" si="48"/>
        <v>0</v>
      </c>
      <c r="AN77" s="447" t="s">
        <v>1948</v>
      </c>
      <c r="AP77" s="462">
        <f t="shared" si="49"/>
        <v>0</v>
      </c>
      <c r="AQ77" s="447" t="s">
        <v>1995</v>
      </c>
      <c r="AS77" s="459">
        <f t="shared" si="50"/>
        <v>0</v>
      </c>
      <c r="AV77" s="462">
        <f t="shared" si="51"/>
        <v>0</v>
      </c>
      <c r="AY77" s="462">
        <f t="shared" si="52"/>
        <v>0</v>
      </c>
      <c r="BB77" s="462">
        <f t="shared" si="53"/>
        <v>0</v>
      </c>
      <c r="BC77" s="447" t="s">
        <v>2204</v>
      </c>
      <c r="BE77" s="462">
        <f t="shared" si="54"/>
        <v>0</v>
      </c>
      <c r="BH77" s="462">
        <f t="shared" si="55"/>
        <v>0</v>
      </c>
      <c r="BK77" s="462">
        <f t="shared" si="56"/>
        <v>0</v>
      </c>
      <c r="BN77" s="462">
        <f t="shared" si="57"/>
        <v>0</v>
      </c>
      <c r="BQ77" s="462">
        <f t="shared" si="58"/>
        <v>0</v>
      </c>
      <c r="BT77" s="462">
        <f t="shared" si="59"/>
        <v>0</v>
      </c>
      <c r="BW77" s="462">
        <f t="shared" si="60"/>
        <v>0</v>
      </c>
      <c r="BZ77" s="462">
        <f t="shared" si="61"/>
        <v>0</v>
      </c>
      <c r="CD77" s="418" t="str">
        <f t="shared" si="62"/>
        <v>CU0812001</v>
      </c>
      <c r="CE77" s="442" t="str">
        <f t="shared" si="63"/>
        <v>2018年10月</v>
      </c>
      <c r="CF77" s="418" t="str">
        <f t="shared" si="64"/>
        <v>上海屋里厢clife服务费暂估</v>
      </c>
      <c r="CG77" s="418" t="str">
        <f t="shared" si="65"/>
        <v>2018年10月上海屋里厢clife服务费暂估</v>
      </c>
    </row>
    <row r="78" spans="2:85" s="447" customFormat="1" ht="17.25" customHeight="1">
      <c r="B78" s="447" t="str">
        <f t="shared" si="37"/>
        <v>CU0822</v>
      </c>
      <c r="C78" s="431" t="s">
        <v>755</v>
      </c>
      <c r="D78" s="435" t="s">
        <v>238</v>
      </c>
      <c r="E78" s="435" t="s">
        <v>1235</v>
      </c>
      <c r="F78" s="433">
        <v>43374</v>
      </c>
      <c r="G78" s="430">
        <v>18619.95</v>
      </c>
      <c r="H78" s="440">
        <v>18619.95</v>
      </c>
      <c r="I78" s="440">
        <f t="shared" si="38"/>
        <v>0</v>
      </c>
      <c r="J78" s="440" t="s">
        <v>1368</v>
      </c>
      <c r="K78" s="444"/>
      <c r="L78" s="462">
        <f t="shared" si="39"/>
        <v>0</v>
      </c>
      <c r="M78" s="462" t="s">
        <v>1461</v>
      </c>
      <c r="N78" s="444"/>
      <c r="O78" s="462">
        <f t="shared" si="40"/>
        <v>0</v>
      </c>
      <c r="P78" s="447" t="s">
        <v>1523</v>
      </c>
      <c r="R78" s="462">
        <f t="shared" si="41"/>
        <v>0</v>
      </c>
      <c r="S78" s="447" t="s">
        <v>1580</v>
      </c>
      <c r="U78" s="462">
        <f t="shared" si="42"/>
        <v>0</v>
      </c>
      <c r="V78" s="447" t="s">
        <v>1626</v>
      </c>
      <c r="X78" s="462">
        <f t="shared" si="43"/>
        <v>0</v>
      </c>
      <c r="Y78" s="447" t="s">
        <v>1661</v>
      </c>
      <c r="AA78" s="462">
        <f t="shared" si="44"/>
        <v>0</v>
      </c>
      <c r="AB78" s="447" t="s">
        <v>1716</v>
      </c>
      <c r="AD78" s="462">
        <f t="shared" si="45"/>
        <v>0</v>
      </c>
      <c r="AG78" s="462">
        <f t="shared" si="46"/>
        <v>0</v>
      </c>
      <c r="AH78" s="447" t="s">
        <v>1819</v>
      </c>
      <c r="AJ78" s="462">
        <f t="shared" si="47"/>
        <v>0</v>
      </c>
      <c r="AM78" s="462">
        <f t="shared" si="48"/>
        <v>0</v>
      </c>
      <c r="AN78" s="447" t="s">
        <v>1948</v>
      </c>
      <c r="AP78" s="462">
        <f t="shared" si="49"/>
        <v>0</v>
      </c>
      <c r="AQ78" s="447" t="s">
        <v>1995</v>
      </c>
      <c r="AS78" s="459">
        <f t="shared" si="50"/>
        <v>0</v>
      </c>
      <c r="AV78" s="462">
        <f t="shared" si="51"/>
        <v>0</v>
      </c>
      <c r="AY78" s="462">
        <f t="shared" si="52"/>
        <v>0</v>
      </c>
      <c r="BB78" s="462">
        <f t="shared" si="53"/>
        <v>0</v>
      </c>
      <c r="BC78" s="447" t="s">
        <v>2204</v>
      </c>
      <c r="BE78" s="462">
        <f t="shared" si="54"/>
        <v>0</v>
      </c>
      <c r="BH78" s="462">
        <f t="shared" si="55"/>
        <v>0</v>
      </c>
      <c r="BK78" s="462">
        <f t="shared" si="56"/>
        <v>0</v>
      </c>
      <c r="BN78" s="462">
        <f t="shared" si="57"/>
        <v>0</v>
      </c>
      <c r="BQ78" s="462">
        <f t="shared" si="58"/>
        <v>0</v>
      </c>
      <c r="BT78" s="462">
        <f t="shared" si="59"/>
        <v>0</v>
      </c>
      <c r="BW78" s="462">
        <f t="shared" si="60"/>
        <v>0</v>
      </c>
      <c r="BZ78" s="462">
        <f t="shared" si="61"/>
        <v>0</v>
      </c>
      <c r="CD78" s="418" t="str">
        <f t="shared" si="62"/>
        <v>CU0822001</v>
      </c>
      <c r="CE78" s="442" t="str">
        <f t="shared" si="63"/>
        <v>2018年10月</v>
      </c>
      <c r="CF78" s="418" t="str">
        <f t="shared" si="64"/>
        <v>美克国际家clife服务费暂估</v>
      </c>
      <c r="CG78" s="418" t="str">
        <f t="shared" si="65"/>
        <v>2018年10月美克国际家clife服务费暂估</v>
      </c>
    </row>
    <row r="79" spans="2:85" s="447" customFormat="1" ht="17.25" customHeight="1">
      <c r="B79" s="447" t="str">
        <f t="shared" si="37"/>
        <v>CU0823</v>
      </c>
      <c r="C79" s="431" t="s">
        <v>755</v>
      </c>
      <c r="D79" s="435" t="s">
        <v>580</v>
      </c>
      <c r="E79" s="435" t="s">
        <v>1236</v>
      </c>
      <c r="F79" s="433">
        <v>43374</v>
      </c>
      <c r="G79" s="430">
        <v>89267.839999999997</v>
      </c>
      <c r="H79" s="440"/>
      <c r="I79" s="440">
        <f t="shared" si="38"/>
        <v>89267.839999999997</v>
      </c>
      <c r="J79" s="440" t="s">
        <v>1368</v>
      </c>
      <c r="K79" s="444">
        <v>89267.839999999997</v>
      </c>
      <c r="L79" s="462">
        <f t="shared" si="39"/>
        <v>0</v>
      </c>
      <c r="M79" s="462" t="s">
        <v>1461</v>
      </c>
      <c r="N79" s="444"/>
      <c r="O79" s="462">
        <f t="shared" si="40"/>
        <v>0</v>
      </c>
      <c r="P79" s="447" t="s">
        <v>1523</v>
      </c>
      <c r="R79" s="462">
        <f t="shared" si="41"/>
        <v>0</v>
      </c>
      <c r="S79" s="447" t="s">
        <v>1580</v>
      </c>
      <c r="U79" s="462">
        <f t="shared" si="42"/>
        <v>0</v>
      </c>
      <c r="V79" s="447" t="s">
        <v>1626</v>
      </c>
      <c r="X79" s="462">
        <f t="shared" si="43"/>
        <v>0</v>
      </c>
      <c r="Y79" s="447" t="s">
        <v>1661</v>
      </c>
      <c r="AA79" s="462">
        <f t="shared" si="44"/>
        <v>0</v>
      </c>
      <c r="AB79" s="447" t="s">
        <v>1716</v>
      </c>
      <c r="AD79" s="462">
        <f t="shared" si="45"/>
        <v>0</v>
      </c>
      <c r="AG79" s="462">
        <f t="shared" si="46"/>
        <v>0</v>
      </c>
      <c r="AH79" s="447" t="s">
        <v>1819</v>
      </c>
      <c r="AJ79" s="462">
        <f t="shared" si="47"/>
        <v>0</v>
      </c>
      <c r="AM79" s="462">
        <f t="shared" si="48"/>
        <v>0</v>
      </c>
      <c r="AN79" s="447" t="s">
        <v>1948</v>
      </c>
      <c r="AP79" s="462">
        <f t="shared" si="49"/>
        <v>0</v>
      </c>
      <c r="AQ79" s="447" t="s">
        <v>1995</v>
      </c>
      <c r="AS79" s="459">
        <f t="shared" si="50"/>
        <v>0</v>
      </c>
      <c r="AV79" s="462">
        <f t="shared" si="51"/>
        <v>0</v>
      </c>
      <c r="AY79" s="462">
        <f t="shared" si="52"/>
        <v>0</v>
      </c>
      <c r="BB79" s="462">
        <f t="shared" si="53"/>
        <v>0</v>
      </c>
      <c r="BC79" s="447" t="s">
        <v>2204</v>
      </c>
      <c r="BE79" s="462">
        <f t="shared" si="54"/>
        <v>0</v>
      </c>
      <c r="BH79" s="462">
        <f t="shared" si="55"/>
        <v>0</v>
      </c>
      <c r="BK79" s="462">
        <f t="shared" si="56"/>
        <v>0</v>
      </c>
      <c r="BN79" s="462">
        <f t="shared" si="57"/>
        <v>0</v>
      </c>
      <c r="BQ79" s="462">
        <f t="shared" si="58"/>
        <v>0</v>
      </c>
      <c r="BT79" s="462">
        <f t="shared" si="59"/>
        <v>0</v>
      </c>
      <c r="BW79" s="462">
        <f t="shared" si="60"/>
        <v>0</v>
      </c>
      <c r="BZ79" s="462">
        <f t="shared" si="61"/>
        <v>0</v>
      </c>
      <c r="CD79" s="418" t="str">
        <f t="shared" si="62"/>
        <v>CU0823001</v>
      </c>
      <c r="CE79" s="442" t="str">
        <f t="shared" si="63"/>
        <v>2018年10月</v>
      </c>
      <c r="CF79" s="418" t="str">
        <f t="shared" si="64"/>
        <v>凯杰生物工clife服务费暂估</v>
      </c>
      <c r="CG79" s="418" t="str">
        <f t="shared" si="65"/>
        <v>2018年10月凯杰生物工clife服务费暂估</v>
      </c>
    </row>
    <row r="80" spans="2:85" s="447" customFormat="1" ht="17.25" customHeight="1">
      <c r="B80" s="447" t="str">
        <f t="shared" si="37"/>
        <v>CU0892</v>
      </c>
      <c r="C80" s="431" t="s">
        <v>755</v>
      </c>
      <c r="D80" s="436" t="s">
        <v>831</v>
      </c>
      <c r="E80" s="436" t="s">
        <v>1238</v>
      </c>
      <c r="F80" s="433">
        <v>43374</v>
      </c>
      <c r="G80" s="430">
        <v>21467</v>
      </c>
      <c r="H80" s="440"/>
      <c r="I80" s="440">
        <f t="shared" si="38"/>
        <v>21467</v>
      </c>
      <c r="J80" s="440" t="s">
        <v>1368</v>
      </c>
      <c r="K80" s="444"/>
      <c r="L80" s="462">
        <f t="shared" si="39"/>
        <v>21467</v>
      </c>
      <c r="M80" s="462" t="s">
        <v>1461</v>
      </c>
      <c r="N80" s="444">
        <v>21400</v>
      </c>
      <c r="O80" s="462">
        <f t="shared" si="40"/>
        <v>67</v>
      </c>
      <c r="P80" s="447" t="s">
        <v>1523</v>
      </c>
      <c r="R80" s="462">
        <f t="shared" si="41"/>
        <v>67</v>
      </c>
      <c r="S80" s="447" t="s">
        <v>1580</v>
      </c>
      <c r="T80" s="447">
        <f>ROUND((71.02/1.06),2)</f>
        <v>67</v>
      </c>
      <c r="U80" s="462">
        <f t="shared" si="42"/>
        <v>0</v>
      </c>
      <c r="V80" s="447" t="s">
        <v>1626</v>
      </c>
      <c r="X80" s="462">
        <f t="shared" si="43"/>
        <v>0</v>
      </c>
      <c r="Y80" s="447" t="s">
        <v>1661</v>
      </c>
      <c r="AA80" s="462">
        <f t="shared" si="44"/>
        <v>0</v>
      </c>
      <c r="AB80" s="447" t="s">
        <v>1716</v>
      </c>
      <c r="AD80" s="462">
        <f t="shared" si="45"/>
        <v>0</v>
      </c>
      <c r="AG80" s="462">
        <f t="shared" si="46"/>
        <v>0</v>
      </c>
      <c r="AH80" s="447" t="s">
        <v>1819</v>
      </c>
      <c r="AJ80" s="462">
        <f t="shared" si="47"/>
        <v>0</v>
      </c>
      <c r="AM80" s="462">
        <f t="shared" si="48"/>
        <v>0</v>
      </c>
      <c r="AN80" s="447" t="s">
        <v>1948</v>
      </c>
      <c r="AP80" s="462">
        <f t="shared" si="49"/>
        <v>0</v>
      </c>
      <c r="AQ80" s="447" t="s">
        <v>1995</v>
      </c>
      <c r="AS80" s="459">
        <f t="shared" si="50"/>
        <v>0</v>
      </c>
      <c r="AV80" s="462">
        <f t="shared" si="51"/>
        <v>0</v>
      </c>
      <c r="AY80" s="462">
        <f t="shared" si="52"/>
        <v>0</v>
      </c>
      <c r="BB80" s="462">
        <f t="shared" si="53"/>
        <v>0</v>
      </c>
      <c r="BC80" s="447" t="s">
        <v>2204</v>
      </c>
      <c r="BE80" s="462">
        <f t="shared" si="54"/>
        <v>0</v>
      </c>
      <c r="BH80" s="462">
        <f t="shared" si="55"/>
        <v>0</v>
      </c>
      <c r="BK80" s="462">
        <f t="shared" si="56"/>
        <v>0</v>
      </c>
      <c r="BN80" s="462">
        <f t="shared" si="57"/>
        <v>0</v>
      </c>
      <c r="BQ80" s="462">
        <f t="shared" si="58"/>
        <v>0</v>
      </c>
      <c r="BT80" s="462">
        <f t="shared" si="59"/>
        <v>0</v>
      </c>
      <c r="BW80" s="462">
        <f t="shared" si="60"/>
        <v>0</v>
      </c>
      <c r="BZ80" s="462">
        <f t="shared" si="61"/>
        <v>0</v>
      </c>
      <c r="CD80" s="418" t="str">
        <f t="shared" si="62"/>
        <v>CU0892001</v>
      </c>
      <c r="CE80" s="442" t="str">
        <f t="shared" si="63"/>
        <v>2018年10月</v>
      </c>
      <c r="CF80" s="418" t="str">
        <f t="shared" si="64"/>
        <v>苏州凯爱健clife服务费暂估</v>
      </c>
      <c r="CG80" s="418" t="str">
        <f t="shared" si="65"/>
        <v>2018年10月苏州凯爱健clife服务费暂估</v>
      </c>
    </row>
    <row r="81" spans="2:85" s="447" customFormat="1" ht="17.25" customHeight="1">
      <c r="B81" s="447" t="str">
        <f t="shared" si="37"/>
        <v>CU1013</v>
      </c>
      <c r="C81" s="431" t="s">
        <v>755</v>
      </c>
      <c r="D81" s="435" t="s">
        <v>1239</v>
      </c>
      <c r="E81" s="435" t="s">
        <v>1240</v>
      </c>
      <c r="F81" s="433">
        <v>43374</v>
      </c>
      <c r="G81" s="430">
        <v>98721.13</v>
      </c>
      <c r="H81" s="440"/>
      <c r="I81" s="440">
        <f t="shared" si="38"/>
        <v>98721.13</v>
      </c>
      <c r="J81" s="440" t="s">
        <v>1368</v>
      </c>
      <c r="K81" s="444"/>
      <c r="L81" s="462">
        <f t="shared" si="39"/>
        <v>98721.13</v>
      </c>
      <c r="M81" s="462" t="s">
        <v>1461</v>
      </c>
      <c r="N81" s="444">
        <v>98721.13</v>
      </c>
      <c r="O81" s="462">
        <f t="shared" si="40"/>
        <v>0</v>
      </c>
      <c r="P81" s="447" t="s">
        <v>1523</v>
      </c>
      <c r="R81" s="462">
        <f t="shared" si="41"/>
        <v>0</v>
      </c>
      <c r="S81" s="447" t="s">
        <v>1580</v>
      </c>
      <c r="U81" s="462">
        <f t="shared" si="42"/>
        <v>0</v>
      </c>
      <c r="V81" s="447" t="s">
        <v>1626</v>
      </c>
      <c r="X81" s="462">
        <f t="shared" si="43"/>
        <v>0</v>
      </c>
      <c r="Y81" s="447" t="s">
        <v>1661</v>
      </c>
      <c r="AA81" s="462">
        <f t="shared" si="44"/>
        <v>0</v>
      </c>
      <c r="AB81" s="447" t="s">
        <v>1716</v>
      </c>
      <c r="AD81" s="462">
        <f t="shared" si="45"/>
        <v>0</v>
      </c>
      <c r="AG81" s="462">
        <f t="shared" si="46"/>
        <v>0</v>
      </c>
      <c r="AH81" s="447" t="s">
        <v>1819</v>
      </c>
      <c r="AJ81" s="462">
        <f t="shared" si="47"/>
        <v>0</v>
      </c>
      <c r="AM81" s="462">
        <f t="shared" si="48"/>
        <v>0</v>
      </c>
      <c r="AN81" s="447" t="s">
        <v>1948</v>
      </c>
      <c r="AP81" s="462">
        <f t="shared" si="49"/>
        <v>0</v>
      </c>
      <c r="AQ81" s="447" t="s">
        <v>1995</v>
      </c>
      <c r="AS81" s="459">
        <f t="shared" si="50"/>
        <v>0</v>
      </c>
      <c r="AV81" s="462">
        <f t="shared" si="51"/>
        <v>0</v>
      </c>
      <c r="AY81" s="462">
        <f t="shared" si="52"/>
        <v>0</v>
      </c>
      <c r="BB81" s="462">
        <f t="shared" si="53"/>
        <v>0</v>
      </c>
      <c r="BC81" s="447" t="s">
        <v>2204</v>
      </c>
      <c r="BE81" s="462">
        <f t="shared" si="54"/>
        <v>0</v>
      </c>
      <c r="BH81" s="462">
        <f t="shared" si="55"/>
        <v>0</v>
      </c>
      <c r="BK81" s="462">
        <f t="shared" si="56"/>
        <v>0</v>
      </c>
      <c r="BN81" s="462">
        <f t="shared" si="57"/>
        <v>0</v>
      </c>
      <c r="BQ81" s="462">
        <f t="shared" si="58"/>
        <v>0</v>
      </c>
      <c r="BT81" s="462">
        <f t="shared" si="59"/>
        <v>0</v>
      </c>
      <c r="BW81" s="462">
        <f t="shared" si="60"/>
        <v>0</v>
      </c>
      <c r="BZ81" s="462">
        <f t="shared" si="61"/>
        <v>0</v>
      </c>
      <c r="CD81" s="418" t="str">
        <f t="shared" si="62"/>
        <v>CU1013001</v>
      </c>
      <c r="CE81" s="442" t="str">
        <f t="shared" si="63"/>
        <v>2018年10月</v>
      </c>
      <c r="CF81" s="418" t="str">
        <f t="shared" si="64"/>
        <v>喜利得（中clife服务费暂估</v>
      </c>
      <c r="CG81" s="418" t="str">
        <f t="shared" si="65"/>
        <v>2018年10月喜利得（中clife服务费暂估</v>
      </c>
    </row>
    <row r="82" spans="2:85" s="447" customFormat="1" ht="17.25" customHeight="1">
      <c r="B82" s="447" t="str">
        <f t="shared" si="37"/>
        <v>CU0093</v>
      </c>
      <c r="C82" s="431" t="s">
        <v>755</v>
      </c>
      <c r="D82" s="67" t="s">
        <v>31</v>
      </c>
      <c r="E82" s="67" t="s">
        <v>32</v>
      </c>
      <c r="F82" s="433">
        <v>43405</v>
      </c>
      <c r="G82" s="430">
        <v>2822.94</v>
      </c>
      <c r="H82" s="440"/>
      <c r="I82" s="440">
        <f t="shared" si="38"/>
        <v>2822.94</v>
      </c>
      <c r="J82" s="440" t="s">
        <v>1368</v>
      </c>
      <c r="K82" s="444"/>
      <c r="L82" s="462">
        <f t="shared" si="39"/>
        <v>2822.94</v>
      </c>
      <c r="M82" s="462" t="s">
        <v>1461</v>
      </c>
      <c r="N82" s="444"/>
      <c r="O82" s="462">
        <f t="shared" si="40"/>
        <v>2822.94</v>
      </c>
      <c r="P82" s="447" t="s">
        <v>1522</v>
      </c>
      <c r="Q82" s="444">
        <f>2862/1.06-Q48+2552</f>
        <v>2815.36</v>
      </c>
      <c r="R82" s="462">
        <f t="shared" si="41"/>
        <v>7.5799999999999272</v>
      </c>
      <c r="S82" s="447" t="s">
        <v>1580</v>
      </c>
      <c r="U82" s="462">
        <f t="shared" si="42"/>
        <v>7.5799999999999272</v>
      </c>
      <c r="V82" s="447" t="s">
        <v>1626</v>
      </c>
      <c r="X82" s="462">
        <f t="shared" si="43"/>
        <v>7.5799999999999272</v>
      </c>
      <c r="Y82" s="447" t="s">
        <v>1661</v>
      </c>
      <c r="AA82" s="462">
        <v>0</v>
      </c>
      <c r="AB82" s="447" t="s">
        <v>1716</v>
      </c>
      <c r="AC82" s="462">
        <f>AA82</f>
        <v>0</v>
      </c>
      <c r="AD82" s="462">
        <f t="shared" si="45"/>
        <v>0</v>
      </c>
      <c r="AG82" s="462">
        <f t="shared" si="46"/>
        <v>0</v>
      </c>
      <c r="AH82" s="447" t="s">
        <v>1819</v>
      </c>
      <c r="AJ82" s="462">
        <f t="shared" si="47"/>
        <v>0</v>
      </c>
      <c r="AM82" s="462">
        <f t="shared" si="48"/>
        <v>0</v>
      </c>
      <c r="AN82" s="447" t="s">
        <v>1948</v>
      </c>
      <c r="AP82" s="462">
        <f t="shared" si="49"/>
        <v>0</v>
      </c>
      <c r="AQ82" s="447" t="s">
        <v>1995</v>
      </c>
      <c r="AS82" s="459">
        <f t="shared" si="50"/>
        <v>0</v>
      </c>
      <c r="AV82" s="462">
        <f t="shared" si="51"/>
        <v>0</v>
      </c>
      <c r="AY82" s="462">
        <f t="shared" si="52"/>
        <v>0</v>
      </c>
      <c r="BB82" s="462">
        <f t="shared" si="53"/>
        <v>0</v>
      </c>
      <c r="BC82" s="447" t="s">
        <v>2204</v>
      </c>
      <c r="BE82" s="462">
        <f t="shared" si="54"/>
        <v>0</v>
      </c>
      <c r="BH82" s="462">
        <f t="shared" si="55"/>
        <v>0</v>
      </c>
      <c r="BK82" s="462">
        <f t="shared" si="56"/>
        <v>0</v>
      </c>
      <c r="BN82" s="462">
        <f t="shared" si="57"/>
        <v>0</v>
      </c>
      <c r="BQ82" s="462">
        <f t="shared" si="58"/>
        <v>0</v>
      </c>
      <c r="BT82" s="462">
        <f t="shared" si="59"/>
        <v>0</v>
      </c>
      <c r="BW82" s="462">
        <f t="shared" si="60"/>
        <v>0</v>
      </c>
      <c r="BZ82" s="462">
        <f t="shared" si="61"/>
        <v>0</v>
      </c>
      <c r="CD82" s="418" t="str">
        <f t="shared" si="62"/>
        <v>CU0093001</v>
      </c>
      <c r="CE82" s="442" t="str">
        <f t="shared" si="63"/>
        <v>2018年11月</v>
      </c>
      <c r="CF82" s="418" t="str">
        <f t="shared" si="64"/>
        <v>日立保险代clife服务费暂估</v>
      </c>
      <c r="CG82" s="418" t="str">
        <f t="shared" si="65"/>
        <v>2018年11月日立保险代clife服务费暂估</v>
      </c>
    </row>
    <row r="83" spans="2:85" s="447" customFormat="1" ht="17.25" customHeight="1">
      <c r="B83" s="447" t="str">
        <f t="shared" si="37"/>
        <v>CU0109</v>
      </c>
      <c r="C83" s="431" t="s">
        <v>755</v>
      </c>
      <c r="D83" s="67" t="s">
        <v>33</v>
      </c>
      <c r="E83" s="67" t="s">
        <v>34</v>
      </c>
      <c r="F83" s="433">
        <v>43405</v>
      </c>
      <c r="G83" s="430">
        <v>3957.6</v>
      </c>
      <c r="H83" s="440"/>
      <c r="I83" s="440">
        <f t="shared" si="38"/>
        <v>3957.6</v>
      </c>
      <c r="J83" s="440" t="s">
        <v>1368</v>
      </c>
      <c r="K83" s="444"/>
      <c r="L83" s="462">
        <f t="shared" si="39"/>
        <v>3957.6</v>
      </c>
      <c r="M83" s="462" t="s">
        <v>1461</v>
      </c>
      <c r="N83" s="444"/>
      <c r="O83" s="462">
        <f t="shared" si="40"/>
        <v>3957.6</v>
      </c>
      <c r="P83" s="447" t="s">
        <v>1522</v>
      </c>
      <c r="R83" s="462">
        <f t="shared" si="41"/>
        <v>3957.6</v>
      </c>
      <c r="S83" s="447" t="s">
        <v>1580</v>
      </c>
      <c r="T83" s="462">
        <f>R83</f>
        <v>3957.6</v>
      </c>
      <c r="U83" s="462">
        <f t="shared" si="42"/>
        <v>0</v>
      </c>
      <c r="V83" s="447" t="s">
        <v>1626</v>
      </c>
      <c r="X83" s="462">
        <f t="shared" si="43"/>
        <v>0</v>
      </c>
      <c r="Y83" s="447" t="s">
        <v>1661</v>
      </c>
      <c r="AA83" s="462">
        <f t="shared" si="44"/>
        <v>0</v>
      </c>
      <c r="AB83" s="447" t="s">
        <v>1716</v>
      </c>
      <c r="AD83" s="462">
        <f t="shared" si="45"/>
        <v>0</v>
      </c>
      <c r="AG83" s="462">
        <f t="shared" si="46"/>
        <v>0</v>
      </c>
      <c r="AH83" s="447" t="s">
        <v>1819</v>
      </c>
      <c r="AJ83" s="462">
        <f t="shared" si="47"/>
        <v>0</v>
      </c>
      <c r="AM83" s="462">
        <f t="shared" si="48"/>
        <v>0</v>
      </c>
      <c r="AN83" s="447" t="s">
        <v>1948</v>
      </c>
      <c r="AP83" s="462">
        <f t="shared" si="49"/>
        <v>0</v>
      </c>
      <c r="AQ83" s="447" t="s">
        <v>1995</v>
      </c>
      <c r="AS83" s="459">
        <f t="shared" si="50"/>
        <v>0</v>
      </c>
      <c r="AV83" s="462">
        <f t="shared" si="51"/>
        <v>0</v>
      </c>
      <c r="AY83" s="462">
        <f t="shared" si="52"/>
        <v>0</v>
      </c>
      <c r="BB83" s="462">
        <f t="shared" si="53"/>
        <v>0</v>
      </c>
      <c r="BC83" s="447" t="s">
        <v>2204</v>
      </c>
      <c r="BE83" s="462">
        <f t="shared" si="54"/>
        <v>0</v>
      </c>
      <c r="BH83" s="462">
        <f t="shared" si="55"/>
        <v>0</v>
      </c>
      <c r="BK83" s="462">
        <f t="shared" si="56"/>
        <v>0</v>
      </c>
      <c r="BN83" s="462">
        <f t="shared" si="57"/>
        <v>0</v>
      </c>
      <c r="BQ83" s="462">
        <f t="shared" si="58"/>
        <v>0</v>
      </c>
      <c r="BT83" s="462">
        <f t="shared" si="59"/>
        <v>0</v>
      </c>
      <c r="BW83" s="462">
        <f t="shared" si="60"/>
        <v>0</v>
      </c>
      <c r="BZ83" s="462">
        <f t="shared" si="61"/>
        <v>0</v>
      </c>
      <c r="CD83" s="418" t="str">
        <f t="shared" si="62"/>
        <v>CU0109001</v>
      </c>
      <c r="CE83" s="442" t="str">
        <f t="shared" si="63"/>
        <v>2018年11月</v>
      </c>
      <c r="CF83" s="418" t="str">
        <f t="shared" si="64"/>
        <v>普拉达时装clife服务费暂估</v>
      </c>
      <c r="CG83" s="418" t="str">
        <f t="shared" si="65"/>
        <v>2018年11月普拉达时装clife服务费暂估</v>
      </c>
    </row>
    <row r="84" spans="2:85" s="447" customFormat="1" ht="17.25" customHeight="1">
      <c r="B84" s="447" t="str">
        <f t="shared" si="37"/>
        <v>CU0145</v>
      </c>
      <c r="C84" s="431" t="s">
        <v>755</v>
      </c>
      <c r="D84" s="67" t="s">
        <v>1268</v>
      </c>
      <c r="E84" s="67" t="s">
        <v>1277</v>
      </c>
      <c r="F84" s="433">
        <v>43405</v>
      </c>
      <c r="G84" s="430">
        <v>10108.490000000005</v>
      </c>
      <c r="H84" s="440"/>
      <c r="I84" s="440">
        <f t="shared" si="38"/>
        <v>10108.490000000005</v>
      </c>
      <c r="J84" s="440" t="s">
        <v>1368</v>
      </c>
      <c r="K84" s="444">
        <v>10108.49</v>
      </c>
      <c r="L84" s="462">
        <f t="shared" si="39"/>
        <v>0</v>
      </c>
      <c r="M84" s="462" t="s">
        <v>1461</v>
      </c>
      <c r="N84" s="444"/>
      <c r="O84" s="462">
        <f t="shared" si="40"/>
        <v>0</v>
      </c>
      <c r="P84" s="447" t="s">
        <v>1522</v>
      </c>
      <c r="R84" s="462">
        <f t="shared" si="41"/>
        <v>0</v>
      </c>
      <c r="S84" s="447" t="s">
        <v>1580</v>
      </c>
      <c r="U84" s="462">
        <f t="shared" si="42"/>
        <v>0</v>
      </c>
      <c r="V84" s="447" t="s">
        <v>1626</v>
      </c>
      <c r="X84" s="462">
        <f t="shared" si="43"/>
        <v>0</v>
      </c>
      <c r="Y84" s="447" t="s">
        <v>1661</v>
      </c>
      <c r="AA84" s="462">
        <f t="shared" si="44"/>
        <v>0</v>
      </c>
      <c r="AB84" s="447" t="s">
        <v>1716</v>
      </c>
      <c r="AD84" s="462">
        <f t="shared" si="45"/>
        <v>0</v>
      </c>
      <c r="AG84" s="462">
        <f t="shared" si="46"/>
        <v>0</v>
      </c>
      <c r="AH84" s="447" t="s">
        <v>1819</v>
      </c>
      <c r="AJ84" s="462">
        <f t="shared" si="47"/>
        <v>0</v>
      </c>
      <c r="AM84" s="462">
        <f t="shared" si="48"/>
        <v>0</v>
      </c>
      <c r="AN84" s="447" t="s">
        <v>1948</v>
      </c>
      <c r="AP84" s="462">
        <f t="shared" si="49"/>
        <v>0</v>
      </c>
      <c r="AQ84" s="447" t="s">
        <v>1995</v>
      </c>
      <c r="AS84" s="459">
        <f t="shared" si="50"/>
        <v>0</v>
      </c>
      <c r="AV84" s="462">
        <f t="shared" si="51"/>
        <v>0</v>
      </c>
      <c r="AY84" s="462">
        <f t="shared" si="52"/>
        <v>0</v>
      </c>
      <c r="BB84" s="462">
        <f t="shared" si="53"/>
        <v>0</v>
      </c>
      <c r="BC84" s="447" t="s">
        <v>2204</v>
      </c>
      <c r="BE84" s="462">
        <f t="shared" si="54"/>
        <v>0</v>
      </c>
      <c r="BH84" s="462">
        <f t="shared" si="55"/>
        <v>0</v>
      </c>
      <c r="BK84" s="462">
        <f t="shared" si="56"/>
        <v>0</v>
      </c>
      <c r="BN84" s="462">
        <f t="shared" si="57"/>
        <v>0</v>
      </c>
      <c r="BQ84" s="462">
        <f t="shared" si="58"/>
        <v>0</v>
      </c>
      <c r="BT84" s="462">
        <f t="shared" si="59"/>
        <v>0</v>
      </c>
      <c r="BW84" s="462">
        <f t="shared" si="60"/>
        <v>0</v>
      </c>
      <c r="BZ84" s="462">
        <f t="shared" si="61"/>
        <v>0</v>
      </c>
      <c r="CD84" s="418" t="str">
        <f t="shared" si="62"/>
        <v>CU0145001</v>
      </c>
      <c r="CE84" s="442" t="str">
        <f t="shared" si="63"/>
        <v>2018年11月</v>
      </c>
      <c r="CF84" s="418" t="str">
        <f t="shared" si="64"/>
        <v>锐珂亚太投clife服务费暂估</v>
      </c>
      <c r="CG84" s="418" t="str">
        <f t="shared" si="65"/>
        <v>2018年11月锐珂亚太投clife服务费暂估</v>
      </c>
    </row>
    <row r="85" spans="2:85" s="447" customFormat="1" ht="17.25" customHeight="1">
      <c r="B85" s="447" t="str">
        <f t="shared" si="37"/>
        <v>CU0182</v>
      </c>
      <c r="C85" s="431" t="s">
        <v>755</v>
      </c>
      <c r="D85" s="67" t="s">
        <v>820</v>
      </c>
      <c r="E85" s="67" t="s">
        <v>821</v>
      </c>
      <c r="F85" s="433">
        <v>43405</v>
      </c>
      <c r="G85" s="430">
        <v>2176.61</v>
      </c>
      <c r="H85" s="440"/>
      <c r="I85" s="440">
        <f t="shared" si="38"/>
        <v>2176.61</v>
      </c>
      <c r="J85" s="440" t="s">
        <v>1368</v>
      </c>
      <c r="K85" s="444"/>
      <c r="L85" s="462">
        <f t="shared" si="39"/>
        <v>2176.61</v>
      </c>
      <c r="M85" s="462" t="s">
        <v>1461</v>
      </c>
      <c r="N85" s="444"/>
      <c r="O85" s="462">
        <f t="shared" si="40"/>
        <v>2176.61</v>
      </c>
      <c r="P85" s="447" t="s">
        <v>1523</v>
      </c>
      <c r="R85" s="462">
        <f t="shared" si="41"/>
        <v>2176.61</v>
      </c>
      <c r="S85" s="447" t="s">
        <v>1580</v>
      </c>
      <c r="U85" s="462">
        <f t="shared" si="42"/>
        <v>2176.61</v>
      </c>
      <c r="V85" s="447" t="s">
        <v>1626</v>
      </c>
      <c r="X85" s="462">
        <f t="shared" si="43"/>
        <v>2176.61</v>
      </c>
      <c r="Y85" s="447" t="s">
        <v>1661</v>
      </c>
      <c r="Z85" s="462">
        <f t="shared" ref="Z85:Z86" si="66">ROUND(X85,2)</f>
        <v>2176.61</v>
      </c>
      <c r="AA85" s="462">
        <f t="shared" si="44"/>
        <v>0</v>
      </c>
      <c r="AB85" s="447" t="s">
        <v>1716</v>
      </c>
      <c r="AD85" s="462">
        <f t="shared" si="45"/>
        <v>0</v>
      </c>
      <c r="AG85" s="462">
        <f t="shared" si="46"/>
        <v>0</v>
      </c>
      <c r="AH85" s="447" t="s">
        <v>1819</v>
      </c>
      <c r="AJ85" s="462">
        <f t="shared" si="47"/>
        <v>0</v>
      </c>
      <c r="AM85" s="462">
        <f t="shared" si="48"/>
        <v>0</v>
      </c>
      <c r="AN85" s="447" t="s">
        <v>1948</v>
      </c>
      <c r="AP85" s="462">
        <f t="shared" si="49"/>
        <v>0</v>
      </c>
      <c r="AQ85" s="447" t="s">
        <v>1995</v>
      </c>
      <c r="AS85" s="459">
        <f t="shared" si="50"/>
        <v>0</v>
      </c>
      <c r="AV85" s="462">
        <f t="shared" si="51"/>
        <v>0</v>
      </c>
      <c r="AY85" s="462">
        <f t="shared" si="52"/>
        <v>0</v>
      </c>
      <c r="BB85" s="462">
        <f t="shared" si="53"/>
        <v>0</v>
      </c>
      <c r="BC85" s="447" t="s">
        <v>2204</v>
      </c>
      <c r="BE85" s="462">
        <f t="shared" si="54"/>
        <v>0</v>
      </c>
      <c r="BH85" s="462">
        <f t="shared" si="55"/>
        <v>0</v>
      </c>
      <c r="BK85" s="462">
        <f t="shared" si="56"/>
        <v>0</v>
      </c>
      <c r="BN85" s="462">
        <f t="shared" si="57"/>
        <v>0</v>
      </c>
      <c r="BQ85" s="462">
        <f t="shared" si="58"/>
        <v>0</v>
      </c>
      <c r="BT85" s="462">
        <f t="shared" si="59"/>
        <v>0</v>
      </c>
      <c r="BW85" s="462">
        <f t="shared" si="60"/>
        <v>0</v>
      </c>
      <c r="BZ85" s="462">
        <f t="shared" si="61"/>
        <v>0</v>
      </c>
      <c r="CD85" s="418" t="str">
        <f t="shared" si="62"/>
        <v>CU0182001</v>
      </c>
      <c r="CE85" s="442" t="str">
        <f t="shared" si="63"/>
        <v>2018年11月</v>
      </c>
      <c r="CF85" s="418" t="str">
        <f t="shared" si="64"/>
        <v>阿姆斯壮（clife服务费暂估</v>
      </c>
      <c r="CG85" s="418" t="str">
        <f t="shared" si="65"/>
        <v>2018年11月阿姆斯壮（clife服务费暂估</v>
      </c>
    </row>
    <row r="86" spans="2:85" s="447" customFormat="1" ht="17.25" customHeight="1">
      <c r="B86" s="447" t="str">
        <f t="shared" si="37"/>
        <v>CU0182</v>
      </c>
      <c r="C86" s="431" t="s">
        <v>755</v>
      </c>
      <c r="D86" s="67" t="s">
        <v>576</v>
      </c>
      <c r="E86" s="67" t="s">
        <v>1278</v>
      </c>
      <c r="F86" s="433">
        <v>43405</v>
      </c>
      <c r="G86" s="430">
        <v>26428.05</v>
      </c>
      <c r="H86" s="440"/>
      <c r="I86" s="440">
        <f t="shared" si="38"/>
        <v>26428.05</v>
      </c>
      <c r="J86" s="440" t="s">
        <v>1368</v>
      </c>
      <c r="K86" s="444"/>
      <c r="L86" s="462">
        <f t="shared" si="39"/>
        <v>26428.05</v>
      </c>
      <c r="M86" s="462" t="s">
        <v>1461</v>
      </c>
      <c r="N86" s="444">
        <f>59078/1.06</f>
        <v>55733.962264150941</v>
      </c>
      <c r="O86" s="462">
        <f t="shared" si="40"/>
        <v>-29305.912264150942</v>
      </c>
      <c r="P86" s="447" t="s">
        <v>1523</v>
      </c>
      <c r="R86" s="462">
        <f t="shared" si="41"/>
        <v>-29305.912264150942</v>
      </c>
      <c r="S86" s="447" t="s">
        <v>1580</v>
      </c>
      <c r="U86" s="462">
        <f t="shared" si="42"/>
        <v>-29305.912264150942</v>
      </c>
      <c r="V86" s="447" t="s">
        <v>1626</v>
      </c>
      <c r="X86" s="462">
        <f t="shared" si="43"/>
        <v>-29305.912264150942</v>
      </c>
      <c r="Y86" s="447" t="s">
        <v>1661</v>
      </c>
      <c r="Z86" s="462">
        <f t="shared" si="66"/>
        <v>-29305.91</v>
      </c>
      <c r="AA86" s="462">
        <f t="shared" si="44"/>
        <v>-2.264150942210108E-3</v>
      </c>
      <c r="AB86" s="447" t="s">
        <v>1716</v>
      </c>
      <c r="AD86" s="462">
        <f t="shared" si="45"/>
        <v>-2.264150942210108E-3</v>
      </c>
      <c r="AG86" s="462">
        <f t="shared" si="46"/>
        <v>-2.264150942210108E-3</v>
      </c>
      <c r="AH86" s="447" t="s">
        <v>1819</v>
      </c>
      <c r="AJ86" s="462">
        <f t="shared" si="47"/>
        <v>-2.264150942210108E-3</v>
      </c>
      <c r="AM86" s="462">
        <f t="shared" si="48"/>
        <v>-2.264150942210108E-3</v>
      </c>
      <c r="AN86" s="447" t="s">
        <v>1948</v>
      </c>
      <c r="AP86" s="462">
        <f t="shared" si="49"/>
        <v>-2.264150942210108E-3</v>
      </c>
      <c r="AQ86" s="447" t="s">
        <v>1995</v>
      </c>
      <c r="AS86" s="459">
        <f t="shared" si="50"/>
        <v>-2.264150942210108E-3</v>
      </c>
      <c r="AV86" s="462">
        <f t="shared" si="51"/>
        <v>-2.264150942210108E-3</v>
      </c>
      <c r="AY86" s="462">
        <f t="shared" si="52"/>
        <v>-2.264150942210108E-3</v>
      </c>
      <c r="BB86" s="462">
        <f t="shared" si="53"/>
        <v>-2.264150942210108E-3</v>
      </c>
      <c r="BC86" s="447" t="s">
        <v>2204</v>
      </c>
      <c r="BE86" s="462">
        <f t="shared" si="54"/>
        <v>-2.264150942210108E-3</v>
      </c>
      <c r="BH86" s="462">
        <f t="shared" si="55"/>
        <v>-2.264150942210108E-3</v>
      </c>
      <c r="BK86" s="462">
        <f t="shared" si="56"/>
        <v>-2.264150942210108E-3</v>
      </c>
      <c r="BN86" s="462">
        <f t="shared" si="57"/>
        <v>-2.264150942210108E-3</v>
      </c>
      <c r="BQ86" s="462">
        <f t="shared" si="58"/>
        <v>0</v>
      </c>
      <c r="BT86" s="462">
        <f t="shared" si="59"/>
        <v>0</v>
      </c>
      <c r="BW86" s="462">
        <f t="shared" si="60"/>
        <v>0</v>
      </c>
      <c r="BZ86" s="462">
        <f t="shared" si="61"/>
        <v>0</v>
      </c>
      <c r="CD86" s="418" t="str">
        <f t="shared" si="62"/>
        <v>CU0182001</v>
      </c>
      <c r="CE86" s="442" t="str">
        <f t="shared" si="63"/>
        <v>2018年11月</v>
      </c>
      <c r="CF86" s="418" t="str">
        <f t="shared" si="64"/>
        <v>上海华新顿clife服务费暂估</v>
      </c>
      <c r="CG86" s="418" t="str">
        <f t="shared" si="65"/>
        <v>2018年11月上海华新顿clife服务费暂估</v>
      </c>
    </row>
    <row r="87" spans="2:85" s="447" customFormat="1" ht="17.25" customHeight="1">
      <c r="B87" s="447" t="str">
        <f t="shared" si="37"/>
        <v>CU0238</v>
      </c>
      <c r="C87" s="431" t="s">
        <v>755</v>
      </c>
      <c r="D87" s="67" t="s">
        <v>53</v>
      </c>
      <c r="E87" s="67" t="s">
        <v>54</v>
      </c>
      <c r="F87" s="433">
        <v>43405</v>
      </c>
      <c r="G87" s="430">
        <v>465.6</v>
      </c>
      <c r="H87" s="440"/>
      <c r="I87" s="440">
        <f t="shared" si="38"/>
        <v>465.6</v>
      </c>
      <c r="J87" s="440" t="s">
        <v>1368</v>
      </c>
      <c r="K87" s="444"/>
      <c r="L87" s="462">
        <f t="shared" si="39"/>
        <v>465.6</v>
      </c>
      <c r="M87" s="462" t="s">
        <v>1461</v>
      </c>
      <c r="N87" s="444"/>
      <c r="O87" s="462">
        <f t="shared" si="40"/>
        <v>465.6</v>
      </c>
      <c r="P87" s="447" t="s">
        <v>1522</v>
      </c>
      <c r="R87" s="462">
        <f t="shared" si="41"/>
        <v>465.6</v>
      </c>
      <c r="S87" s="447" t="s">
        <v>1580</v>
      </c>
      <c r="T87" s="447">
        <f>ROUND((795.64/1.06),2)-285</f>
        <v>465.6</v>
      </c>
      <c r="U87" s="462">
        <f t="shared" si="42"/>
        <v>0</v>
      </c>
      <c r="V87" s="447" t="s">
        <v>1626</v>
      </c>
      <c r="X87" s="462">
        <f t="shared" si="43"/>
        <v>0</v>
      </c>
      <c r="Y87" s="447" t="s">
        <v>1661</v>
      </c>
      <c r="AA87" s="462">
        <f t="shared" si="44"/>
        <v>0</v>
      </c>
      <c r="AB87" s="447" t="s">
        <v>1716</v>
      </c>
      <c r="AD87" s="462">
        <f t="shared" si="45"/>
        <v>0</v>
      </c>
      <c r="AG87" s="462">
        <f t="shared" si="46"/>
        <v>0</v>
      </c>
      <c r="AH87" s="447" t="s">
        <v>1819</v>
      </c>
      <c r="AJ87" s="462">
        <f t="shared" si="47"/>
        <v>0</v>
      </c>
      <c r="AM87" s="462">
        <f t="shared" si="48"/>
        <v>0</v>
      </c>
      <c r="AN87" s="447" t="s">
        <v>1948</v>
      </c>
      <c r="AP87" s="462">
        <f t="shared" si="49"/>
        <v>0</v>
      </c>
      <c r="AQ87" s="447" t="s">
        <v>1995</v>
      </c>
      <c r="AS87" s="459">
        <f t="shared" si="50"/>
        <v>0</v>
      </c>
      <c r="AV87" s="462">
        <f t="shared" si="51"/>
        <v>0</v>
      </c>
      <c r="AY87" s="462">
        <f t="shared" si="52"/>
        <v>0</v>
      </c>
      <c r="BB87" s="462">
        <f t="shared" si="53"/>
        <v>0</v>
      </c>
      <c r="BC87" s="447" t="s">
        <v>2204</v>
      </c>
      <c r="BE87" s="462">
        <f t="shared" si="54"/>
        <v>0</v>
      </c>
      <c r="BH87" s="462">
        <f t="shared" si="55"/>
        <v>0</v>
      </c>
      <c r="BK87" s="462">
        <f t="shared" si="56"/>
        <v>0</v>
      </c>
      <c r="BN87" s="462">
        <f t="shared" si="57"/>
        <v>0</v>
      </c>
      <c r="BQ87" s="462">
        <f t="shared" si="58"/>
        <v>0</v>
      </c>
      <c r="BT87" s="462">
        <f t="shared" si="59"/>
        <v>0</v>
      </c>
      <c r="BW87" s="462">
        <f t="shared" si="60"/>
        <v>0</v>
      </c>
      <c r="BZ87" s="462">
        <f t="shared" si="61"/>
        <v>0</v>
      </c>
      <c r="CD87" s="418" t="str">
        <f t="shared" si="62"/>
        <v>CU0238001</v>
      </c>
      <c r="CE87" s="442" t="str">
        <f t="shared" si="63"/>
        <v>2018年11月</v>
      </c>
      <c r="CF87" s="418" t="str">
        <f t="shared" si="64"/>
        <v>丘奇鞋业（clife服务费暂估</v>
      </c>
      <c r="CG87" s="418" t="str">
        <f t="shared" si="65"/>
        <v>2018年11月丘奇鞋业（clife服务费暂估</v>
      </c>
    </row>
    <row r="88" spans="2:85" s="447" customFormat="1" ht="17.25" customHeight="1">
      <c r="B88" s="447" t="str">
        <f t="shared" si="37"/>
        <v>CU0285</v>
      </c>
      <c r="C88" s="431" t="s">
        <v>755</v>
      </c>
      <c r="D88" s="67" t="s">
        <v>59</v>
      </c>
      <c r="E88" s="67" t="s">
        <v>60</v>
      </c>
      <c r="F88" s="433">
        <v>43405</v>
      </c>
      <c r="G88" s="430">
        <v>17169.810000000001</v>
      </c>
      <c r="H88" s="440"/>
      <c r="I88" s="440">
        <f t="shared" si="38"/>
        <v>17169.810000000001</v>
      </c>
      <c r="J88" s="440" t="s">
        <v>1368</v>
      </c>
      <c r="K88" s="444"/>
      <c r="L88" s="462">
        <f t="shared" si="39"/>
        <v>17169.810000000001</v>
      </c>
      <c r="M88" s="462" t="s">
        <v>1461</v>
      </c>
      <c r="N88" s="444"/>
      <c r="O88" s="462">
        <f t="shared" si="40"/>
        <v>17169.810000000001</v>
      </c>
      <c r="P88" s="447" t="s">
        <v>1522</v>
      </c>
      <c r="Q88" s="444">
        <f>O88</f>
        <v>17169.810000000001</v>
      </c>
      <c r="R88" s="462">
        <f t="shared" si="41"/>
        <v>0</v>
      </c>
      <c r="S88" s="447" t="s">
        <v>1580</v>
      </c>
      <c r="U88" s="462">
        <f t="shared" si="42"/>
        <v>0</v>
      </c>
      <c r="V88" s="447" t="s">
        <v>1626</v>
      </c>
      <c r="X88" s="462">
        <f t="shared" si="43"/>
        <v>0</v>
      </c>
      <c r="Y88" s="447" t="s">
        <v>1661</v>
      </c>
      <c r="AA88" s="462">
        <f t="shared" si="44"/>
        <v>0</v>
      </c>
      <c r="AB88" s="447" t="s">
        <v>1716</v>
      </c>
      <c r="AD88" s="462">
        <f t="shared" si="45"/>
        <v>0</v>
      </c>
      <c r="AG88" s="462">
        <f t="shared" si="46"/>
        <v>0</v>
      </c>
      <c r="AH88" s="447" t="s">
        <v>1819</v>
      </c>
      <c r="AJ88" s="462">
        <f t="shared" si="47"/>
        <v>0</v>
      </c>
      <c r="AM88" s="462">
        <f t="shared" si="48"/>
        <v>0</v>
      </c>
      <c r="AN88" s="447" t="s">
        <v>1948</v>
      </c>
      <c r="AP88" s="462">
        <f t="shared" si="49"/>
        <v>0</v>
      </c>
      <c r="AQ88" s="447" t="s">
        <v>1995</v>
      </c>
      <c r="AS88" s="459">
        <f t="shared" si="50"/>
        <v>0</v>
      </c>
      <c r="AV88" s="462">
        <f t="shared" si="51"/>
        <v>0</v>
      </c>
      <c r="AY88" s="462">
        <f t="shared" si="52"/>
        <v>0</v>
      </c>
      <c r="BB88" s="462">
        <f t="shared" si="53"/>
        <v>0</v>
      </c>
      <c r="BC88" s="447" t="s">
        <v>2204</v>
      </c>
      <c r="BE88" s="462">
        <f t="shared" si="54"/>
        <v>0</v>
      </c>
      <c r="BH88" s="462">
        <f t="shared" si="55"/>
        <v>0</v>
      </c>
      <c r="BK88" s="462">
        <f t="shared" si="56"/>
        <v>0</v>
      </c>
      <c r="BN88" s="462">
        <f t="shared" si="57"/>
        <v>0</v>
      </c>
      <c r="BQ88" s="462">
        <f t="shared" si="58"/>
        <v>0</v>
      </c>
      <c r="BT88" s="462">
        <f t="shared" si="59"/>
        <v>0</v>
      </c>
      <c r="BW88" s="462">
        <f t="shared" si="60"/>
        <v>0</v>
      </c>
      <c r="BZ88" s="462">
        <f t="shared" si="61"/>
        <v>0</v>
      </c>
      <c r="CD88" s="418" t="str">
        <f t="shared" si="62"/>
        <v>CU0285001</v>
      </c>
      <c r="CE88" s="442" t="str">
        <f t="shared" si="63"/>
        <v>2018年11月</v>
      </c>
      <c r="CF88" s="418" t="str">
        <f t="shared" si="64"/>
        <v>无锡文思海clife服务费暂估</v>
      </c>
      <c r="CG88" s="418" t="str">
        <f t="shared" si="65"/>
        <v>2018年11月无锡文思海clife服务费暂估</v>
      </c>
    </row>
    <row r="89" spans="2:85" s="447" customFormat="1" ht="17.25" customHeight="1">
      <c r="B89" s="447" t="str">
        <f t="shared" si="37"/>
        <v>CU0667</v>
      </c>
      <c r="C89" s="431" t="s">
        <v>755</v>
      </c>
      <c r="D89" s="67" t="s">
        <v>167</v>
      </c>
      <c r="E89" s="67" t="s">
        <v>1279</v>
      </c>
      <c r="F89" s="433">
        <v>43405</v>
      </c>
      <c r="G89" s="430">
        <v>570.65</v>
      </c>
      <c r="H89" s="440"/>
      <c r="I89" s="440">
        <f t="shared" si="38"/>
        <v>570.65</v>
      </c>
      <c r="J89" s="440" t="s">
        <v>1368</v>
      </c>
      <c r="K89" s="444"/>
      <c r="L89" s="462">
        <f t="shared" si="39"/>
        <v>570.65</v>
      </c>
      <c r="M89" s="462" t="s">
        <v>1461</v>
      </c>
      <c r="N89" s="444"/>
      <c r="O89" s="462">
        <f t="shared" si="40"/>
        <v>570.65</v>
      </c>
      <c r="P89" s="447" t="s">
        <v>1522</v>
      </c>
      <c r="Q89" s="444">
        <f>586.3-157.77-Q74</f>
        <v>274.90999999999997</v>
      </c>
      <c r="R89" s="462">
        <f t="shared" si="41"/>
        <v>295.74</v>
      </c>
      <c r="S89" s="447" t="s">
        <v>1580</v>
      </c>
      <c r="T89" s="462">
        <f>R89</f>
        <v>295.74</v>
      </c>
      <c r="U89" s="462">
        <f t="shared" si="42"/>
        <v>0</v>
      </c>
      <c r="V89" s="447" t="s">
        <v>1626</v>
      </c>
      <c r="X89" s="462">
        <f t="shared" si="43"/>
        <v>0</v>
      </c>
      <c r="Y89" s="447" t="s">
        <v>1661</v>
      </c>
      <c r="AA89" s="462">
        <f t="shared" si="44"/>
        <v>0</v>
      </c>
      <c r="AB89" s="447" t="s">
        <v>1716</v>
      </c>
      <c r="AD89" s="462">
        <f t="shared" si="45"/>
        <v>0</v>
      </c>
      <c r="AG89" s="462">
        <f t="shared" si="46"/>
        <v>0</v>
      </c>
      <c r="AH89" s="447" t="s">
        <v>1819</v>
      </c>
      <c r="AJ89" s="462">
        <f t="shared" si="47"/>
        <v>0</v>
      </c>
      <c r="AM89" s="462">
        <f t="shared" si="48"/>
        <v>0</v>
      </c>
      <c r="AN89" s="447" t="s">
        <v>1948</v>
      </c>
      <c r="AP89" s="462">
        <f t="shared" si="49"/>
        <v>0</v>
      </c>
      <c r="AQ89" s="447" t="s">
        <v>1995</v>
      </c>
      <c r="AS89" s="459">
        <f t="shared" si="50"/>
        <v>0</v>
      </c>
      <c r="AV89" s="462">
        <f t="shared" si="51"/>
        <v>0</v>
      </c>
      <c r="AY89" s="462">
        <f t="shared" si="52"/>
        <v>0</v>
      </c>
      <c r="BB89" s="462">
        <f t="shared" si="53"/>
        <v>0</v>
      </c>
      <c r="BC89" s="447" t="s">
        <v>2204</v>
      </c>
      <c r="BE89" s="462">
        <f t="shared" si="54"/>
        <v>0</v>
      </c>
      <c r="BH89" s="462">
        <f t="shared" si="55"/>
        <v>0</v>
      </c>
      <c r="BK89" s="462">
        <f t="shared" si="56"/>
        <v>0</v>
      </c>
      <c r="BN89" s="462">
        <f t="shared" si="57"/>
        <v>0</v>
      </c>
      <c r="BQ89" s="462">
        <f t="shared" si="58"/>
        <v>0</v>
      </c>
      <c r="BT89" s="462">
        <f t="shared" si="59"/>
        <v>0</v>
      </c>
      <c r="BW89" s="462">
        <f t="shared" si="60"/>
        <v>0</v>
      </c>
      <c r="BZ89" s="462">
        <f t="shared" si="61"/>
        <v>0</v>
      </c>
      <c r="CD89" s="418" t="str">
        <f t="shared" si="62"/>
        <v>CU0667001</v>
      </c>
      <c r="CE89" s="442" t="str">
        <f t="shared" si="63"/>
        <v>2018年11月</v>
      </c>
      <c r="CF89" s="418" t="str">
        <f t="shared" si="64"/>
        <v>北京杰迪安clife服务费暂估</v>
      </c>
      <c r="CG89" s="418" t="str">
        <f t="shared" si="65"/>
        <v>2018年11月北京杰迪安clife服务费暂估</v>
      </c>
    </row>
    <row r="90" spans="2:85" s="447" customFormat="1" ht="17.25" customHeight="1">
      <c r="B90" s="447" t="str">
        <f t="shared" si="37"/>
        <v>CU0669</v>
      </c>
      <c r="C90" s="431" t="s">
        <v>755</v>
      </c>
      <c r="D90" s="67" t="s">
        <v>26</v>
      </c>
      <c r="E90" s="67" t="s">
        <v>1280</v>
      </c>
      <c r="F90" s="433">
        <v>43405</v>
      </c>
      <c r="G90" s="430">
        <v>54296.63</v>
      </c>
      <c r="H90" s="440"/>
      <c r="I90" s="440">
        <f t="shared" si="38"/>
        <v>54296.63</v>
      </c>
      <c r="J90" s="440" t="s">
        <v>1368</v>
      </c>
      <c r="K90" s="444"/>
      <c r="L90" s="462">
        <f t="shared" si="39"/>
        <v>54296.63</v>
      </c>
      <c r="M90" s="462" t="s">
        <v>1461</v>
      </c>
      <c r="N90" s="444"/>
      <c r="O90" s="462">
        <f t="shared" si="40"/>
        <v>54296.63</v>
      </c>
      <c r="P90" s="447" t="s">
        <v>1522</v>
      </c>
      <c r="R90" s="462">
        <f t="shared" si="41"/>
        <v>54296.63</v>
      </c>
      <c r="S90" s="447" t="s">
        <v>1580</v>
      </c>
      <c r="T90" s="447">
        <f>ROUND((57553.76/1.06),2)</f>
        <v>54296</v>
      </c>
      <c r="U90" s="462">
        <f t="shared" si="42"/>
        <v>0.62999999999738066</v>
      </c>
      <c r="V90" s="447" t="s">
        <v>1626</v>
      </c>
      <c r="X90" s="462">
        <f t="shared" si="43"/>
        <v>0.62999999999738066</v>
      </c>
      <c r="Y90" s="447" t="s">
        <v>1661</v>
      </c>
      <c r="AA90" s="462">
        <v>0</v>
      </c>
      <c r="AB90" s="447" t="s">
        <v>1716</v>
      </c>
      <c r="AD90" s="462">
        <f t="shared" si="45"/>
        <v>0</v>
      </c>
      <c r="AG90" s="462">
        <f t="shared" si="46"/>
        <v>0</v>
      </c>
      <c r="AH90" s="447" t="s">
        <v>1819</v>
      </c>
      <c r="AJ90" s="462">
        <f t="shared" si="47"/>
        <v>0</v>
      </c>
      <c r="AM90" s="462">
        <f t="shared" si="48"/>
        <v>0</v>
      </c>
      <c r="AN90" s="447" t="s">
        <v>1948</v>
      </c>
      <c r="AP90" s="462">
        <f t="shared" si="49"/>
        <v>0</v>
      </c>
      <c r="AQ90" s="447" t="s">
        <v>1995</v>
      </c>
      <c r="AS90" s="459">
        <f t="shared" si="50"/>
        <v>0</v>
      </c>
      <c r="AV90" s="462">
        <f t="shared" si="51"/>
        <v>0</v>
      </c>
      <c r="AY90" s="462">
        <f t="shared" si="52"/>
        <v>0</v>
      </c>
      <c r="BB90" s="462">
        <f t="shared" si="53"/>
        <v>0</v>
      </c>
      <c r="BC90" s="447" t="s">
        <v>2204</v>
      </c>
      <c r="BE90" s="462">
        <f t="shared" si="54"/>
        <v>0</v>
      </c>
      <c r="BH90" s="462">
        <f t="shared" si="55"/>
        <v>0</v>
      </c>
      <c r="BK90" s="462">
        <f t="shared" si="56"/>
        <v>0</v>
      </c>
      <c r="BN90" s="462">
        <f t="shared" si="57"/>
        <v>0</v>
      </c>
      <c r="BQ90" s="462">
        <f t="shared" si="58"/>
        <v>0</v>
      </c>
      <c r="BT90" s="462">
        <f t="shared" si="59"/>
        <v>0</v>
      </c>
      <c r="BW90" s="462">
        <f t="shared" si="60"/>
        <v>0</v>
      </c>
      <c r="BZ90" s="462">
        <f t="shared" si="61"/>
        <v>0</v>
      </c>
      <c r="CD90" s="418" t="str">
        <f t="shared" si="62"/>
        <v>CU0669001</v>
      </c>
      <c r="CE90" s="442" t="str">
        <f t="shared" si="63"/>
        <v>2018年11月</v>
      </c>
      <c r="CF90" s="418" t="str">
        <f t="shared" si="64"/>
        <v>上海博禹人clife服务费暂估</v>
      </c>
      <c r="CG90" s="418" t="str">
        <f t="shared" si="65"/>
        <v>2018年11月上海博禹人clife服务费暂估</v>
      </c>
    </row>
    <row r="91" spans="2:85" s="447" customFormat="1" ht="17.25" customHeight="1">
      <c r="B91" s="447" t="str">
        <f t="shared" si="37"/>
        <v>CU0812</v>
      </c>
      <c r="C91" s="431" t="s">
        <v>755</v>
      </c>
      <c r="D91" s="67" t="s">
        <v>1281</v>
      </c>
      <c r="E91" s="67" t="s">
        <v>1282</v>
      </c>
      <c r="F91" s="433">
        <v>43405</v>
      </c>
      <c r="G91" s="430">
        <v>7084.25</v>
      </c>
      <c r="H91" s="440"/>
      <c r="I91" s="440">
        <f t="shared" si="38"/>
        <v>7084.25</v>
      </c>
      <c r="J91" s="440" t="s">
        <v>1368</v>
      </c>
      <c r="K91" s="444"/>
      <c r="L91" s="462">
        <f t="shared" si="39"/>
        <v>7084.25</v>
      </c>
      <c r="M91" s="462" t="s">
        <v>1461</v>
      </c>
      <c r="N91" s="444">
        <f>L91</f>
        <v>7084.25</v>
      </c>
      <c r="O91" s="462">
        <f t="shared" si="40"/>
        <v>0</v>
      </c>
      <c r="P91" s="447" t="s">
        <v>1523</v>
      </c>
      <c r="R91" s="462">
        <f t="shared" si="41"/>
        <v>0</v>
      </c>
      <c r="S91" s="447" t="s">
        <v>1580</v>
      </c>
      <c r="U91" s="462">
        <f t="shared" si="42"/>
        <v>0</v>
      </c>
      <c r="V91" s="447" t="s">
        <v>1626</v>
      </c>
      <c r="X91" s="462">
        <f t="shared" si="43"/>
        <v>0</v>
      </c>
      <c r="Y91" s="447" t="s">
        <v>1661</v>
      </c>
      <c r="AA91" s="462">
        <f t="shared" si="44"/>
        <v>0</v>
      </c>
      <c r="AB91" s="447" t="s">
        <v>1716</v>
      </c>
      <c r="AD91" s="462">
        <f t="shared" si="45"/>
        <v>0</v>
      </c>
      <c r="AG91" s="462">
        <f t="shared" si="46"/>
        <v>0</v>
      </c>
      <c r="AH91" s="447" t="s">
        <v>1819</v>
      </c>
      <c r="AJ91" s="462">
        <f t="shared" si="47"/>
        <v>0</v>
      </c>
      <c r="AM91" s="462">
        <f t="shared" si="48"/>
        <v>0</v>
      </c>
      <c r="AN91" s="447" t="s">
        <v>1948</v>
      </c>
      <c r="AP91" s="462">
        <f t="shared" si="49"/>
        <v>0</v>
      </c>
      <c r="AQ91" s="447" t="s">
        <v>1995</v>
      </c>
      <c r="AS91" s="459">
        <f t="shared" si="50"/>
        <v>0</v>
      </c>
      <c r="AV91" s="462">
        <f t="shared" si="51"/>
        <v>0</v>
      </c>
      <c r="AY91" s="462">
        <f t="shared" si="52"/>
        <v>0</v>
      </c>
      <c r="BB91" s="462">
        <f t="shared" si="53"/>
        <v>0</v>
      </c>
      <c r="BC91" s="447" t="s">
        <v>2204</v>
      </c>
      <c r="BE91" s="462">
        <f t="shared" si="54"/>
        <v>0</v>
      </c>
      <c r="BH91" s="462">
        <f t="shared" si="55"/>
        <v>0</v>
      </c>
      <c r="BK91" s="462">
        <f t="shared" si="56"/>
        <v>0</v>
      </c>
      <c r="BN91" s="462">
        <f t="shared" si="57"/>
        <v>0</v>
      </c>
      <c r="BQ91" s="462">
        <f t="shared" si="58"/>
        <v>0</v>
      </c>
      <c r="BT91" s="462">
        <f t="shared" si="59"/>
        <v>0</v>
      </c>
      <c r="BW91" s="462">
        <f t="shared" si="60"/>
        <v>0</v>
      </c>
      <c r="BZ91" s="462">
        <f t="shared" si="61"/>
        <v>0</v>
      </c>
      <c r="CD91" s="418" t="str">
        <f t="shared" si="62"/>
        <v>CU0812001</v>
      </c>
      <c r="CE91" s="442" t="str">
        <f t="shared" si="63"/>
        <v>2018年11月</v>
      </c>
      <c r="CF91" s="418" t="str">
        <f t="shared" si="64"/>
        <v>恩派clife服务费暂估</v>
      </c>
      <c r="CG91" s="418" t="str">
        <f t="shared" si="65"/>
        <v>2018年11月恩派clife服务费暂估</v>
      </c>
    </row>
    <row r="92" spans="2:85" s="447" customFormat="1" ht="17.25" customHeight="1">
      <c r="B92" s="447" t="str">
        <f t="shared" si="37"/>
        <v>CU0822</v>
      </c>
      <c r="C92" s="431" t="s">
        <v>755</v>
      </c>
      <c r="D92" s="67" t="s">
        <v>238</v>
      </c>
      <c r="E92" s="67" t="s">
        <v>239</v>
      </c>
      <c r="F92" s="433">
        <v>43405</v>
      </c>
      <c r="G92" s="430">
        <v>15430.1</v>
      </c>
      <c r="H92" s="440">
        <v>15430.1</v>
      </c>
      <c r="I92" s="440">
        <f t="shared" si="38"/>
        <v>0</v>
      </c>
      <c r="J92" s="440" t="s">
        <v>1368</v>
      </c>
      <c r="K92" s="444"/>
      <c r="L92" s="462">
        <f t="shared" si="39"/>
        <v>0</v>
      </c>
      <c r="M92" s="462" t="s">
        <v>1461</v>
      </c>
      <c r="N92" s="444"/>
      <c r="O92" s="462">
        <f t="shared" si="40"/>
        <v>0</v>
      </c>
      <c r="P92" s="447" t="s">
        <v>1523</v>
      </c>
      <c r="R92" s="462">
        <f t="shared" si="41"/>
        <v>0</v>
      </c>
      <c r="S92" s="447" t="s">
        <v>1580</v>
      </c>
      <c r="U92" s="462">
        <f t="shared" si="42"/>
        <v>0</v>
      </c>
      <c r="V92" s="447" t="s">
        <v>1626</v>
      </c>
      <c r="X92" s="462">
        <f t="shared" si="43"/>
        <v>0</v>
      </c>
      <c r="Y92" s="447" t="s">
        <v>1661</v>
      </c>
      <c r="AA92" s="462">
        <f t="shared" si="44"/>
        <v>0</v>
      </c>
      <c r="AB92" s="447" t="s">
        <v>1716</v>
      </c>
      <c r="AD92" s="462">
        <f t="shared" si="45"/>
        <v>0</v>
      </c>
      <c r="AG92" s="462">
        <f t="shared" si="46"/>
        <v>0</v>
      </c>
      <c r="AH92" s="447" t="s">
        <v>1819</v>
      </c>
      <c r="AJ92" s="462">
        <f t="shared" si="47"/>
        <v>0</v>
      </c>
      <c r="AM92" s="462">
        <f t="shared" si="48"/>
        <v>0</v>
      </c>
      <c r="AN92" s="447" t="s">
        <v>1948</v>
      </c>
      <c r="AP92" s="462">
        <f t="shared" si="49"/>
        <v>0</v>
      </c>
      <c r="AQ92" s="447" t="s">
        <v>1995</v>
      </c>
      <c r="AS92" s="459">
        <f t="shared" si="50"/>
        <v>0</v>
      </c>
      <c r="AV92" s="462">
        <f t="shared" si="51"/>
        <v>0</v>
      </c>
      <c r="AY92" s="462">
        <f t="shared" si="52"/>
        <v>0</v>
      </c>
      <c r="BB92" s="462">
        <f t="shared" si="53"/>
        <v>0</v>
      </c>
      <c r="BC92" s="447" t="s">
        <v>2204</v>
      </c>
      <c r="BE92" s="462">
        <f t="shared" si="54"/>
        <v>0</v>
      </c>
      <c r="BH92" s="462">
        <f t="shared" si="55"/>
        <v>0</v>
      </c>
      <c r="BK92" s="462">
        <f t="shared" si="56"/>
        <v>0</v>
      </c>
      <c r="BN92" s="462">
        <f t="shared" si="57"/>
        <v>0</v>
      </c>
      <c r="BQ92" s="462">
        <f t="shared" si="58"/>
        <v>0</v>
      </c>
      <c r="BT92" s="462">
        <f t="shared" si="59"/>
        <v>0</v>
      </c>
      <c r="BW92" s="462">
        <f t="shared" si="60"/>
        <v>0</v>
      </c>
      <c r="BZ92" s="462">
        <f t="shared" si="61"/>
        <v>0</v>
      </c>
      <c r="CD92" s="418" t="str">
        <f t="shared" si="62"/>
        <v>CU0822001</v>
      </c>
      <c r="CE92" s="442" t="str">
        <f t="shared" si="63"/>
        <v>2018年11月</v>
      </c>
      <c r="CF92" s="418" t="str">
        <f t="shared" si="64"/>
        <v>美克国际家clife服务费暂估</v>
      </c>
      <c r="CG92" s="418" t="str">
        <f t="shared" si="65"/>
        <v>2018年11月美克国际家clife服务费暂估</v>
      </c>
    </row>
    <row r="93" spans="2:85" s="447" customFormat="1" ht="17.25" customHeight="1">
      <c r="B93" s="447" t="str">
        <f t="shared" si="37"/>
        <v>CU0822</v>
      </c>
      <c r="C93" s="431" t="s">
        <v>755</v>
      </c>
      <c r="D93" s="67" t="s">
        <v>1116</v>
      </c>
      <c r="E93" s="67" t="s">
        <v>1269</v>
      </c>
      <c r="F93" s="433">
        <v>43405</v>
      </c>
      <c r="G93" s="430">
        <v>3517.7</v>
      </c>
      <c r="H93" s="440"/>
      <c r="I93" s="440">
        <f t="shared" si="38"/>
        <v>3517.7</v>
      </c>
      <c r="J93" s="440" t="s">
        <v>1368</v>
      </c>
      <c r="K93" s="444"/>
      <c r="L93" s="462">
        <f t="shared" si="39"/>
        <v>3517.7</v>
      </c>
      <c r="M93" s="462" t="s">
        <v>1461</v>
      </c>
      <c r="N93" s="444"/>
      <c r="O93" s="462">
        <f t="shared" si="40"/>
        <v>3517.7</v>
      </c>
      <c r="P93" s="447" t="s">
        <v>1523</v>
      </c>
      <c r="R93" s="462">
        <f t="shared" si="41"/>
        <v>3517.7</v>
      </c>
      <c r="S93" s="447" t="s">
        <v>1580</v>
      </c>
      <c r="T93" s="462">
        <f>ROUND((10820/1.06),2)-T63</f>
        <v>2816.6099999999997</v>
      </c>
      <c r="U93" s="462">
        <f t="shared" si="42"/>
        <v>701.09000000000015</v>
      </c>
      <c r="V93" s="447" t="s">
        <v>1626</v>
      </c>
      <c r="W93" s="462"/>
      <c r="X93" s="462">
        <f t="shared" si="43"/>
        <v>701.09000000000015</v>
      </c>
      <c r="Y93" s="447" t="s">
        <v>1661</v>
      </c>
      <c r="AA93" s="462">
        <f t="shared" si="44"/>
        <v>701.09000000000015</v>
      </c>
      <c r="AB93" s="447" t="s">
        <v>1716</v>
      </c>
      <c r="AC93" s="462">
        <f>AA93</f>
        <v>701.09000000000015</v>
      </c>
      <c r="AD93" s="462">
        <f t="shared" si="45"/>
        <v>0</v>
      </c>
      <c r="AG93" s="462">
        <f t="shared" si="46"/>
        <v>0</v>
      </c>
      <c r="AH93" s="447" t="s">
        <v>1819</v>
      </c>
      <c r="AJ93" s="462">
        <f t="shared" si="47"/>
        <v>0</v>
      </c>
      <c r="AM93" s="462">
        <f t="shared" si="48"/>
        <v>0</v>
      </c>
      <c r="AN93" s="447" t="s">
        <v>1948</v>
      </c>
      <c r="AP93" s="462">
        <f t="shared" si="49"/>
        <v>0</v>
      </c>
      <c r="AQ93" s="447" t="s">
        <v>1995</v>
      </c>
      <c r="AS93" s="459">
        <f t="shared" si="50"/>
        <v>0</v>
      </c>
      <c r="AV93" s="462">
        <f t="shared" si="51"/>
        <v>0</v>
      </c>
      <c r="AY93" s="462">
        <f t="shared" si="52"/>
        <v>0</v>
      </c>
      <c r="BB93" s="462">
        <f t="shared" si="53"/>
        <v>0</v>
      </c>
      <c r="BC93" s="447" t="s">
        <v>2204</v>
      </c>
      <c r="BE93" s="462">
        <f t="shared" si="54"/>
        <v>0</v>
      </c>
      <c r="BH93" s="462">
        <f t="shared" si="55"/>
        <v>0</v>
      </c>
      <c r="BK93" s="462">
        <f t="shared" si="56"/>
        <v>0</v>
      </c>
      <c r="BN93" s="462">
        <f t="shared" si="57"/>
        <v>0</v>
      </c>
      <c r="BQ93" s="462">
        <f t="shared" si="58"/>
        <v>0</v>
      </c>
      <c r="BT93" s="462">
        <f t="shared" si="59"/>
        <v>0</v>
      </c>
      <c r="BW93" s="462">
        <f t="shared" si="60"/>
        <v>0</v>
      </c>
      <c r="BZ93" s="462">
        <f t="shared" si="61"/>
        <v>0</v>
      </c>
      <c r="CD93" s="418" t="str">
        <f t="shared" si="62"/>
        <v>CU0822001</v>
      </c>
      <c r="CE93" s="442" t="str">
        <f t="shared" si="63"/>
        <v>2018年11月</v>
      </c>
      <c r="CF93" s="418" t="str">
        <f t="shared" si="64"/>
        <v>新疆昆仑美clife服务费暂估</v>
      </c>
      <c r="CG93" s="418" t="str">
        <f t="shared" si="65"/>
        <v>2018年11月新疆昆仑美clife服务费暂估</v>
      </c>
    </row>
    <row r="94" spans="2:85" s="447" customFormat="1" ht="17.25" customHeight="1">
      <c r="B94" s="447" t="str">
        <f t="shared" si="37"/>
        <v>CU0823</v>
      </c>
      <c r="C94" s="431" t="s">
        <v>755</v>
      </c>
      <c r="D94" s="67" t="s">
        <v>580</v>
      </c>
      <c r="E94" s="67" t="s">
        <v>705</v>
      </c>
      <c r="F94" s="433">
        <v>43405</v>
      </c>
      <c r="G94" s="430">
        <v>1026</v>
      </c>
      <c r="H94" s="440"/>
      <c r="I94" s="440">
        <f t="shared" si="38"/>
        <v>1026</v>
      </c>
      <c r="J94" s="440" t="s">
        <v>1368</v>
      </c>
      <c r="K94" s="444">
        <f>90200-K79</f>
        <v>932.16000000000349</v>
      </c>
      <c r="L94" s="462">
        <f t="shared" si="39"/>
        <v>93.84</v>
      </c>
      <c r="M94" s="462" t="s">
        <v>1461</v>
      </c>
      <c r="N94" s="444"/>
      <c r="O94" s="462">
        <f t="shared" si="40"/>
        <v>93.84</v>
      </c>
      <c r="P94" s="447" t="s">
        <v>1523</v>
      </c>
      <c r="Q94" s="444">
        <f>O94</f>
        <v>93.84</v>
      </c>
      <c r="R94" s="462">
        <f t="shared" si="41"/>
        <v>0</v>
      </c>
      <c r="S94" s="447" t="s">
        <v>1580</v>
      </c>
      <c r="U94" s="462">
        <f t="shared" si="42"/>
        <v>0</v>
      </c>
      <c r="V94" s="447" t="s">
        <v>1626</v>
      </c>
      <c r="X94" s="462">
        <f t="shared" si="43"/>
        <v>0</v>
      </c>
      <c r="Y94" s="447" t="s">
        <v>1661</v>
      </c>
      <c r="AA94" s="462">
        <f t="shared" si="44"/>
        <v>0</v>
      </c>
      <c r="AB94" s="447" t="s">
        <v>1716</v>
      </c>
      <c r="AD94" s="462">
        <f t="shared" si="45"/>
        <v>0</v>
      </c>
      <c r="AG94" s="462">
        <f t="shared" si="46"/>
        <v>0</v>
      </c>
      <c r="AH94" s="447" t="s">
        <v>1819</v>
      </c>
      <c r="AJ94" s="462">
        <f t="shared" si="47"/>
        <v>0</v>
      </c>
      <c r="AM94" s="462">
        <f t="shared" si="48"/>
        <v>0</v>
      </c>
      <c r="AN94" s="447" t="s">
        <v>1948</v>
      </c>
      <c r="AP94" s="462">
        <f t="shared" si="49"/>
        <v>0</v>
      </c>
      <c r="AQ94" s="447" t="s">
        <v>1995</v>
      </c>
      <c r="AS94" s="459">
        <f t="shared" si="50"/>
        <v>0</v>
      </c>
      <c r="AV94" s="462">
        <f t="shared" si="51"/>
        <v>0</v>
      </c>
      <c r="AY94" s="462">
        <f t="shared" si="52"/>
        <v>0</v>
      </c>
      <c r="BB94" s="462">
        <f t="shared" si="53"/>
        <v>0</v>
      </c>
      <c r="BC94" s="447" t="s">
        <v>2204</v>
      </c>
      <c r="BE94" s="462">
        <f t="shared" si="54"/>
        <v>0</v>
      </c>
      <c r="BH94" s="462">
        <f t="shared" si="55"/>
        <v>0</v>
      </c>
      <c r="BK94" s="462">
        <f t="shared" si="56"/>
        <v>0</v>
      </c>
      <c r="BN94" s="462">
        <f t="shared" si="57"/>
        <v>0</v>
      </c>
      <c r="BQ94" s="462">
        <f t="shared" si="58"/>
        <v>0</v>
      </c>
      <c r="BT94" s="462">
        <f t="shared" si="59"/>
        <v>0</v>
      </c>
      <c r="BW94" s="462">
        <f t="shared" si="60"/>
        <v>0</v>
      </c>
      <c r="BZ94" s="462">
        <f t="shared" si="61"/>
        <v>0</v>
      </c>
      <c r="CD94" s="418" t="str">
        <f t="shared" si="62"/>
        <v>CU0823001</v>
      </c>
      <c r="CE94" s="442" t="str">
        <f t="shared" si="63"/>
        <v>2018年11月</v>
      </c>
      <c r="CF94" s="418" t="str">
        <f t="shared" si="64"/>
        <v>凯杰生物工clife服务费暂估</v>
      </c>
      <c r="CG94" s="418" t="str">
        <f t="shared" si="65"/>
        <v>2018年11月凯杰生物工clife服务费暂估</v>
      </c>
    </row>
    <row r="95" spans="2:85" s="447" customFormat="1" ht="17.25" customHeight="1">
      <c r="B95" s="447" t="str">
        <f t="shared" si="37"/>
        <v>CU0823</v>
      </c>
      <c r="C95" s="431" t="s">
        <v>755</v>
      </c>
      <c r="D95" s="67" t="s">
        <v>582</v>
      </c>
      <c r="E95" s="67" t="s">
        <v>706</v>
      </c>
      <c r="F95" s="433">
        <v>43405</v>
      </c>
      <c r="G95" s="430">
        <v>2257.19</v>
      </c>
      <c r="H95" s="440"/>
      <c r="I95" s="440">
        <f t="shared" si="38"/>
        <v>2257.19</v>
      </c>
      <c r="J95" s="440" t="s">
        <v>1368</v>
      </c>
      <c r="K95" s="444"/>
      <c r="L95" s="462">
        <f t="shared" si="39"/>
        <v>2257.19</v>
      </c>
      <c r="M95" s="462" t="s">
        <v>1461</v>
      </c>
      <c r="N95" s="444"/>
      <c r="O95" s="462">
        <f t="shared" si="40"/>
        <v>2257.19</v>
      </c>
      <c r="P95" s="447" t="s">
        <v>1523</v>
      </c>
      <c r="Q95" s="444">
        <f t="shared" ref="Q95:Q96" si="67">O95</f>
        <v>2257.19</v>
      </c>
      <c r="R95" s="462">
        <f t="shared" si="41"/>
        <v>0</v>
      </c>
      <c r="S95" s="447" t="s">
        <v>1580</v>
      </c>
      <c r="U95" s="462">
        <f t="shared" si="42"/>
        <v>0</v>
      </c>
      <c r="V95" s="447" t="s">
        <v>1626</v>
      </c>
      <c r="X95" s="462">
        <f t="shared" si="43"/>
        <v>0</v>
      </c>
      <c r="Y95" s="447" t="s">
        <v>1661</v>
      </c>
      <c r="AA95" s="462">
        <f t="shared" si="44"/>
        <v>0</v>
      </c>
      <c r="AB95" s="447" t="s">
        <v>1716</v>
      </c>
      <c r="AD95" s="462">
        <f t="shared" si="45"/>
        <v>0</v>
      </c>
      <c r="AG95" s="462">
        <f t="shared" si="46"/>
        <v>0</v>
      </c>
      <c r="AH95" s="447" t="s">
        <v>1819</v>
      </c>
      <c r="AJ95" s="462">
        <f t="shared" si="47"/>
        <v>0</v>
      </c>
      <c r="AM95" s="462">
        <f t="shared" si="48"/>
        <v>0</v>
      </c>
      <c r="AN95" s="447" t="s">
        <v>1948</v>
      </c>
      <c r="AP95" s="462">
        <f t="shared" si="49"/>
        <v>0</v>
      </c>
      <c r="AQ95" s="447" t="s">
        <v>1995</v>
      </c>
      <c r="AS95" s="459">
        <f t="shared" si="50"/>
        <v>0</v>
      </c>
      <c r="AV95" s="462">
        <f t="shared" si="51"/>
        <v>0</v>
      </c>
      <c r="AY95" s="462">
        <f t="shared" si="52"/>
        <v>0</v>
      </c>
      <c r="BB95" s="462">
        <f t="shared" si="53"/>
        <v>0</v>
      </c>
      <c r="BC95" s="447" t="s">
        <v>2204</v>
      </c>
      <c r="BE95" s="462">
        <f t="shared" si="54"/>
        <v>0</v>
      </c>
      <c r="BH95" s="462">
        <f t="shared" si="55"/>
        <v>0</v>
      </c>
      <c r="BK95" s="462">
        <f t="shared" si="56"/>
        <v>0</v>
      </c>
      <c r="BN95" s="462">
        <f t="shared" si="57"/>
        <v>0</v>
      </c>
      <c r="BQ95" s="462">
        <f t="shared" si="58"/>
        <v>0</v>
      </c>
      <c r="BT95" s="462">
        <f t="shared" si="59"/>
        <v>0</v>
      </c>
      <c r="BW95" s="462">
        <f t="shared" si="60"/>
        <v>0</v>
      </c>
      <c r="BZ95" s="462">
        <f t="shared" si="61"/>
        <v>0</v>
      </c>
      <c r="CD95" s="418" t="str">
        <f t="shared" si="62"/>
        <v>CU0823001</v>
      </c>
      <c r="CE95" s="442" t="str">
        <f t="shared" si="63"/>
        <v>2018年11月</v>
      </c>
      <c r="CF95" s="418" t="str">
        <f t="shared" si="64"/>
        <v>凯杰企业管clife服务费暂估</v>
      </c>
      <c r="CG95" s="418" t="str">
        <f t="shared" si="65"/>
        <v>2018年11月凯杰企业管clife服务费暂估</v>
      </c>
    </row>
    <row r="96" spans="2:85" s="447" customFormat="1" ht="17.25" customHeight="1">
      <c r="B96" s="447" t="str">
        <f t="shared" si="37"/>
        <v>CU0823</v>
      </c>
      <c r="C96" s="431" t="s">
        <v>755</v>
      </c>
      <c r="D96" s="67" t="s">
        <v>823</v>
      </c>
      <c r="E96" s="67" t="s">
        <v>1284</v>
      </c>
      <c r="F96" s="433">
        <v>43405</v>
      </c>
      <c r="G96" s="430">
        <v>3590.99</v>
      </c>
      <c r="H96" s="440"/>
      <c r="I96" s="440">
        <f t="shared" si="38"/>
        <v>3590.99</v>
      </c>
      <c r="J96" s="440" t="s">
        <v>1368</v>
      </c>
      <c r="K96" s="444"/>
      <c r="L96" s="462">
        <f t="shared" si="39"/>
        <v>3590.99</v>
      </c>
      <c r="M96" s="462" t="s">
        <v>1461</v>
      </c>
      <c r="N96" s="444"/>
      <c r="O96" s="462">
        <f t="shared" si="40"/>
        <v>3590.99</v>
      </c>
      <c r="P96" s="447" t="s">
        <v>1523</v>
      </c>
      <c r="Q96" s="444">
        <f t="shared" si="67"/>
        <v>3590.99</v>
      </c>
      <c r="R96" s="462">
        <f t="shared" si="41"/>
        <v>0</v>
      </c>
      <c r="S96" s="447" t="s">
        <v>1580</v>
      </c>
      <c r="U96" s="462">
        <f t="shared" si="42"/>
        <v>0</v>
      </c>
      <c r="V96" s="447" t="s">
        <v>1626</v>
      </c>
      <c r="X96" s="462">
        <f t="shared" si="43"/>
        <v>0</v>
      </c>
      <c r="Y96" s="447" t="s">
        <v>1661</v>
      </c>
      <c r="AA96" s="462">
        <f t="shared" si="44"/>
        <v>0</v>
      </c>
      <c r="AB96" s="447" t="s">
        <v>1716</v>
      </c>
      <c r="AD96" s="462">
        <f t="shared" si="45"/>
        <v>0</v>
      </c>
      <c r="AG96" s="462">
        <f t="shared" si="46"/>
        <v>0</v>
      </c>
      <c r="AH96" s="447" t="s">
        <v>1819</v>
      </c>
      <c r="AJ96" s="462">
        <f t="shared" si="47"/>
        <v>0</v>
      </c>
      <c r="AM96" s="462">
        <f t="shared" si="48"/>
        <v>0</v>
      </c>
      <c r="AN96" s="447" t="s">
        <v>1948</v>
      </c>
      <c r="AP96" s="462">
        <f t="shared" si="49"/>
        <v>0</v>
      </c>
      <c r="AQ96" s="447" t="s">
        <v>1995</v>
      </c>
      <c r="AS96" s="459">
        <f t="shared" si="50"/>
        <v>0</v>
      </c>
      <c r="AV96" s="462">
        <f t="shared" si="51"/>
        <v>0</v>
      </c>
      <c r="AY96" s="462">
        <f t="shared" si="52"/>
        <v>0</v>
      </c>
      <c r="BB96" s="462">
        <f t="shared" si="53"/>
        <v>0</v>
      </c>
      <c r="BC96" s="447" t="s">
        <v>2204</v>
      </c>
      <c r="BE96" s="462">
        <f t="shared" si="54"/>
        <v>0</v>
      </c>
      <c r="BH96" s="462">
        <f t="shared" si="55"/>
        <v>0</v>
      </c>
      <c r="BK96" s="462">
        <f t="shared" si="56"/>
        <v>0</v>
      </c>
      <c r="BN96" s="462">
        <f t="shared" si="57"/>
        <v>0</v>
      </c>
      <c r="BQ96" s="462">
        <f t="shared" si="58"/>
        <v>0</v>
      </c>
      <c r="BT96" s="462">
        <f t="shared" si="59"/>
        <v>0</v>
      </c>
      <c r="BW96" s="462">
        <f t="shared" si="60"/>
        <v>0</v>
      </c>
      <c r="BZ96" s="462">
        <f t="shared" si="61"/>
        <v>0</v>
      </c>
      <c r="CD96" s="418" t="str">
        <f t="shared" si="62"/>
        <v>CU0823001</v>
      </c>
      <c r="CE96" s="442" t="str">
        <f t="shared" si="63"/>
        <v>2018年11月</v>
      </c>
      <c r="CF96" s="418" t="str">
        <f t="shared" si="64"/>
        <v>天根生化科clife服务费暂估</v>
      </c>
      <c r="CG96" s="418" t="str">
        <f t="shared" si="65"/>
        <v>2018年11月天根生化科clife服务费暂估</v>
      </c>
    </row>
    <row r="97" spans="2:85" s="447" customFormat="1" ht="17.25" customHeight="1">
      <c r="B97" s="447" t="str">
        <f t="shared" si="37"/>
        <v>CU0869</v>
      </c>
      <c r="C97" s="431" t="s">
        <v>755</v>
      </c>
      <c r="D97" s="67" t="s">
        <v>862</v>
      </c>
      <c r="E97" s="67" t="s">
        <v>877</v>
      </c>
      <c r="F97" s="433">
        <v>43405</v>
      </c>
      <c r="G97" s="430">
        <v>20875.5</v>
      </c>
      <c r="H97" s="440">
        <f>21900/1.06</f>
        <v>20660.377358490565</v>
      </c>
      <c r="I97" s="440">
        <f t="shared" si="38"/>
        <v>215.1226415094352</v>
      </c>
      <c r="J97" s="440" t="s">
        <v>1368</v>
      </c>
      <c r="K97" s="444"/>
      <c r="L97" s="462">
        <f t="shared" si="39"/>
        <v>215.12</v>
      </c>
      <c r="M97" s="462" t="s">
        <v>1461</v>
      </c>
      <c r="N97" s="444"/>
      <c r="O97" s="462">
        <f t="shared" si="40"/>
        <v>215.12</v>
      </c>
      <c r="P97" s="447" t="s">
        <v>1522</v>
      </c>
      <c r="Q97" s="444">
        <f>65700/1.06</f>
        <v>61981.132075471694</v>
      </c>
      <c r="R97" s="462">
        <f t="shared" si="41"/>
        <v>-61766.012075471692</v>
      </c>
      <c r="S97" s="447" t="s">
        <v>1580</v>
      </c>
      <c r="U97" s="462">
        <f t="shared" si="42"/>
        <v>-61766.012075471692</v>
      </c>
      <c r="V97" s="447" t="s">
        <v>1626</v>
      </c>
      <c r="W97" s="462">
        <f>U97</f>
        <v>-61766.012075471692</v>
      </c>
      <c r="X97" s="462">
        <f t="shared" si="43"/>
        <v>0</v>
      </c>
      <c r="Y97" s="447" t="s">
        <v>1661</v>
      </c>
      <c r="AA97" s="462">
        <f t="shared" si="44"/>
        <v>0</v>
      </c>
      <c r="AB97" s="447" t="s">
        <v>1716</v>
      </c>
      <c r="AD97" s="462">
        <f t="shared" si="45"/>
        <v>0</v>
      </c>
      <c r="AG97" s="462">
        <f t="shared" si="46"/>
        <v>0</v>
      </c>
      <c r="AH97" s="447" t="s">
        <v>1819</v>
      </c>
      <c r="AJ97" s="462">
        <f t="shared" si="47"/>
        <v>0</v>
      </c>
      <c r="AM97" s="462">
        <f t="shared" si="48"/>
        <v>0</v>
      </c>
      <c r="AN97" s="447" t="s">
        <v>1948</v>
      </c>
      <c r="AP97" s="462">
        <f t="shared" si="49"/>
        <v>0</v>
      </c>
      <c r="AQ97" s="447" t="s">
        <v>1995</v>
      </c>
      <c r="AS97" s="459">
        <f t="shared" si="50"/>
        <v>0</v>
      </c>
      <c r="AV97" s="462">
        <f t="shared" si="51"/>
        <v>0</v>
      </c>
      <c r="AY97" s="462">
        <f t="shared" si="52"/>
        <v>0</v>
      </c>
      <c r="BB97" s="462">
        <f t="shared" si="53"/>
        <v>0</v>
      </c>
      <c r="BC97" s="447" t="s">
        <v>2204</v>
      </c>
      <c r="BE97" s="462">
        <f t="shared" si="54"/>
        <v>0</v>
      </c>
      <c r="BH97" s="462">
        <f t="shared" si="55"/>
        <v>0</v>
      </c>
      <c r="BK97" s="462">
        <f t="shared" si="56"/>
        <v>0</v>
      </c>
      <c r="BN97" s="462">
        <f t="shared" si="57"/>
        <v>0</v>
      </c>
      <c r="BQ97" s="462">
        <f t="shared" si="58"/>
        <v>0</v>
      </c>
      <c r="BT97" s="462">
        <f t="shared" si="59"/>
        <v>0</v>
      </c>
      <c r="BW97" s="462">
        <f t="shared" si="60"/>
        <v>0</v>
      </c>
      <c r="BZ97" s="462">
        <f t="shared" si="61"/>
        <v>0</v>
      </c>
      <c r="CD97" s="418" t="str">
        <f t="shared" si="62"/>
        <v>CU0869001</v>
      </c>
      <c r="CE97" s="442" t="str">
        <f t="shared" si="63"/>
        <v>2018年11月</v>
      </c>
      <c r="CF97" s="418" t="str">
        <f t="shared" si="64"/>
        <v>智睿企业咨clife服务费暂估</v>
      </c>
      <c r="CG97" s="418" t="str">
        <f t="shared" si="65"/>
        <v>2018年11月智睿企业咨clife服务费暂估</v>
      </c>
    </row>
    <row r="98" spans="2:85" s="447" customFormat="1" ht="17.25" customHeight="1">
      <c r="B98" s="447" t="str">
        <f t="shared" si="37"/>
        <v>CU0869</v>
      </c>
      <c r="C98" s="431" t="s">
        <v>755</v>
      </c>
      <c r="D98" s="67" t="s">
        <v>828</v>
      </c>
      <c r="E98" s="67" t="s">
        <v>829</v>
      </c>
      <c r="F98" s="433">
        <v>43405</v>
      </c>
      <c r="G98" s="430">
        <v>15151.44</v>
      </c>
      <c r="H98" s="440"/>
      <c r="I98" s="440">
        <f t="shared" si="38"/>
        <v>15151.44</v>
      </c>
      <c r="J98" s="440" t="s">
        <v>1368</v>
      </c>
      <c r="K98" s="444"/>
      <c r="L98" s="462">
        <f t="shared" si="39"/>
        <v>15151.44</v>
      </c>
      <c r="M98" s="462" t="s">
        <v>1461</v>
      </c>
      <c r="N98" s="444"/>
      <c r="O98" s="462">
        <f t="shared" si="40"/>
        <v>15151.44</v>
      </c>
      <c r="P98" s="447" t="s">
        <v>1522</v>
      </c>
      <c r="R98" s="462">
        <f t="shared" si="41"/>
        <v>15151.44</v>
      </c>
      <c r="S98" s="447" t="s">
        <v>1580</v>
      </c>
      <c r="U98" s="462">
        <f t="shared" si="42"/>
        <v>15151.44</v>
      </c>
      <c r="V98" s="447" t="s">
        <v>1626</v>
      </c>
      <c r="X98" s="462">
        <f t="shared" si="43"/>
        <v>15151.44</v>
      </c>
      <c r="Y98" s="447" t="s">
        <v>1661</v>
      </c>
      <c r="Z98" s="462">
        <f>X98</f>
        <v>15151.44</v>
      </c>
      <c r="AA98" s="462">
        <f t="shared" si="44"/>
        <v>0</v>
      </c>
      <c r="AB98" s="447" t="s">
        <v>1716</v>
      </c>
      <c r="AD98" s="462">
        <f t="shared" si="45"/>
        <v>0</v>
      </c>
      <c r="AG98" s="462">
        <f t="shared" si="46"/>
        <v>0</v>
      </c>
      <c r="AH98" s="447" t="s">
        <v>1819</v>
      </c>
      <c r="AJ98" s="462">
        <f t="shared" si="47"/>
        <v>0</v>
      </c>
      <c r="AM98" s="462">
        <f t="shared" si="48"/>
        <v>0</v>
      </c>
      <c r="AN98" s="447" t="s">
        <v>1948</v>
      </c>
      <c r="AP98" s="462">
        <f t="shared" si="49"/>
        <v>0</v>
      </c>
      <c r="AQ98" s="447" t="s">
        <v>1995</v>
      </c>
      <c r="AS98" s="459">
        <f t="shared" si="50"/>
        <v>0</v>
      </c>
      <c r="AV98" s="462">
        <f t="shared" si="51"/>
        <v>0</v>
      </c>
      <c r="AY98" s="462">
        <f t="shared" si="52"/>
        <v>0</v>
      </c>
      <c r="BB98" s="462">
        <f t="shared" si="53"/>
        <v>0</v>
      </c>
      <c r="BC98" s="447" t="s">
        <v>2204</v>
      </c>
      <c r="BE98" s="462">
        <f t="shared" si="54"/>
        <v>0</v>
      </c>
      <c r="BH98" s="462">
        <f t="shared" si="55"/>
        <v>0</v>
      </c>
      <c r="BK98" s="462">
        <f t="shared" si="56"/>
        <v>0</v>
      </c>
      <c r="BN98" s="462">
        <f t="shared" si="57"/>
        <v>0</v>
      </c>
      <c r="BQ98" s="462">
        <f t="shared" si="58"/>
        <v>0</v>
      </c>
      <c r="BT98" s="462">
        <f t="shared" si="59"/>
        <v>0</v>
      </c>
      <c r="BW98" s="462">
        <f t="shared" si="60"/>
        <v>0</v>
      </c>
      <c r="BZ98" s="462">
        <f t="shared" si="61"/>
        <v>0</v>
      </c>
      <c r="CD98" s="418" t="str">
        <f t="shared" si="62"/>
        <v>CU0869001</v>
      </c>
      <c r="CE98" s="442" t="str">
        <f t="shared" si="63"/>
        <v>2018年11月</v>
      </c>
      <c r="CF98" s="418" t="str">
        <f t="shared" si="64"/>
        <v>智睿企业咨clife服务费暂估</v>
      </c>
      <c r="CG98" s="418" t="str">
        <f t="shared" si="65"/>
        <v>2018年11月智睿企业咨clife服务费暂估</v>
      </c>
    </row>
    <row r="99" spans="2:85" s="447" customFormat="1" ht="17.25" customHeight="1">
      <c r="B99" s="447" t="str">
        <f t="shared" si="37"/>
        <v>CU0904</v>
      </c>
      <c r="C99" s="431" t="s">
        <v>755</v>
      </c>
      <c r="D99" s="67" t="s">
        <v>1290</v>
      </c>
      <c r="E99" s="67" t="s">
        <v>1291</v>
      </c>
      <c r="F99" s="433">
        <v>43405</v>
      </c>
      <c r="G99" s="430">
        <v>4065.18</v>
      </c>
      <c r="H99" s="440"/>
      <c r="I99" s="440">
        <f t="shared" si="38"/>
        <v>4065.18</v>
      </c>
      <c r="J99" s="440" t="s">
        <v>1368</v>
      </c>
      <c r="K99" s="444"/>
      <c r="L99" s="462">
        <f t="shared" si="39"/>
        <v>4065.18</v>
      </c>
      <c r="M99" s="462" t="s">
        <v>1461</v>
      </c>
      <c r="N99" s="444"/>
      <c r="O99" s="462">
        <f t="shared" si="40"/>
        <v>4065.18</v>
      </c>
      <c r="P99" s="447" t="s">
        <v>1522</v>
      </c>
      <c r="R99" s="462">
        <f t="shared" si="41"/>
        <v>4065.18</v>
      </c>
      <c r="S99" s="447" t="s">
        <v>1580</v>
      </c>
      <c r="U99" s="462">
        <f t="shared" si="42"/>
        <v>4065.18</v>
      </c>
      <c r="V99" s="447" t="s">
        <v>1626</v>
      </c>
      <c r="W99" s="462">
        <f>U99</f>
        <v>4065.18</v>
      </c>
      <c r="X99" s="462">
        <f t="shared" si="43"/>
        <v>0</v>
      </c>
      <c r="Y99" s="447" t="s">
        <v>1661</v>
      </c>
      <c r="AA99" s="462">
        <f t="shared" si="44"/>
        <v>0</v>
      </c>
      <c r="AB99" s="447" t="s">
        <v>1716</v>
      </c>
      <c r="AD99" s="462">
        <f t="shared" si="45"/>
        <v>0</v>
      </c>
      <c r="AG99" s="462">
        <f t="shared" si="46"/>
        <v>0</v>
      </c>
      <c r="AH99" s="447" t="s">
        <v>1819</v>
      </c>
      <c r="AJ99" s="462">
        <f t="shared" si="47"/>
        <v>0</v>
      </c>
      <c r="AM99" s="462">
        <f t="shared" si="48"/>
        <v>0</v>
      </c>
      <c r="AN99" s="447" t="s">
        <v>1948</v>
      </c>
      <c r="AP99" s="462">
        <f t="shared" si="49"/>
        <v>0</v>
      </c>
      <c r="AQ99" s="447" t="s">
        <v>1995</v>
      </c>
      <c r="AS99" s="459">
        <f t="shared" si="50"/>
        <v>0</v>
      </c>
      <c r="AV99" s="462">
        <f t="shared" si="51"/>
        <v>0</v>
      </c>
      <c r="AY99" s="462">
        <f t="shared" si="52"/>
        <v>0</v>
      </c>
      <c r="BB99" s="462">
        <f t="shared" si="53"/>
        <v>0</v>
      </c>
      <c r="BC99" s="447" t="s">
        <v>2204</v>
      </c>
      <c r="BE99" s="462">
        <f t="shared" si="54"/>
        <v>0</v>
      </c>
      <c r="BH99" s="462">
        <f t="shared" si="55"/>
        <v>0</v>
      </c>
      <c r="BK99" s="462">
        <f t="shared" si="56"/>
        <v>0</v>
      </c>
      <c r="BN99" s="462">
        <f t="shared" si="57"/>
        <v>0</v>
      </c>
      <c r="BQ99" s="462">
        <f t="shared" si="58"/>
        <v>0</v>
      </c>
      <c r="BT99" s="462">
        <f t="shared" si="59"/>
        <v>0</v>
      </c>
      <c r="BW99" s="462">
        <f t="shared" si="60"/>
        <v>0</v>
      </c>
      <c r="BZ99" s="462">
        <f t="shared" si="61"/>
        <v>0</v>
      </c>
      <c r="CD99" s="418" t="str">
        <f t="shared" si="62"/>
        <v>CU0904001</v>
      </c>
      <c r="CE99" s="442" t="str">
        <f t="shared" si="63"/>
        <v>2018年11月</v>
      </c>
      <c r="CF99" s="418" t="str">
        <f t="shared" si="64"/>
        <v>紫光集团clife服务费暂估</v>
      </c>
      <c r="CG99" s="418" t="str">
        <f t="shared" si="65"/>
        <v>2018年11月紫光集团clife服务费暂估</v>
      </c>
    </row>
    <row r="100" spans="2:85" s="447" customFormat="1" ht="17.25" customHeight="1">
      <c r="B100" s="447" t="str">
        <f t="shared" si="37"/>
        <v>CU1034</v>
      </c>
      <c r="C100" s="431" t="s">
        <v>755</v>
      </c>
      <c r="D100" s="67" t="s">
        <v>1270</v>
      </c>
      <c r="E100" s="67" t="s">
        <v>1285</v>
      </c>
      <c r="F100" s="433">
        <v>43405</v>
      </c>
      <c r="G100" s="430">
        <v>37265.82</v>
      </c>
      <c r="H100" s="440">
        <f>121202.45/1.06-H129</f>
        <v>37265.813962264147</v>
      </c>
      <c r="I100" s="546">
        <v>0</v>
      </c>
      <c r="J100" s="440" t="s">
        <v>1368</v>
      </c>
      <c r="K100" s="444"/>
      <c r="L100" s="462">
        <f t="shared" si="39"/>
        <v>0</v>
      </c>
      <c r="M100" s="462" t="s">
        <v>1461</v>
      </c>
      <c r="N100" s="444"/>
      <c r="O100" s="462">
        <f t="shared" si="40"/>
        <v>0</v>
      </c>
      <c r="P100" s="447" t="s">
        <v>1522</v>
      </c>
      <c r="R100" s="462">
        <f t="shared" si="41"/>
        <v>0</v>
      </c>
      <c r="S100" s="447" t="s">
        <v>1580</v>
      </c>
      <c r="U100" s="462">
        <f t="shared" si="42"/>
        <v>0</v>
      </c>
      <c r="V100" s="447" t="s">
        <v>1626</v>
      </c>
      <c r="X100" s="462">
        <f t="shared" si="43"/>
        <v>0</v>
      </c>
      <c r="Y100" s="447" t="s">
        <v>1661</v>
      </c>
      <c r="AA100" s="462">
        <f t="shared" si="44"/>
        <v>0</v>
      </c>
      <c r="AB100" s="447" t="s">
        <v>1716</v>
      </c>
      <c r="AD100" s="462">
        <f t="shared" si="45"/>
        <v>0</v>
      </c>
      <c r="AG100" s="462">
        <f t="shared" si="46"/>
        <v>0</v>
      </c>
      <c r="AH100" s="447" t="s">
        <v>1819</v>
      </c>
      <c r="AJ100" s="462">
        <f t="shared" si="47"/>
        <v>0</v>
      </c>
      <c r="AM100" s="462">
        <f t="shared" si="48"/>
        <v>0</v>
      </c>
      <c r="AN100" s="447" t="s">
        <v>1948</v>
      </c>
      <c r="AP100" s="462">
        <f t="shared" si="49"/>
        <v>0</v>
      </c>
      <c r="AQ100" s="447" t="s">
        <v>1995</v>
      </c>
      <c r="AS100" s="459">
        <f t="shared" si="50"/>
        <v>0</v>
      </c>
      <c r="AV100" s="462">
        <f t="shared" si="51"/>
        <v>0</v>
      </c>
      <c r="AY100" s="462">
        <f t="shared" si="52"/>
        <v>0</v>
      </c>
      <c r="BB100" s="462">
        <f t="shared" si="53"/>
        <v>0</v>
      </c>
      <c r="BC100" s="447" t="s">
        <v>2204</v>
      </c>
      <c r="BE100" s="462">
        <f t="shared" si="54"/>
        <v>0</v>
      </c>
      <c r="BH100" s="462">
        <f t="shared" si="55"/>
        <v>0</v>
      </c>
      <c r="BK100" s="462">
        <f t="shared" si="56"/>
        <v>0</v>
      </c>
      <c r="BN100" s="462">
        <f t="shared" si="57"/>
        <v>0</v>
      </c>
      <c r="BQ100" s="462">
        <f t="shared" si="58"/>
        <v>0</v>
      </c>
      <c r="BT100" s="462">
        <f t="shared" si="59"/>
        <v>0</v>
      </c>
      <c r="BW100" s="462">
        <f t="shared" si="60"/>
        <v>0</v>
      </c>
      <c r="BZ100" s="462">
        <f t="shared" si="61"/>
        <v>0</v>
      </c>
      <c r="CD100" s="418" t="str">
        <f t="shared" si="62"/>
        <v>CU1034001</v>
      </c>
      <c r="CE100" s="442" t="str">
        <f t="shared" si="63"/>
        <v>2018年11月</v>
      </c>
      <c r="CF100" s="418" t="str">
        <f t="shared" si="64"/>
        <v>北京天信宏clife服务费暂估</v>
      </c>
      <c r="CG100" s="418" t="str">
        <f t="shared" si="65"/>
        <v>2018年11月北京天信宏clife服务费暂估</v>
      </c>
    </row>
    <row r="101" spans="2:85" s="447" customFormat="1" ht="17.25" customHeight="1">
      <c r="B101" s="447" t="str">
        <f t="shared" si="37"/>
        <v>CU1048</v>
      </c>
      <c r="C101" s="431" t="s">
        <v>755</v>
      </c>
      <c r="D101" s="67" t="s">
        <v>1120</v>
      </c>
      <c r="E101" s="67" t="s">
        <v>1286</v>
      </c>
      <c r="F101" s="433">
        <v>43405</v>
      </c>
      <c r="G101" s="430">
        <v>11847.83</v>
      </c>
      <c r="H101" s="440"/>
      <c r="I101" s="440">
        <f t="shared" si="38"/>
        <v>11847.83</v>
      </c>
      <c r="J101" s="440" t="s">
        <v>1368</v>
      </c>
      <c r="K101" s="444"/>
      <c r="L101" s="462">
        <f t="shared" si="39"/>
        <v>11847.83</v>
      </c>
      <c r="M101" s="462" t="s">
        <v>1461</v>
      </c>
      <c r="N101" s="444">
        <f>13369/1.06</f>
        <v>12612.264150943396</v>
      </c>
      <c r="O101" s="462">
        <f t="shared" si="40"/>
        <v>-764.43415094339616</v>
      </c>
      <c r="P101" s="447" t="s">
        <v>1522</v>
      </c>
      <c r="R101" s="462">
        <f t="shared" si="41"/>
        <v>-764.43415094339616</v>
      </c>
      <c r="S101" s="447" t="s">
        <v>1580</v>
      </c>
      <c r="U101" s="462">
        <f t="shared" si="42"/>
        <v>-764.43415094339616</v>
      </c>
      <c r="V101" s="447" t="s">
        <v>1626</v>
      </c>
      <c r="X101" s="462">
        <f t="shared" si="43"/>
        <v>-764.43415094339616</v>
      </c>
      <c r="Y101" s="447" t="s">
        <v>1661</v>
      </c>
      <c r="AA101" s="462">
        <v>0</v>
      </c>
      <c r="AB101" s="447" t="s">
        <v>1716</v>
      </c>
      <c r="AD101" s="462">
        <f t="shared" si="45"/>
        <v>0</v>
      </c>
      <c r="AG101" s="462">
        <f t="shared" si="46"/>
        <v>0</v>
      </c>
      <c r="AH101" s="447" t="s">
        <v>1819</v>
      </c>
      <c r="AJ101" s="462">
        <f t="shared" si="47"/>
        <v>0</v>
      </c>
      <c r="AM101" s="462">
        <f t="shared" si="48"/>
        <v>0</v>
      </c>
      <c r="AN101" s="447" t="s">
        <v>1948</v>
      </c>
      <c r="AP101" s="462">
        <f t="shared" si="49"/>
        <v>0</v>
      </c>
      <c r="AQ101" s="447" t="s">
        <v>1995</v>
      </c>
      <c r="AS101" s="459">
        <f t="shared" si="50"/>
        <v>0</v>
      </c>
      <c r="AV101" s="462">
        <f t="shared" si="51"/>
        <v>0</v>
      </c>
      <c r="AY101" s="462">
        <f t="shared" si="52"/>
        <v>0</v>
      </c>
      <c r="BB101" s="462">
        <f t="shared" si="53"/>
        <v>0</v>
      </c>
      <c r="BC101" s="447" t="s">
        <v>2204</v>
      </c>
      <c r="BE101" s="462">
        <f t="shared" si="54"/>
        <v>0</v>
      </c>
      <c r="BH101" s="462">
        <f t="shared" si="55"/>
        <v>0</v>
      </c>
      <c r="BK101" s="462">
        <f t="shared" si="56"/>
        <v>0</v>
      </c>
      <c r="BN101" s="462">
        <f t="shared" si="57"/>
        <v>0</v>
      </c>
      <c r="BQ101" s="462">
        <f t="shared" si="58"/>
        <v>0</v>
      </c>
      <c r="BT101" s="462">
        <f t="shared" si="59"/>
        <v>0</v>
      </c>
      <c r="BW101" s="462">
        <f t="shared" si="60"/>
        <v>0</v>
      </c>
      <c r="BZ101" s="462">
        <f t="shared" si="61"/>
        <v>0</v>
      </c>
      <c r="CD101" s="418" t="str">
        <f t="shared" si="62"/>
        <v>CU1048001</v>
      </c>
      <c r="CE101" s="442" t="str">
        <f t="shared" si="63"/>
        <v>2018年11月</v>
      </c>
      <c r="CF101" s="418" t="str">
        <f t="shared" si="64"/>
        <v>奥托博克（clife服务费暂估</v>
      </c>
      <c r="CG101" s="418" t="str">
        <f t="shared" si="65"/>
        <v>2018年11月奥托博克（clife服务费暂估</v>
      </c>
    </row>
    <row r="102" spans="2:85" s="447" customFormat="1" ht="17.25" customHeight="1">
      <c r="B102" s="447" t="str">
        <f t="shared" si="37"/>
        <v>CU1065</v>
      </c>
      <c r="C102" s="431" t="s">
        <v>755</v>
      </c>
      <c r="D102" s="67" t="s">
        <v>1271</v>
      </c>
      <c r="E102" s="67" t="s">
        <v>1287</v>
      </c>
      <c r="F102" s="433">
        <v>43405</v>
      </c>
      <c r="G102" s="430">
        <v>220748.17</v>
      </c>
      <c r="H102" s="440">
        <f>460721.68/1.06-H131</f>
        <v>220748.17433962258</v>
      </c>
      <c r="I102" s="546">
        <v>0</v>
      </c>
      <c r="J102" s="440" t="s">
        <v>1368</v>
      </c>
      <c r="K102" s="444"/>
      <c r="L102" s="462">
        <f t="shared" si="39"/>
        <v>0</v>
      </c>
      <c r="M102" s="462" t="s">
        <v>1461</v>
      </c>
      <c r="N102" s="444"/>
      <c r="O102" s="462">
        <f t="shared" si="40"/>
        <v>0</v>
      </c>
      <c r="P102" s="447" t="s">
        <v>1522</v>
      </c>
      <c r="R102" s="462">
        <f t="shared" si="41"/>
        <v>0</v>
      </c>
      <c r="S102" s="447" t="s">
        <v>1580</v>
      </c>
      <c r="U102" s="462">
        <f t="shared" si="42"/>
        <v>0</v>
      </c>
      <c r="V102" s="447" t="s">
        <v>1626</v>
      </c>
      <c r="X102" s="462">
        <f t="shared" si="43"/>
        <v>0</v>
      </c>
      <c r="Y102" s="447" t="s">
        <v>1661</v>
      </c>
      <c r="AA102" s="462">
        <f t="shared" si="44"/>
        <v>0</v>
      </c>
      <c r="AB102" s="447" t="s">
        <v>1716</v>
      </c>
      <c r="AD102" s="462">
        <f t="shared" si="45"/>
        <v>0</v>
      </c>
      <c r="AG102" s="462">
        <f t="shared" si="46"/>
        <v>0</v>
      </c>
      <c r="AH102" s="447" t="s">
        <v>1819</v>
      </c>
      <c r="AJ102" s="462">
        <f t="shared" si="47"/>
        <v>0</v>
      </c>
      <c r="AM102" s="462">
        <f t="shared" si="48"/>
        <v>0</v>
      </c>
      <c r="AN102" s="447" t="s">
        <v>1948</v>
      </c>
      <c r="AP102" s="462">
        <f t="shared" si="49"/>
        <v>0</v>
      </c>
      <c r="AQ102" s="447" t="s">
        <v>1995</v>
      </c>
      <c r="AS102" s="459">
        <f t="shared" si="50"/>
        <v>0</v>
      </c>
      <c r="AV102" s="462">
        <f t="shared" si="51"/>
        <v>0</v>
      </c>
      <c r="AY102" s="462">
        <f t="shared" si="52"/>
        <v>0</v>
      </c>
      <c r="BB102" s="462">
        <f t="shared" si="53"/>
        <v>0</v>
      </c>
      <c r="BC102" s="447" t="s">
        <v>2204</v>
      </c>
      <c r="BE102" s="462">
        <f t="shared" si="54"/>
        <v>0</v>
      </c>
      <c r="BH102" s="462">
        <f t="shared" si="55"/>
        <v>0</v>
      </c>
      <c r="BK102" s="462">
        <f t="shared" si="56"/>
        <v>0</v>
      </c>
      <c r="BN102" s="462">
        <f t="shared" si="57"/>
        <v>0</v>
      </c>
      <c r="BQ102" s="462">
        <f t="shared" si="58"/>
        <v>0</v>
      </c>
      <c r="BT102" s="462">
        <f t="shared" si="59"/>
        <v>0</v>
      </c>
      <c r="BW102" s="462">
        <f t="shared" si="60"/>
        <v>0</v>
      </c>
      <c r="BZ102" s="462">
        <f t="shared" si="61"/>
        <v>0</v>
      </c>
      <c r="CD102" s="418" t="str">
        <f t="shared" si="62"/>
        <v>CU1065001</v>
      </c>
      <c r="CE102" s="442" t="str">
        <f t="shared" si="63"/>
        <v>2018年11月</v>
      </c>
      <c r="CF102" s="418" t="str">
        <f t="shared" si="64"/>
        <v>湖北长江蔚clife服务费暂估</v>
      </c>
      <c r="CG102" s="418" t="str">
        <f t="shared" si="65"/>
        <v>2018年11月湖北长江蔚clife服务费暂估</v>
      </c>
    </row>
    <row r="103" spans="2:85" s="447" customFormat="1" ht="17.25" customHeight="1">
      <c r="B103" s="447" t="str">
        <f t="shared" si="37"/>
        <v>CU0468</v>
      </c>
      <c r="C103" s="431" t="s">
        <v>755</v>
      </c>
      <c r="D103" s="67" t="s">
        <v>1228</v>
      </c>
      <c r="E103" s="67" t="s">
        <v>1229</v>
      </c>
      <c r="F103" s="433">
        <v>43405</v>
      </c>
      <c r="G103" s="430">
        <f>446689.62-111000</f>
        <v>335689.62</v>
      </c>
      <c r="H103" s="440">
        <f>53000/1.06</f>
        <v>50000</v>
      </c>
      <c r="I103" s="440">
        <f t="shared" si="38"/>
        <v>285689.62</v>
      </c>
      <c r="J103" s="440" t="s">
        <v>1368</v>
      </c>
      <c r="K103" s="444"/>
      <c r="L103" s="462">
        <f t="shared" si="39"/>
        <v>285689.62</v>
      </c>
      <c r="M103" s="462" t="s">
        <v>1461</v>
      </c>
      <c r="N103" s="444"/>
      <c r="O103" s="462">
        <f t="shared" si="40"/>
        <v>285689.62</v>
      </c>
      <c r="P103" s="447" t="s">
        <v>1522</v>
      </c>
      <c r="R103" s="462">
        <f t="shared" si="41"/>
        <v>285689.62</v>
      </c>
      <c r="S103" s="447" t="s">
        <v>1580</v>
      </c>
      <c r="T103" s="462">
        <f>R103</f>
        <v>285689.62</v>
      </c>
      <c r="U103" s="462">
        <f t="shared" si="42"/>
        <v>0</v>
      </c>
      <c r="V103" s="447" t="s">
        <v>1626</v>
      </c>
      <c r="X103" s="462">
        <f t="shared" si="43"/>
        <v>0</v>
      </c>
      <c r="Y103" s="447" t="s">
        <v>1661</v>
      </c>
      <c r="AA103" s="462">
        <f t="shared" si="44"/>
        <v>0</v>
      </c>
      <c r="AB103" s="447" t="s">
        <v>1716</v>
      </c>
      <c r="AD103" s="462">
        <f t="shared" si="45"/>
        <v>0</v>
      </c>
      <c r="AG103" s="462">
        <f t="shared" si="46"/>
        <v>0</v>
      </c>
      <c r="AH103" s="447" t="s">
        <v>1819</v>
      </c>
      <c r="AJ103" s="462">
        <f t="shared" si="47"/>
        <v>0</v>
      </c>
      <c r="AM103" s="462">
        <f t="shared" si="48"/>
        <v>0</v>
      </c>
      <c r="AN103" s="447" t="s">
        <v>1948</v>
      </c>
      <c r="AP103" s="462">
        <f t="shared" si="49"/>
        <v>0</v>
      </c>
      <c r="AQ103" s="447" t="s">
        <v>1995</v>
      </c>
      <c r="AS103" s="459">
        <f t="shared" si="50"/>
        <v>0</v>
      </c>
      <c r="AV103" s="462">
        <f t="shared" si="51"/>
        <v>0</v>
      </c>
      <c r="AY103" s="462">
        <f t="shared" si="52"/>
        <v>0</v>
      </c>
      <c r="BB103" s="462">
        <f t="shared" si="53"/>
        <v>0</v>
      </c>
      <c r="BC103" s="447" t="s">
        <v>2204</v>
      </c>
      <c r="BE103" s="462">
        <f t="shared" si="54"/>
        <v>0</v>
      </c>
      <c r="BH103" s="462">
        <f t="shared" si="55"/>
        <v>0</v>
      </c>
      <c r="BK103" s="462">
        <f t="shared" si="56"/>
        <v>0</v>
      </c>
      <c r="BN103" s="462">
        <f t="shared" si="57"/>
        <v>0</v>
      </c>
      <c r="BQ103" s="462">
        <f t="shared" si="58"/>
        <v>0</v>
      </c>
      <c r="BT103" s="462">
        <f t="shared" si="59"/>
        <v>0</v>
      </c>
      <c r="BW103" s="462">
        <f t="shared" si="60"/>
        <v>0</v>
      </c>
      <c r="BZ103" s="462">
        <f t="shared" si="61"/>
        <v>0</v>
      </c>
      <c r="CD103" s="418" t="str">
        <f t="shared" si="62"/>
        <v>CU0468001</v>
      </c>
      <c r="CE103" s="442" t="str">
        <f t="shared" si="63"/>
        <v>2018年11月</v>
      </c>
      <c r="CF103" s="418" t="str">
        <f t="shared" si="64"/>
        <v>包商银行股clife服务费暂估</v>
      </c>
      <c r="CG103" s="418" t="str">
        <f t="shared" si="65"/>
        <v>2018年11月包商银行股clife服务费暂估</v>
      </c>
    </row>
    <row r="104" spans="2:85" s="447" customFormat="1" ht="17.25" customHeight="1">
      <c r="B104" s="447" t="str">
        <f t="shared" si="37"/>
        <v>CU0531</v>
      </c>
      <c r="C104" s="431" t="s">
        <v>755</v>
      </c>
      <c r="D104" s="67" t="s">
        <v>133</v>
      </c>
      <c r="E104" s="67" t="s">
        <v>134</v>
      </c>
      <c r="F104" s="433">
        <v>43405</v>
      </c>
      <c r="G104" s="430">
        <v>19123.308400000002</v>
      </c>
      <c r="H104" s="440"/>
      <c r="I104" s="440">
        <f t="shared" si="38"/>
        <v>19123.308400000002</v>
      </c>
      <c r="J104" s="440" t="s">
        <v>1368</v>
      </c>
      <c r="K104" s="444"/>
      <c r="L104" s="462">
        <f t="shared" si="39"/>
        <v>19123.310000000001</v>
      </c>
      <c r="M104" s="462" t="s">
        <v>1461</v>
      </c>
      <c r="N104" s="444">
        <f t="shared" ref="N104:N105" si="68">L104</f>
        <v>19123.310000000001</v>
      </c>
      <c r="O104" s="462">
        <f t="shared" si="40"/>
        <v>0</v>
      </c>
      <c r="P104" s="447" t="s">
        <v>1522</v>
      </c>
      <c r="R104" s="462">
        <f t="shared" si="41"/>
        <v>0</v>
      </c>
      <c r="S104" s="447" t="s">
        <v>1580</v>
      </c>
      <c r="U104" s="462">
        <f t="shared" si="42"/>
        <v>0</v>
      </c>
      <c r="V104" s="447" t="s">
        <v>1626</v>
      </c>
      <c r="X104" s="462">
        <f t="shared" si="43"/>
        <v>0</v>
      </c>
      <c r="Y104" s="447" t="s">
        <v>1661</v>
      </c>
      <c r="AA104" s="462">
        <f t="shared" si="44"/>
        <v>0</v>
      </c>
      <c r="AB104" s="447" t="s">
        <v>1716</v>
      </c>
      <c r="AD104" s="462">
        <f t="shared" si="45"/>
        <v>0</v>
      </c>
      <c r="AG104" s="462">
        <f t="shared" si="46"/>
        <v>0</v>
      </c>
      <c r="AH104" s="447" t="s">
        <v>1819</v>
      </c>
      <c r="AJ104" s="462">
        <f t="shared" si="47"/>
        <v>0</v>
      </c>
      <c r="AM104" s="462">
        <f t="shared" si="48"/>
        <v>0</v>
      </c>
      <c r="AN104" s="447" t="s">
        <v>1948</v>
      </c>
      <c r="AP104" s="462">
        <f t="shared" si="49"/>
        <v>0</v>
      </c>
      <c r="AQ104" s="447" t="s">
        <v>1995</v>
      </c>
      <c r="AS104" s="459">
        <f t="shared" si="50"/>
        <v>0</v>
      </c>
      <c r="AV104" s="462">
        <f t="shared" si="51"/>
        <v>0</v>
      </c>
      <c r="AY104" s="462">
        <f t="shared" si="52"/>
        <v>0</v>
      </c>
      <c r="BB104" s="462">
        <f t="shared" si="53"/>
        <v>0</v>
      </c>
      <c r="BC104" s="447" t="s">
        <v>2204</v>
      </c>
      <c r="BE104" s="462">
        <f t="shared" si="54"/>
        <v>0</v>
      </c>
      <c r="BH104" s="462">
        <f t="shared" si="55"/>
        <v>0</v>
      </c>
      <c r="BK104" s="462">
        <f t="shared" si="56"/>
        <v>0</v>
      </c>
      <c r="BN104" s="462">
        <f t="shared" si="57"/>
        <v>0</v>
      </c>
      <c r="BQ104" s="462">
        <f t="shared" si="58"/>
        <v>0</v>
      </c>
      <c r="BT104" s="462">
        <f t="shared" si="59"/>
        <v>0</v>
      </c>
      <c r="BW104" s="462">
        <f t="shared" si="60"/>
        <v>0</v>
      </c>
      <c r="BZ104" s="462">
        <f t="shared" si="61"/>
        <v>0</v>
      </c>
      <c r="CD104" s="418" t="str">
        <f t="shared" si="62"/>
        <v>CU0531001</v>
      </c>
      <c r="CE104" s="442" t="str">
        <f t="shared" si="63"/>
        <v>2018年11月</v>
      </c>
      <c r="CF104" s="418" t="str">
        <f t="shared" si="64"/>
        <v>恩思恩时尚clife服务费暂估</v>
      </c>
      <c r="CG104" s="418" t="str">
        <f t="shared" si="65"/>
        <v>2018年11月恩思恩时尚clife服务费暂估</v>
      </c>
    </row>
    <row r="105" spans="2:85" s="447" customFormat="1" ht="17.25" customHeight="1">
      <c r="B105" s="447" t="str">
        <f t="shared" si="37"/>
        <v>CU0531</v>
      </c>
      <c r="C105" s="431" t="s">
        <v>755</v>
      </c>
      <c r="D105" s="67" t="s">
        <v>135</v>
      </c>
      <c r="E105" s="67" t="s">
        <v>136</v>
      </c>
      <c r="F105" s="433">
        <v>43405</v>
      </c>
      <c r="G105" s="430">
        <v>231.79939999999999</v>
      </c>
      <c r="H105" s="440"/>
      <c r="I105" s="440">
        <f t="shared" si="38"/>
        <v>231.79939999999999</v>
      </c>
      <c r="J105" s="440" t="s">
        <v>1368</v>
      </c>
      <c r="K105" s="444"/>
      <c r="L105" s="462">
        <f t="shared" si="39"/>
        <v>231.8</v>
      </c>
      <c r="M105" s="462" t="s">
        <v>1461</v>
      </c>
      <c r="N105" s="444">
        <f t="shared" si="68"/>
        <v>231.8</v>
      </c>
      <c r="O105" s="462">
        <f t="shared" si="40"/>
        <v>0</v>
      </c>
      <c r="P105" s="447" t="s">
        <v>1522</v>
      </c>
      <c r="R105" s="462">
        <f t="shared" si="41"/>
        <v>0</v>
      </c>
      <c r="S105" s="447" t="s">
        <v>1580</v>
      </c>
      <c r="U105" s="462">
        <f t="shared" si="42"/>
        <v>0</v>
      </c>
      <c r="V105" s="447" t="s">
        <v>1626</v>
      </c>
      <c r="X105" s="462">
        <f t="shared" si="43"/>
        <v>0</v>
      </c>
      <c r="Y105" s="447" t="s">
        <v>1661</v>
      </c>
      <c r="AA105" s="462">
        <f t="shared" si="44"/>
        <v>0</v>
      </c>
      <c r="AB105" s="447" t="s">
        <v>1716</v>
      </c>
      <c r="AD105" s="462">
        <f t="shared" si="45"/>
        <v>0</v>
      </c>
      <c r="AG105" s="462">
        <f t="shared" si="46"/>
        <v>0</v>
      </c>
      <c r="AH105" s="447" t="s">
        <v>1819</v>
      </c>
      <c r="AJ105" s="462">
        <f t="shared" si="47"/>
        <v>0</v>
      </c>
      <c r="AM105" s="462">
        <f t="shared" si="48"/>
        <v>0</v>
      </c>
      <c r="AN105" s="447" t="s">
        <v>1948</v>
      </c>
      <c r="AP105" s="462">
        <f t="shared" si="49"/>
        <v>0</v>
      </c>
      <c r="AQ105" s="447" t="s">
        <v>1995</v>
      </c>
      <c r="AS105" s="459">
        <f t="shared" si="50"/>
        <v>0</v>
      </c>
      <c r="AV105" s="462">
        <f t="shared" si="51"/>
        <v>0</v>
      </c>
      <c r="AY105" s="462">
        <f t="shared" si="52"/>
        <v>0</v>
      </c>
      <c r="BB105" s="462">
        <f t="shared" si="53"/>
        <v>0</v>
      </c>
      <c r="BC105" s="447" t="s">
        <v>2204</v>
      </c>
      <c r="BE105" s="462">
        <f t="shared" si="54"/>
        <v>0</v>
      </c>
      <c r="BH105" s="462">
        <f t="shared" si="55"/>
        <v>0</v>
      </c>
      <c r="BK105" s="462">
        <f t="shared" si="56"/>
        <v>0</v>
      </c>
      <c r="BN105" s="462">
        <f t="shared" si="57"/>
        <v>0</v>
      </c>
      <c r="BQ105" s="462">
        <f t="shared" si="58"/>
        <v>0</v>
      </c>
      <c r="BT105" s="462">
        <f t="shared" si="59"/>
        <v>0</v>
      </c>
      <c r="BW105" s="462">
        <f t="shared" si="60"/>
        <v>0</v>
      </c>
      <c r="BZ105" s="462">
        <f t="shared" si="61"/>
        <v>0</v>
      </c>
      <c r="CD105" s="418" t="str">
        <f t="shared" si="62"/>
        <v>CU0531001</v>
      </c>
      <c r="CE105" s="442" t="str">
        <f t="shared" si="63"/>
        <v>2018年11月</v>
      </c>
      <c r="CF105" s="418" t="str">
        <f t="shared" si="64"/>
        <v>恩思恩（北clife服务费暂估</v>
      </c>
      <c r="CG105" s="418" t="str">
        <f t="shared" si="65"/>
        <v>2018年11月恩思恩（北clife服务费暂估</v>
      </c>
    </row>
    <row r="106" spans="2:85" s="447" customFormat="1" ht="17.25" customHeight="1">
      <c r="B106" s="447" t="str">
        <f t="shared" si="37"/>
        <v>CU0824</v>
      </c>
      <c r="C106" s="431" t="s">
        <v>755</v>
      </c>
      <c r="D106" s="67" t="s">
        <v>1117</v>
      </c>
      <c r="E106" s="67" t="s">
        <v>1292</v>
      </c>
      <c r="F106" s="433">
        <v>43405</v>
      </c>
      <c r="G106" s="430">
        <v>17043.7536</v>
      </c>
      <c r="H106" s="440"/>
      <c r="I106" s="440">
        <f t="shared" si="38"/>
        <v>17043.7536</v>
      </c>
      <c r="J106" s="440" t="s">
        <v>1368</v>
      </c>
      <c r="K106" s="444"/>
      <c r="L106" s="462">
        <f t="shared" si="39"/>
        <v>17043.75</v>
      </c>
      <c r="M106" s="462" t="s">
        <v>1461</v>
      </c>
      <c r="N106" s="444"/>
      <c r="O106" s="462">
        <f t="shared" si="40"/>
        <v>17043.75</v>
      </c>
      <c r="P106" s="447" t="s">
        <v>1523</v>
      </c>
      <c r="R106" s="462">
        <f t="shared" si="41"/>
        <v>17043.75</v>
      </c>
      <c r="S106" s="447" t="s">
        <v>1580</v>
      </c>
      <c r="T106" s="462">
        <f>R106</f>
        <v>17043.75</v>
      </c>
      <c r="U106" s="462">
        <f t="shared" si="42"/>
        <v>0</v>
      </c>
      <c r="V106" s="447" t="s">
        <v>1626</v>
      </c>
      <c r="X106" s="462">
        <f t="shared" si="43"/>
        <v>0</v>
      </c>
      <c r="Y106" s="447" t="s">
        <v>1661</v>
      </c>
      <c r="AA106" s="462">
        <f t="shared" si="44"/>
        <v>0</v>
      </c>
      <c r="AB106" s="447" t="s">
        <v>1716</v>
      </c>
      <c r="AD106" s="462">
        <f t="shared" si="45"/>
        <v>0</v>
      </c>
      <c r="AG106" s="462">
        <f t="shared" si="46"/>
        <v>0</v>
      </c>
      <c r="AH106" s="447" t="s">
        <v>1819</v>
      </c>
      <c r="AJ106" s="462">
        <f t="shared" si="47"/>
        <v>0</v>
      </c>
      <c r="AM106" s="462">
        <f t="shared" si="48"/>
        <v>0</v>
      </c>
      <c r="AN106" s="447" t="s">
        <v>1948</v>
      </c>
      <c r="AP106" s="462">
        <f t="shared" si="49"/>
        <v>0</v>
      </c>
      <c r="AQ106" s="447" t="s">
        <v>1995</v>
      </c>
      <c r="AS106" s="459">
        <f t="shared" si="50"/>
        <v>0</v>
      </c>
      <c r="AV106" s="462">
        <f t="shared" si="51"/>
        <v>0</v>
      </c>
      <c r="AY106" s="462">
        <f t="shared" si="52"/>
        <v>0</v>
      </c>
      <c r="BB106" s="462">
        <f t="shared" si="53"/>
        <v>0</v>
      </c>
      <c r="BC106" s="447" t="s">
        <v>2204</v>
      </c>
      <c r="BE106" s="462">
        <f t="shared" si="54"/>
        <v>0</v>
      </c>
      <c r="BH106" s="462">
        <f t="shared" si="55"/>
        <v>0</v>
      </c>
      <c r="BK106" s="462">
        <f t="shared" si="56"/>
        <v>0</v>
      </c>
      <c r="BN106" s="462">
        <f t="shared" si="57"/>
        <v>0</v>
      </c>
      <c r="BQ106" s="462">
        <f t="shared" si="58"/>
        <v>0</v>
      </c>
      <c r="BT106" s="462">
        <f t="shared" si="59"/>
        <v>0</v>
      </c>
      <c r="BW106" s="462">
        <f t="shared" si="60"/>
        <v>0</v>
      </c>
      <c r="BZ106" s="462">
        <f t="shared" si="61"/>
        <v>0</v>
      </c>
      <c r="CD106" s="418" t="str">
        <f t="shared" si="62"/>
        <v>CU0824001</v>
      </c>
      <c r="CE106" s="442" t="str">
        <f t="shared" si="63"/>
        <v>2018年11月</v>
      </c>
      <c r="CF106" s="418" t="str">
        <f t="shared" si="64"/>
        <v>苏州舒尔贸clife服务费暂估</v>
      </c>
      <c r="CG106" s="418" t="str">
        <f t="shared" si="65"/>
        <v>2018年11月苏州舒尔贸clife服务费暂估</v>
      </c>
    </row>
    <row r="107" spans="2:85" s="447" customFormat="1" ht="17.25" customHeight="1">
      <c r="B107" s="447" t="str">
        <f t="shared" si="37"/>
        <v>CU0406</v>
      </c>
      <c r="C107" s="431" t="s">
        <v>755</v>
      </c>
      <c r="D107" s="67" t="s">
        <v>1943</v>
      </c>
      <c r="E107" s="437" t="s">
        <v>839</v>
      </c>
      <c r="F107" s="438">
        <v>43070</v>
      </c>
      <c r="G107" s="430">
        <v>316978.90000000002</v>
      </c>
      <c r="H107" s="440"/>
      <c r="I107" s="440">
        <f t="shared" si="38"/>
        <v>316978.90000000002</v>
      </c>
      <c r="J107" s="440" t="s">
        <v>1368</v>
      </c>
      <c r="K107" s="444"/>
      <c r="L107" s="462">
        <f t="shared" si="39"/>
        <v>316978.90000000002</v>
      </c>
      <c r="M107" s="462" t="s">
        <v>1461</v>
      </c>
      <c r="N107" s="444"/>
      <c r="O107" s="462">
        <f t="shared" si="40"/>
        <v>316978.90000000002</v>
      </c>
      <c r="P107" s="447" t="s">
        <v>1523</v>
      </c>
      <c r="R107" s="462">
        <f t="shared" si="41"/>
        <v>316978.90000000002</v>
      </c>
      <c r="S107" s="447" t="s">
        <v>1580</v>
      </c>
      <c r="U107" s="462">
        <f t="shared" si="42"/>
        <v>316978.90000000002</v>
      </c>
      <c r="V107" s="447" t="s">
        <v>1626</v>
      </c>
      <c r="X107" s="462">
        <f t="shared" si="43"/>
        <v>316978.90000000002</v>
      </c>
      <c r="Y107" s="447" t="s">
        <v>1661</v>
      </c>
      <c r="AA107" s="462">
        <f t="shared" si="44"/>
        <v>316978.90000000002</v>
      </c>
      <c r="AB107" s="447" t="s">
        <v>1716</v>
      </c>
      <c r="AD107" s="462">
        <f t="shared" si="45"/>
        <v>316978.90000000002</v>
      </c>
      <c r="AE107" s="447" t="s">
        <v>1753</v>
      </c>
      <c r="AG107" s="462">
        <f t="shared" si="46"/>
        <v>316978.90000000002</v>
      </c>
      <c r="AH107" s="447" t="s">
        <v>1819</v>
      </c>
      <c r="AJ107" s="462">
        <f t="shared" si="47"/>
        <v>316978.90000000002</v>
      </c>
      <c r="AK107" s="447" t="s">
        <v>1862</v>
      </c>
      <c r="AM107" s="462">
        <f t="shared" si="48"/>
        <v>316978.90000000002</v>
      </c>
      <c r="AN107" s="447" t="s">
        <v>1948</v>
      </c>
      <c r="AP107" s="462">
        <f t="shared" si="49"/>
        <v>316978.90000000002</v>
      </c>
      <c r="AQ107" s="447" t="s">
        <v>1995</v>
      </c>
      <c r="AS107" s="459">
        <f t="shared" si="50"/>
        <v>316978.90000000002</v>
      </c>
      <c r="AV107" s="462">
        <f t="shared" si="51"/>
        <v>316978.90000000002</v>
      </c>
      <c r="AW107" s="447" t="s">
        <v>2107</v>
      </c>
      <c r="AY107" s="462">
        <f t="shared" si="52"/>
        <v>316978.90000000002</v>
      </c>
      <c r="AZ107" s="447" t="s">
        <v>2131</v>
      </c>
      <c r="BB107" s="462">
        <f t="shared" si="53"/>
        <v>316978.90000000002</v>
      </c>
      <c r="BC107" s="447" t="s">
        <v>2204</v>
      </c>
      <c r="BE107" s="462">
        <f t="shared" si="54"/>
        <v>316978.90000000002</v>
      </c>
      <c r="BF107" s="447" t="s">
        <v>2237</v>
      </c>
      <c r="BH107" s="462">
        <f t="shared" si="55"/>
        <v>316978.90000000002</v>
      </c>
      <c r="BI107" s="447" t="s">
        <v>2292</v>
      </c>
      <c r="BK107" s="462">
        <f t="shared" si="56"/>
        <v>316978.90000000002</v>
      </c>
      <c r="BL107" s="447" t="s">
        <v>2339</v>
      </c>
      <c r="BN107" s="462">
        <f t="shared" si="57"/>
        <v>316978.90000000002</v>
      </c>
      <c r="BO107" s="447" t="s">
        <v>2365</v>
      </c>
      <c r="BQ107" s="462">
        <f t="shared" si="58"/>
        <v>316978.90000000002</v>
      </c>
      <c r="BR107" s="447" t="s">
        <v>2374</v>
      </c>
      <c r="BT107" s="462">
        <f t="shared" si="59"/>
        <v>316978.90000000002</v>
      </c>
      <c r="BU107" s="447" t="s">
        <v>2407</v>
      </c>
      <c r="BW107" s="462">
        <f t="shared" si="60"/>
        <v>316978.90000000002</v>
      </c>
      <c r="BZ107" s="462">
        <f t="shared" si="61"/>
        <v>316978.90000000002</v>
      </c>
      <c r="CD107" s="418" t="str">
        <f t="shared" si="62"/>
        <v>CU0406001</v>
      </c>
      <c r="CE107" s="442" t="str">
        <f t="shared" si="63"/>
        <v>2017年12月</v>
      </c>
      <c r="CF107" s="418" t="str">
        <f t="shared" si="64"/>
        <v>预估kylclife服务费暂估</v>
      </c>
      <c r="CG107" s="418" t="str">
        <f t="shared" si="65"/>
        <v>2017年12月预估kylclife服务费暂估</v>
      </c>
    </row>
    <row r="108" spans="2:85" s="447" customFormat="1" ht="17.25" customHeight="1">
      <c r="B108" s="447" t="str">
        <f t="shared" si="37"/>
        <v>CU0145</v>
      </c>
      <c r="C108" s="431" t="s">
        <v>755</v>
      </c>
      <c r="D108" s="367" t="s">
        <v>1268</v>
      </c>
      <c r="E108" s="367" t="s">
        <v>1323</v>
      </c>
      <c r="F108" s="439">
        <v>43435</v>
      </c>
      <c r="G108" s="430">
        <v>220216.99</v>
      </c>
      <c r="H108" s="440">
        <f>44620+151742</f>
        <v>196362</v>
      </c>
      <c r="I108" s="440">
        <f t="shared" si="38"/>
        <v>23854.989999999991</v>
      </c>
      <c r="J108" s="440" t="s">
        <v>1368</v>
      </c>
      <c r="K108" s="444">
        <v>22871.51</v>
      </c>
      <c r="L108" s="462">
        <f t="shared" si="39"/>
        <v>983.48</v>
      </c>
      <c r="M108" s="462" t="s">
        <v>1461</v>
      </c>
      <c r="N108" s="444">
        <f>836.93</f>
        <v>836.93</v>
      </c>
      <c r="O108" s="462">
        <f t="shared" si="40"/>
        <v>146.55000000000007</v>
      </c>
      <c r="P108" s="447" t="s">
        <v>1522</v>
      </c>
      <c r="Q108" s="444">
        <f>O108</f>
        <v>146.55000000000007</v>
      </c>
      <c r="R108" s="462">
        <f t="shared" si="41"/>
        <v>0</v>
      </c>
      <c r="S108" s="447" t="s">
        <v>1580</v>
      </c>
      <c r="U108" s="462">
        <f t="shared" si="42"/>
        <v>0</v>
      </c>
      <c r="V108" s="447" t="s">
        <v>1626</v>
      </c>
      <c r="X108" s="462">
        <f t="shared" si="43"/>
        <v>0</v>
      </c>
      <c r="Y108" s="447" t="s">
        <v>1661</v>
      </c>
      <c r="AA108" s="462">
        <f t="shared" si="44"/>
        <v>0</v>
      </c>
      <c r="AB108" s="447" t="s">
        <v>1716</v>
      </c>
      <c r="AD108" s="462">
        <f t="shared" si="45"/>
        <v>0</v>
      </c>
      <c r="AG108" s="462">
        <f t="shared" si="46"/>
        <v>0</v>
      </c>
      <c r="AH108" s="447" t="s">
        <v>1819</v>
      </c>
      <c r="AJ108" s="462">
        <f t="shared" si="47"/>
        <v>0</v>
      </c>
      <c r="AM108" s="462">
        <f t="shared" si="48"/>
        <v>0</v>
      </c>
      <c r="AN108" s="447" t="s">
        <v>1948</v>
      </c>
      <c r="AP108" s="462">
        <f t="shared" si="49"/>
        <v>0</v>
      </c>
      <c r="AQ108" s="447" t="s">
        <v>1995</v>
      </c>
      <c r="AS108" s="459">
        <f t="shared" si="50"/>
        <v>0</v>
      </c>
      <c r="AV108" s="462">
        <f t="shared" si="51"/>
        <v>0</v>
      </c>
      <c r="AY108" s="462">
        <f t="shared" si="52"/>
        <v>0</v>
      </c>
      <c r="BB108" s="462">
        <f t="shared" si="53"/>
        <v>0</v>
      </c>
      <c r="BC108" s="447" t="s">
        <v>2204</v>
      </c>
      <c r="BE108" s="462">
        <f t="shared" si="54"/>
        <v>0</v>
      </c>
      <c r="BH108" s="462">
        <f t="shared" si="55"/>
        <v>0</v>
      </c>
      <c r="BK108" s="462">
        <f t="shared" si="56"/>
        <v>0</v>
      </c>
      <c r="BN108" s="462">
        <f t="shared" si="57"/>
        <v>0</v>
      </c>
      <c r="BQ108" s="462">
        <f t="shared" si="58"/>
        <v>0</v>
      </c>
      <c r="BT108" s="462">
        <f t="shared" si="59"/>
        <v>0</v>
      </c>
      <c r="BW108" s="462">
        <f t="shared" si="60"/>
        <v>0</v>
      </c>
      <c r="BZ108" s="462">
        <f t="shared" si="61"/>
        <v>0</v>
      </c>
      <c r="CD108" s="418" t="str">
        <f t="shared" si="62"/>
        <v>CU0145001</v>
      </c>
      <c r="CE108" s="442" t="str">
        <f t="shared" si="63"/>
        <v>2018年12月</v>
      </c>
      <c r="CF108" s="418" t="str">
        <f t="shared" si="64"/>
        <v>锐珂亚太投clife服务费暂估</v>
      </c>
      <c r="CG108" s="418" t="str">
        <f t="shared" si="65"/>
        <v>2018年12月锐珂亚太投clife服务费暂估</v>
      </c>
    </row>
    <row r="109" spans="2:85" s="447" customFormat="1" ht="17.25" customHeight="1">
      <c r="B109" s="447" t="str">
        <f t="shared" si="37"/>
        <v>CU0182</v>
      </c>
      <c r="C109" s="431" t="s">
        <v>755</v>
      </c>
      <c r="D109" s="367" t="s">
        <v>820</v>
      </c>
      <c r="E109" s="367" t="s">
        <v>821</v>
      </c>
      <c r="F109" s="439">
        <v>43435</v>
      </c>
      <c r="G109" s="430">
        <v>1885.1</v>
      </c>
      <c r="H109" s="440"/>
      <c r="I109" s="440">
        <f t="shared" si="38"/>
        <v>1885.1</v>
      </c>
      <c r="J109" s="440" t="s">
        <v>1368</v>
      </c>
      <c r="K109" s="444"/>
      <c r="L109" s="462">
        <f t="shared" si="39"/>
        <v>1885.1</v>
      </c>
      <c r="M109" s="462" t="s">
        <v>1461</v>
      </c>
      <c r="N109" s="444">
        <f>652/1.06</f>
        <v>615.09433962264143</v>
      </c>
      <c r="O109" s="462">
        <f t="shared" si="40"/>
        <v>1270.0056603773585</v>
      </c>
      <c r="P109" s="447" t="s">
        <v>1523</v>
      </c>
      <c r="R109" s="462">
        <f t="shared" si="41"/>
        <v>1270.0056603773585</v>
      </c>
      <c r="S109" s="447" t="s">
        <v>1580</v>
      </c>
      <c r="U109" s="462">
        <f t="shared" si="42"/>
        <v>1270.0056603773585</v>
      </c>
      <c r="V109" s="447" t="s">
        <v>1626</v>
      </c>
      <c r="X109" s="462">
        <f t="shared" si="43"/>
        <v>1270.0056603773585</v>
      </c>
      <c r="Y109" s="447" t="s">
        <v>1661</v>
      </c>
      <c r="Z109" s="462">
        <f>ROUND(X109,2)</f>
        <v>1270.01</v>
      </c>
      <c r="AA109" s="462">
        <f t="shared" si="44"/>
        <v>-4.3396226415097772E-3</v>
      </c>
      <c r="AB109" s="447" t="s">
        <v>1716</v>
      </c>
      <c r="AD109" s="462">
        <f t="shared" si="45"/>
        <v>-4.3396226415097772E-3</v>
      </c>
      <c r="AG109" s="462">
        <f t="shared" si="46"/>
        <v>-4.3396226415097772E-3</v>
      </c>
      <c r="AH109" s="447" t="s">
        <v>1819</v>
      </c>
      <c r="AJ109" s="462">
        <f t="shared" si="47"/>
        <v>-4.3396226415097772E-3</v>
      </c>
      <c r="AM109" s="462">
        <f t="shared" si="48"/>
        <v>-4.3396226415097772E-3</v>
      </c>
      <c r="AN109" s="447" t="s">
        <v>1948</v>
      </c>
      <c r="AP109" s="462">
        <f t="shared" si="49"/>
        <v>-4.3396226415097772E-3</v>
      </c>
      <c r="AQ109" s="447" t="s">
        <v>1995</v>
      </c>
      <c r="AS109" s="459">
        <f t="shared" si="50"/>
        <v>-4.3396226415097772E-3</v>
      </c>
      <c r="AV109" s="462">
        <f t="shared" si="51"/>
        <v>-4.3396226415097772E-3</v>
      </c>
      <c r="AY109" s="462">
        <f t="shared" si="52"/>
        <v>-4.3396226415097772E-3</v>
      </c>
      <c r="BB109" s="462">
        <f t="shared" si="53"/>
        <v>-4.3396226415097772E-3</v>
      </c>
      <c r="BC109" s="447" t="s">
        <v>2204</v>
      </c>
      <c r="BE109" s="462">
        <f t="shared" si="54"/>
        <v>-4.3396226415097772E-3</v>
      </c>
      <c r="BH109" s="462">
        <f t="shared" si="55"/>
        <v>-4.3396226415097772E-3</v>
      </c>
      <c r="BK109" s="462">
        <f t="shared" si="56"/>
        <v>-4.3396226415097772E-3</v>
      </c>
      <c r="BN109" s="462">
        <f t="shared" si="57"/>
        <v>-4.3396226415097772E-3</v>
      </c>
      <c r="BQ109" s="462">
        <f t="shared" si="58"/>
        <v>0</v>
      </c>
      <c r="BT109" s="462">
        <f t="shared" si="59"/>
        <v>0</v>
      </c>
      <c r="BW109" s="462">
        <f t="shared" si="60"/>
        <v>0</v>
      </c>
      <c r="BZ109" s="462">
        <f t="shared" si="61"/>
        <v>0</v>
      </c>
      <c r="CD109" s="418" t="str">
        <f t="shared" si="62"/>
        <v>CU0182001</v>
      </c>
      <c r="CE109" s="442" t="str">
        <f t="shared" si="63"/>
        <v>2018年12月</v>
      </c>
      <c r="CF109" s="418" t="str">
        <f t="shared" si="64"/>
        <v>阿姆斯壮（clife服务费暂估</v>
      </c>
      <c r="CG109" s="418" t="str">
        <f t="shared" si="65"/>
        <v>2018年12月阿姆斯壮（clife服务费暂估</v>
      </c>
    </row>
    <row r="110" spans="2:85" s="447" customFormat="1" ht="17.25" customHeight="1">
      <c r="B110" s="447" t="str">
        <f t="shared" si="37"/>
        <v>CU0182</v>
      </c>
      <c r="C110" s="431" t="s">
        <v>755</v>
      </c>
      <c r="D110" s="367" t="s">
        <v>578</v>
      </c>
      <c r="E110" s="367" t="s">
        <v>1336</v>
      </c>
      <c r="F110" s="439">
        <v>43435</v>
      </c>
      <c r="G110" s="430">
        <v>44123.63</v>
      </c>
      <c r="H110" s="440"/>
      <c r="I110" s="440">
        <f t="shared" si="38"/>
        <v>44123.63</v>
      </c>
      <c r="J110" s="440" t="s">
        <v>1368</v>
      </c>
      <c r="K110" s="444"/>
      <c r="L110" s="462">
        <f t="shared" si="39"/>
        <v>44123.63</v>
      </c>
      <c r="M110" s="462" t="s">
        <v>1461</v>
      </c>
      <c r="N110" s="444">
        <f>680.7/1.06+5420</f>
        <v>6062.1698113207549</v>
      </c>
      <c r="O110" s="462">
        <f t="shared" si="40"/>
        <v>38061.460188679244</v>
      </c>
      <c r="P110" s="447" t="s">
        <v>1523</v>
      </c>
      <c r="R110" s="462">
        <f t="shared" si="41"/>
        <v>38061.460188679244</v>
      </c>
      <c r="S110" s="447" t="s">
        <v>1580</v>
      </c>
      <c r="U110" s="462">
        <f t="shared" si="42"/>
        <v>38061.460188679244</v>
      </c>
      <c r="V110" s="447" t="s">
        <v>1626</v>
      </c>
      <c r="X110" s="462">
        <f t="shared" si="43"/>
        <v>38061.460188679244</v>
      </c>
      <c r="Y110" s="447" t="s">
        <v>1661</v>
      </c>
      <c r="Z110" s="462">
        <f>ROUND(60630/1.06,2)-Z31-Z40-Z41-Z51-Z71-Z85-Z86-Z109</f>
        <v>29305.8</v>
      </c>
      <c r="AA110" s="462">
        <f t="shared" si="44"/>
        <v>8755.660188679245</v>
      </c>
      <c r="AB110" s="447" t="s">
        <v>1716</v>
      </c>
      <c r="AD110" s="462">
        <f t="shared" si="45"/>
        <v>8755.660188679245</v>
      </c>
      <c r="AE110" s="447" t="s">
        <v>1753</v>
      </c>
      <c r="AG110" s="462">
        <f t="shared" si="46"/>
        <v>8755.660188679245</v>
      </c>
      <c r="AH110" s="447" t="s">
        <v>1819</v>
      </c>
      <c r="AJ110" s="462">
        <f t="shared" si="47"/>
        <v>8755.660188679245</v>
      </c>
      <c r="AK110" s="447" t="s">
        <v>1862</v>
      </c>
      <c r="AL110" s="447">
        <f>ROUND((1336+2465.6)/1.06,2)+ROUND(5339/1.06,2)+132.45</f>
        <v>8755.66</v>
      </c>
      <c r="AM110" s="462">
        <f t="shared" si="48"/>
        <v>1.8867924518417567E-4</v>
      </c>
      <c r="AN110" s="447" t="s">
        <v>1948</v>
      </c>
      <c r="AP110" s="462">
        <f t="shared" si="49"/>
        <v>1.8867924518417567E-4</v>
      </c>
      <c r="AQ110" s="447" t="s">
        <v>1995</v>
      </c>
      <c r="AS110" s="459">
        <f t="shared" si="50"/>
        <v>1.8867924518417567E-4</v>
      </c>
      <c r="AV110" s="462">
        <f t="shared" si="51"/>
        <v>1.8867924518417567E-4</v>
      </c>
      <c r="AY110" s="462">
        <f t="shared" si="52"/>
        <v>1.8867924518417567E-4</v>
      </c>
      <c r="BB110" s="462">
        <f t="shared" si="53"/>
        <v>1.8867924518417567E-4</v>
      </c>
      <c r="BC110" s="447" t="s">
        <v>2204</v>
      </c>
      <c r="BE110" s="462">
        <f t="shared" si="54"/>
        <v>1.8867924518417567E-4</v>
      </c>
      <c r="BH110" s="462">
        <f t="shared" si="55"/>
        <v>1.8867924518417567E-4</v>
      </c>
      <c r="BK110" s="462">
        <f t="shared" si="56"/>
        <v>1.8867924518417567E-4</v>
      </c>
      <c r="BN110" s="462">
        <f t="shared" si="57"/>
        <v>1.8867924518417567E-4</v>
      </c>
      <c r="BQ110" s="462">
        <f t="shared" si="58"/>
        <v>0</v>
      </c>
      <c r="BT110" s="462">
        <f t="shared" si="59"/>
        <v>0</v>
      </c>
      <c r="BW110" s="462">
        <f t="shared" si="60"/>
        <v>0</v>
      </c>
      <c r="BZ110" s="462">
        <f t="shared" si="61"/>
        <v>0</v>
      </c>
      <c r="CD110" s="418" t="str">
        <f t="shared" si="62"/>
        <v>CU0182001</v>
      </c>
      <c r="CE110" s="442" t="str">
        <f t="shared" si="63"/>
        <v>2018年12月</v>
      </c>
      <c r="CF110" s="418" t="str">
        <f t="shared" si="64"/>
        <v>上海华新顿clife服务费暂估</v>
      </c>
      <c r="CG110" s="418" t="str">
        <f t="shared" si="65"/>
        <v>2018年12月上海华新顿clife服务费暂估</v>
      </c>
    </row>
    <row r="111" spans="2:85" s="447" customFormat="1" ht="17.25" customHeight="1">
      <c r="B111" s="447" t="str">
        <f t="shared" si="37"/>
        <v>CU0351</v>
      </c>
      <c r="C111" s="431" t="s">
        <v>755</v>
      </c>
      <c r="D111" s="367" t="s">
        <v>81</v>
      </c>
      <c r="E111" s="367" t="s">
        <v>1337</v>
      </c>
      <c r="F111" s="439">
        <v>43435</v>
      </c>
      <c r="G111" s="430">
        <f>6384+25436.25</f>
        <v>31820.25</v>
      </c>
      <c r="H111" s="440"/>
      <c r="I111" s="440">
        <f t="shared" si="38"/>
        <v>31820.25</v>
      </c>
      <c r="J111" s="440" t="s">
        <v>1368</v>
      </c>
      <c r="K111" s="444"/>
      <c r="L111" s="462">
        <f t="shared" si="39"/>
        <v>31820.25</v>
      </c>
      <c r="M111" s="462" t="s">
        <v>1461</v>
      </c>
      <c r="N111" s="444"/>
      <c r="O111" s="462">
        <f t="shared" si="40"/>
        <v>31820.25</v>
      </c>
      <c r="P111" s="447" t="s">
        <v>1522</v>
      </c>
      <c r="R111" s="462">
        <f t="shared" si="41"/>
        <v>31820.25</v>
      </c>
      <c r="S111" s="447" t="s">
        <v>1580</v>
      </c>
      <c r="U111" s="462">
        <f t="shared" si="42"/>
        <v>31820.25</v>
      </c>
      <c r="V111" s="447" t="s">
        <v>1626</v>
      </c>
      <c r="X111" s="462">
        <f t="shared" si="43"/>
        <v>31820.25</v>
      </c>
      <c r="Y111" s="447" t="s">
        <v>1661</v>
      </c>
      <c r="Z111" s="462">
        <f>35741.57-Z72</f>
        <v>31820.25</v>
      </c>
      <c r="AA111" s="462">
        <f t="shared" si="44"/>
        <v>0</v>
      </c>
      <c r="AB111" s="447" t="s">
        <v>1716</v>
      </c>
      <c r="AD111" s="462">
        <f t="shared" si="45"/>
        <v>0</v>
      </c>
      <c r="AG111" s="462">
        <f t="shared" si="46"/>
        <v>0</v>
      </c>
      <c r="AH111" s="447" t="s">
        <v>1819</v>
      </c>
      <c r="AJ111" s="462">
        <f t="shared" si="47"/>
        <v>0</v>
      </c>
      <c r="AM111" s="462">
        <f t="shared" si="48"/>
        <v>0</v>
      </c>
      <c r="AN111" s="447" t="s">
        <v>1948</v>
      </c>
      <c r="AP111" s="462">
        <f t="shared" si="49"/>
        <v>0</v>
      </c>
      <c r="AQ111" s="447" t="s">
        <v>1995</v>
      </c>
      <c r="AS111" s="459">
        <f t="shared" si="50"/>
        <v>0</v>
      </c>
      <c r="AV111" s="462">
        <f t="shared" si="51"/>
        <v>0</v>
      </c>
      <c r="AY111" s="462">
        <f t="shared" si="52"/>
        <v>0</v>
      </c>
      <c r="BB111" s="462">
        <f t="shared" si="53"/>
        <v>0</v>
      </c>
      <c r="BC111" s="447" t="s">
        <v>2204</v>
      </c>
      <c r="BE111" s="462">
        <f t="shared" si="54"/>
        <v>0</v>
      </c>
      <c r="BH111" s="462">
        <f t="shared" si="55"/>
        <v>0</v>
      </c>
      <c r="BK111" s="462">
        <f t="shared" si="56"/>
        <v>0</v>
      </c>
      <c r="BN111" s="462">
        <f t="shared" si="57"/>
        <v>0</v>
      </c>
      <c r="BQ111" s="462">
        <f t="shared" si="58"/>
        <v>0</v>
      </c>
      <c r="BT111" s="462">
        <f t="shared" si="59"/>
        <v>0</v>
      </c>
      <c r="BW111" s="462">
        <f t="shared" si="60"/>
        <v>0</v>
      </c>
      <c r="BZ111" s="462">
        <f t="shared" si="61"/>
        <v>0</v>
      </c>
      <c r="CD111" s="418" t="str">
        <f t="shared" si="62"/>
        <v>CU0351001</v>
      </c>
      <c r="CE111" s="442" t="str">
        <f t="shared" si="63"/>
        <v>2018年12月</v>
      </c>
      <c r="CF111" s="418" t="str">
        <f t="shared" si="64"/>
        <v>克鲁勃润滑clife服务费暂估</v>
      </c>
      <c r="CG111" s="418" t="str">
        <f t="shared" si="65"/>
        <v>2018年12月克鲁勃润滑clife服务费暂估</v>
      </c>
    </row>
    <row r="112" spans="2:85" s="447" customFormat="1" ht="17.25" customHeight="1">
      <c r="B112" s="447" t="str">
        <f t="shared" si="37"/>
        <v>CU0428</v>
      </c>
      <c r="C112" s="431" t="s">
        <v>755</v>
      </c>
      <c r="D112" s="367" t="s">
        <v>123</v>
      </c>
      <c r="E112" s="367" t="s">
        <v>1338</v>
      </c>
      <c r="F112" s="439">
        <v>43435</v>
      </c>
      <c r="G112" s="440">
        <v>189601.87</v>
      </c>
      <c r="H112" s="440">
        <f>200978/1.06</f>
        <v>189601.88679245283</v>
      </c>
      <c r="I112" s="546">
        <v>0</v>
      </c>
      <c r="J112" s="440" t="s">
        <v>1368</v>
      </c>
      <c r="K112" s="444"/>
      <c r="L112" s="462">
        <f t="shared" si="39"/>
        <v>0</v>
      </c>
      <c r="M112" s="462" t="s">
        <v>1461</v>
      </c>
      <c r="N112" s="444"/>
      <c r="O112" s="462">
        <f t="shared" si="40"/>
        <v>0</v>
      </c>
      <c r="P112" s="447" t="s">
        <v>1522</v>
      </c>
      <c r="R112" s="462">
        <f t="shared" si="41"/>
        <v>0</v>
      </c>
      <c r="S112" s="447" t="s">
        <v>1580</v>
      </c>
      <c r="U112" s="462">
        <f t="shared" si="42"/>
        <v>0</v>
      </c>
      <c r="V112" s="447" t="s">
        <v>1626</v>
      </c>
      <c r="X112" s="462">
        <f t="shared" si="43"/>
        <v>0</v>
      </c>
      <c r="Y112" s="447" t="s">
        <v>1661</v>
      </c>
      <c r="AA112" s="462">
        <f t="shared" si="44"/>
        <v>0</v>
      </c>
      <c r="AB112" s="447" t="s">
        <v>1716</v>
      </c>
      <c r="AD112" s="462">
        <f t="shared" si="45"/>
        <v>0</v>
      </c>
      <c r="AG112" s="462">
        <f t="shared" si="46"/>
        <v>0</v>
      </c>
      <c r="AH112" s="447" t="s">
        <v>1819</v>
      </c>
      <c r="AJ112" s="462">
        <f t="shared" si="47"/>
        <v>0</v>
      </c>
      <c r="AM112" s="462">
        <f t="shared" si="48"/>
        <v>0</v>
      </c>
      <c r="AN112" s="447" t="s">
        <v>1948</v>
      </c>
      <c r="AP112" s="462">
        <f t="shared" si="49"/>
        <v>0</v>
      </c>
      <c r="AQ112" s="447" t="s">
        <v>1995</v>
      </c>
      <c r="AS112" s="459">
        <f t="shared" si="50"/>
        <v>0</v>
      </c>
      <c r="AV112" s="462">
        <f t="shared" si="51"/>
        <v>0</v>
      </c>
      <c r="AY112" s="462">
        <f t="shared" si="52"/>
        <v>0</v>
      </c>
      <c r="BB112" s="462">
        <f t="shared" si="53"/>
        <v>0</v>
      </c>
      <c r="BC112" s="447" t="s">
        <v>2204</v>
      </c>
      <c r="BE112" s="462">
        <f t="shared" si="54"/>
        <v>0</v>
      </c>
      <c r="BH112" s="462">
        <f t="shared" si="55"/>
        <v>0</v>
      </c>
      <c r="BK112" s="462">
        <f t="shared" si="56"/>
        <v>0</v>
      </c>
      <c r="BN112" s="462">
        <f t="shared" si="57"/>
        <v>0</v>
      </c>
      <c r="BQ112" s="462">
        <f t="shared" si="58"/>
        <v>0</v>
      </c>
      <c r="BT112" s="462">
        <f t="shared" si="59"/>
        <v>0</v>
      </c>
      <c r="BW112" s="462">
        <f t="shared" si="60"/>
        <v>0</v>
      </c>
      <c r="BZ112" s="462">
        <f t="shared" si="61"/>
        <v>0</v>
      </c>
      <c r="CD112" s="418" t="str">
        <f t="shared" si="62"/>
        <v>CU0428001</v>
      </c>
      <c r="CE112" s="442" t="str">
        <f t="shared" si="63"/>
        <v>2018年12月</v>
      </c>
      <c r="CF112" s="418" t="str">
        <f t="shared" si="64"/>
        <v>IDC咨询clife服务费暂估</v>
      </c>
      <c r="CG112" s="418" t="str">
        <f t="shared" si="65"/>
        <v>2018年12月IDC咨询clife服务费暂估</v>
      </c>
    </row>
    <row r="113" spans="2:85" s="447" customFormat="1" ht="17.25" customHeight="1">
      <c r="B113" s="447" t="str">
        <f t="shared" si="37"/>
        <v>CU0531</v>
      </c>
      <c r="C113" s="431" t="s">
        <v>755</v>
      </c>
      <c r="D113" s="367" t="s">
        <v>133</v>
      </c>
      <c r="E113" s="367" t="s">
        <v>134</v>
      </c>
      <c r="F113" s="439">
        <v>43435</v>
      </c>
      <c r="G113" s="430">
        <v>104811.85</v>
      </c>
      <c r="H113" s="440"/>
      <c r="I113" s="440">
        <f t="shared" si="38"/>
        <v>104811.85</v>
      </c>
      <c r="J113" s="440" t="s">
        <v>1368</v>
      </c>
      <c r="K113" s="444"/>
      <c r="L113" s="462">
        <f t="shared" si="39"/>
        <v>104811.85</v>
      </c>
      <c r="M113" s="462" t="s">
        <v>1461</v>
      </c>
      <c r="N113" s="444">
        <f t="shared" ref="N113:N114" si="69">L113</f>
        <v>104811.85</v>
      </c>
      <c r="O113" s="462">
        <f t="shared" si="40"/>
        <v>0</v>
      </c>
      <c r="P113" s="447" t="s">
        <v>1522</v>
      </c>
      <c r="R113" s="462">
        <f t="shared" si="41"/>
        <v>0</v>
      </c>
      <c r="S113" s="447" t="s">
        <v>1580</v>
      </c>
      <c r="U113" s="462">
        <f t="shared" si="42"/>
        <v>0</v>
      </c>
      <c r="V113" s="447" t="s">
        <v>1626</v>
      </c>
      <c r="X113" s="462">
        <f t="shared" si="43"/>
        <v>0</v>
      </c>
      <c r="Y113" s="447" t="s">
        <v>1661</v>
      </c>
      <c r="AA113" s="462">
        <f t="shared" si="44"/>
        <v>0</v>
      </c>
      <c r="AB113" s="447" t="s">
        <v>1716</v>
      </c>
      <c r="AD113" s="462">
        <f t="shared" si="45"/>
        <v>0</v>
      </c>
      <c r="AG113" s="462">
        <f t="shared" si="46"/>
        <v>0</v>
      </c>
      <c r="AH113" s="447" t="s">
        <v>1819</v>
      </c>
      <c r="AJ113" s="462">
        <f t="shared" si="47"/>
        <v>0</v>
      </c>
      <c r="AM113" s="462">
        <f t="shared" si="48"/>
        <v>0</v>
      </c>
      <c r="AN113" s="447" t="s">
        <v>1948</v>
      </c>
      <c r="AP113" s="462">
        <f t="shared" si="49"/>
        <v>0</v>
      </c>
      <c r="AQ113" s="447" t="s">
        <v>1995</v>
      </c>
      <c r="AS113" s="459">
        <f t="shared" si="50"/>
        <v>0</v>
      </c>
      <c r="AV113" s="462">
        <f t="shared" si="51"/>
        <v>0</v>
      </c>
      <c r="AY113" s="462">
        <f t="shared" si="52"/>
        <v>0</v>
      </c>
      <c r="BB113" s="462">
        <f t="shared" si="53"/>
        <v>0</v>
      </c>
      <c r="BC113" s="447" t="s">
        <v>2204</v>
      </c>
      <c r="BE113" s="462">
        <f t="shared" si="54"/>
        <v>0</v>
      </c>
      <c r="BH113" s="462">
        <f t="shared" si="55"/>
        <v>0</v>
      </c>
      <c r="BK113" s="462">
        <f t="shared" si="56"/>
        <v>0</v>
      </c>
      <c r="BN113" s="462">
        <f t="shared" si="57"/>
        <v>0</v>
      </c>
      <c r="BQ113" s="462">
        <f t="shared" si="58"/>
        <v>0</v>
      </c>
      <c r="BT113" s="462">
        <f t="shared" si="59"/>
        <v>0</v>
      </c>
      <c r="BW113" s="462">
        <f t="shared" si="60"/>
        <v>0</v>
      </c>
      <c r="BZ113" s="462">
        <f t="shared" si="61"/>
        <v>0</v>
      </c>
      <c r="CD113" s="418" t="str">
        <f t="shared" si="62"/>
        <v>CU0531001</v>
      </c>
      <c r="CE113" s="442" t="str">
        <f t="shared" si="63"/>
        <v>2018年12月</v>
      </c>
      <c r="CF113" s="418" t="str">
        <f t="shared" si="64"/>
        <v>恩思恩时尚clife服务费暂估</v>
      </c>
      <c r="CG113" s="418" t="str">
        <f t="shared" si="65"/>
        <v>2018年12月恩思恩时尚clife服务费暂估</v>
      </c>
    </row>
    <row r="114" spans="2:85" s="447" customFormat="1" ht="17.25" customHeight="1">
      <c r="B114" s="447" t="str">
        <f t="shared" si="37"/>
        <v>CU0531</v>
      </c>
      <c r="C114" s="431" t="s">
        <v>755</v>
      </c>
      <c r="D114" s="367" t="s">
        <v>135</v>
      </c>
      <c r="E114" s="367" t="s">
        <v>136</v>
      </c>
      <c r="F114" s="439">
        <v>43435</v>
      </c>
      <c r="G114" s="430">
        <v>1268.3699999999999</v>
      </c>
      <c r="H114" s="440"/>
      <c r="I114" s="440">
        <f t="shared" si="38"/>
        <v>1268.3699999999999</v>
      </c>
      <c r="J114" s="440" t="s">
        <v>1368</v>
      </c>
      <c r="K114" s="444"/>
      <c r="L114" s="462">
        <f t="shared" si="39"/>
        <v>1268.3699999999999</v>
      </c>
      <c r="M114" s="462" t="s">
        <v>1461</v>
      </c>
      <c r="N114" s="444">
        <f t="shared" si="69"/>
        <v>1268.3699999999999</v>
      </c>
      <c r="O114" s="462">
        <f t="shared" si="40"/>
        <v>0</v>
      </c>
      <c r="P114" s="447" t="s">
        <v>1522</v>
      </c>
      <c r="R114" s="462">
        <f t="shared" si="41"/>
        <v>0</v>
      </c>
      <c r="S114" s="447" t="s">
        <v>1580</v>
      </c>
      <c r="U114" s="462">
        <f t="shared" si="42"/>
        <v>0</v>
      </c>
      <c r="V114" s="447" t="s">
        <v>1626</v>
      </c>
      <c r="X114" s="462">
        <f t="shared" si="43"/>
        <v>0</v>
      </c>
      <c r="Y114" s="447" t="s">
        <v>1661</v>
      </c>
      <c r="AA114" s="462">
        <f t="shared" si="44"/>
        <v>0</v>
      </c>
      <c r="AB114" s="447" t="s">
        <v>1716</v>
      </c>
      <c r="AD114" s="462">
        <f t="shared" si="45"/>
        <v>0</v>
      </c>
      <c r="AG114" s="462">
        <f t="shared" si="46"/>
        <v>0</v>
      </c>
      <c r="AH114" s="447" t="s">
        <v>1819</v>
      </c>
      <c r="AJ114" s="462">
        <f t="shared" si="47"/>
        <v>0</v>
      </c>
      <c r="AM114" s="462">
        <f t="shared" si="48"/>
        <v>0</v>
      </c>
      <c r="AN114" s="447" t="s">
        <v>1948</v>
      </c>
      <c r="AP114" s="462">
        <f t="shared" si="49"/>
        <v>0</v>
      </c>
      <c r="AQ114" s="447" t="s">
        <v>1995</v>
      </c>
      <c r="AS114" s="459">
        <f t="shared" si="50"/>
        <v>0</v>
      </c>
      <c r="AV114" s="462">
        <f t="shared" si="51"/>
        <v>0</v>
      </c>
      <c r="AY114" s="462">
        <f t="shared" si="52"/>
        <v>0</v>
      </c>
      <c r="BB114" s="462">
        <f t="shared" si="53"/>
        <v>0</v>
      </c>
      <c r="BC114" s="447" t="s">
        <v>2204</v>
      </c>
      <c r="BE114" s="462">
        <f t="shared" si="54"/>
        <v>0</v>
      </c>
      <c r="BH114" s="462">
        <f t="shared" si="55"/>
        <v>0</v>
      </c>
      <c r="BK114" s="462">
        <f t="shared" si="56"/>
        <v>0</v>
      </c>
      <c r="BN114" s="462">
        <f t="shared" si="57"/>
        <v>0</v>
      </c>
      <c r="BQ114" s="462">
        <f t="shared" si="58"/>
        <v>0</v>
      </c>
      <c r="BT114" s="462">
        <f t="shared" si="59"/>
        <v>0</v>
      </c>
      <c r="BW114" s="462">
        <f t="shared" si="60"/>
        <v>0</v>
      </c>
      <c r="BZ114" s="462">
        <f t="shared" si="61"/>
        <v>0</v>
      </c>
      <c r="CD114" s="418" t="str">
        <f t="shared" si="62"/>
        <v>CU0531001</v>
      </c>
      <c r="CE114" s="442" t="str">
        <f t="shared" si="63"/>
        <v>2018年12月</v>
      </c>
      <c r="CF114" s="418" t="str">
        <f t="shared" si="64"/>
        <v>恩思恩（北clife服务费暂估</v>
      </c>
      <c r="CG114" s="418" t="str">
        <f t="shared" si="65"/>
        <v>2018年12月恩思恩（北clife服务费暂估</v>
      </c>
    </row>
    <row r="115" spans="2:85" s="447" customFormat="1" ht="17.25" customHeight="1">
      <c r="B115" s="447" t="str">
        <f t="shared" si="37"/>
        <v>CU0558</v>
      </c>
      <c r="C115" s="431" t="s">
        <v>755</v>
      </c>
      <c r="D115" s="367" t="s">
        <v>1324</v>
      </c>
      <c r="E115" s="367" t="s">
        <v>2039</v>
      </c>
      <c r="F115" s="439">
        <v>43435</v>
      </c>
      <c r="G115" s="430">
        <v>15040.08</v>
      </c>
      <c r="H115" s="440"/>
      <c r="I115" s="440">
        <f t="shared" si="38"/>
        <v>15040.08</v>
      </c>
      <c r="J115" s="440" t="s">
        <v>1368</v>
      </c>
      <c r="K115" s="444"/>
      <c r="L115" s="462">
        <f t="shared" si="39"/>
        <v>15040.08</v>
      </c>
      <c r="M115" s="462" t="s">
        <v>1461</v>
      </c>
      <c r="N115" s="444"/>
      <c r="O115" s="462">
        <f t="shared" si="40"/>
        <v>15040.08</v>
      </c>
      <c r="P115" s="447" t="s">
        <v>1523</v>
      </c>
      <c r="Q115" s="444">
        <v>15002.7</v>
      </c>
      <c r="R115" s="462">
        <f t="shared" si="41"/>
        <v>37.3799999999992</v>
      </c>
      <c r="S115" s="447" t="s">
        <v>1580</v>
      </c>
      <c r="U115" s="462">
        <f t="shared" si="42"/>
        <v>37.3799999999992</v>
      </c>
      <c r="V115" s="447" t="s">
        <v>1626</v>
      </c>
      <c r="X115" s="462">
        <f t="shared" si="43"/>
        <v>37.3799999999992</v>
      </c>
      <c r="Y115" s="447" t="s">
        <v>1661</v>
      </c>
      <c r="AA115" s="462">
        <f t="shared" si="44"/>
        <v>37.3799999999992</v>
      </c>
      <c r="AB115" s="447" t="s">
        <v>1716</v>
      </c>
      <c r="AD115" s="462">
        <f t="shared" si="45"/>
        <v>37.3799999999992</v>
      </c>
      <c r="AE115" s="447" t="s">
        <v>1753</v>
      </c>
      <c r="AG115" s="462">
        <f t="shared" si="46"/>
        <v>37.3799999999992</v>
      </c>
      <c r="AH115" s="447" t="s">
        <v>1819</v>
      </c>
      <c r="AJ115" s="462">
        <f t="shared" si="47"/>
        <v>37.3799999999992</v>
      </c>
      <c r="AK115" s="447" t="s">
        <v>1862</v>
      </c>
      <c r="AM115" s="462">
        <f t="shared" si="48"/>
        <v>37.3799999999992</v>
      </c>
      <c r="AN115" s="447" t="s">
        <v>1948</v>
      </c>
      <c r="AP115" s="462">
        <f>AM115-AO115</f>
        <v>37.3799999999992</v>
      </c>
      <c r="AQ115" s="447" t="s">
        <v>1995</v>
      </c>
      <c r="AS115" s="459">
        <f>AP115-AR115</f>
        <v>37.3799999999992</v>
      </c>
      <c r="AV115" s="462">
        <f t="shared" si="51"/>
        <v>37.3799999999992</v>
      </c>
      <c r="AW115" s="447" t="s">
        <v>2107</v>
      </c>
      <c r="AX115" s="462">
        <f>AV115</f>
        <v>37.3799999999992</v>
      </c>
      <c r="AY115" s="462">
        <f t="shared" si="52"/>
        <v>0</v>
      </c>
      <c r="AZ115" s="447" t="s">
        <v>2131</v>
      </c>
      <c r="BB115" s="462">
        <f t="shared" si="53"/>
        <v>0</v>
      </c>
      <c r="BC115" s="447" t="s">
        <v>2204</v>
      </c>
      <c r="BE115" s="462">
        <f t="shared" si="54"/>
        <v>0</v>
      </c>
      <c r="BH115" s="462">
        <f t="shared" si="55"/>
        <v>0</v>
      </c>
      <c r="BK115" s="462">
        <f t="shared" si="56"/>
        <v>0</v>
      </c>
      <c r="BN115" s="462">
        <f t="shared" si="57"/>
        <v>0</v>
      </c>
      <c r="BQ115" s="462">
        <f t="shared" si="58"/>
        <v>0</v>
      </c>
      <c r="BT115" s="462">
        <f t="shared" si="59"/>
        <v>0</v>
      </c>
      <c r="BW115" s="462">
        <f t="shared" si="60"/>
        <v>0</v>
      </c>
      <c r="BZ115" s="462">
        <f t="shared" si="61"/>
        <v>0</v>
      </c>
      <c r="CD115" s="418" t="str">
        <f t="shared" si="62"/>
        <v>CU0558001</v>
      </c>
      <c r="CE115" s="442" t="str">
        <f t="shared" si="63"/>
        <v>2018年12月</v>
      </c>
      <c r="CF115" s="418" t="str">
        <f t="shared" si="64"/>
        <v>深圳市顺荣clife服务费暂估</v>
      </c>
      <c r="CG115" s="418" t="str">
        <f t="shared" si="65"/>
        <v>2018年12月深圳市顺荣clife服务费暂估</v>
      </c>
    </row>
    <row r="116" spans="2:85" s="447" customFormat="1" ht="17.25" customHeight="1">
      <c r="B116" s="447" t="str">
        <f t="shared" si="37"/>
        <v>CU0558</v>
      </c>
      <c r="C116" s="431" t="s">
        <v>755</v>
      </c>
      <c r="D116" s="367" t="s">
        <v>1325</v>
      </c>
      <c r="E116" s="367" t="s">
        <v>1340</v>
      </c>
      <c r="F116" s="439">
        <v>43435</v>
      </c>
      <c r="G116" s="430">
        <v>261502.52</v>
      </c>
      <c r="H116" s="440"/>
      <c r="I116" s="440">
        <f t="shared" si="38"/>
        <v>261502.52</v>
      </c>
      <c r="J116" s="440" t="s">
        <v>1368</v>
      </c>
      <c r="K116" s="444"/>
      <c r="L116" s="462">
        <f t="shared" si="39"/>
        <v>261502.52</v>
      </c>
      <c r="M116" s="462" t="s">
        <v>1461</v>
      </c>
      <c r="N116" s="444">
        <f>200000+44773/1.06</f>
        <v>242238.67924528301</v>
      </c>
      <c r="O116" s="462">
        <f t="shared" si="40"/>
        <v>19263.840754716977</v>
      </c>
      <c r="P116" s="447" t="s">
        <v>1523</v>
      </c>
      <c r="Q116" s="444">
        <f>140+15104</f>
        <v>15244</v>
      </c>
      <c r="R116" s="462">
        <f t="shared" si="41"/>
        <v>4019.8407547169772</v>
      </c>
      <c r="S116" s="447" t="s">
        <v>1580</v>
      </c>
      <c r="T116" s="447">
        <v>4019.84</v>
      </c>
      <c r="U116" s="462">
        <f t="shared" si="42"/>
        <v>7.5471697709872387E-4</v>
      </c>
      <c r="V116" s="447" t="s">
        <v>1626</v>
      </c>
      <c r="X116" s="462">
        <f t="shared" si="43"/>
        <v>7.5471697709872387E-4</v>
      </c>
      <c r="Y116" s="447" t="s">
        <v>1661</v>
      </c>
      <c r="AA116" s="462">
        <f t="shared" si="44"/>
        <v>7.5471697709872387E-4</v>
      </c>
      <c r="AB116" s="447" t="s">
        <v>1716</v>
      </c>
      <c r="AD116" s="462">
        <f t="shared" si="45"/>
        <v>7.5471697709872387E-4</v>
      </c>
      <c r="AG116" s="462">
        <f t="shared" si="46"/>
        <v>7.5471697709872387E-4</v>
      </c>
      <c r="AH116" s="447" t="s">
        <v>1819</v>
      </c>
      <c r="AJ116" s="462">
        <f t="shared" si="47"/>
        <v>7.5471697709872387E-4</v>
      </c>
      <c r="AM116" s="462">
        <f t="shared" si="48"/>
        <v>7.5471697709872387E-4</v>
      </c>
      <c r="AN116" s="447" t="s">
        <v>1948</v>
      </c>
      <c r="AP116" s="462">
        <f t="shared" si="49"/>
        <v>7.5471697709872387E-4</v>
      </c>
      <c r="AQ116" s="447" t="s">
        <v>1995</v>
      </c>
      <c r="AS116" s="459">
        <f t="shared" si="50"/>
        <v>7.5471697709872387E-4</v>
      </c>
      <c r="AV116" s="462">
        <f t="shared" si="51"/>
        <v>7.5471697709872387E-4</v>
      </c>
      <c r="AY116" s="462">
        <f t="shared" si="52"/>
        <v>7.5471697709872387E-4</v>
      </c>
      <c r="BB116" s="462">
        <f t="shared" si="53"/>
        <v>7.5471697709872387E-4</v>
      </c>
      <c r="BC116" s="447" t="s">
        <v>2204</v>
      </c>
      <c r="BE116" s="462">
        <f t="shared" si="54"/>
        <v>7.5471697709872387E-4</v>
      </c>
      <c r="BH116" s="462">
        <f t="shared" si="55"/>
        <v>7.5471697709872387E-4</v>
      </c>
      <c r="BK116" s="462">
        <f t="shared" si="56"/>
        <v>7.5471697709872387E-4</v>
      </c>
      <c r="BN116" s="462">
        <f t="shared" si="57"/>
        <v>7.5471697709872387E-4</v>
      </c>
      <c r="BQ116" s="462">
        <f t="shared" si="58"/>
        <v>0</v>
      </c>
      <c r="BT116" s="462">
        <f t="shared" si="59"/>
        <v>0</v>
      </c>
      <c r="BW116" s="462">
        <f t="shared" si="60"/>
        <v>0</v>
      </c>
      <c r="BZ116" s="462">
        <f t="shared" si="61"/>
        <v>0</v>
      </c>
      <c r="CD116" s="418" t="str">
        <f t="shared" si="62"/>
        <v>CU0558001</v>
      </c>
      <c r="CE116" s="442" t="str">
        <f t="shared" si="63"/>
        <v>2018年12月</v>
      </c>
      <c r="CF116" s="418" t="str">
        <f t="shared" si="64"/>
        <v>大连聚盟科clife服务费暂估</v>
      </c>
      <c r="CG116" s="418" t="str">
        <f t="shared" si="65"/>
        <v>2018年12月大连聚盟科clife服务费暂估</v>
      </c>
    </row>
    <row r="117" spans="2:85" s="447" customFormat="1" ht="17.25" customHeight="1">
      <c r="B117" s="447" t="str">
        <f t="shared" si="37"/>
        <v>CU0558</v>
      </c>
      <c r="C117" s="431" t="s">
        <v>755</v>
      </c>
      <c r="D117" s="367" t="s">
        <v>1326</v>
      </c>
      <c r="E117" s="367" t="s">
        <v>1341</v>
      </c>
      <c r="F117" s="439">
        <v>43435</v>
      </c>
      <c r="G117" s="430">
        <f>269996.72+3837.24+4419.36</f>
        <v>278253.31999999995</v>
      </c>
      <c r="H117" s="440"/>
      <c r="I117" s="440">
        <f t="shared" si="38"/>
        <v>278253.31999999995</v>
      </c>
      <c r="J117" s="440" t="s">
        <v>1368</v>
      </c>
      <c r="K117" s="444">
        <f>ROUND((294948.5/1.06),2)</f>
        <v>278253.3</v>
      </c>
      <c r="L117" s="462">
        <f t="shared" si="39"/>
        <v>0.02</v>
      </c>
      <c r="M117" s="462" t="s">
        <v>1461</v>
      </c>
      <c r="N117" s="444"/>
      <c r="O117" s="462">
        <f t="shared" si="40"/>
        <v>0.02</v>
      </c>
      <c r="P117" s="447" t="s">
        <v>1523</v>
      </c>
      <c r="R117" s="462">
        <f t="shared" si="41"/>
        <v>0.02</v>
      </c>
      <c r="S117" s="447" t="s">
        <v>1580</v>
      </c>
      <c r="U117" s="462">
        <f t="shared" si="42"/>
        <v>0.02</v>
      </c>
      <c r="V117" s="447" t="s">
        <v>1626</v>
      </c>
      <c r="X117" s="462">
        <f t="shared" si="43"/>
        <v>0.02</v>
      </c>
      <c r="Y117" s="447" t="s">
        <v>1661</v>
      </c>
      <c r="AA117" s="462">
        <f t="shared" si="44"/>
        <v>0.02</v>
      </c>
      <c r="AB117" s="447" t="s">
        <v>1716</v>
      </c>
      <c r="AD117" s="462">
        <v>0</v>
      </c>
      <c r="AG117" s="462">
        <f t="shared" si="46"/>
        <v>0</v>
      </c>
      <c r="AH117" s="447" t="s">
        <v>1819</v>
      </c>
      <c r="AJ117" s="462">
        <f t="shared" si="47"/>
        <v>0</v>
      </c>
      <c r="AM117" s="462">
        <f t="shared" si="48"/>
        <v>0</v>
      </c>
      <c r="AN117" s="447" t="s">
        <v>1948</v>
      </c>
      <c r="AP117" s="462">
        <f t="shared" si="49"/>
        <v>0</v>
      </c>
      <c r="AQ117" s="447" t="s">
        <v>1995</v>
      </c>
      <c r="AS117" s="459">
        <f t="shared" si="50"/>
        <v>0</v>
      </c>
      <c r="AV117" s="462">
        <f t="shared" si="51"/>
        <v>0</v>
      </c>
      <c r="AY117" s="462">
        <f t="shared" si="52"/>
        <v>0</v>
      </c>
      <c r="BB117" s="462">
        <f t="shared" si="53"/>
        <v>0</v>
      </c>
      <c r="BC117" s="447" t="s">
        <v>2204</v>
      </c>
      <c r="BE117" s="462">
        <f t="shared" si="54"/>
        <v>0</v>
      </c>
      <c r="BH117" s="462">
        <f t="shared" si="55"/>
        <v>0</v>
      </c>
      <c r="BK117" s="462">
        <f t="shared" si="56"/>
        <v>0</v>
      </c>
      <c r="BN117" s="462">
        <f t="shared" si="57"/>
        <v>0</v>
      </c>
      <c r="BQ117" s="462">
        <f t="shared" si="58"/>
        <v>0</v>
      </c>
      <c r="BT117" s="462">
        <f t="shared" si="59"/>
        <v>0</v>
      </c>
      <c r="BW117" s="462">
        <f t="shared" si="60"/>
        <v>0</v>
      </c>
      <c r="BZ117" s="462">
        <f t="shared" si="61"/>
        <v>0</v>
      </c>
      <c r="CD117" s="418" t="str">
        <f t="shared" si="62"/>
        <v>CU0558001</v>
      </c>
      <c r="CE117" s="442" t="str">
        <f t="shared" si="63"/>
        <v>2018年12月</v>
      </c>
      <c r="CF117" s="418" t="str">
        <f t="shared" si="64"/>
        <v>聚思鸿信息clife服务费暂估</v>
      </c>
      <c r="CG117" s="418" t="str">
        <f t="shared" si="65"/>
        <v>2018年12月聚思鸿信息clife服务费暂估</v>
      </c>
    </row>
    <row r="118" spans="2:85" s="447" customFormat="1" ht="17.25" customHeight="1">
      <c r="B118" s="447" t="str">
        <f t="shared" si="37"/>
        <v>CU0558</v>
      </c>
      <c r="C118" s="431" t="s">
        <v>755</v>
      </c>
      <c r="D118" s="367" t="s">
        <v>1946</v>
      </c>
      <c r="E118" s="367" t="s">
        <v>1342</v>
      </c>
      <c r="F118" s="439">
        <v>43435</v>
      </c>
      <c r="G118" s="430">
        <v>131107.66</v>
      </c>
      <c r="H118" s="440"/>
      <c r="I118" s="440">
        <f t="shared" si="38"/>
        <v>131107.66</v>
      </c>
      <c r="J118" s="440" t="s">
        <v>1368</v>
      </c>
      <c r="K118" s="444">
        <v>126592</v>
      </c>
      <c r="L118" s="462">
        <f t="shared" si="39"/>
        <v>4515.66</v>
      </c>
      <c r="M118" s="462" t="s">
        <v>1461</v>
      </c>
      <c r="N118" s="444"/>
      <c r="O118" s="462">
        <f t="shared" si="40"/>
        <v>4515.66</v>
      </c>
      <c r="P118" s="447" t="s">
        <v>1523</v>
      </c>
      <c r="R118" s="462">
        <f t="shared" si="41"/>
        <v>4515.66</v>
      </c>
      <c r="S118" s="447" t="s">
        <v>1580</v>
      </c>
      <c r="U118" s="462">
        <f t="shared" si="42"/>
        <v>4515.66</v>
      </c>
      <c r="V118" s="447" t="s">
        <v>1626</v>
      </c>
      <c r="X118" s="462">
        <f t="shared" si="43"/>
        <v>4515.66</v>
      </c>
      <c r="Y118" s="447" t="s">
        <v>1661</v>
      </c>
      <c r="AA118" s="462">
        <f t="shared" si="44"/>
        <v>4515.66</v>
      </c>
      <c r="AB118" s="447" t="s">
        <v>1716</v>
      </c>
      <c r="AD118" s="462">
        <f t="shared" si="45"/>
        <v>4515.66</v>
      </c>
      <c r="AE118" s="447" t="s">
        <v>1753</v>
      </c>
      <c r="AF118" s="447">
        <f>ROUND(3903.5/1.06,2)</f>
        <v>3682.55</v>
      </c>
      <c r="AG118" s="462">
        <f t="shared" si="46"/>
        <v>833.10999999999967</v>
      </c>
      <c r="AH118" s="447" t="s">
        <v>1819</v>
      </c>
      <c r="AJ118" s="462">
        <f t="shared" si="47"/>
        <v>833.10999999999967</v>
      </c>
      <c r="AK118" s="447" t="s">
        <v>1862</v>
      </c>
      <c r="AL118" s="447">
        <f>ROUND(720/1.06,2)</f>
        <v>679.25</v>
      </c>
      <c r="AM118" s="462">
        <f t="shared" si="48"/>
        <v>153.85999999999967</v>
      </c>
      <c r="AN118" s="447" t="s">
        <v>1948</v>
      </c>
      <c r="AP118" s="462">
        <f t="shared" si="49"/>
        <v>153.85999999999967</v>
      </c>
      <c r="AQ118" s="447" t="s">
        <v>1995</v>
      </c>
      <c r="AS118" s="459">
        <f t="shared" si="50"/>
        <v>153.85999999999967</v>
      </c>
      <c r="AV118" s="462">
        <f t="shared" si="51"/>
        <v>153.85999999999967</v>
      </c>
      <c r="AW118" s="447" t="s">
        <v>2107</v>
      </c>
      <c r="AX118" s="462">
        <f>AV118</f>
        <v>153.85999999999967</v>
      </c>
      <c r="AY118" s="462">
        <f t="shared" si="52"/>
        <v>0</v>
      </c>
      <c r="AZ118" s="447" t="s">
        <v>2131</v>
      </c>
      <c r="BB118" s="462">
        <f t="shared" si="53"/>
        <v>0</v>
      </c>
      <c r="BC118" s="447" t="s">
        <v>2204</v>
      </c>
      <c r="BE118" s="462">
        <f t="shared" si="54"/>
        <v>0</v>
      </c>
      <c r="BH118" s="462">
        <f t="shared" si="55"/>
        <v>0</v>
      </c>
      <c r="BK118" s="462">
        <f t="shared" si="56"/>
        <v>0</v>
      </c>
      <c r="BN118" s="462">
        <f t="shared" si="57"/>
        <v>0</v>
      </c>
      <c r="BQ118" s="462">
        <f t="shared" si="58"/>
        <v>0</v>
      </c>
      <c r="BT118" s="462">
        <f t="shared" si="59"/>
        <v>0</v>
      </c>
      <c r="BW118" s="462">
        <f t="shared" si="60"/>
        <v>0</v>
      </c>
      <c r="BZ118" s="462">
        <f t="shared" si="61"/>
        <v>0</v>
      </c>
      <c r="CD118" s="418" t="str">
        <f t="shared" si="62"/>
        <v>CU0558001</v>
      </c>
      <c r="CE118" s="442" t="str">
        <f t="shared" si="63"/>
        <v>2018年12月</v>
      </c>
      <c r="CF118" s="418" t="str">
        <f t="shared" si="64"/>
        <v>佛山聚盟环clife服务费暂估</v>
      </c>
      <c r="CG118" s="418" t="str">
        <f t="shared" si="65"/>
        <v>2018年12月佛山聚盟环clife服务费暂估</v>
      </c>
    </row>
    <row r="119" spans="2:85" s="447" customFormat="1" ht="17.25" customHeight="1">
      <c r="B119" s="447" t="str">
        <f t="shared" si="37"/>
        <v>CU0636</v>
      </c>
      <c r="C119" s="431" t="s">
        <v>755</v>
      </c>
      <c r="D119" s="367" t="s">
        <v>22</v>
      </c>
      <c r="E119" s="367" t="s">
        <v>413</v>
      </c>
      <c r="F119" s="439">
        <v>43435</v>
      </c>
      <c r="G119" s="430">
        <v>64934.71</v>
      </c>
      <c r="H119" s="440"/>
      <c r="I119" s="440">
        <f t="shared" si="38"/>
        <v>64934.71</v>
      </c>
      <c r="J119" s="440" t="s">
        <v>1368</v>
      </c>
      <c r="K119" s="444"/>
      <c r="L119" s="462">
        <f t="shared" si="39"/>
        <v>64934.71</v>
      </c>
      <c r="M119" s="462" t="s">
        <v>1461</v>
      </c>
      <c r="N119" s="444"/>
      <c r="O119" s="462">
        <f t="shared" si="40"/>
        <v>64934.71</v>
      </c>
      <c r="P119" s="447" t="s">
        <v>1522</v>
      </c>
      <c r="R119" s="462">
        <f t="shared" si="41"/>
        <v>64934.71</v>
      </c>
      <c r="S119" s="447" t="s">
        <v>1580</v>
      </c>
      <c r="U119" s="462">
        <f t="shared" si="42"/>
        <v>64934.71</v>
      </c>
      <c r="V119" s="447" t="s">
        <v>1626</v>
      </c>
      <c r="X119" s="462">
        <f t="shared" si="43"/>
        <v>64934.71</v>
      </c>
      <c r="Y119" s="447" t="s">
        <v>1661</v>
      </c>
      <c r="Z119" s="444">
        <f>ROUND((23241.6)/1.06,2)</f>
        <v>21926.04</v>
      </c>
      <c r="AA119" s="462">
        <f t="shared" si="44"/>
        <v>43008.67</v>
      </c>
      <c r="AB119" s="447" t="s">
        <v>1716</v>
      </c>
      <c r="AD119" s="462">
        <f t="shared" si="45"/>
        <v>43008.67</v>
      </c>
      <c r="AE119" s="447" t="s">
        <v>1753</v>
      </c>
      <c r="AF119" s="444">
        <f>ROUND(24210/1.06,2)</f>
        <v>22839.62</v>
      </c>
      <c r="AG119" s="462">
        <f t="shared" si="46"/>
        <v>20169.05</v>
      </c>
      <c r="AH119" s="447" t="s">
        <v>1819</v>
      </c>
      <c r="AJ119" s="462">
        <f t="shared" si="47"/>
        <v>20169.05</v>
      </c>
      <c r="AK119" s="447" t="s">
        <v>1862</v>
      </c>
      <c r="AL119" s="447">
        <f>19172+1777-779.95</f>
        <v>20169.05</v>
      </c>
      <c r="AM119" s="462">
        <f t="shared" si="48"/>
        <v>0</v>
      </c>
      <c r="AN119" s="447" t="s">
        <v>1948</v>
      </c>
      <c r="AP119" s="462">
        <f t="shared" si="49"/>
        <v>0</v>
      </c>
      <c r="AQ119" s="447" t="s">
        <v>1995</v>
      </c>
      <c r="AS119" s="459">
        <f t="shared" si="50"/>
        <v>0</v>
      </c>
      <c r="AV119" s="462">
        <f t="shared" si="51"/>
        <v>0</v>
      </c>
      <c r="AY119" s="462">
        <f t="shared" si="52"/>
        <v>0</v>
      </c>
      <c r="BB119" s="462">
        <f t="shared" si="53"/>
        <v>0</v>
      </c>
      <c r="BC119" s="447" t="s">
        <v>2204</v>
      </c>
      <c r="BE119" s="462">
        <f t="shared" si="54"/>
        <v>0</v>
      </c>
      <c r="BH119" s="462">
        <f t="shared" si="55"/>
        <v>0</v>
      </c>
      <c r="BK119" s="462">
        <f t="shared" si="56"/>
        <v>0</v>
      </c>
      <c r="BN119" s="462">
        <f t="shared" si="57"/>
        <v>0</v>
      </c>
      <c r="BQ119" s="462">
        <f t="shared" si="58"/>
        <v>0</v>
      </c>
      <c r="BT119" s="462">
        <f t="shared" si="59"/>
        <v>0</v>
      </c>
      <c r="BW119" s="462">
        <f t="shared" si="60"/>
        <v>0</v>
      </c>
      <c r="BZ119" s="462">
        <f t="shared" si="61"/>
        <v>0</v>
      </c>
      <c r="CD119" s="418" t="str">
        <f t="shared" si="62"/>
        <v>CU0636001</v>
      </c>
      <c r="CE119" s="442" t="str">
        <f t="shared" si="63"/>
        <v>2018年12月</v>
      </c>
      <c r="CF119" s="418" t="str">
        <f t="shared" si="64"/>
        <v>巴丽（上海clife服务费暂估</v>
      </c>
      <c r="CG119" s="418" t="str">
        <f t="shared" si="65"/>
        <v>2018年12月巴丽（上海clife服务费暂估</v>
      </c>
    </row>
    <row r="120" spans="2:85" s="447" customFormat="1" ht="17.25" customHeight="1">
      <c r="B120" s="447" t="str">
        <f t="shared" si="37"/>
        <v>CU0692</v>
      </c>
      <c r="C120" s="431" t="s">
        <v>755</v>
      </c>
      <c r="D120" s="367" t="s">
        <v>1942</v>
      </c>
      <c r="E120" s="367" t="s">
        <v>1941</v>
      </c>
      <c r="F120" s="439">
        <v>43435</v>
      </c>
      <c r="G120" s="430">
        <v>2083.48</v>
      </c>
      <c r="H120" s="440"/>
      <c r="I120" s="440">
        <f t="shared" si="38"/>
        <v>2083.48</v>
      </c>
      <c r="J120" s="440" t="s">
        <v>1368</v>
      </c>
      <c r="K120" s="444"/>
      <c r="L120" s="462">
        <f t="shared" si="39"/>
        <v>2083.48</v>
      </c>
      <c r="M120" s="462" t="s">
        <v>1461</v>
      </c>
      <c r="N120" s="444"/>
      <c r="O120" s="462">
        <f t="shared" si="40"/>
        <v>2083.48</v>
      </c>
      <c r="P120" s="447" t="s">
        <v>1522</v>
      </c>
      <c r="R120" s="462">
        <f t="shared" si="41"/>
        <v>2083.48</v>
      </c>
      <c r="S120" s="447" t="s">
        <v>1580</v>
      </c>
      <c r="U120" s="462">
        <f t="shared" si="42"/>
        <v>2083.48</v>
      </c>
      <c r="V120" s="447" t="s">
        <v>1626</v>
      </c>
      <c r="X120" s="462">
        <f t="shared" si="43"/>
        <v>2083.48</v>
      </c>
      <c r="Y120" s="447" t="s">
        <v>1661</v>
      </c>
      <c r="AA120" s="462">
        <f t="shared" si="44"/>
        <v>2083.48</v>
      </c>
      <c r="AB120" s="447" t="s">
        <v>1716</v>
      </c>
      <c r="AD120" s="462">
        <f t="shared" si="45"/>
        <v>2083.48</v>
      </c>
      <c r="AE120" s="447" t="s">
        <v>1753</v>
      </c>
      <c r="AG120" s="462">
        <f t="shared" si="46"/>
        <v>2083.48</v>
      </c>
      <c r="AH120" s="447" t="s">
        <v>1819</v>
      </c>
      <c r="AJ120" s="462">
        <f t="shared" si="47"/>
        <v>2083.48</v>
      </c>
      <c r="AK120" s="447" t="s">
        <v>1862</v>
      </c>
      <c r="AL120" s="447">
        <f>ROUND(2042/1.06,2)</f>
        <v>1926.42</v>
      </c>
      <c r="AM120" s="462">
        <f t="shared" si="48"/>
        <v>157.05999999999995</v>
      </c>
      <c r="AN120" s="447" t="s">
        <v>1948</v>
      </c>
      <c r="AP120" s="462">
        <f t="shared" si="49"/>
        <v>157.05999999999995</v>
      </c>
      <c r="AQ120" s="447" t="s">
        <v>1995</v>
      </c>
      <c r="AS120" s="459">
        <f t="shared" si="50"/>
        <v>157.05999999999995</v>
      </c>
      <c r="AV120" s="462">
        <f t="shared" si="51"/>
        <v>157.05999999999995</v>
      </c>
      <c r="AW120" s="447" t="s">
        <v>2107</v>
      </c>
      <c r="AX120" s="462">
        <f>AV120</f>
        <v>157.05999999999995</v>
      </c>
      <c r="AY120" s="462">
        <f t="shared" si="52"/>
        <v>0</v>
      </c>
      <c r="BB120" s="462">
        <f t="shared" si="53"/>
        <v>0</v>
      </c>
      <c r="BC120" s="447" t="s">
        <v>2204</v>
      </c>
      <c r="BE120" s="462">
        <f t="shared" si="54"/>
        <v>0</v>
      </c>
      <c r="BH120" s="462">
        <f t="shared" si="55"/>
        <v>0</v>
      </c>
      <c r="BK120" s="462">
        <f t="shared" si="56"/>
        <v>0</v>
      </c>
      <c r="BN120" s="462">
        <f t="shared" si="57"/>
        <v>0</v>
      </c>
      <c r="BQ120" s="462">
        <f t="shared" si="58"/>
        <v>0</v>
      </c>
      <c r="BT120" s="462">
        <f t="shared" si="59"/>
        <v>0</v>
      </c>
      <c r="BW120" s="462">
        <f t="shared" si="60"/>
        <v>0</v>
      </c>
      <c r="BZ120" s="462">
        <f t="shared" si="61"/>
        <v>0</v>
      </c>
      <c r="CD120" s="418" t="str">
        <f t="shared" si="62"/>
        <v>CU0692001</v>
      </c>
      <c r="CE120" s="442" t="str">
        <f t="shared" si="63"/>
        <v>2018年12月</v>
      </c>
      <c r="CF120" s="418" t="str">
        <f t="shared" si="64"/>
        <v>欧尚（中国clife服务费暂估</v>
      </c>
      <c r="CG120" s="418" t="str">
        <f t="shared" si="65"/>
        <v>2018年12月欧尚（中国clife服务费暂估</v>
      </c>
    </row>
    <row r="121" spans="2:85" s="447" customFormat="1" ht="17.25" customHeight="1">
      <c r="B121" s="447" t="str">
        <f t="shared" si="37"/>
        <v>CU0812</v>
      </c>
      <c r="C121" s="431" t="s">
        <v>755</v>
      </c>
      <c r="D121" s="367" t="s">
        <v>1328</v>
      </c>
      <c r="E121" s="367" t="s">
        <v>1343</v>
      </c>
      <c r="F121" s="439">
        <v>43435</v>
      </c>
      <c r="G121" s="430">
        <v>997.29</v>
      </c>
      <c r="H121" s="440"/>
      <c r="I121" s="440">
        <f t="shared" si="38"/>
        <v>997.29</v>
      </c>
      <c r="J121" s="440" t="s">
        <v>1368</v>
      </c>
      <c r="K121" s="444"/>
      <c r="L121" s="462">
        <f t="shared" si="39"/>
        <v>997.29</v>
      </c>
      <c r="M121" s="462" t="s">
        <v>1461</v>
      </c>
      <c r="N121" s="444">
        <f t="shared" ref="N121:N123" si="70">L121</f>
        <v>997.29</v>
      </c>
      <c r="O121" s="462">
        <f t="shared" si="40"/>
        <v>0</v>
      </c>
      <c r="P121" s="447" t="s">
        <v>1523</v>
      </c>
      <c r="R121" s="462">
        <f t="shared" si="41"/>
        <v>0</v>
      </c>
      <c r="S121" s="447" t="s">
        <v>1580</v>
      </c>
      <c r="U121" s="462">
        <f t="shared" si="42"/>
        <v>0</v>
      </c>
      <c r="V121" s="447" t="s">
        <v>1626</v>
      </c>
      <c r="X121" s="462">
        <f t="shared" si="43"/>
        <v>0</v>
      </c>
      <c r="Y121" s="447" t="s">
        <v>1661</v>
      </c>
      <c r="AA121" s="462">
        <f t="shared" si="44"/>
        <v>0</v>
      </c>
      <c r="AB121" s="447" t="s">
        <v>1716</v>
      </c>
      <c r="AD121" s="462">
        <f t="shared" si="45"/>
        <v>0</v>
      </c>
      <c r="AG121" s="462">
        <f t="shared" si="46"/>
        <v>0</v>
      </c>
      <c r="AH121" s="447" t="s">
        <v>1819</v>
      </c>
      <c r="AJ121" s="462">
        <f t="shared" si="47"/>
        <v>0</v>
      </c>
      <c r="AM121" s="462">
        <f t="shared" si="48"/>
        <v>0</v>
      </c>
      <c r="AN121" s="447" t="s">
        <v>1948</v>
      </c>
      <c r="AP121" s="462">
        <f t="shared" si="49"/>
        <v>0</v>
      </c>
      <c r="AQ121" s="447" t="s">
        <v>1995</v>
      </c>
      <c r="AS121" s="459">
        <f t="shared" si="50"/>
        <v>0</v>
      </c>
      <c r="AV121" s="462">
        <f t="shared" si="51"/>
        <v>0</v>
      </c>
      <c r="AY121" s="462">
        <f t="shared" si="52"/>
        <v>0</v>
      </c>
      <c r="BB121" s="462">
        <f t="shared" si="53"/>
        <v>0</v>
      </c>
      <c r="BC121" s="447" t="s">
        <v>2204</v>
      </c>
      <c r="BE121" s="462">
        <f t="shared" si="54"/>
        <v>0</v>
      </c>
      <c r="BH121" s="462">
        <f t="shared" si="55"/>
        <v>0</v>
      </c>
      <c r="BK121" s="462">
        <f t="shared" si="56"/>
        <v>0</v>
      </c>
      <c r="BN121" s="462">
        <f t="shared" si="57"/>
        <v>0</v>
      </c>
      <c r="BQ121" s="462">
        <f t="shared" si="58"/>
        <v>0</v>
      </c>
      <c r="BT121" s="462">
        <f t="shared" si="59"/>
        <v>0</v>
      </c>
      <c r="BW121" s="462">
        <f t="shared" si="60"/>
        <v>0</v>
      </c>
      <c r="BZ121" s="462">
        <f t="shared" si="61"/>
        <v>0</v>
      </c>
      <c r="CD121" s="418" t="str">
        <f t="shared" si="62"/>
        <v>CU0812001</v>
      </c>
      <c r="CE121" s="442" t="str">
        <f t="shared" si="63"/>
        <v>2018年12月</v>
      </c>
      <c r="CF121" s="418" t="str">
        <f t="shared" si="64"/>
        <v>上海恩派社clife服务费暂估</v>
      </c>
      <c r="CG121" s="418" t="str">
        <f t="shared" si="65"/>
        <v>2018年12月上海恩派社clife服务费暂估</v>
      </c>
    </row>
    <row r="122" spans="2:85" s="447" customFormat="1" ht="17.25" customHeight="1">
      <c r="B122" s="447" t="str">
        <f t="shared" si="37"/>
        <v>CU0812</v>
      </c>
      <c r="C122" s="431" t="s">
        <v>755</v>
      </c>
      <c r="D122" s="367" t="s">
        <v>1233</v>
      </c>
      <c r="E122" s="367" t="s">
        <v>1344</v>
      </c>
      <c r="F122" s="439">
        <v>43435</v>
      </c>
      <c r="G122" s="430">
        <v>1994.57</v>
      </c>
      <c r="H122" s="440"/>
      <c r="I122" s="440">
        <f t="shared" si="38"/>
        <v>1994.57</v>
      </c>
      <c r="J122" s="440" t="s">
        <v>1368</v>
      </c>
      <c r="K122" s="444"/>
      <c r="L122" s="462">
        <f t="shared" si="39"/>
        <v>1994.57</v>
      </c>
      <c r="M122" s="462" t="s">
        <v>1461</v>
      </c>
      <c r="N122" s="444">
        <f t="shared" si="70"/>
        <v>1994.57</v>
      </c>
      <c r="O122" s="462">
        <f t="shared" si="40"/>
        <v>0</v>
      </c>
      <c r="P122" s="447" t="s">
        <v>1523</v>
      </c>
      <c r="R122" s="462">
        <f t="shared" si="41"/>
        <v>0</v>
      </c>
      <c r="S122" s="447" t="s">
        <v>1580</v>
      </c>
      <c r="U122" s="462">
        <f t="shared" si="42"/>
        <v>0</v>
      </c>
      <c r="V122" s="447" t="s">
        <v>1626</v>
      </c>
      <c r="X122" s="462">
        <f t="shared" si="43"/>
        <v>0</v>
      </c>
      <c r="Y122" s="447" t="s">
        <v>1661</v>
      </c>
      <c r="AA122" s="462">
        <f t="shared" si="44"/>
        <v>0</v>
      </c>
      <c r="AB122" s="447" t="s">
        <v>1716</v>
      </c>
      <c r="AD122" s="462">
        <f t="shared" si="45"/>
        <v>0</v>
      </c>
      <c r="AG122" s="462">
        <f t="shared" si="46"/>
        <v>0</v>
      </c>
      <c r="AH122" s="447" t="s">
        <v>1819</v>
      </c>
      <c r="AJ122" s="462">
        <f t="shared" si="47"/>
        <v>0</v>
      </c>
      <c r="AM122" s="462">
        <f t="shared" si="48"/>
        <v>0</v>
      </c>
      <c r="AN122" s="447" t="s">
        <v>1948</v>
      </c>
      <c r="AP122" s="462">
        <f t="shared" si="49"/>
        <v>0</v>
      </c>
      <c r="AQ122" s="447" t="s">
        <v>1995</v>
      </c>
      <c r="AS122" s="459">
        <f t="shared" si="50"/>
        <v>0</v>
      </c>
      <c r="AV122" s="462">
        <f t="shared" si="51"/>
        <v>0</v>
      </c>
      <c r="AY122" s="462">
        <f t="shared" si="52"/>
        <v>0</v>
      </c>
      <c r="BB122" s="462">
        <f t="shared" si="53"/>
        <v>0</v>
      </c>
      <c r="BC122" s="447" t="s">
        <v>2204</v>
      </c>
      <c r="BE122" s="462">
        <f t="shared" si="54"/>
        <v>0</v>
      </c>
      <c r="BH122" s="462">
        <f t="shared" si="55"/>
        <v>0</v>
      </c>
      <c r="BK122" s="462">
        <f t="shared" si="56"/>
        <v>0</v>
      </c>
      <c r="BN122" s="462">
        <f t="shared" si="57"/>
        <v>0</v>
      </c>
      <c r="BQ122" s="462">
        <f t="shared" si="58"/>
        <v>0</v>
      </c>
      <c r="BT122" s="462">
        <f t="shared" si="59"/>
        <v>0</v>
      </c>
      <c r="BW122" s="462">
        <f t="shared" si="60"/>
        <v>0</v>
      </c>
      <c r="BZ122" s="462">
        <f t="shared" si="61"/>
        <v>0</v>
      </c>
      <c r="CD122" s="418" t="str">
        <f t="shared" si="62"/>
        <v>CU0812001</v>
      </c>
      <c r="CE122" s="442" t="str">
        <f t="shared" si="63"/>
        <v>2018年12月</v>
      </c>
      <c r="CF122" s="418" t="str">
        <f t="shared" si="64"/>
        <v>上海屋里厢clife服务费暂估</v>
      </c>
      <c r="CG122" s="418" t="str">
        <f t="shared" si="65"/>
        <v>2018年12月上海屋里厢clife服务费暂估</v>
      </c>
    </row>
    <row r="123" spans="2:85" s="447" customFormat="1" ht="17.25" customHeight="1">
      <c r="B123" s="447" t="str">
        <f t="shared" si="37"/>
        <v>CU0812</v>
      </c>
      <c r="C123" s="431" t="s">
        <v>755</v>
      </c>
      <c r="D123" s="367" t="s">
        <v>1085</v>
      </c>
      <c r="E123" s="367" t="s">
        <v>1345</v>
      </c>
      <c r="F123" s="439">
        <v>43435</v>
      </c>
      <c r="G123" s="430">
        <v>997.29</v>
      </c>
      <c r="H123" s="440"/>
      <c r="I123" s="440">
        <f t="shared" si="38"/>
        <v>997.29</v>
      </c>
      <c r="J123" s="440" t="s">
        <v>1368</v>
      </c>
      <c r="K123" s="444"/>
      <c r="L123" s="462">
        <f t="shared" si="39"/>
        <v>997.29</v>
      </c>
      <c r="M123" s="462" t="s">
        <v>1461</v>
      </c>
      <c r="N123" s="444">
        <f t="shared" si="70"/>
        <v>997.29</v>
      </c>
      <c r="O123" s="462">
        <f t="shared" si="40"/>
        <v>0</v>
      </c>
      <c r="P123" s="447" t="s">
        <v>1523</v>
      </c>
      <c r="R123" s="462">
        <f t="shared" si="41"/>
        <v>0</v>
      </c>
      <c r="S123" s="447" t="s">
        <v>1580</v>
      </c>
      <c r="U123" s="462">
        <f t="shared" si="42"/>
        <v>0</v>
      </c>
      <c r="V123" s="447" t="s">
        <v>1626</v>
      </c>
      <c r="X123" s="462">
        <f t="shared" si="43"/>
        <v>0</v>
      </c>
      <c r="Y123" s="447" t="s">
        <v>1661</v>
      </c>
      <c r="AA123" s="462">
        <f t="shared" si="44"/>
        <v>0</v>
      </c>
      <c r="AB123" s="447" t="s">
        <v>1716</v>
      </c>
      <c r="AD123" s="462">
        <f t="shared" si="45"/>
        <v>0</v>
      </c>
      <c r="AG123" s="462">
        <f t="shared" si="46"/>
        <v>0</v>
      </c>
      <c r="AH123" s="447" t="s">
        <v>1819</v>
      </c>
      <c r="AJ123" s="462">
        <f t="shared" si="47"/>
        <v>0</v>
      </c>
      <c r="AM123" s="462">
        <f t="shared" si="48"/>
        <v>0</v>
      </c>
      <c r="AN123" s="447" t="s">
        <v>1948</v>
      </c>
      <c r="AP123" s="462">
        <f t="shared" si="49"/>
        <v>0</v>
      </c>
      <c r="AQ123" s="447" t="s">
        <v>1995</v>
      </c>
      <c r="AS123" s="459">
        <f t="shared" si="50"/>
        <v>0</v>
      </c>
      <c r="AV123" s="462">
        <f t="shared" si="51"/>
        <v>0</v>
      </c>
      <c r="AY123" s="462">
        <f t="shared" si="52"/>
        <v>0</v>
      </c>
      <c r="BB123" s="462">
        <f t="shared" si="53"/>
        <v>0</v>
      </c>
      <c r="BC123" s="447" t="s">
        <v>2204</v>
      </c>
      <c r="BE123" s="462">
        <f t="shared" si="54"/>
        <v>0</v>
      </c>
      <c r="BH123" s="462">
        <f t="shared" si="55"/>
        <v>0</v>
      </c>
      <c r="BK123" s="462">
        <f t="shared" si="56"/>
        <v>0</v>
      </c>
      <c r="BN123" s="462">
        <f t="shared" si="57"/>
        <v>0</v>
      </c>
      <c r="BQ123" s="462">
        <f t="shared" si="58"/>
        <v>0</v>
      </c>
      <c r="BT123" s="462">
        <f t="shared" si="59"/>
        <v>0</v>
      </c>
      <c r="BW123" s="462">
        <f t="shared" si="60"/>
        <v>0</v>
      </c>
      <c r="BZ123" s="462">
        <f t="shared" si="61"/>
        <v>0</v>
      </c>
      <c r="CD123" s="418" t="str">
        <f t="shared" si="62"/>
        <v>CU0812001</v>
      </c>
      <c r="CE123" s="442" t="str">
        <f t="shared" si="63"/>
        <v>2018年12月</v>
      </c>
      <c r="CF123" s="418" t="str">
        <f t="shared" si="64"/>
        <v>成都高新区clife服务费暂估</v>
      </c>
      <c r="CG123" s="418" t="str">
        <f t="shared" si="65"/>
        <v>2018年12月成都高新区clife服务费暂估</v>
      </c>
    </row>
    <row r="124" spans="2:85" s="447" customFormat="1" ht="17.25" customHeight="1">
      <c r="B124" s="447" t="str">
        <f t="shared" si="37"/>
        <v>CU0812</v>
      </c>
      <c r="C124" s="431" t="s">
        <v>755</v>
      </c>
      <c r="D124" s="367" t="s">
        <v>1329</v>
      </c>
      <c r="E124" s="367" t="s">
        <v>1346</v>
      </c>
      <c r="F124" s="439">
        <v>43435</v>
      </c>
      <c r="G124" s="430">
        <v>2991.86</v>
      </c>
      <c r="H124" s="440"/>
      <c r="I124" s="440">
        <f t="shared" si="38"/>
        <v>2991.86</v>
      </c>
      <c r="J124" s="440" t="s">
        <v>1368</v>
      </c>
      <c r="K124" s="444"/>
      <c r="L124" s="462">
        <f t="shared" si="39"/>
        <v>2991.86</v>
      </c>
      <c r="M124" s="462" t="s">
        <v>1461</v>
      </c>
      <c r="N124" s="444">
        <f>42500-N61-N77-N91-N121-N122-N123</f>
        <v>2981.8100000000013</v>
      </c>
      <c r="O124" s="462">
        <f t="shared" si="40"/>
        <v>10.049999999998818</v>
      </c>
      <c r="P124" s="447" t="s">
        <v>1523</v>
      </c>
      <c r="R124" s="462">
        <f t="shared" si="41"/>
        <v>10.049999999998818</v>
      </c>
      <c r="S124" s="447" t="s">
        <v>1580</v>
      </c>
      <c r="U124" s="462">
        <f t="shared" si="42"/>
        <v>10.049999999998818</v>
      </c>
      <c r="V124" s="447" t="s">
        <v>1626</v>
      </c>
      <c r="X124" s="462">
        <f t="shared" si="43"/>
        <v>10.049999999998818</v>
      </c>
      <c r="Y124" s="447" t="s">
        <v>1661</v>
      </c>
      <c r="AA124" s="462">
        <v>0</v>
      </c>
      <c r="AB124" s="447" t="s">
        <v>1716</v>
      </c>
      <c r="AC124" s="462"/>
      <c r="AD124" s="462">
        <f t="shared" si="45"/>
        <v>0</v>
      </c>
      <c r="AG124" s="462">
        <f t="shared" si="46"/>
        <v>0</v>
      </c>
      <c r="AH124" s="447" t="s">
        <v>1819</v>
      </c>
      <c r="AJ124" s="462">
        <f t="shared" si="47"/>
        <v>0</v>
      </c>
      <c r="AM124" s="462">
        <f t="shared" si="48"/>
        <v>0</v>
      </c>
      <c r="AN124" s="447" t="s">
        <v>1948</v>
      </c>
      <c r="AP124" s="462">
        <f t="shared" si="49"/>
        <v>0</v>
      </c>
      <c r="AQ124" s="447" t="s">
        <v>1995</v>
      </c>
      <c r="AS124" s="459">
        <f t="shared" si="50"/>
        <v>0</v>
      </c>
      <c r="AV124" s="462">
        <f t="shared" si="51"/>
        <v>0</v>
      </c>
      <c r="AY124" s="462">
        <f t="shared" si="52"/>
        <v>0</v>
      </c>
      <c r="BB124" s="462">
        <f t="shared" si="53"/>
        <v>0</v>
      </c>
      <c r="BC124" s="447" t="s">
        <v>2204</v>
      </c>
      <c r="BE124" s="462">
        <f t="shared" si="54"/>
        <v>0</v>
      </c>
      <c r="BH124" s="462">
        <f t="shared" si="55"/>
        <v>0</v>
      </c>
      <c r="BK124" s="462">
        <f t="shared" si="56"/>
        <v>0</v>
      </c>
      <c r="BN124" s="462">
        <f t="shared" si="57"/>
        <v>0</v>
      </c>
      <c r="BQ124" s="462">
        <f t="shared" si="58"/>
        <v>0</v>
      </c>
      <c r="BT124" s="462">
        <f t="shared" si="59"/>
        <v>0</v>
      </c>
      <c r="BW124" s="462">
        <f t="shared" si="60"/>
        <v>0</v>
      </c>
      <c r="BZ124" s="462">
        <f t="shared" si="61"/>
        <v>0</v>
      </c>
      <c r="CD124" s="418" t="str">
        <f t="shared" si="62"/>
        <v>CU0812001</v>
      </c>
      <c r="CE124" s="442" t="str">
        <f t="shared" si="63"/>
        <v>2018年12月</v>
      </c>
      <c r="CF124" s="418" t="str">
        <f t="shared" si="64"/>
        <v>北京市恩派clife服务费暂估</v>
      </c>
      <c r="CG124" s="418" t="str">
        <f t="shared" si="65"/>
        <v>2018年12月北京市恩派clife服务费暂估</v>
      </c>
    </row>
    <row r="125" spans="2:85" s="447" customFormat="1" ht="17.25" customHeight="1">
      <c r="B125" s="447" t="str">
        <f t="shared" si="37"/>
        <v>CU0822</v>
      </c>
      <c r="C125" s="431" t="s">
        <v>755</v>
      </c>
      <c r="D125" s="367" t="s">
        <v>238</v>
      </c>
      <c r="E125" s="367" t="s">
        <v>239</v>
      </c>
      <c r="F125" s="439">
        <v>43435</v>
      </c>
      <c r="G125" s="430">
        <v>13615.87</v>
      </c>
      <c r="H125" s="440">
        <v>13615.87</v>
      </c>
      <c r="I125" s="440">
        <f t="shared" si="38"/>
        <v>0</v>
      </c>
      <c r="J125" s="440" t="s">
        <v>1368</v>
      </c>
      <c r="K125" s="444"/>
      <c r="L125" s="462">
        <f t="shared" si="39"/>
        <v>0</v>
      </c>
      <c r="M125" s="462" t="s">
        <v>1461</v>
      </c>
      <c r="N125" s="444"/>
      <c r="O125" s="462">
        <f t="shared" si="40"/>
        <v>0</v>
      </c>
      <c r="P125" s="447" t="s">
        <v>1523</v>
      </c>
      <c r="R125" s="462">
        <f t="shared" si="41"/>
        <v>0</v>
      </c>
      <c r="S125" s="447" t="s">
        <v>1580</v>
      </c>
      <c r="U125" s="462">
        <f t="shared" si="42"/>
        <v>0</v>
      </c>
      <c r="V125" s="447" t="s">
        <v>1626</v>
      </c>
      <c r="X125" s="462">
        <f t="shared" si="43"/>
        <v>0</v>
      </c>
      <c r="Y125" s="447" t="s">
        <v>1661</v>
      </c>
      <c r="AA125" s="462">
        <f t="shared" si="44"/>
        <v>0</v>
      </c>
      <c r="AB125" s="447" t="s">
        <v>1716</v>
      </c>
      <c r="AD125" s="462">
        <f t="shared" si="45"/>
        <v>0</v>
      </c>
      <c r="AG125" s="462">
        <f t="shared" si="46"/>
        <v>0</v>
      </c>
      <c r="AH125" s="447" t="s">
        <v>1819</v>
      </c>
      <c r="AJ125" s="462">
        <f t="shared" si="47"/>
        <v>0</v>
      </c>
      <c r="AM125" s="462">
        <f t="shared" si="48"/>
        <v>0</v>
      </c>
      <c r="AN125" s="447" t="s">
        <v>1948</v>
      </c>
      <c r="AP125" s="462">
        <f t="shared" si="49"/>
        <v>0</v>
      </c>
      <c r="AQ125" s="447" t="s">
        <v>1995</v>
      </c>
      <c r="AS125" s="459">
        <f t="shared" si="50"/>
        <v>0</v>
      </c>
      <c r="AV125" s="462">
        <f t="shared" si="51"/>
        <v>0</v>
      </c>
      <c r="AY125" s="462">
        <f t="shared" si="52"/>
        <v>0</v>
      </c>
      <c r="BB125" s="462">
        <f t="shared" si="53"/>
        <v>0</v>
      </c>
      <c r="BC125" s="447" t="s">
        <v>2204</v>
      </c>
      <c r="BE125" s="462">
        <f t="shared" si="54"/>
        <v>0</v>
      </c>
      <c r="BH125" s="462">
        <f t="shared" si="55"/>
        <v>0</v>
      </c>
      <c r="BK125" s="462">
        <f t="shared" si="56"/>
        <v>0</v>
      </c>
      <c r="BN125" s="462">
        <f t="shared" si="57"/>
        <v>0</v>
      </c>
      <c r="BQ125" s="462">
        <f t="shared" si="58"/>
        <v>0</v>
      </c>
      <c r="BT125" s="462">
        <f t="shared" si="59"/>
        <v>0</v>
      </c>
      <c r="BW125" s="462">
        <f t="shared" si="60"/>
        <v>0</v>
      </c>
      <c r="BZ125" s="462">
        <f t="shared" si="61"/>
        <v>0</v>
      </c>
      <c r="CD125" s="418" t="str">
        <f t="shared" si="62"/>
        <v>CU0822001</v>
      </c>
      <c r="CE125" s="442" t="str">
        <f t="shared" si="63"/>
        <v>2018年12月</v>
      </c>
      <c r="CF125" s="418" t="str">
        <f t="shared" si="64"/>
        <v>美克国际家clife服务费暂估</v>
      </c>
      <c r="CG125" s="418" t="str">
        <f t="shared" si="65"/>
        <v>2018年12月美克国际家clife服务费暂估</v>
      </c>
    </row>
    <row r="126" spans="2:85" s="447" customFormat="1" ht="17.25" customHeight="1">
      <c r="B126" s="447" t="str">
        <f t="shared" si="37"/>
        <v>CU0869</v>
      </c>
      <c r="C126" s="431" t="s">
        <v>755</v>
      </c>
      <c r="D126" s="367" t="s">
        <v>862</v>
      </c>
      <c r="E126" s="367" t="s">
        <v>1330</v>
      </c>
      <c r="F126" s="439">
        <v>43435</v>
      </c>
      <c r="G126" s="430">
        <v>42181.120000000003</v>
      </c>
      <c r="H126" s="440"/>
      <c r="I126" s="440">
        <f t="shared" si="38"/>
        <v>42181.120000000003</v>
      </c>
      <c r="J126" s="440" t="s">
        <v>1368</v>
      </c>
      <c r="K126" s="444"/>
      <c r="L126" s="462">
        <f t="shared" si="39"/>
        <v>42181.120000000003</v>
      </c>
      <c r="M126" s="462" t="s">
        <v>1461</v>
      </c>
      <c r="N126" s="444"/>
      <c r="O126" s="462">
        <f t="shared" si="40"/>
        <v>42181.120000000003</v>
      </c>
      <c r="P126" s="447" t="s">
        <v>1522</v>
      </c>
      <c r="R126" s="462">
        <f t="shared" si="41"/>
        <v>42181.120000000003</v>
      </c>
      <c r="S126" s="447" t="s">
        <v>1580</v>
      </c>
      <c r="U126" s="462">
        <f t="shared" si="42"/>
        <v>42181.120000000003</v>
      </c>
      <c r="V126" s="447" t="s">
        <v>1626</v>
      </c>
      <c r="X126" s="462">
        <f t="shared" si="43"/>
        <v>42181.120000000003</v>
      </c>
      <c r="Y126" s="447" t="s">
        <v>1661</v>
      </c>
      <c r="Z126" s="462">
        <f>ROUND(94688/1.06,2)-Z47-Z64-Z98+15351.02</f>
        <v>42181.119999999995</v>
      </c>
      <c r="AA126" s="462">
        <f t="shared" si="44"/>
        <v>0</v>
      </c>
      <c r="AB126" s="447" t="s">
        <v>1716</v>
      </c>
      <c r="AD126" s="462">
        <f t="shared" si="45"/>
        <v>0</v>
      </c>
      <c r="AG126" s="462">
        <f t="shared" si="46"/>
        <v>0</v>
      </c>
      <c r="AH126" s="447" t="s">
        <v>1819</v>
      </c>
      <c r="AJ126" s="462">
        <f t="shared" si="47"/>
        <v>0</v>
      </c>
      <c r="AM126" s="462">
        <f t="shared" si="48"/>
        <v>0</v>
      </c>
      <c r="AN126" s="447" t="s">
        <v>1948</v>
      </c>
      <c r="AP126" s="462">
        <f t="shared" si="49"/>
        <v>0</v>
      </c>
      <c r="AQ126" s="447" t="s">
        <v>1995</v>
      </c>
      <c r="AS126" s="459">
        <f t="shared" si="50"/>
        <v>0</v>
      </c>
      <c r="AV126" s="462">
        <f t="shared" si="51"/>
        <v>0</v>
      </c>
      <c r="AY126" s="462">
        <f t="shared" si="52"/>
        <v>0</v>
      </c>
      <c r="BB126" s="462">
        <f t="shared" si="53"/>
        <v>0</v>
      </c>
      <c r="BC126" s="447" t="s">
        <v>2204</v>
      </c>
      <c r="BE126" s="462">
        <f t="shared" si="54"/>
        <v>0</v>
      </c>
      <c r="BH126" s="462">
        <f t="shared" si="55"/>
        <v>0</v>
      </c>
      <c r="BK126" s="462">
        <f t="shared" si="56"/>
        <v>0</v>
      </c>
      <c r="BN126" s="462">
        <f t="shared" si="57"/>
        <v>0</v>
      </c>
      <c r="BQ126" s="462">
        <f t="shared" si="58"/>
        <v>0</v>
      </c>
      <c r="BT126" s="462">
        <f t="shared" si="59"/>
        <v>0</v>
      </c>
      <c r="BW126" s="462">
        <f t="shared" si="60"/>
        <v>0</v>
      </c>
      <c r="BZ126" s="462">
        <f t="shared" si="61"/>
        <v>0</v>
      </c>
      <c r="CD126" s="418" t="str">
        <f t="shared" si="62"/>
        <v>CU0869001</v>
      </c>
      <c r="CE126" s="442" t="str">
        <f t="shared" si="63"/>
        <v>2018年12月</v>
      </c>
      <c r="CF126" s="418" t="str">
        <f t="shared" si="64"/>
        <v>智睿企业咨clife服务费暂估</v>
      </c>
      <c r="CG126" s="418" t="str">
        <f t="shared" si="65"/>
        <v>2018年12月智睿企业咨clife服务费暂估</v>
      </c>
    </row>
    <row r="127" spans="2:85" s="447" customFormat="1" ht="17.25" customHeight="1">
      <c r="B127" s="447" t="str">
        <f t="shared" si="37"/>
        <v>CU0869</v>
      </c>
      <c r="C127" s="431" t="s">
        <v>755</v>
      </c>
      <c r="D127" s="367" t="s">
        <v>828</v>
      </c>
      <c r="E127" s="367" t="s">
        <v>829</v>
      </c>
      <c r="F127" s="439">
        <v>43435</v>
      </c>
      <c r="G127" s="430">
        <v>63272.131999999998</v>
      </c>
      <c r="H127" s="440"/>
      <c r="I127" s="440">
        <f t="shared" si="38"/>
        <v>63272.131999999998</v>
      </c>
      <c r="J127" s="440" t="s">
        <v>1368</v>
      </c>
      <c r="K127" s="444"/>
      <c r="L127" s="462">
        <f t="shared" si="39"/>
        <v>63272.13</v>
      </c>
      <c r="M127" s="462" t="s">
        <v>1461</v>
      </c>
      <c r="N127" s="444">
        <f>65700/1.06</f>
        <v>61981.132075471694</v>
      </c>
      <c r="O127" s="462">
        <f t="shared" si="40"/>
        <v>1290.997924528303</v>
      </c>
      <c r="P127" s="447" t="s">
        <v>1522</v>
      </c>
      <c r="R127" s="462">
        <f t="shared" si="41"/>
        <v>1290.997924528303</v>
      </c>
      <c r="S127" s="447" t="s">
        <v>1580</v>
      </c>
      <c r="U127" s="462">
        <f t="shared" si="42"/>
        <v>1290.997924528303</v>
      </c>
      <c r="V127" s="447" t="s">
        <v>1626</v>
      </c>
      <c r="X127" s="462">
        <f t="shared" si="43"/>
        <v>1290.997924528303</v>
      </c>
      <c r="Y127" s="447" t="s">
        <v>1661</v>
      </c>
      <c r="Z127" s="462">
        <f>X127</f>
        <v>1290.997924528303</v>
      </c>
      <c r="AA127" s="462">
        <f t="shared" si="44"/>
        <v>0</v>
      </c>
      <c r="AB127" s="447" t="s">
        <v>1716</v>
      </c>
      <c r="AD127" s="462">
        <f t="shared" si="45"/>
        <v>0</v>
      </c>
      <c r="AG127" s="462">
        <f t="shared" si="46"/>
        <v>0</v>
      </c>
      <c r="AH127" s="447" t="s">
        <v>1819</v>
      </c>
      <c r="AJ127" s="462">
        <f t="shared" si="47"/>
        <v>0</v>
      </c>
      <c r="AM127" s="462">
        <f t="shared" si="48"/>
        <v>0</v>
      </c>
      <c r="AN127" s="447" t="s">
        <v>1948</v>
      </c>
      <c r="AP127" s="462">
        <f t="shared" si="49"/>
        <v>0</v>
      </c>
      <c r="AQ127" s="447" t="s">
        <v>1995</v>
      </c>
      <c r="AS127" s="459">
        <f t="shared" si="50"/>
        <v>0</v>
      </c>
      <c r="AV127" s="462">
        <f t="shared" si="51"/>
        <v>0</v>
      </c>
      <c r="AY127" s="462">
        <f t="shared" si="52"/>
        <v>0</v>
      </c>
      <c r="BB127" s="462">
        <f t="shared" si="53"/>
        <v>0</v>
      </c>
      <c r="BC127" s="447" t="s">
        <v>2204</v>
      </c>
      <c r="BE127" s="462">
        <f t="shared" si="54"/>
        <v>0</v>
      </c>
      <c r="BH127" s="462">
        <f t="shared" si="55"/>
        <v>0</v>
      </c>
      <c r="BK127" s="462">
        <f t="shared" si="56"/>
        <v>0</v>
      </c>
      <c r="BN127" s="462">
        <f t="shared" si="57"/>
        <v>0</v>
      </c>
      <c r="BQ127" s="462">
        <f t="shared" si="58"/>
        <v>0</v>
      </c>
      <c r="BT127" s="462">
        <f t="shared" si="59"/>
        <v>0</v>
      </c>
      <c r="BW127" s="462">
        <f t="shared" si="60"/>
        <v>0</v>
      </c>
      <c r="BZ127" s="462">
        <f t="shared" si="61"/>
        <v>0</v>
      </c>
      <c r="CD127" s="418" t="str">
        <f t="shared" si="62"/>
        <v>CU0869001</v>
      </c>
      <c r="CE127" s="442" t="str">
        <f t="shared" si="63"/>
        <v>2018年12月</v>
      </c>
      <c r="CF127" s="418" t="str">
        <f t="shared" si="64"/>
        <v>智睿企业咨clife服务费暂估</v>
      </c>
      <c r="CG127" s="418" t="str">
        <f t="shared" si="65"/>
        <v>2018年12月智睿企业咨clife服务费暂估</v>
      </c>
    </row>
    <row r="128" spans="2:85" s="447" customFormat="1" ht="17.25" customHeight="1">
      <c r="B128" s="447" t="str">
        <f t="shared" si="37"/>
        <v>CU1015</v>
      </c>
      <c r="C128" s="431" t="s">
        <v>755</v>
      </c>
      <c r="D128" s="367" t="s">
        <v>1119</v>
      </c>
      <c r="E128" s="367" t="s">
        <v>1347</v>
      </c>
      <c r="F128" s="439">
        <v>43435</v>
      </c>
      <c r="G128" s="430">
        <v>3698113.1</v>
      </c>
      <c r="H128" s="440">
        <v>3139056.6</v>
      </c>
      <c r="I128" s="440">
        <f t="shared" si="38"/>
        <v>559056.5</v>
      </c>
      <c r="J128" s="440" t="s">
        <v>1368</v>
      </c>
      <c r="K128" s="547">
        <v>559056.5</v>
      </c>
      <c r="L128" s="462">
        <f t="shared" si="39"/>
        <v>0</v>
      </c>
      <c r="M128" s="462" t="s">
        <v>1461</v>
      </c>
      <c r="N128" s="444"/>
      <c r="O128" s="462">
        <f t="shared" si="40"/>
        <v>0</v>
      </c>
      <c r="P128" s="447" t="s">
        <v>1522</v>
      </c>
      <c r="R128" s="462">
        <f t="shared" si="41"/>
        <v>0</v>
      </c>
      <c r="S128" s="447" t="s">
        <v>1580</v>
      </c>
      <c r="U128" s="462">
        <f t="shared" si="42"/>
        <v>0</v>
      </c>
      <c r="V128" s="447" t="s">
        <v>1626</v>
      </c>
      <c r="X128" s="462">
        <f t="shared" si="43"/>
        <v>0</v>
      </c>
      <c r="Y128" s="447" t="s">
        <v>1661</v>
      </c>
      <c r="AA128" s="462">
        <f t="shared" si="44"/>
        <v>0</v>
      </c>
      <c r="AB128" s="447" t="s">
        <v>1716</v>
      </c>
      <c r="AD128" s="462">
        <f t="shared" si="45"/>
        <v>0</v>
      </c>
      <c r="AG128" s="462">
        <f t="shared" si="46"/>
        <v>0</v>
      </c>
      <c r="AH128" s="447" t="s">
        <v>1819</v>
      </c>
      <c r="AJ128" s="462">
        <f t="shared" si="47"/>
        <v>0</v>
      </c>
      <c r="AM128" s="462">
        <f t="shared" si="48"/>
        <v>0</v>
      </c>
      <c r="AN128" s="447" t="s">
        <v>1948</v>
      </c>
      <c r="AP128" s="462">
        <f t="shared" si="49"/>
        <v>0</v>
      </c>
      <c r="AQ128" s="447" t="s">
        <v>1995</v>
      </c>
      <c r="AS128" s="459">
        <f t="shared" si="50"/>
        <v>0</v>
      </c>
      <c r="AV128" s="462">
        <f t="shared" si="51"/>
        <v>0</v>
      </c>
      <c r="AY128" s="462">
        <f t="shared" si="52"/>
        <v>0</v>
      </c>
      <c r="BB128" s="462">
        <f t="shared" si="53"/>
        <v>0</v>
      </c>
      <c r="BC128" s="447" t="s">
        <v>2204</v>
      </c>
      <c r="BE128" s="462">
        <f t="shared" si="54"/>
        <v>0</v>
      </c>
      <c r="BH128" s="462">
        <f t="shared" si="55"/>
        <v>0</v>
      </c>
      <c r="BK128" s="462">
        <f t="shared" si="56"/>
        <v>0</v>
      </c>
      <c r="BN128" s="462">
        <f t="shared" si="57"/>
        <v>0</v>
      </c>
      <c r="BQ128" s="462">
        <f t="shared" si="58"/>
        <v>0</v>
      </c>
      <c r="BT128" s="462">
        <f t="shared" si="59"/>
        <v>0</v>
      </c>
      <c r="BW128" s="462">
        <f t="shared" si="60"/>
        <v>0</v>
      </c>
      <c r="BZ128" s="462">
        <f t="shared" si="61"/>
        <v>0</v>
      </c>
      <c r="CD128" s="418" t="str">
        <f t="shared" si="62"/>
        <v>CU1015001</v>
      </c>
      <c r="CE128" s="442" t="str">
        <f t="shared" si="63"/>
        <v>2018年12月</v>
      </c>
      <c r="CF128" s="418" t="str">
        <f t="shared" si="64"/>
        <v>上海德筑企clife服务费暂估</v>
      </c>
      <c r="CG128" s="418" t="str">
        <f t="shared" si="65"/>
        <v>2018年12月上海德筑企clife服务费暂估</v>
      </c>
    </row>
    <row r="129" spans="2:85" s="447" customFormat="1" ht="17.25" customHeight="1">
      <c r="B129" s="447" t="str">
        <f t="shared" si="37"/>
        <v>CU1034</v>
      </c>
      <c r="C129" s="431" t="s">
        <v>755</v>
      </c>
      <c r="D129" s="367" t="s">
        <v>1270</v>
      </c>
      <c r="E129" s="367" t="s">
        <v>1348</v>
      </c>
      <c r="F129" s="439">
        <v>43435</v>
      </c>
      <c r="G129" s="430">
        <v>77076.12</v>
      </c>
      <c r="H129" s="440">
        <v>77076.12</v>
      </c>
      <c r="I129" s="440">
        <f t="shared" si="38"/>
        <v>0</v>
      </c>
      <c r="J129" s="440" t="s">
        <v>1368</v>
      </c>
      <c r="K129" s="444"/>
      <c r="L129" s="462">
        <f t="shared" si="39"/>
        <v>0</v>
      </c>
      <c r="M129" s="462" t="s">
        <v>1461</v>
      </c>
      <c r="N129" s="444"/>
      <c r="O129" s="462">
        <f t="shared" si="40"/>
        <v>0</v>
      </c>
      <c r="P129" s="447" t="s">
        <v>1522</v>
      </c>
      <c r="R129" s="462">
        <f t="shared" si="41"/>
        <v>0</v>
      </c>
      <c r="S129" s="447" t="s">
        <v>1580</v>
      </c>
      <c r="U129" s="462">
        <f t="shared" si="42"/>
        <v>0</v>
      </c>
      <c r="V129" s="447" t="s">
        <v>1626</v>
      </c>
      <c r="X129" s="462">
        <f t="shared" si="43"/>
        <v>0</v>
      </c>
      <c r="Y129" s="447" t="s">
        <v>1661</v>
      </c>
      <c r="AA129" s="462">
        <f t="shared" si="44"/>
        <v>0</v>
      </c>
      <c r="AB129" s="447" t="s">
        <v>1716</v>
      </c>
      <c r="AD129" s="462">
        <f t="shared" si="45"/>
        <v>0</v>
      </c>
      <c r="AG129" s="462">
        <f t="shared" si="46"/>
        <v>0</v>
      </c>
      <c r="AH129" s="447" t="s">
        <v>1819</v>
      </c>
      <c r="AJ129" s="462">
        <f t="shared" si="47"/>
        <v>0</v>
      </c>
      <c r="AM129" s="462">
        <f t="shared" si="48"/>
        <v>0</v>
      </c>
      <c r="AN129" s="447" t="s">
        <v>1948</v>
      </c>
      <c r="AP129" s="462">
        <f t="shared" si="49"/>
        <v>0</v>
      </c>
      <c r="AQ129" s="447" t="s">
        <v>1995</v>
      </c>
      <c r="AS129" s="459">
        <f t="shared" si="50"/>
        <v>0</v>
      </c>
      <c r="AV129" s="462">
        <f t="shared" si="51"/>
        <v>0</v>
      </c>
      <c r="AY129" s="462">
        <f t="shared" si="52"/>
        <v>0</v>
      </c>
      <c r="BB129" s="462">
        <f t="shared" si="53"/>
        <v>0</v>
      </c>
      <c r="BC129" s="447" t="s">
        <v>2204</v>
      </c>
      <c r="BE129" s="462">
        <f t="shared" si="54"/>
        <v>0</v>
      </c>
      <c r="BH129" s="462">
        <f t="shared" si="55"/>
        <v>0</v>
      </c>
      <c r="BK129" s="462">
        <f t="shared" si="56"/>
        <v>0</v>
      </c>
      <c r="BN129" s="462">
        <f t="shared" si="57"/>
        <v>0</v>
      </c>
      <c r="BQ129" s="462">
        <f t="shared" si="58"/>
        <v>0</v>
      </c>
      <c r="BT129" s="462">
        <f t="shared" si="59"/>
        <v>0</v>
      </c>
      <c r="BW129" s="462">
        <f t="shared" si="60"/>
        <v>0</v>
      </c>
      <c r="BZ129" s="462">
        <f t="shared" si="61"/>
        <v>0</v>
      </c>
      <c r="CD129" s="418" t="str">
        <f t="shared" si="62"/>
        <v>CU1034001</v>
      </c>
      <c r="CE129" s="442" t="str">
        <f t="shared" si="63"/>
        <v>2018年12月</v>
      </c>
      <c r="CF129" s="418" t="str">
        <f t="shared" si="64"/>
        <v>北京天信宏clife服务费暂估</v>
      </c>
      <c r="CG129" s="418" t="str">
        <f t="shared" si="65"/>
        <v>2018年12月北京天信宏clife服务费暂估</v>
      </c>
    </row>
    <row r="130" spans="2:85" s="447" customFormat="1" ht="17.25" customHeight="1">
      <c r="B130" s="447" t="str">
        <f t="shared" si="37"/>
        <v>CU1062</v>
      </c>
      <c r="C130" s="431" t="s">
        <v>755</v>
      </c>
      <c r="D130" s="367" t="s">
        <v>1331</v>
      </c>
      <c r="E130" s="367" t="s">
        <v>1349</v>
      </c>
      <c r="F130" s="439">
        <v>43435</v>
      </c>
      <c r="G130" s="430">
        <v>1117152.54</v>
      </c>
      <c r="H130" s="440"/>
      <c r="I130" s="546">
        <v>0</v>
      </c>
      <c r="J130" s="440" t="s">
        <v>1368</v>
      </c>
      <c r="K130" s="444"/>
      <c r="L130" s="462">
        <f t="shared" si="39"/>
        <v>0</v>
      </c>
      <c r="M130" s="462" t="s">
        <v>1461</v>
      </c>
      <c r="N130" s="444"/>
      <c r="O130" s="462">
        <f t="shared" si="40"/>
        <v>0</v>
      </c>
      <c r="P130" s="447" t="s">
        <v>1523</v>
      </c>
      <c r="R130" s="462">
        <f t="shared" si="41"/>
        <v>0</v>
      </c>
      <c r="S130" s="447" t="s">
        <v>1580</v>
      </c>
      <c r="U130" s="462">
        <f t="shared" si="42"/>
        <v>0</v>
      </c>
      <c r="V130" s="447" t="s">
        <v>1626</v>
      </c>
      <c r="X130" s="462">
        <f t="shared" si="43"/>
        <v>0</v>
      </c>
      <c r="Y130" s="447" t="s">
        <v>1661</v>
      </c>
      <c r="AA130" s="462">
        <f t="shared" si="44"/>
        <v>0</v>
      </c>
      <c r="AB130" s="447" t="s">
        <v>1716</v>
      </c>
      <c r="AD130" s="462">
        <f t="shared" si="45"/>
        <v>0</v>
      </c>
      <c r="AG130" s="462">
        <f t="shared" si="46"/>
        <v>0</v>
      </c>
      <c r="AH130" s="447" t="s">
        <v>1819</v>
      </c>
      <c r="AJ130" s="462">
        <f t="shared" si="47"/>
        <v>0</v>
      </c>
      <c r="AM130" s="462">
        <f t="shared" si="48"/>
        <v>0</v>
      </c>
      <c r="AN130" s="447" t="s">
        <v>1948</v>
      </c>
      <c r="AP130" s="462">
        <f t="shared" si="49"/>
        <v>0</v>
      </c>
      <c r="AQ130" s="447" t="s">
        <v>1995</v>
      </c>
      <c r="AS130" s="459">
        <f t="shared" si="50"/>
        <v>0</v>
      </c>
      <c r="AV130" s="462">
        <f t="shared" si="51"/>
        <v>0</v>
      </c>
      <c r="AY130" s="462">
        <f t="shared" si="52"/>
        <v>0</v>
      </c>
      <c r="BB130" s="462">
        <f t="shared" si="53"/>
        <v>0</v>
      </c>
      <c r="BC130" s="447" t="s">
        <v>2204</v>
      </c>
      <c r="BE130" s="462">
        <f t="shared" si="54"/>
        <v>0</v>
      </c>
      <c r="BH130" s="462">
        <f t="shared" si="55"/>
        <v>0</v>
      </c>
      <c r="BK130" s="462">
        <f t="shared" si="56"/>
        <v>0</v>
      </c>
      <c r="BN130" s="462">
        <f t="shared" si="57"/>
        <v>0</v>
      </c>
      <c r="BQ130" s="462">
        <f t="shared" si="58"/>
        <v>0</v>
      </c>
      <c r="BT130" s="462">
        <f t="shared" si="59"/>
        <v>0</v>
      </c>
      <c r="BW130" s="462">
        <f t="shared" si="60"/>
        <v>0</v>
      </c>
      <c r="BZ130" s="462">
        <f t="shared" si="61"/>
        <v>0</v>
      </c>
      <c r="CD130" s="418" t="str">
        <f t="shared" si="62"/>
        <v>CU1062001</v>
      </c>
      <c r="CE130" s="442" t="str">
        <f t="shared" si="63"/>
        <v>2018年12月</v>
      </c>
      <c r="CF130" s="418" t="str">
        <f t="shared" si="64"/>
        <v>上海锐麦软clife服务费暂估</v>
      </c>
      <c r="CG130" s="418" t="str">
        <f t="shared" si="65"/>
        <v>2018年12月上海锐麦软clife服务费暂估</v>
      </c>
    </row>
    <row r="131" spans="2:85" s="447" customFormat="1" ht="17.25" customHeight="1">
      <c r="B131" s="447" t="str">
        <f t="shared" ref="B131:B194" si="71">LEFT(D131,6)</f>
        <v>CU1065</v>
      </c>
      <c r="C131" s="431" t="s">
        <v>755</v>
      </c>
      <c r="D131" s="367" t="s">
        <v>1271</v>
      </c>
      <c r="E131" s="367" t="s">
        <v>1332</v>
      </c>
      <c r="F131" s="439">
        <v>43435</v>
      </c>
      <c r="G131" s="430">
        <v>213896.1</v>
      </c>
      <c r="H131" s="440">
        <v>213894.92</v>
      </c>
      <c r="I131" s="546">
        <v>0</v>
      </c>
      <c r="J131" s="440" t="s">
        <v>1368</v>
      </c>
      <c r="K131" s="444"/>
      <c r="L131" s="462">
        <f t="shared" si="39"/>
        <v>0</v>
      </c>
      <c r="M131" s="462" t="s">
        <v>1461</v>
      </c>
      <c r="N131" s="444"/>
      <c r="O131" s="462">
        <f t="shared" si="40"/>
        <v>0</v>
      </c>
      <c r="P131" s="447" t="s">
        <v>1522</v>
      </c>
      <c r="R131" s="462">
        <f t="shared" si="41"/>
        <v>0</v>
      </c>
      <c r="S131" s="447" t="s">
        <v>1580</v>
      </c>
      <c r="U131" s="462">
        <f t="shared" si="42"/>
        <v>0</v>
      </c>
      <c r="V131" s="447" t="s">
        <v>1626</v>
      </c>
      <c r="X131" s="462">
        <f t="shared" si="43"/>
        <v>0</v>
      </c>
      <c r="Y131" s="447" t="s">
        <v>1661</v>
      </c>
      <c r="AA131" s="462">
        <f t="shared" ref="AA131:AA139" si="72">X131-Z131</f>
        <v>0</v>
      </c>
      <c r="AB131" s="447" t="s">
        <v>1716</v>
      </c>
      <c r="AD131" s="462">
        <f t="shared" si="45"/>
        <v>0</v>
      </c>
      <c r="AG131" s="462">
        <f t="shared" si="46"/>
        <v>0</v>
      </c>
      <c r="AH131" s="447" t="s">
        <v>1819</v>
      </c>
      <c r="AJ131" s="462">
        <f t="shared" si="47"/>
        <v>0</v>
      </c>
      <c r="AM131" s="462">
        <f t="shared" si="48"/>
        <v>0</v>
      </c>
      <c r="AN131" s="447" t="s">
        <v>1948</v>
      </c>
      <c r="AP131" s="462">
        <f t="shared" si="49"/>
        <v>0</v>
      </c>
      <c r="AQ131" s="447" t="s">
        <v>1995</v>
      </c>
      <c r="AS131" s="459">
        <f t="shared" si="50"/>
        <v>0</v>
      </c>
      <c r="AV131" s="462">
        <f t="shared" si="51"/>
        <v>0</v>
      </c>
      <c r="AY131" s="462">
        <f t="shared" si="52"/>
        <v>0</v>
      </c>
      <c r="BB131" s="462">
        <f t="shared" si="53"/>
        <v>0</v>
      </c>
      <c r="BC131" s="447" t="s">
        <v>2204</v>
      </c>
      <c r="BE131" s="462">
        <f t="shared" si="54"/>
        <v>0</v>
      </c>
      <c r="BH131" s="462">
        <f t="shared" si="55"/>
        <v>0</v>
      </c>
      <c r="BK131" s="462">
        <f t="shared" si="56"/>
        <v>0</v>
      </c>
      <c r="BN131" s="462">
        <f t="shared" si="57"/>
        <v>0</v>
      </c>
      <c r="BQ131" s="462">
        <f t="shared" si="58"/>
        <v>0</v>
      </c>
      <c r="BT131" s="462">
        <f t="shared" si="59"/>
        <v>0</v>
      </c>
      <c r="BW131" s="462">
        <f t="shared" si="60"/>
        <v>0</v>
      </c>
      <c r="BZ131" s="462">
        <f t="shared" si="61"/>
        <v>0</v>
      </c>
      <c r="CD131" s="418" t="str">
        <f t="shared" si="62"/>
        <v>CU1065001</v>
      </c>
      <c r="CE131" s="442" t="str">
        <f t="shared" si="63"/>
        <v>2018年12月</v>
      </c>
      <c r="CF131" s="418" t="str">
        <f t="shared" si="64"/>
        <v>湖北长江蔚clife服务费暂估</v>
      </c>
      <c r="CG131" s="418" t="str">
        <f t="shared" si="65"/>
        <v>2018年12月湖北长江蔚clife服务费暂估</v>
      </c>
    </row>
    <row r="132" spans="2:85" s="447" customFormat="1" ht="17.25" customHeight="1">
      <c r="B132" s="447" t="str">
        <f t="shared" si="71"/>
        <v>CU1067</v>
      </c>
      <c r="C132" s="431" t="s">
        <v>755</v>
      </c>
      <c r="D132" s="367" t="s">
        <v>1243</v>
      </c>
      <c r="E132" s="367" t="s">
        <v>1350</v>
      </c>
      <c r="F132" s="439">
        <v>43435</v>
      </c>
      <c r="G132" s="430">
        <v>6600</v>
      </c>
      <c r="H132" s="440">
        <v>6009.79</v>
      </c>
      <c r="I132" s="440">
        <f t="shared" ref="I132:I208" si="73">G132-H132</f>
        <v>590.21</v>
      </c>
      <c r="J132" s="440" t="s">
        <v>1368</v>
      </c>
      <c r="K132" s="444"/>
      <c r="L132" s="462">
        <f t="shared" ref="L132:L137" si="74">ROUND(I132-K132,2)</f>
        <v>590.21</v>
      </c>
      <c r="M132" s="462" t="s">
        <v>1461</v>
      </c>
      <c r="N132" s="444"/>
      <c r="O132" s="462">
        <f t="shared" ref="O132:O208" si="75">L132-N132</f>
        <v>590.21</v>
      </c>
      <c r="P132" s="447" t="s">
        <v>1522</v>
      </c>
      <c r="R132" s="462">
        <f t="shared" ref="R132:R195" si="76">O132-Q132</f>
        <v>590.21</v>
      </c>
      <c r="S132" s="447" t="s">
        <v>1580</v>
      </c>
      <c r="T132" s="447">
        <f>ROUND((625.62/1.06),2)</f>
        <v>590.21</v>
      </c>
      <c r="U132" s="462">
        <f t="shared" ref="U132:U195" si="77">R132-T132</f>
        <v>0</v>
      </c>
      <c r="V132" s="447" t="s">
        <v>1626</v>
      </c>
      <c r="X132" s="462">
        <f t="shared" ref="X132:X195" si="78">U132-W132</f>
        <v>0</v>
      </c>
      <c r="Y132" s="447" t="s">
        <v>1661</v>
      </c>
      <c r="AA132" s="462">
        <f t="shared" si="72"/>
        <v>0</v>
      </c>
      <c r="AB132" s="447" t="s">
        <v>1716</v>
      </c>
      <c r="AD132" s="462">
        <f t="shared" ref="AD132:AD195" si="79">AA132-AC132</f>
        <v>0</v>
      </c>
      <c r="AG132" s="462">
        <f t="shared" ref="AG132:AG195" si="80">AD132-AF132</f>
        <v>0</v>
      </c>
      <c r="AH132" s="447" t="s">
        <v>1819</v>
      </c>
      <c r="AJ132" s="462">
        <f t="shared" ref="AJ132:AJ195" si="81">AG132-AI132</f>
        <v>0</v>
      </c>
      <c r="AM132" s="462">
        <f t="shared" ref="AM132:AM195" si="82">AJ132-AL132</f>
        <v>0</v>
      </c>
      <c r="AN132" s="447" t="s">
        <v>1948</v>
      </c>
      <c r="AP132" s="462">
        <f t="shared" ref="AP132:AP195" si="83">AM132-AO132</f>
        <v>0</v>
      </c>
      <c r="AQ132" s="447" t="s">
        <v>1995</v>
      </c>
      <c r="AS132" s="459">
        <f t="shared" ref="AS132:AS195" si="84">AP132-AR132</f>
        <v>0</v>
      </c>
      <c r="AV132" s="462">
        <f t="shared" ref="AV132:AV195" si="85">AS132-AU132</f>
        <v>0</v>
      </c>
      <c r="AY132" s="462">
        <f t="shared" ref="AY132:AY195" si="86">AV132-AX132</f>
        <v>0</v>
      </c>
      <c r="BB132" s="462">
        <f t="shared" ref="BB132:BB195" si="87">AY132-BA132</f>
        <v>0</v>
      </c>
      <c r="BC132" s="447" t="s">
        <v>2204</v>
      </c>
      <c r="BE132" s="462">
        <f t="shared" ref="BE132:BE195" si="88">BB132-BD132</f>
        <v>0</v>
      </c>
      <c r="BH132" s="462">
        <f t="shared" ref="BH132:BH195" si="89">BE132-BG132</f>
        <v>0</v>
      </c>
      <c r="BK132" s="462">
        <f t="shared" ref="BK132:BK195" si="90">BH132-BJ132</f>
        <v>0</v>
      </c>
      <c r="BN132" s="462">
        <f t="shared" ref="BN132:BN195" si="91">BK132-BM132</f>
        <v>0</v>
      </c>
      <c r="BQ132" s="462">
        <f t="shared" ref="BQ132:BQ195" si="92">ROUND((BN132-BP132),2)</f>
        <v>0</v>
      </c>
      <c r="BT132" s="462">
        <f t="shared" ref="BT132:BT195" si="93">ROUND((BQ132-BS132),2)</f>
        <v>0</v>
      </c>
      <c r="BW132" s="462">
        <f t="shared" ref="BW132:BW195" si="94">ROUND((BT132-BV132),2)</f>
        <v>0</v>
      </c>
      <c r="BZ132" s="462">
        <f t="shared" ref="BZ132:BZ195" si="95">ROUND((BW132-BY132),2)</f>
        <v>0</v>
      </c>
      <c r="CD132" s="418" t="str">
        <f t="shared" ref="CD132:CD195" si="96">B132&amp;$B$1</f>
        <v>CU1067001</v>
      </c>
      <c r="CE132" s="442" t="str">
        <f t="shared" ref="CE132:CE195" si="97">YEAR(F132)&amp;"年"&amp;MONTH(F132)&amp;"月"</f>
        <v>2018年12月</v>
      </c>
      <c r="CF132" s="418" t="str">
        <f t="shared" ref="CF132:CF195" si="98">LEFT(E132,5)&amp;$E$1</f>
        <v>三诺生物传clife服务费暂估</v>
      </c>
      <c r="CG132" s="418" t="str">
        <f t="shared" ref="CG132:CG195" si="99">CE132&amp;CF132</f>
        <v>2018年12月三诺生物传clife服务费暂估</v>
      </c>
    </row>
    <row r="133" spans="2:85" s="447" customFormat="1" ht="17.25" customHeight="1">
      <c r="B133" s="447" t="str">
        <f t="shared" si="71"/>
        <v>CU0667</v>
      </c>
      <c r="C133" s="431" t="s">
        <v>755</v>
      </c>
      <c r="D133" s="367" t="s">
        <v>167</v>
      </c>
      <c r="E133" s="367" t="s">
        <v>1351</v>
      </c>
      <c r="F133" s="439">
        <v>43435</v>
      </c>
      <c r="G133" s="424">
        <v>576.53</v>
      </c>
      <c r="H133" s="440"/>
      <c r="I133" s="440">
        <f t="shared" si="73"/>
        <v>576.53</v>
      </c>
      <c r="J133" s="440" t="s">
        <v>1368</v>
      </c>
      <c r="K133" s="444"/>
      <c r="L133" s="462">
        <f t="shared" si="74"/>
        <v>576.53</v>
      </c>
      <c r="M133" s="462" t="s">
        <v>1461</v>
      </c>
      <c r="N133" s="444"/>
      <c r="O133" s="462">
        <f t="shared" si="75"/>
        <v>576.53</v>
      </c>
      <c r="P133" s="447" t="s">
        <v>1522</v>
      </c>
      <c r="R133" s="462">
        <f t="shared" si="76"/>
        <v>576.53</v>
      </c>
      <c r="S133" s="447" t="s">
        <v>1580</v>
      </c>
      <c r="T133" s="462">
        <f>ROUND((564.73/1.06),2)-T89+121.73</f>
        <v>358.75</v>
      </c>
      <c r="U133" s="462">
        <f t="shared" si="77"/>
        <v>217.77999999999997</v>
      </c>
      <c r="V133" s="447" t="s">
        <v>1626</v>
      </c>
      <c r="X133" s="462">
        <f t="shared" si="78"/>
        <v>217.77999999999997</v>
      </c>
      <c r="Y133" s="447" t="s">
        <v>1661</v>
      </c>
      <c r="Z133" s="462">
        <f>X133</f>
        <v>217.77999999999997</v>
      </c>
      <c r="AA133" s="462">
        <f t="shared" si="72"/>
        <v>0</v>
      </c>
      <c r="AB133" s="447" t="s">
        <v>1716</v>
      </c>
      <c r="AD133" s="462">
        <f t="shared" si="79"/>
        <v>0</v>
      </c>
      <c r="AG133" s="462">
        <f t="shared" si="80"/>
        <v>0</v>
      </c>
      <c r="AH133" s="447" t="s">
        <v>1819</v>
      </c>
      <c r="AJ133" s="462">
        <f t="shared" si="81"/>
        <v>0</v>
      </c>
      <c r="AM133" s="462">
        <f t="shared" si="82"/>
        <v>0</v>
      </c>
      <c r="AN133" s="447" t="s">
        <v>1948</v>
      </c>
      <c r="AP133" s="462">
        <f t="shared" si="83"/>
        <v>0</v>
      </c>
      <c r="AQ133" s="447" t="s">
        <v>1995</v>
      </c>
      <c r="AS133" s="459">
        <f t="shared" si="84"/>
        <v>0</v>
      </c>
      <c r="AV133" s="462">
        <f t="shared" si="85"/>
        <v>0</v>
      </c>
      <c r="AY133" s="462">
        <f t="shared" si="86"/>
        <v>0</v>
      </c>
      <c r="BB133" s="462">
        <f t="shared" si="87"/>
        <v>0</v>
      </c>
      <c r="BC133" s="447" t="s">
        <v>2204</v>
      </c>
      <c r="BE133" s="462">
        <f t="shared" si="88"/>
        <v>0</v>
      </c>
      <c r="BH133" s="462">
        <f t="shared" si="89"/>
        <v>0</v>
      </c>
      <c r="BK133" s="462">
        <f t="shared" si="90"/>
        <v>0</v>
      </c>
      <c r="BN133" s="462">
        <f t="shared" si="91"/>
        <v>0</v>
      </c>
      <c r="BQ133" s="462">
        <f t="shared" si="92"/>
        <v>0</v>
      </c>
      <c r="BT133" s="462">
        <f t="shared" si="93"/>
        <v>0</v>
      </c>
      <c r="BW133" s="462">
        <f t="shared" si="94"/>
        <v>0</v>
      </c>
      <c r="BZ133" s="462">
        <f t="shared" si="95"/>
        <v>0</v>
      </c>
      <c r="CD133" s="418" t="str">
        <f t="shared" si="96"/>
        <v>CU0667001</v>
      </c>
      <c r="CE133" s="442" t="str">
        <f t="shared" si="97"/>
        <v>2018年12月</v>
      </c>
      <c r="CF133" s="418" t="str">
        <f t="shared" si="98"/>
        <v>北京杰迪安clife服务费暂估</v>
      </c>
      <c r="CG133" s="418" t="str">
        <f t="shared" si="99"/>
        <v>2018年12月北京杰迪安clife服务费暂估</v>
      </c>
    </row>
    <row r="134" spans="2:85" s="447" customFormat="1" ht="17.25" customHeight="1">
      <c r="B134" s="447" t="str">
        <f t="shared" si="71"/>
        <v>CU0823</v>
      </c>
      <c r="C134" s="431" t="s">
        <v>755</v>
      </c>
      <c r="D134" s="367" t="s">
        <v>1352</v>
      </c>
      <c r="E134" s="367" t="s">
        <v>1353</v>
      </c>
      <c r="F134" s="439">
        <v>43435</v>
      </c>
      <c r="G134" s="430">
        <v>37627.56</v>
      </c>
      <c r="H134" s="440"/>
      <c r="I134" s="440">
        <f t="shared" si="73"/>
        <v>37627.56</v>
      </c>
      <c r="J134" s="440" t="s">
        <v>1368</v>
      </c>
      <c r="K134" s="444"/>
      <c r="L134" s="462">
        <f t="shared" si="74"/>
        <v>37627.56</v>
      </c>
      <c r="M134" s="462" t="s">
        <v>1461</v>
      </c>
      <c r="N134" s="444"/>
      <c r="O134" s="462">
        <f t="shared" si="75"/>
        <v>37627.56</v>
      </c>
      <c r="P134" s="447" t="s">
        <v>1523</v>
      </c>
      <c r="Q134" s="444">
        <f>O134</f>
        <v>37627.56</v>
      </c>
      <c r="R134" s="462">
        <f t="shared" si="76"/>
        <v>0</v>
      </c>
      <c r="S134" s="447" t="s">
        <v>1580</v>
      </c>
      <c r="U134" s="462">
        <f t="shared" si="77"/>
        <v>0</v>
      </c>
      <c r="V134" s="447" t="s">
        <v>1626</v>
      </c>
      <c r="X134" s="462">
        <f t="shared" si="78"/>
        <v>0</v>
      </c>
      <c r="Y134" s="447" t="s">
        <v>1661</v>
      </c>
      <c r="AA134" s="462">
        <f t="shared" si="72"/>
        <v>0</v>
      </c>
      <c r="AB134" s="447" t="s">
        <v>1716</v>
      </c>
      <c r="AD134" s="462">
        <f t="shared" si="79"/>
        <v>0</v>
      </c>
      <c r="AG134" s="462">
        <f t="shared" si="80"/>
        <v>0</v>
      </c>
      <c r="AH134" s="447" t="s">
        <v>1819</v>
      </c>
      <c r="AJ134" s="462">
        <f t="shared" si="81"/>
        <v>0</v>
      </c>
      <c r="AM134" s="462">
        <f t="shared" si="82"/>
        <v>0</v>
      </c>
      <c r="AN134" s="447" t="s">
        <v>1948</v>
      </c>
      <c r="AP134" s="462">
        <f t="shared" si="83"/>
        <v>0</v>
      </c>
      <c r="AQ134" s="447" t="s">
        <v>1995</v>
      </c>
      <c r="AS134" s="459">
        <f t="shared" si="84"/>
        <v>0</v>
      </c>
      <c r="AV134" s="462">
        <f t="shared" si="85"/>
        <v>0</v>
      </c>
      <c r="AY134" s="462">
        <f t="shared" si="86"/>
        <v>0</v>
      </c>
      <c r="BB134" s="462">
        <f t="shared" si="87"/>
        <v>0</v>
      </c>
      <c r="BC134" s="447" t="s">
        <v>2204</v>
      </c>
      <c r="BE134" s="462">
        <f t="shared" si="88"/>
        <v>0</v>
      </c>
      <c r="BH134" s="462">
        <f t="shared" si="89"/>
        <v>0</v>
      </c>
      <c r="BK134" s="462">
        <f t="shared" si="90"/>
        <v>0</v>
      </c>
      <c r="BN134" s="462">
        <f t="shared" si="91"/>
        <v>0</v>
      </c>
      <c r="BQ134" s="462">
        <f t="shared" si="92"/>
        <v>0</v>
      </c>
      <c r="BT134" s="462">
        <f t="shared" si="93"/>
        <v>0</v>
      </c>
      <c r="BW134" s="462">
        <f t="shared" si="94"/>
        <v>0</v>
      </c>
      <c r="BZ134" s="462">
        <f t="shared" si="95"/>
        <v>0</v>
      </c>
      <c r="CD134" s="418" t="str">
        <f t="shared" si="96"/>
        <v>CU0823001</v>
      </c>
      <c r="CE134" s="442" t="str">
        <f t="shared" si="97"/>
        <v>2018年12月</v>
      </c>
      <c r="CF134" s="418" t="str">
        <f t="shared" si="98"/>
        <v>凯杰生物工clife服务费暂估</v>
      </c>
      <c r="CG134" s="418" t="str">
        <f t="shared" si="99"/>
        <v>2018年12月凯杰生物工clife服务费暂估</v>
      </c>
    </row>
    <row r="135" spans="2:85" s="447" customFormat="1" ht="17.25" customHeight="1">
      <c r="B135" s="447" t="str">
        <f t="shared" si="71"/>
        <v>CU0823</v>
      </c>
      <c r="C135" s="431" t="s">
        <v>755</v>
      </c>
      <c r="D135" s="367" t="s">
        <v>582</v>
      </c>
      <c r="E135" s="367" t="s">
        <v>1354</v>
      </c>
      <c r="F135" s="439">
        <v>43435</v>
      </c>
      <c r="G135" s="430">
        <v>63334.54</v>
      </c>
      <c r="H135" s="440"/>
      <c r="I135" s="440">
        <f t="shared" si="73"/>
        <v>63334.54</v>
      </c>
      <c r="J135" s="440" t="s">
        <v>1368</v>
      </c>
      <c r="K135" s="444"/>
      <c r="L135" s="462">
        <f t="shared" si="74"/>
        <v>63334.54</v>
      </c>
      <c r="M135" s="462" t="s">
        <v>1461</v>
      </c>
      <c r="N135" s="444"/>
      <c r="O135" s="462">
        <f t="shared" si="75"/>
        <v>63334.54</v>
      </c>
      <c r="P135" s="447" t="s">
        <v>1523</v>
      </c>
      <c r="Q135" s="444">
        <f>46640/1.06-Q94-Q95-Q96-Q134</f>
        <v>430.42000000000553</v>
      </c>
      <c r="R135" s="462">
        <f t="shared" si="76"/>
        <v>62904.119999999995</v>
      </c>
      <c r="S135" s="447" t="s">
        <v>1580</v>
      </c>
      <c r="U135" s="462">
        <f t="shared" si="77"/>
        <v>62904.119999999995</v>
      </c>
      <c r="V135" s="447" t="s">
        <v>1626</v>
      </c>
      <c r="X135" s="462">
        <f t="shared" si="78"/>
        <v>62904.119999999995</v>
      </c>
      <c r="Y135" s="447" t="s">
        <v>1661</v>
      </c>
      <c r="Z135" s="447">
        <f>ROUND(45370/1.06,2)</f>
        <v>42801.89</v>
      </c>
      <c r="AA135" s="462">
        <f t="shared" si="72"/>
        <v>20102.229999999996</v>
      </c>
      <c r="AB135" s="447" t="s">
        <v>1716</v>
      </c>
      <c r="AD135" s="462">
        <f t="shared" si="79"/>
        <v>20102.229999999996</v>
      </c>
      <c r="AE135" s="447" t="s">
        <v>1753</v>
      </c>
      <c r="AG135" s="462">
        <f t="shared" si="80"/>
        <v>20102.229999999996</v>
      </c>
      <c r="AH135" s="447" t="s">
        <v>1819</v>
      </c>
      <c r="AI135" s="462">
        <f>AG135</f>
        <v>20102.229999999996</v>
      </c>
      <c r="AJ135" s="462">
        <f t="shared" si="81"/>
        <v>0</v>
      </c>
      <c r="AM135" s="462">
        <f t="shared" si="82"/>
        <v>0</v>
      </c>
      <c r="AN135" s="447" t="s">
        <v>1948</v>
      </c>
      <c r="AP135" s="462">
        <f t="shared" si="83"/>
        <v>0</v>
      </c>
      <c r="AQ135" s="447" t="s">
        <v>1995</v>
      </c>
      <c r="AS135" s="459">
        <f t="shared" si="84"/>
        <v>0</v>
      </c>
      <c r="AV135" s="462">
        <f t="shared" si="85"/>
        <v>0</v>
      </c>
      <c r="AY135" s="462">
        <f t="shared" si="86"/>
        <v>0</v>
      </c>
      <c r="BB135" s="462">
        <f t="shared" si="87"/>
        <v>0</v>
      </c>
      <c r="BC135" s="447" t="s">
        <v>2204</v>
      </c>
      <c r="BE135" s="462">
        <f t="shared" si="88"/>
        <v>0</v>
      </c>
      <c r="BH135" s="462">
        <f t="shared" si="89"/>
        <v>0</v>
      </c>
      <c r="BK135" s="462">
        <f t="shared" si="90"/>
        <v>0</v>
      </c>
      <c r="BN135" s="462">
        <f t="shared" si="91"/>
        <v>0</v>
      </c>
      <c r="BQ135" s="462">
        <f t="shared" si="92"/>
        <v>0</v>
      </c>
      <c r="BT135" s="462">
        <f t="shared" si="93"/>
        <v>0</v>
      </c>
      <c r="BW135" s="462">
        <f t="shared" si="94"/>
        <v>0</v>
      </c>
      <c r="BZ135" s="462">
        <f t="shared" si="95"/>
        <v>0</v>
      </c>
      <c r="CD135" s="418" t="str">
        <f t="shared" si="96"/>
        <v>CU0823001</v>
      </c>
      <c r="CE135" s="442" t="str">
        <f t="shared" si="97"/>
        <v>2018年12月</v>
      </c>
      <c r="CF135" s="418" t="str">
        <f t="shared" si="98"/>
        <v>凯杰企业管clife服务费暂估</v>
      </c>
      <c r="CG135" s="418" t="str">
        <f t="shared" si="99"/>
        <v>2018年12月凯杰企业管clife服务费暂估</v>
      </c>
    </row>
    <row r="136" spans="2:85" s="447" customFormat="1" ht="17.25" customHeight="1">
      <c r="B136" s="447" t="str">
        <f t="shared" si="71"/>
        <v>CU0823</v>
      </c>
      <c r="C136" s="431" t="s">
        <v>755</v>
      </c>
      <c r="D136" s="367" t="s">
        <v>823</v>
      </c>
      <c r="E136" s="367" t="s">
        <v>1355</v>
      </c>
      <c r="F136" s="439">
        <v>43435</v>
      </c>
      <c r="G136" s="430">
        <v>16999.79</v>
      </c>
      <c r="H136" s="440"/>
      <c r="I136" s="440">
        <f t="shared" si="73"/>
        <v>16999.79</v>
      </c>
      <c r="J136" s="440" t="s">
        <v>1368</v>
      </c>
      <c r="K136" s="444"/>
      <c r="L136" s="462">
        <f t="shared" si="74"/>
        <v>16999.79</v>
      </c>
      <c r="M136" s="462" t="s">
        <v>1461</v>
      </c>
      <c r="N136" s="444"/>
      <c r="O136" s="462">
        <f t="shared" si="75"/>
        <v>16999.79</v>
      </c>
      <c r="P136" s="447" t="s">
        <v>1523</v>
      </c>
      <c r="R136" s="462">
        <f t="shared" si="76"/>
        <v>16999.79</v>
      </c>
      <c r="S136" s="447" t="s">
        <v>1580</v>
      </c>
      <c r="U136" s="462">
        <f t="shared" si="77"/>
        <v>16999.79</v>
      </c>
      <c r="V136" s="447" t="s">
        <v>1626</v>
      </c>
      <c r="X136" s="462">
        <f t="shared" si="78"/>
        <v>16999.79</v>
      </c>
      <c r="Y136" s="447" t="s">
        <v>1661</v>
      </c>
      <c r="AA136" s="462">
        <f t="shared" si="72"/>
        <v>16999.79</v>
      </c>
      <c r="AB136" s="447" t="s">
        <v>1716</v>
      </c>
      <c r="AD136" s="462">
        <f t="shared" si="79"/>
        <v>16999.79</v>
      </c>
      <c r="AE136" s="447" t="s">
        <v>1753</v>
      </c>
      <c r="AG136" s="462">
        <f t="shared" si="80"/>
        <v>16999.79</v>
      </c>
      <c r="AH136" s="447" t="s">
        <v>1819</v>
      </c>
      <c r="AI136" s="462"/>
      <c r="AJ136" s="462">
        <f t="shared" si="81"/>
        <v>16999.79</v>
      </c>
      <c r="AK136" s="447" t="s">
        <v>1862</v>
      </c>
      <c r="AL136" s="447">
        <f>3759+13240.79</f>
        <v>16999.79</v>
      </c>
      <c r="AM136" s="462">
        <f t="shared" si="82"/>
        <v>0</v>
      </c>
      <c r="AN136" s="447" t="s">
        <v>1948</v>
      </c>
      <c r="AP136" s="462">
        <f t="shared" si="83"/>
        <v>0</v>
      </c>
      <c r="AQ136" s="447" t="s">
        <v>1995</v>
      </c>
      <c r="AS136" s="459">
        <f t="shared" si="84"/>
        <v>0</v>
      </c>
      <c r="AV136" s="462">
        <f t="shared" si="85"/>
        <v>0</v>
      </c>
      <c r="AY136" s="462">
        <f t="shared" si="86"/>
        <v>0</v>
      </c>
      <c r="BB136" s="462">
        <f t="shared" si="87"/>
        <v>0</v>
      </c>
      <c r="BC136" s="447" t="s">
        <v>2204</v>
      </c>
      <c r="BE136" s="462">
        <f t="shared" si="88"/>
        <v>0</v>
      </c>
      <c r="BH136" s="462">
        <f t="shared" si="89"/>
        <v>0</v>
      </c>
      <c r="BK136" s="462">
        <f t="shared" si="90"/>
        <v>0</v>
      </c>
      <c r="BN136" s="462">
        <f t="shared" si="91"/>
        <v>0</v>
      </c>
      <c r="BQ136" s="462">
        <f t="shared" si="92"/>
        <v>0</v>
      </c>
      <c r="BT136" s="462">
        <f t="shared" si="93"/>
        <v>0</v>
      </c>
      <c r="BW136" s="462">
        <f t="shared" si="94"/>
        <v>0</v>
      </c>
      <c r="BZ136" s="462">
        <f t="shared" si="95"/>
        <v>0</v>
      </c>
      <c r="CD136" s="418" t="str">
        <f t="shared" si="96"/>
        <v>CU0823001</v>
      </c>
      <c r="CE136" s="442" t="str">
        <f t="shared" si="97"/>
        <v>2018年12月</v>
      </c>
      <c r="CF136" s="418" t="str">
        <f t="shared" si="98"/>
        <v>天根生化科clife服务费暂估</v>
      </c>
      <c r="CG136" s="418" t="str">
        <f t="shared" si="99"/>
        <v>2018年12月天根生化科clife服务费暂估</v>
      </c>
    </row>
    <row r="137" spans="2:85" s="447" customFormat="1" ht="17.25" customHeight="1">
      <c r="B137" s="447" t="str">
        <f t="shared" si="71"/>
        <v>CU0824</v>
      </c>
      <c r="C137" s="431" t="s">
        <v>755</v>
      </c>
      <c r="D137" s="367" t="s">
        <v>1117</v>
      </c>
      <c r="E137" s="367" t="s">
        <v>1356</v>
      </c>
      <c r="F137" s="439">
        <v>43435</v>
      </c>
      <c r="G137" s="430">
        <v>17446.16</v>
      </c>
      <c r="H137" s="440"/>
      <c r="I137" s="440">
        <f t="shared" si="73"/>
        <v>17446.16</v>
      </c>
      <c r="J137" s="440" t="s">
        <v>1368</v>
      </c>
      <c r="K137" s="444"/>
      <c r="L137" s="462">
        <f t="shared" si="74"/>
        <v>17446.16</v>
      </c>
      <c r="M137" s="462" t="s">
        <v>1461</v>
      </c>
      <c r="N137" s="444"/>
      <c r="O137" s="462">
        <f t="shared" si="75"/>
        <v>17446.16</v>
      </c>
      <c r="P137" s="447" t="s">
        <v>1523</v>
      </c>
      <c r="R137" s="462">
        <f t="shared" si="76"/>
        <v>17446.16</v>
      </c>
      <c r="S137" s="447" t="s">
        <v>1580</v>
      </c>
      <c r="T137" s="462">
        <f>ROUND((35267.42/1.06),2)-T106</f>
        <v>16227.400000000001</v>
      </c>
      <c r="U137" s="462">
        <f t="shared" si="77"/>
        <v>1218.7599999999984</v>
      </c>
      <c r="V137" s="447" t="s">
        <v>1626</v>
      </c>
      <c r="W137" s="462">
        <f>U137</f>
        <v>1218.7599999999984</v>
      </c>
      <c r="X137" s="462">
        <f t="shared" si="78"/>
        <v>0</v>
      </c>
      <c r="Y137" s="447" t="s">
        <v>1661</v>
      </c>
      <c r="AA137" s="462">
        <f t="shared" si="72"/>
        <v>0</v>
      </c>
      <c r="AB137" s="447" t="s">
        <v>1716</v>
      </c>
      <c r="AD137" s="462">
        <f t="shared" si="79"/>
        <v>0</v>
      </c>
      <c r="AG137" s="462">
        <f t="shared" si="80"/>
        <v>0</v>
      </c>
      <c r="AH137" s="447" t="s">
        <v>1819</v>
      </c>
      <c r="AJ137" s="462">
        <f t="shared" si="81"/>
        <v>0</v>
      </c>
      <c r="AM137" s="462">
        <f t="shared" si="82"/>
        <v>0</v>
      </c>
      <c r="AN137" s="447" t="s">
        <v>1948</v>
      </c>
      <c r="AP137" s="462">
        <f t="shared" si="83"/>
        <v>0</v>
      </c>
      <c r="AQ137" s="447" t="s">
        <v>1995</v>
      </c>
      <c r="AS137" s="459">
        <f t="shared" si="84"/>
        <v>0</v>
      </c>
      <c r="AV137" s="462">
        <f t="shared" si="85"/>
        <v>0</v>
      </c>
      <c r="AY137" s="462">
        <f t="shared" si="86"/>
        <v>0</v>
      </c>
      <c r="BB137" s="462">
        <f t="shared" si="87"/>
        <v>0</v>
      </c>
      <c r="BC137" s="447" t="s">
        <v>2204</v>
      </c>
      <c r="BE137" s="462">
        <f t="shared" si="88"/>
        <v>0</v>
      </c>
      <c r="BH137" s="462">
        <f t="shared" si="89"/>
        <v>0</v>
      </c>
      <c r="BK137" s="462">
        <f t="shared" si="90"/>
        <v>0</v>
      </c>
      <c r="BN137" s="462">
        <f t="shared" si="91"/>
        <v>0</v>
      </c>
      <c r="BQ137" s="462">
        <f t="shared" si="92"/>
        <v>0</v>
      </c>
      <c r="BT137" s="462">
        <f t="shared" si="93"/>
        <v>0</v>
      </c>
      <c r="BW137" s="462">
        <f t="shared" si="94"/>
        <v>0</v>
      </c>
      <c r="BZ137" s="462">
        <f t="shared" si="95"/>
        <v>0</v>
      </c>
      <c r="CD137" s="418" t="str">
        <f t="shared" si="96"/>
        <v>CU0824001</v>
      </c>
      <c r="CE137" s="442" t="str">
        <f t="shared" si="97"/>
        <v>2018年12月</v>
      </c>
      <c r="CF137" s="418" t="str">
        <f t="shared" si="98"/>
        <v>苏州舒尔贸clife服务费暂估</v>
      </c>
      <c r="CG137" s="418" t="str">
        <f t="shared" si="99"/>
        <v>2018年12月苏州舒尔贸clife服务费暂估</v>
      </c>
    </row>
    <row r="138" spans="2:85" s="447" customFormat="1" ht="17.25" customHeight="1">
      <c r="B138" s="447" t="str">
        <f t="shared" si="71"/>
        <v>CU0109</v>
      </c>
      <c r="C138" s="431" t="s">
        <v>755</v>
      </c>
      <c r="D138" s="367" t="s">
        <v>1375</v>
      </c>
      <c r="E138" s="367" t="s">
        <v>1374</v>
      </c>
      <c r="F138" s="439">
        <v>43466</v>
      </c>
      <c r="G138" s="430">
        <v>223827.37</v>
      </c>
      <c r="H138" s="440"/>
      <c r="I138" s="440">
        <v>223827.37</v>
      </c>
      <c r="J138" s="440" t="s">
        <v>1376</v>
      </c>
      <c r="L138" s="462">
        <f t="shared" ref="L138:L208" si="100">I138-K138</f>
        <v>223827.37</v>
      </c>
      <c r="M138" s="462" t="s">
        <v>1463</v>
      </c>
      <c r="N138" s="444">
        <f>100000+123800</f>
        <v>223800</v>
      </c>
      <c r="O138" s="462">
        <f t="shared" si="75"/>
        <v>27.369999999995343</v>
      </c>
      <c r="P138" s="447" t="s">
        <v>1527</v>
      </c>
      <c r="Q138" s="447">
        <f>ROUND(,2)</f>
        <v>0</v>
      </c>
      <c r="R138" s="462">
        <f t="shared" si="76"/>
        <v>27.369999999995343</v>
      </c>
      <c r="S138" s="447" t="s">
        <v>1579</v>
      </c>
      <c r="T138" s="447">
        <f>28128-T49-T70-T83-20838.61</f>
        <v>0.7999999999992724</v>
      </c>
      <c r="U138" s="462">
        <f t="shared" si="77"/>
        <v>26.569999999996071</v>
      </c>
      <c r="V138" s="447" t="s">
        <v>1627</v>
      </c>
      <c r="X138" s="462">
        <f t="shared" si="78"/>
        <v>26.569999999996071</v>
      </c>
      <c r="Y138" s="447" t="s">
        <v>1662</v>
      </c>
      <c r="AA138" s="462">
        <v>0</v>
      </c>
      <c r="AB138" s="447" t="s">
        <v>1717</v>
      </c>
      <c r="AD138" s="462">
        <f t="shared" si="79"/>
        <v>0</v>
      </c>
      <c r="AE138" s="447" t="s">
        <v>1747</v>
      </c>
      <c r="AG138" s="462">
        <f t="shared" si="80"/>
        <v>0</v>
      </c>
      <c r="AH138" s="447" t="s">
        <v>1820</v>
      </c>
      <c r="AJ138" s="462">
        <f t="shared" si="81"/>
        <v>0</v>
      </c>
      <c r="AM138" s="462">
        <f t="shared" si="82"/>
        <v>0</v>
      </c>
      <c r="AN138" s="447" t="s">
        <v>1960</v>
      </c>
      <c r="AP138" s="462">
        <f t="shared" si="83"/>
        <v>0</v>
      </c>
      <c r="AQ138" s="447" t="s">
        <v>1996</v>
      </c>
      <c r="AS138" s="459">
        <f t="shared" si="84"/>
        <v>0</v>
      </c>
      <c r="AV138" s="462">
        <f t="shared" si="85"/>
        <v>0</v>
      </c>
      <c r="AY138" s="462">
        <f t="shared" si="86"/>
        <v>0</v>
      </c>
      <c r="BB138" s="462">
        <f t="shared" si="87"/>
        <v>0</v>
      </c>
      <c r="BC138" s="447" t="s">
        <v>2204</v>
      </c>
      <c r="BE138" s="462">
        <f t="shared" si="88"/>
        <v>0</v>
      </c>
      <c r="BH138" s="462">
        <f t="shared" si="89"/>
        <v>0</v>
      </c>
      <c r="BK138" s="462">
        <f t="shared" si="90"/>
        <v>0</v>
      </c>
      <c r="BN138" s="462">
        <f t="shared" si="91"/>
        <v>0</v>
      </c>
      <c r="BQ138" s="462">
        <f t="shared" si="92"/>
        <v>0</v>
      </c>
      <c r="BT138" s="462">
        <f t="shared" si="93"/>
        <v>0</v>
      </c>
      <c r="BW138" s="462">
        <f t="shared" si="94"/>
        <v>0</v>
      </c>
      <c r="BZ138" s="462">
        <f t="shared" si="95"/>
        <v>0</v>
      </c>
      <c r="CD138" s="418" t="str">
        <f t="shared" si="96"/>
        <v>CU0109001</v>
      </c>
      <c r="CE138" s="442" t="str">
        <f t="shared" si="97"/>
        <v>2019年1月</v>
      </c>
      <c r="CF138" s="418" t="str">
        <f t="shared" si="98"/>
        <v>普拉达 Pclife服务费暂估</v>
      </c>
      <c r="CG138" s="418" t="str">
        <f t="shared" si="99"/>
        <v>2019年1月普拉达 Pclife服务费暂估</v>
      </c>
    </row>
    <row r="139" spans="2:85" s="447" customFormat="1" ht="17.25" customHeight="1">
      <c r="B139" s="447" t="str">
        <f t="shared" si="71"/>
        <v>CU0145</v>
      </c>
      <c r="C139" s="431" t="s">
        <v>755</v>
      </c>
      <c r="D139" s="367" t="s">
        <v>1994</v>
      </c>
      <c r="E139" s="367" t="s">
        <v>1377</v>
      </c>
      <c r="F139" s="439">
        <v>43466</v>
      </c>
      <c r="G139" s="430">
        <v>111243.63</v>
      </c>
      <c r="H139" s="440"/>
      <c r="I139" s="440">
        <v>111243.63</v>
      </c>
      <c r="J139" s="440" t="s">
        <v>1376</v>
      </c>
      <c r="L139" s="462">
        <f t="shared" si="100"/>
        <v>111243.63</v>
      </c>
      <c r="M139" s="462" t="s">
        <v>1463</v>
      </c>
      <c r="N139" s="444"/>
      <c r="O139" s="462">
        <f t="shared" si="75"/>
        <v>111243.63</v>
      </c>
      <c r="P139" s="447" t="s">
        <v>1527</v>
      </c>
      <c r="Q139" s="444">
        <f>ROUND(O139,2)</f>
        <v>111243.63</v>
      </c>
      <c r="R139" s="462">
        <f t="shared" si="76"/>
        <v>0</v>
      </c>
      <c r="S139" s="447" t="s">
        <v>1579</v>
      </c>
      <c r="U139" s="462">
        <f t="shared" si="77"/>
        <v>0</v>
      </c>
      <c r="V139" s="447" t="s">
        <v>1627</v>
      </c>
      <c r="X139" s="462">
        <f t="shared" si="78"/>
        <v>0</v>
      </c>
      <c r="Y139" s="447" t="s">
        <v>1662</v>
      </c>
      <c r="AA139" s="462">
        <f t="shared" si="72"/>
        <v>0</v>
      </c>
      <c r="AB139" s="447" t="s">
        <v>1717</v>
      </c>
      <c r="AD139" s="462">
        <f t="shared" si="79"/>
        <v>0</v>
      </c>
      <c r="AE139" s="447" t="s">
        <v>1747</v>
      </c>
      <c r="AG139" s="462">
        <f t="shared" si="80"/>
        <v>0</v>
      </c>
      <c r="AH139" s="447" t="s">
        <v>1820</v>
      </c>
      <c r="AJ139" s="462">
        <f t="shared" si="81"/>
        <v>0</v>
      </c>
      <c r="AM139" s="462">
        <f t="shared" si="82"/>
        <v>0</v>
      </c>
      <c r="AN139" s="447" t="s">
        <v>1960</v>
      </c>
      <c r="AP139" s="462">
        <f t="shared" si="83"/>
        <v>0</v>
      </c>
      <c r="AQ139" s="447" t="s">
        <v>1996</v>
      </c>
      <c r="AS139" s="459">
        <f t="shared" si="84"/>
        <v>0</v>
      </c>
      <c r="AV139" s="462">
        <f t="shared" si="85"/>
        <v>0</v>
      </c>
      <c r="AY139" s="462">
        <f t="shared" si="86"/>
        <v>0</v>
      </c>
      <c r="BB139" s="462">
        <f t="shared" si="87"/>
        <v>0</v>
      </c>
      <c r="BC139" s="447" t="s">
        <v>2204</v>
      </c>
      <c r="BE139" s="462">
        <f t="shared" si="88"/>
        <v>0</v>
      </c>
      <c r="BH139" s="462">
        <f t="shared" si="89"/>
        <v>0</v>
      </c>
      <c r="BK139" s="462">
        <f t="shared" si="90"/>
        <v>0</v>
      </c>
      <c r="BN139" s="462">
        <f t="shared" si="91"/>
        <v>0</v>
      </c>
      <c r="BQ139" s="462">
        <f t="shared" si="92"/>
        <v>0</v>
      </c>
      <c r="BT139" s="462">
        <f t="shared" si="93"/>
        <v>0</v>
      </c>
      <c r="BW139" s="462">
        <f t="shared" si="94"/>
        <v>0</v>
      </c>
      <c r="BZ139" s="462">
        <f t="shared" si="95"/>
        <v>0</v>
      </c>
      <c r="CD139" s="418" t="str">
        <f t="shared" si="96"/>
        <v>CU0145001</v>
      </c>
      <c r="CE139" s="442" t="str">
        <f t="shared" si="97"/>
        <v>2019年1月</v>
      </c>
      <c r="CF139" s="418" t="str">
        <f t="shared" si="98"/>
        <v>锐珂 Raclife服务费暂估</v>
      </c>
      <c r="CG139" s="418" t="str">
        <f t="shared" si="99"/>
        <v>2019年1月锐珂 Raclife服务费暂估</v>
      </c>
    </row>
    <row r="140" spans="2:85" s="447" customFormat="1" ht="17.25" customHeight="1">
      <c r="B140" s="447" t="str">
        <f t="shared" si="71"/>
        <v>CU0148</v>
      </c>
      <c r="C140" s="431" t="s">
        <v>755</v>
      </c>
      <c r="D140" s="367" t="s">
        <v>1372</v>
      </c>
      <c r="E140" s="367" t="s">
        <v>1378</v>
      </c>
      <c r="F140" s="439">
        <v>43466</v>
      </c>
      <c r="G140" s="430">
        <v>12020.58</v>
      </c>
      <c r="H140" s="440"/>
      <c r="I140" s="440">
        <v>12020.58</v>
      </c>
      <c r="J140" s="440" t="s">
        <v>1376</v>
      </c>
      <c r="L140" s="462">
        <f t="shared" si="100"/>
        <v>12020.58</v>
      </c>
      <c r="M140" s="462" t="s">
        <v>1463</v>
      </c>
      <c r="N140" s="444"/>
      <c r="O140" s="462">
        <f t="shared" si="75"/>
        <v>12020.58</v>
      </c>
      <c r="P140" s="447" t="s">
        <v>1527</v>
      </c>
      <c r="Q140" s="444"/>
      <c r="R140" s="462">
        <f t="shared" si="76"/>
        <v>12020.58</v>
      </c>
      <c r="S140" s="447" t="s">
        <v>1579</v>
      </c>
      <c r="U140" s="462">
        <f t="shared" si="77"/>
        <v>12020.58</v>
      </c>
      <c r="V140" s="447" t="s">
        <v>1627</v>
      </c>
      <c r="W140" s="447">
        <f>ROUND((3148.2+90+489)/1.06,2)+1046+1182+6031.07</f>
        <v>11775.3</v>
      </c>
      <c r="X140" s="462">
        <f t="shared" si="78"/>
        <v>245.28000000000065</v>
      </c>
      <c r="Y140" s="447" t="s">
        <v>1662</v>
      </c>
      <c r="Z140" s="447">
        <f>ROUND(260/1.06,2)</f>
        <v>245.28</v>
      </c>
      <c r="AA140" s="462">
        <f>X140-Z140</f>
        <v>6.5369931689929217E-13</v>
      </c>
      <c r="AB140" s="447" t="s">
        <v>1717</v>
      </c>
      <c r="AD140" s="462">
        <f t="shared" si="79"/>
        <v>6.5369931689929217E-13</v>
      </c>
      <c r="AE140" s="447" t="s">
        <v>1747</v>
      </c>
      <c r="AG140" s="462">
        <f t="shared" si="80"/>
        <v>6.5369931689929217E-13</v>
      </c>
      <c r="AH140" s="447" t="s">
        <v>1820</v>
      </c>
      <c r="AJ140" s="462">
        <f t="shared" si="81"/>
        <v>6.5369931689929217E-13</v>
      </c>
      <c r="AM140" s="462">
        <f t="shared" si="82"/>
        <v>6.5369931689929217E-13</v>
      </c>
      <c r="AN140" s="447" t="s">
        <v>1960</v>
      </c>
      <c r="AP140" s="462">
        <f t="shared" si="83"/>
        <v>6.5369931689929217E-13</v>
      </c>
      <c r="AQ140" s="447" t="s">
        <v>1996</v>
      </c>
      <c r="AS140" s="459">
        <f t="shared" si="84"/>
        <v>6.5369931689929217E-13</v>
      </c>
      <c r="AV140" s="462">
        <f t="shared" si="85"/>
        <v>6.5369931689929217E-13</v>
      </c>
      <c r="AY140" s="462">
        <f t="shared" si="86"/>
        <v>6.5369931689929217E-13</v>
      </c>
      <c r="BB140" s="462">
        <f t="shared" si="87"/>
        <v>6.5369931689929217E-13</v>
      </c>
      <c r="BC140" s="447" t="s">
        <v>2204</v>
      </c>
      <c r="BE140" s="462">
        <f t="shared" si="88"/>
        <v>6.5369931689929217E-13</v>
      </c>
      <c r="BH140" s="462">
        <f t="shared" si="89"/>
        <v>6.5369931689929217E-13</v>
      </c>
      <c r="BK140" s="462">
        <f t="shared" si="90"/>
        <v>6.5369931689929217E-13</v>
      </c>
      <c r="BN140" s="462">
        <f t="shared" si="91"/>
        <v>6.5369931689929217E-13</v>
      </c>
      <c r="BQ140" s="462">
        <f t="shared" si="92"/>
        <v>0</v>
      </c>
      <c r="BT140" s="462">
        <f t="shared" si="93"/>
        <v>0</v>
      </c>
      <c r="BW140" s="462">
        <f t="shared" si="94"/>
        <v>0</v>
      </c>
      <c r="BZ140" s="462">
        <f t="shared" si="95"/>
        <v>0</v>
      </c>
      <c r="CD140" s="418" t="str">
        <f t="shared" si="96"/>
        <v>CU0148001</v>
      </c>
      <c r="CE140" s="442" t="str">
        <f t="shared" si="97"/>
        <v>2019年1月</v>
      </c>
      <c r="CF140" s="418" t="str">
        <f t="shared" si="98"/>
        <v>贝雅投资咨clife服务费暂估</v>
      </c>
      <c r="CG140" s="418" t="str">
        <f t="shared" si="99"/>
        <v>2019年1月贝雅投资咨clife服务费暂估</v>
      </c>
    </row>
    <row r="141" spans="2:85" s="447" customFormat="1" ht="17.25" customHeight="1">
      <c r="B141" s="447" t="str">
        <f t="shared" si="71"/>
        <v>CU0182</v>
      </c>
      <c r="C141" s="431" t="s">
        <v>755</v>
      </c>
      <c r="D141" s="367" t="s">
        <v>1949</v>
      </c>
      <c r="E141" s="367" t="s">
        <v>1381</v>
      </c>
      <c r="F141" s="439">
        <v>43466</v>
      </c>
      <c r="G141" s="430">
        <v>4654.18</v>
      </c>
      <c r="H141" s="440"/>
      <c r="I141" s="440">
        <v>4654.18</v>
      </c>
      <c r="J141" s="440" t="s">
        <v>1376</v>
      </c>
      <c r="L141" s="462">
        <f t="shared" si="100"/>
        <v>4654.18</v>
      </c>
      <c r="M141" s="462" t="s">
        <v>1463</v>
      </c>
      <c r="N141" s="444"/>
      <c r="O141" s="462">
        <f t="shared" si="75"/>
        <v>4654.18</v>
      </c>
      <c r="P141" s="447" t="s">
        <v>1527</v>
      </c>
      <c r="R141" s="462">
        <f t="shared" si="76"/>
        <v>4654.18</v>
      </c>
      <c r="S141" s="447" t="s">
        <v>1579</v>
      </c>
      <c r="U141" s="462">
        <f t="shared" si="77"/>
        <v>4654.18</v>
      </c>
      <c r="V141" s="447" t="s">
        <v>1627</v>
      </c>
      <c r="X141" s="462">
        <f t="shared" si="78"/>
        <v>4654.18</v>
      </c>
      <c r="Y141" s="447" t="s">
        <v>1662</v>
      </c>
      <c r="AA141" s="462">
        <f t="shared" ref="AA141:AA204" si="101">X141-Z141</f>
        <v>4654.18</v>
      </c>
      <c r="AB141" s="447" t="s">
        <v>1717</v>
      </c>
      <c r="AD141" s="462">
        <f t="shared" si="79"/>
        <v>4654.18</v>
      </c>
      <c r="AE141" s="447" t="s">
        <v>1747</v>
      </c>
      <c r="AG141" s="462">
        <f t="shared" si="80"/>
        <v>4654.18</v>
      </c>
      <c r="AH141" s="447" t="s">
        <v>1820</v>
      </c>
      <c r="AJ141" s="462">
        <f t="shared" si="81"/>
        <v>4654.18</v>
      </c>
      <c r="AK141" s="447" t="s">
        <v>1863</v>
      </c>
      <c r="AL141" s="447">
        <f>4582.42-132.45</f>
        <v>4449.97</v>
      </c>
      <c r="AM141" s="462">
        <f t="shared" si="82"/>
        <v>204.21000000000004</v>
      </c>
      <c r="AN141" s="447" t="s">
        <v>1960</v>
      </c>
      <c r="AP141" s="462">
        <f t="shared" si="83"/>
        <v>204.21000000000004</v>
      </c>
      <c r="AQ141" s="447" t="s">
        <v>1996</v>
      </c>
      <c r="AS141" s="459">
        <f t="shared" si="84"/>
        <v>204.21000000000004</v>
      </c>
      <c r="AV141" s="462">
        <f t="shared" si="85"/>
        <v>204.21000000000004</v>
      </c>
      <c r="AW141" s="447" t="s">
        <v>2107</v>
      </c>
      <c r="AY141" s="462">
        <f t="shared" si="86"/>
        <v>204.21000000000004</v>
      </c>
      <c r="AZ141" s="447" t="s">
        <v>2131</v>
      </c>
      <c r="BB141" s="462">
        <f t="shared" si="87"/>
        <v>204.21000000000004</v>
      </c>
      <c r="BC141" s="447" t="s">
        <v>2204</v>
      </c>
      <c r="BE141" s="462">
        <f t="shared" si="88"/>
        <v>204.21000000000004</v>
      </c>
      <c r="BF141" s="447" t="s">
        <v>2237</v>
      </c>
      <c r="BH141" s="462">
        <f t="shared" si="89"/>
        <v>204.21000000000004</v>
      </c>
      <c r="BI141" s="447" t="s">
        <v>2292</v>
      </c>
      <c r="BK141" s="462">
        <f t="shared" si="90"/>
        <v>204.21000000000004</v>
      </c>
      <c r="BL141" s="447" t="s">
        <v>2339</v>
      </c>
      <c r="BN141" s="462">
        <f t="shared" si="91"/>
        <v>204.21000000000004</v>
      </c>
      <c r="BO141" s="447" t="s">
        <v>2365</v>
      </c>
      <c r="BQ141" s="462">
        <f t="shared" si="92"/>
        <v>204.21</v>
      </c>
      <c r="BR141" s="447" t="s">
        <v>2374</v>
      </c>
      <c r="BT141" s="462">
        <f t="shared" si="93"/>
        <v>204.21</v>
      </c>
      <c r="BU141" s="447" t="s">
        <v>2134</v>
      </c>
      <c r="BW141" s="462">
        <f t="shared" si="94"/>
        <v>204.21</v>
      </c>
      <c r="BZ141" s="462">
        <f t="shared" si="95"/>
        <v>204.21</v>
      </c>
      <c r="CD141" s="418" t="str">
        <f t="shared" si="96"/>
        <v>CU0182001</v>
      </c>
      <c r="CE141" s="442" t="str">
        <f t="shared" si="97"/>
        <v>2019年1月</v>
      </c>
      <c r="CF141" s="418" t="str">
        <f t="shared" si="98"/>
        <v>阿姆斯壮clife服务费暂估</v>
      </c>
      <c r="CG141" s="418" t="str">
        <f t="shared" si="99"/>
        <v>2019年1月阿姆斯壮clife服务费暂估</v>
      </c>
    </row>
    <row r="142" spans="2:85" s="447" customFormat="1" ht="17.25" customHeight="1">
      <c r="B142" s="447" t="str">
        <f t="shared" si="71"/>
        <v>CU0221</v>
      </c>
      <c r="C142" s="431" t="s">
        <v>755</v>
      </c>
      <c r="D142" s="367" t="s">
        <v>1384</v>
      </c>
      <c r="E142" s="367" t="s">
        <v>1383</v>
      </c>
      <c r="F142" s="439">
        <v>43466</v>
      </c>
      <c r="G142" s="430">
        <v>16.809999999999999</v>
      </c>
      <c r="H142" s="440"/>
      <c r="I142" s="440">
        <v>16.809999999999999</v>
      </c>
      <c r="J142" s="440" t="s">
        <v>1376</v>
      </c>
      <c r="L142" s="462">
        <f t="shared" si="100"/>
        <v>16.809999999999999</v>
      </c>
      <c r="M142" s="462" t="s">
        <v>1463</v>
      </c>
      <c r="N142" s="444"/>
      <c r="O142" s="462">
        <f t="shared" si="75"/>
        <v>16.809999999999999</v>
      </c>
      <c r="P142" s="447" t="s">
        <v>1527</v>
      </c>
      <c r="R142" s="462">
        <f t="shared" si="76"/>
        <v>16.809999999999999</v>
      </c>
      <c r="S142" s="447" t="s">
        <v>1579</v>
      </c>
      <c r="U142" s="462">
        <f t="shared" si="77"/>
        <v>16.809999999999999</v>
      </c>
      <c r="V142" s="447" t="s">
        <v>1627</v>
      </c>
      <c r="X142" s="462">
        <f t="shared" si="78"/>
        <v>16.809999999999999</v>
      </c>
      <c r="Y142" s="447" t="s">
        <v>1662</v>
      </c>
      <c r="AA142" s="462">
        <v>0</v>
      </c>
      <c r="AB142" s="447" t="s">
        <v>1717</v>
      </c>
      <c r="AD142" s="462">
        <f t="shared" si="79"/>
        <v>0</v>
      </c>
      <c r="AE142" s="447" t="s">
        <v>1747</v>
      </c>
      <c r="AG142" s="462">
        <f t="shared" si="80"/>
        <v>0</v>
      </c>
      <c r="AH142" s="447" t="s">
        <v>1820</v>
      </c>
      <c r="AJ142" s="462">
        <f t="shared" si="81"/>
        <v>0</v>
      </c>
      <c r="AM142" s="462">
        <f t="shared" si="82"/>
        <v>0</v>
      </c>
      <c r="AN142" s="447" t="s">
        <v>1960</v>
      </c>
      <c r="AP142" s="462">
        <f t="shared" si="83"/>
        <v>0</v>
      </c>
      <c r="AQ142" s="447" t="s">
        <v>1996</v>
      </c>
      <c r="AS142" s="459">
        <f t="shared" si="84"/>
        <v>0</v>
      </c>
      <c r="AV142" s="462">
        <f t="shared" si="85"/>
        <v>0</v>
      </c>
      <c r="AY142" s="462">
        <f t="shared" si="86"/>
        <v>0</v>
      </c>
      <c r="BB142" s="462">
        <f t="shared" si="87"/>
        <v>0</v>
      </c>
      <c r="BC142" s="447" t="s">
        <v>2204</v>
      </c>
      <c r="BE142" s="462">
        <f t="shared" si="88"/>
        <v>0</v>
      </c>
      <c r="BH142" s="462">
        <f t="shared" si="89"/>
        <v>0</v>
      </c>
      <c r="BK142" s="462">
        <f t="shared" si="90"/>
        <v>0</v>
      </c>
      <c r="BN142" s="462">
        <f t="shared" si="91"/>
        <v>0</v>
      </c>
      <c r="BQ142" s="462">
        <f t="shared" si="92"/>
        <v>0</v>
      </c>
      <c r="BT142" s="462">
        <f t="shared" si="93"/>
        <v>0</v>
      </c>
      <c r="BW142" s="462">
        <f t="shared" si="94"/>
        <v>0</v>
      </c>
      <c r="BZ142" s="462">
        <f t="shared" si="95"/>
        <v>0</v>
      </c>
      <c r="CD142" s="418" t="str">
        <f t="shared" si="96"/>
        <v>CU0221001</v>
      </c>
      <c r="CE142" s="442" t="str">
        <f t="shared" si="97"/>
        <v>2019年1月</v>
      </c>
      <c r="CF142" s="418" t="str">
        <f t="shared" si="98"/>
        <v>艾绰（北京clife服务费暂估</v>
      </c>
      <c r="CG142" s="418" t="str">
        <f t="shared" si="99"/>
        <v>2019年1月艾绰（北京clife服务费暂估</v>
      </c>
    </row>
    <row r="143" spans="2:85" s="447" customFormat="1" ht="17.25" customHeight="1">
      <c r="B143" s="447" t="str">
        <f t="shared" si="71"/>
        <v>CU0285</v>
      </c>
      <c r="C143" s="431" t="s">
        <v>755</v>
      </c>
      <c r="D143" s="367" t="s">
        <v>1386</v>
      </c>
      <c r="E143" s="367" t="s">
        <v>1385</v>
      </c>
      <c r="F143" s="439">
        <v>43466</v>
      </c>
      <c r="G143" s="430">
        <v>131361.32</v>
      </c>
      <c r="H143" s="440"/>
      <c r="I143" s="440">
        <v>131361.32</v>
      </c>
      <c r="J143" s="440" t="s">
        <v>1376</v>
      </c>
      <c r="L143" s="462">
        <f t="shared" si="100"/>
        <v>131361.32</v>
      </c>
      <c r="M143" s="462" t="s">
        <v>1463</v>
      </c>
      <c r="N143" s="444"/>
      <c r="O143" s="462">
        <f t="shared" si="75"/>
        <v>131361.32</v>
      </c>
      <c r="P143" s="447" t="s">
        <v>1527</v>
      </c>
      <c r="Q143" s="444">
        <f>157992-Q26-Q27-Q53-Q88+61730/1.06+3017+4251.7+1732.4/1.06</f>
        <v>116454.64867924528</v>
      </c>
      <c r="R143" s="462">
        <f t="shared" si="76"/>
        <v>14906.671320754729</v>
      </c>
      <c r="S143" s="447" t="s">
        <v>1579</v>
      </c>
      <c r="U143" s="462">
        <f t="shared" si="77"/>
        <v>14906.671320754729</v>
      </c>
      <c r="V143" s="447" t="s">
        <v>1627</v>
      </c>
      <c r="W143" s="462">
        <f>U143</f>
        <v>14906.671320754729</v>
      </c>
      <c r="X143" s="462">
        <f t="shared" si="78"/>
        <v>0</v>
      </c>
      <c r="Y143" s="447" t="s">
        <v>1662</v>
      </c>
      <c r="AA143" s="462">
        <f t="shared" si="101"/>
        <v>0</v>
      </c>
      <c r="AB143" s="447" t="s">
        <v>1717</v>
      </c>
      <c r="AD143" s="462">
        <f t="shared" si="79"/>
        <v>0</v>
      </c>
      <c r="AE143" s="447" t="s">
        <v>1747</v>
      </c>
      <c r="AG143" s="462">
        <f t="shared" si="80"/>
        <v>0</v>
      </c>
      <c r="AH143" s="447" t="s">
        <v>1820</v>
      </c>
      <c r="AJ143" s="462">
        <f t="shared" si="81"/>
        <v>0</v>
      </c>
      <c r="AM143" s="462">
        <f t="shared" si="82"/>
        <v>0</v>
      </c>
      <c r="AN143" s="447" t="s">
        <v>1960</v>
      </c>
      <c r="AP143" s="462">
        <f t="shared" si="83"/>
        <v>0</v>
      </c>
      <c r="AQ143" s="447" t="s">
        <v>1996</v>
      </c>
      <c r="AS143" s="459">
        <f t="shared" si="84"/>
        <v>0</v>
      </c>
      <c r="AV143" s="462">
        <f t="shared" si="85"/>
        <v>0</v>
      </c>
      <c r="AY143" s="462">
        <f t="shared" si="86"/>
        <v>0</v>
      </c>
      <c r="BB143" s="462">
        <f t="shared" si="87"/>
        <v>0</v>
      </c>
      <c r="BC143" s="447" t="s">
        <v>2204</v>
      </c>
      <c r="BE143" s="462">
        <f t="shared" si="88"/>
        <v>0</v>
      </c>
      <c r="BH143" s="462">
        <f t="shared" si="89"/>
        <v>0</v>
      </c>
      <c r="BK143" s="462">
        <f t="shared" si="90"/>
        <v>0</v>
      </c>
      <c r="BN143" s="462">
        <f t="shared" si="91"/>
        <v>0</v>
      </c>
      <c r="BQ143" s="462">
        <f t="shared" si="92"/>
        <v>0</v>
      </c>
      <c r="BT143" s="462">
        <f t="shared" si="93"/>
        <v>0</v>
      </c>
      <c r="BW143" s="462">
        <f t="shared" si="94"/>
        <v>0</v>
      </c>
      <c r="BZ143" s="462">
        <f t="shared" si="95"/>
        <v>0</v>
      </c>
      <c r="CD143" s="418" t="str">
        <f t="shared" si="96"/>
        <v>CU0285001</v>
      </c>
      <c r="CE143" s="442" t="str">
        <f t="shared" si="97"/>
        <v>2019年1月</v>
      </c>
      <c r="CF143" s="418" t="str">
        <f t="shared" si="98"/>
        <v>文思海辉clife服务费暂估</v>
      </c>
      <c r="CG143" s="418" t="str">
        <f t="shared" si="99"/>
        <v>2019年1月文思海辉clife服务费暂估</v>
      </c>
    </row>
    <row r="144" spans="2:85" s="447" customFormat="1" ht="17.25" customHeight="1">
      <c r="B144" s="447" t="str">
        <f t="shared" si="71"/>
        <v>CU0289</v>
      </c>
      <c r="C144" s="431" t="s">
        <v>755</v>
      </c>
      <c r="D144" s="367" t="s">
        <v>1388</v>
      </c>
      <c r="E144" s="367" t="s">
        <v>1387</v>
      </c>
      <c r="F144" s="439">
        <v>43466</v>
      </c>
      <c r="G144" s="430">
        <v>2586.5300000000002</v>
      </c>
      <c r="H144" s="440"/>
      <c r="I144" s="440">
        <v>2586.5300000000002</v>
      </c>
      <c r="J144" s="440" t="s">
        <v>1376</v>
      </c>
      <c r="L144" s="462">
        <f t="shared" si="100"/>
        <v>2586.5300000000002</v>
      </c>
      <c r="M144" s="462" t="s">
        <v>1463</v>
      </c>
      <c r="N144" s="444"/>
      <c r="O144" s="462">
        <f t="shared" si="75"/>
        <v>2586.5300000000002</v>
      </c>
      <c r="P144" s="447" t="s">
        <v>1527</v>
      </c>
      <c r="R144" s="462">
        <f t="shared" si="76"/>
        <v>2586.5300000000002</v>
      </c>
      <c r="S144" s="447" t="s">
        <v>1579</v>
      </c>
      <c r="U144" s="462">
        <f t="shared" si="77"/>
        <v>2586.5300000000002</v>
      </c>
      <c r="V144" s="447" t="s">
        <v>1627</v>
      </c>
      <c r="X144" s="462">
        <f t="shared" si="78"/>
        <v>2586.5300000000002</v>
      </c>
      <c r="Y144" s="447" t="s">
        <v>1662</v>
      </c>
      <c r="AA144" s="462">
        <f t="shared" si="101"/>
        <v>2586.5300000000002</v>
      </c>
      <c r="AB144" s="447" t="s">
        <v>1717</v>
      </c>
      <c r="AD144" s="462">
        <f t="shared" si="79"/>
        <v>2586.5300000000002</v>
      </c>
      <c r="AE144" s="447" t="s">
        <v>1747</v>
      </c>
      <c r="AG144" s="462">
        <f t="shared" si="80"/>
        <v>2586.5300000000002</v>
      </c>
      <c r="AH144" s="447" t="s">
        <v>1820</v>
      </c>
      <c r="AJ144" s="462">
        <f t="shared" si="81"/>
        <v>2586.5300000000002</v>
      </c>
      <c r="AK144" s="447" t="s">
        <v>1863</v>
      </c>
      <c r="AL144" s="447">
        <f>ROUND(2121/1.06,2)+585.59</f>
        <v>2586.5300000000002</v>
      </c>
      <c r="AM144" s="462">
        <f t="shared" si="82"/>
        <v>0</v>
      </c>
      <c r="AN144" s="447" t="s">
        <v>1960</v>
      </c>
      <c r="AP144" s="462">
        <f t="shared" si="83"/>
        <v>0</v>
      </c>
      <c r="AQ144" s="447" t="s">
        <v>1996</v>
      </c>
      <c r="AS144" s="459">
        <f t="shared" si="84"/>
        <v>0</v>
      </c>
      <c r="AV144" s="462">
        <f t="shared" si="85"/>
        <v>0</v>
      </c>
      <c r="AY144" s="462">
        <f t="shared" si="86"/>
        <v>0</v>
      </c>
      <c r="BB144" s="462">
        <f t="shared" si="87"/>
        <v>0</v>
      </c>
      <c r="BC144" s="447" t="s">
        <v>2204</v>
      </c>
      <c r="BE144" s="462">
        <f t="shared" si="88"/>
        <v>0</v>
      </c>
      <c r="BH144" s="462">
        <f t="shared" si="89"/>
        <v>0</v>
      </c>
      <c r="BK144" s="462">
        <f t="shared" si="90"/>
        <v>0</v>
      </c>
      <c r="BN144" s="462">
        <f t="shared" si="91"/>
        <v>0</v>
      </c>
      <c r="BQ144" s="462">
        <f t="shared" si="92"/>
        <v>0</v>
      </c>
      <c r="BT144" s="462">
        <f t="shared" si="93"/>
        <v>0</v>
      </c>
      <c r="BW144" s="462">
        <f t="shared" si="94"/>
        <v>0</v>
      </c>
      <c r="BZ144" s="462">
        <f t="shared" si="95"/>
        <v>0</v>
      </c>
      <c r="CD144" s="418" t="str">
        <f t="shared" si="96"/>
        <v>CU0289001</v>
      </c>
      <c r="CE144" s="442" t="str">
        <f t="shared" si="97"/>
        <v>2019年1月</v>
      </c>
      <c r="CF144" s="418" t="str">
        <f t="shared" si="98"/>
        <v>拉格代尔clife服务费暂估</v>
      </c>
      <c r="CG144" s="418" t="str">
        <f t="shared" si="99"/>
        <v>2019年1月拉格代尔clife服务费暂估</v>
      </c>
    </row>
    <row r="145" spans="2:85" s="447" customFormat="1" ht="17.25" customHeight="1">
      <c r="B145" s="447" t="str">
        <f t="shared" si="71"/>
        <v>CU0411</v>
      </c>
      <c r="C145" s="431" t="s">
        <v>755</v>
      </c>
      <c r="D145" s="367" t="s">
        <v>1950</v>
      </c>
      <c r="E145" s="367" t="s">
        <v>1389</v>
      </c>
      <c r="F145" s="439">
        <v>43466</v>
      </c>
      <c r="G145" s="430">
        <v>3659.28</v>
      </c>
      <c r="H145" s="440"/>
      <c r="I145" s="440">
        <v>3659.28</v>
      </c>
      <c r="J145" s="440" t="s">
        <v>1376</v>
      </c>
      <c r="L145" s="462">
        <f t="shared" si="100"/>
        <v>3659.28</v>
      </c>
      <c r="M145" s="462" t="s">
        <v>1463</v>
      </c>
      <c r="N145" s="444"/>
      <c r="O145" s="462">
        <f t="shared" si="75"/>
        <v>3659.28</v>
      </c>
      <c r="P145" s="447" t="s">
        <v>1527</v>
      </c>
      <c r="R145" s="462">
        <f t="shared" si="76"/>
        <v>3659.28</v>
      </c>
      <c r="S145" s="447" t="s">
        <v>1579</v>
      </c>
      <c r="U145" s="462">
        <f t="shared" si="77"/>
        <v>3659.28</v>
      </c>
      <c r="V145" s="447" t="s">
        <v>1627</v>
      </c>
      <c r="X145" s="462">
        <f t="shared" si="78"/>
        <v>3659.28</v>
      </c>
      <c r="Y145" s="447" t="s">
        <v>1662</v>
      </c>
      <c r="AA145" s="462">
        <f t="shared" si="101"/>
        <v>3659.28</v>
      </c>
      <c r="AB145" s="447" t="s">
        <v>1717</v>
      </c>
      <c r="AD145" s="462">
        <f t="shared" si="79"/>
        <v>3659.28</v>
      </c>
      <c r="AE145" s="447" t="s">
        <v>1747</v>
      </c>
      <c r="AG145" s="462">
        <f t="shared" si="80"/>
        <v>3659.28</v>
      </c>
      <c r="AH145" s="447" t="s">
        <v>1820</v>
      </c>
      <c r="AJ145" s="462">
        <f t="shared" si="81"/>
        <v>3659.28</v>
      </c>
      <c r="AK145" s="447" t="s">
        <v>1863</v>
      </c>
      <c r="AL145" s="447">
        <v>3659.28</v>
      </c>
      <c r="AM145" s="462">
        <f t="shared" si="82"/>
        <v>0</v>
      </c>
      <c r="AN145" s="447" t="s">
        <v>1960</v>
      </c>
      <c r="AP145" s="462">
        <f t="shared" si="83"/>
        <v>0</v>
      </c>
      <c r="AQ145" s="447" t="s">
        <v>1996</v>
      </c>
      <c r="AS145" s="459">
        <f t="shared" si="84"/>
        <v>0</v>
      </c>
      <c r="AV145" s="462">
        <f t="shared" si="85"/>
        <v>0</v>
      </c>
      <c r="AY145" s="462">
        <f t="shared" si="86"/>
        <v>0</v>
      </c>
      <c r="BB145" s="462">
        <f t="shared" si="87"/>
        <v>0</v>
      </c>
      <c r="BC145" s="447" t="s">
        <v>2204</v>
      </c>
      <c r="BE145" s="462">
        <f t="shared" si="88"/>
        <v>0</v>
      </c>
      <c r="BH145" s="462">
        <f t="shared" si="89"/>
        <v>0</v>
      </c>
      <c r="BK145" s="462">
        <f t="shared" si="90"/>
        <v>0</v>
      </c>
      <c r="BN145" s="462">
        <f t="shared" si="91"/>
        <v>0</v>
      </c>
      <c r="BQ145" s="462">
        <f t="shared" si="92"/>
        <v>0</v>
      </c>
      <c r="BT145" s="462">
        <f t="shared" si="93"/>
        <v>0</v>
      </c>
      <c r="BW145" s="462">
        <f t="shared" si="94"/>
        <v>0</v>
      </c>
      <c r="BZ145" s="462">
        <f t="shared" si="95"/>
        <v>0</v>
      </c>
      <c r="CD145" s="418" t="str">
        <f t="shared" si="96"/>
        <v>CU0411001</v>
      </c>
      <c r="CE145" s="442" t="str">
        <f t="shared" si="97"/>
        <v>2019年1月</v>
      </c>
      <c r="CF145" s="418" t="str">
        <f t="shared" si="98"/>
        <v>上海德达集clife服务费暂估</v>
      </c>
      <c r="CG145" s="418" t="str">
        <f t="shared" si="99"/>
        <v>2019年1月上海德达集clife服务费暂估</v>
      </c>
    </row>
    <row r="146" spans="2:85" s="447" customFormat="1" ht="17.25" customHeight="1">
      <c r="B146" s="447" t="str">
        <f t="shared" si="71"/>
        <v>CU0428</v>
      </c>
      <c r="C146" s="431" t="s">
        <v>755</v>
      </c>
      <c r="D146" s="367" t="s">
        <v>1951</v>
      </c>
      <c r="E146" s="367" t="s">
        <v>1338</v>
      </c>
      <c r="F146" s="439">
        <v>43466</v>
      </c>
      <c r="G146" s="430">
        <v>19326.560000000001</v>
      </c>
      <c r="H146" s="440"/>
      <c r="I146" s="440">
        <v>19326.560000000001</v>
      </c>
      <c r="J146" s="440" t="s">
        <v>1376</v>
      </c>
      <c r="L146" s="462">
        <f t="shared" si="100"/>
        <v>19326.560000000001</v>
      </c>
      <c r="M146" s="462" t="s">
        <v>1463</v>
      </c>
      <c r="N146" s="444"/>
      <c r="O146" s="462">
        <f t="shared" si="75"/>
        <v>19326.560000000001</v>
      </c>
      <c r="P146" s="447" t="s">
        <v>1527</v>
      </c>
      <c r="R146" s="462">
        <f t="shared" si="76"/>
        <v>19326.560000000001</v>
      </c>
      <c r="S146" s="447" t="s">
        <v>1579</v>
      </c>
      <c r="U146" s="462">
        <f t="shared" si="77"/>
        <v>19326.560000000001</v>
      </c>
      <c r="V146" s="447" t="s">
        <v>1627</v>
      </c>
      <c r="X146" s="462">
        <f t="shared" si="78"/>
        <v>19326.560000000001</v>
      </c>
      <c r="Y146" s="447" t="s">
        <v>1662</v>
      </c>
      <c r="AA146" s="462">
        <f t="shared" si="101"/>
        <v>19326.560000000001</v>
      </c>
      <c r="AB146" s="447" t="s">
        <v>1717</v>
      </c>
      <c r="AD146" s="462">
        <f t="shared" si="79"/>
        <v>19326.560000000001</v>
      </c>
      <c r="AE146" s="447" t="s">
        <v>1747</v>
      </c>
      <c r="AG146" s="462">
        <f t="shared" si="80"/>
        <v>19326.560000000001</v>
      </c>
      <c r="AH146" s="447" t="s">
        <v>1820</v>
      </c>
      <c r="AJ146" s="462">
        <f t="shared" si="81"/>
        <v>19326.560000000001</v>
      </c>
      <c r="AK146" s="447" t="s">
        <v>1863</v>
      </c>
      <c r="AL146" s="447">
        <v>17376.560000000001</v>
      </c>
      <c r="AM146" s="462">
        <f t="shared" si="82"/>
        <v>1950</v>
      </c>
      <c r="AN146" s="447" t="s">
        <v>1960</v>
      </c>
      <c r="AP146" s="462">
        <f t="shared" si="83"/>
        <v>1950</v>
      </c>
      <c r="AQ146" s="447" t="s">
        <v>1996</v>
      </c>
      <c r="AR146" s="447">
        <f>ROUND(1724.5/1.06,2)</f>
        <v>1626.89</v>
      </c>
      <c r="AS146" s="459">
        <f t="shared" si="84"/>
        <v>323.1099999999999</v>
      </c>
      <c r="AV146" s="462">
        <f t="shared" si="85"/>
        <v>323.1099999999999</v>
      </c>
      <c r="AW146" s="447" t="s">
        <v>2107</v>
      </c>
      <c r="AY146" s="462">
        <f t="shared" si="86"/>
        <v>323.1099999999999</v>
      </c>
      <c r="AZ146" s="447" t="s">
        <v>2131</v>
      </c>
      <c r="BB146" s="462">
        <f t="shared" si="87"/>
        <v>323.1099999999999</v>
      </c>
      <c r="BC146" s="447" t="s">
        <v>2204</v>
      </c>
      <c r="BD146" s="447">
        <v>309.91000000000003</v>
      </c>
      <c r="BE146" s="462">
        <f t="shared" si="88"/>
        <v>13.199999999999875</v>
      </c>
      <c r="BF146" s="447" t="s">
        <v>2237</v>
      </c>
      <c r="BH146" s="462">
        <f t="shared" si="89"/>
        <v>13.199999999999875</v>
      </c>
      <c r="BI146" s="447" t="s">
        <v>2292</v>
      </c>
      <c r="BK146" s="462">
        <f t="shared" si="90"/>
        <v>13.199999999999875</v>
      </c>
      <c r="BL146" s="447" t="s">
        <v>2339</v>
      </c>
      <c r="BN146" s="462">
        <f t="shared" si="91"/>
        <v>13.199999999999875</v>
      </c>
      <c r="BO146" s="447" t="s">
        <v>2365</v>
      </c>
      <c r="BQ146" s="462">
        <f t="shared" si="92"/>
        <v>13.2</v>
      </c>
      <c r="BR146" s="447" t="s">
        <v>2374</v>
      </c>
      <c r="BT146" s="462">
        <f t="shared" si="93"/>
        <v>13.2</v>
      </c>
      <c r="BU146" s="447" t="s">
        <v>2134</v>
      </c>
      <c r="BV146" s="462">
        <f>BT146</f>
        <v>13.2</v>
      </c>
      <c r="BW146" s="462">
        <f t="shared" si="94"/>
        <v>0</v>
      </c>
      <c r="BZ146" s="462">
        <f t="shared" si="95"/>
        <v>0</v>
      </c>
      <c r="CD146" s="418" t="str">
        <f t="shared" si="96"/>
        <v>CU0428001</v>
      </c>
      <c r="CE146" s="442" t="str">
        <f t="shared" si="97"/>
        <v>2019年1月</v>
      </c>
      <c r="CF146" s="418" t="str">
        <f t="shared" si="98"/>
        <v>IDC咨询clife服务费暂估</v>
      </c>
      <c r="CG146" s="418" t="str">
        <f t="shared" si="99"/>
        <v>2019年1月IDC咨询clife服务费暂估</v>
      </c>
    </row>
    <row r="147" spans="2:85" s="447" customFormat="1" ht="17.25" customHeight="1">
      <c r="B147" s="447" t="str">
        <f t="shared" si="71"/>
        <v>CU0460</v>
      </c>
      <c r="C147" s="431" t="s">
        <v>755</v>
      </c>
      <c r="D147" s="367" t="s">
        <v>1391</v>
      </c>
      <c r="E147" s="367" t="s">
        <v>1390</v>
      </c>
      <c r="F147" s="439">
        <v>43466</v>
      </c>
      <c r="G147" s="430">
        <v>135956.23000000001</v>
      </c>
      <c r="H147" s="440"/>
      <c r="I147" s="440">
        <v>135956.23000000001</v>
      </c>
      <c r="J147" s="440" t="s">
        <v>1376</v>
      </c>
      <c r="L147" s="462">
        <f t="shared" si="100"/>
        <v>135956.23000000001</v>
      </c>
      <c r="M147" s="462" t="s">
        <v>1463</v>
      </c>
      <c r="N147" s="444"/>
      <c r="O147" s="462">
        <f t="shared" si="75"/>
        <v>135956.23000000001</v>
      </c>
      <c r="P147" s="447" t="s">
        <v>1527</v>
      </c>
      <c r="Q147" s="444">
        <f>56496.75/1.06</f>
        <v>53298.82075471698</v>
      </c>
      <c r="R147" s="462">
        <f t="shared" si="76"/>
        <v>82657.409245283023</v>
      </c>
      <c r="S147" s="447" t="s">
        <v>1579</v>
      </c>
      <c r="U147" s="462">
        <f t="shared" si="77"/>
        <v>82657.409245283023</v>
      </c>
      <c r="V147" s="447" t="s">
        <v>1627</v>
      </c>
      <c r="X147" s="462">
        <f t="shared" si="78"/>
        <v>82657.409245283023</v>
      </c>
      <c r="Y147" s="447" t="s">
        <v>1662</v>
      </c>
      <c r="AA147" s="462">
        <f t="shared" si="101"/>
        <v>82657.409245283023</v>
      </c>
      <c r="AB147" s="447" t="s">
        <v>1717</v>
      </c>
      <c r="AD147" s="462">
        <f t="shared" si="79"/>
        <v>82657.409245283023</v>
      </c>
      <c r="AE147" s="447" t="s">
        <v>1747</v>
      </c>
      <c r="AG147" s="462">
        <f t="shared" si="80"/>
        <v>82657.409245283023</v>
      </c>
      <c r="AH147" s="447" t="s">
        <v>1820</v>
      </c>
      <c r="AJ147" s="462">
        <f t="shared" si="81"/>
        <v>82657.409245283023</v>
      </c>
      <c r="AK147" s="447" t="s">
        <v>1863</v>
      </c>
      <c r="AL147" s="447">
        <f>ROUND(87616.85/1.06,2)</f>
        <v>82657.41</v>
      </c>
      <c r="AM147" s="462">
        <f t="shared" si="82"/>
        <v>-7.5471698073670268E-4</v>
      </c>
      <c r="AN147" s="447" t="s">
        <v>1960</v>
      </c>
      <c r="AP147" s="462">
        <f t="shared" si="83"/>
        <v>-7.5471698073670268E-4</v>
      </c>
      <c r="AQ147" s="447" t="s">
        <v>1996</v>
      </c>
      <c r="AS147" s="459">
        <f t="shared" si="84"/>
        <v>-7.5471698073670268E-4</v>
      </c>
      <c r="AV147" s="462">
        <f t="shared" si="85"/>
        <v>-7.5471698073670268E-4</v>
      </c>
      <c r="AY147" s="462">
        <f t="shared" si="86"/>
        <v>-7.5471698073670268E-4</v>
      </c>
      <c r="BB147" s="462">
        <f t="shared" si="87"/>
        <v>-7.5471698073670268E-4</v>
      </c>
      <c r="BC147" s="447" t="s">
        <v>2204</v>
      </c>
      <c r="BE147" s="462">
        <f t="shared" si="88"/>
        <v>-7.5471698073670268E-4</v>
      </c>
      <c r="BH147" s="462">
        <f t="shared" si="89"/>
        <v>-7.5471698073670268E-4</v>
      </c>
      <c r="BK147" s="462">
        <f t="shared" si="90"/>
        <v>-7.5471698073670268E-4</v>
      </c>
      <c r="BN147" s="462">
        <f t="shared" si="91"/>
        <v>-7.5471698073670268E-4</v>
      </c>
      <c r="BQ147" s="462">
        <f t="shared" si="92"/>
        <v>0</v>
      </c>
      <c r="BT147" s="462">
        <f t="shared" si="93"/>
        <v>0</v>
      </c>
      <c r="BW147" s="462">
        <f t="shared" si="94"/>
        <v>0</v>
      </c>
      <c r="BZ147" s="462">
        <f t="shared" si="95"/>
        <v>0</v>
      </c>
      <c r="CD147" s="418" t="str">
        <f t="shared" si="96"/>
        <v>CU0460001</v>
      </c>
      <c r="CE147" s="442" t="str">
        <f t="shared" si="97"/>
        <v>2019年1月</v>
      </c>
      <c r="CF147" s="418" t="str">
        <f t="shared" si="98"/>
        <v>新疆金风科clife服务费暂估</v>
      </c>
      <c r="CG147" s="418" t="str">
        <f t="shared" si="99"/>
        <v>2019年1月新疆金风科clife服务费暂估</v>
      </c>
    </row>
    <row r="148" spans="2:85" s="447" customFormat="1" ht="17.25" customHeight="1">
      <c r="B148" s="447" t="str">
        <f t="shared" si="71"/>
        <v>CU0468</v>
      </c>
      <c r="C148" s="431" t="s">
        <v>755</v>
      </c>
      <c r="D148" s="367" t="s">
        <v>1393</v>
      </c>
      <c r="E148" s="367" t="s">
        <v>1392</v>
      </c>
      <c r="F148" s="439">
        <v>43466</v>
      </c>
      <c r="G148" s="430">
        <v>5918.87</v>
      </c>
      <c r="H148" s="440"/>
      <c r="I148" s="440">
        <v>5918.87</v>
      </c>
      <c r="J148" s="440" t="s">
        <v>1376</v>
      </c>
      <c r="L148" s="462">
        <f t="shared" si="100"/>
        <v>5918.87</v>
      </c>
      <c r="M148" s="462" t="s">
        <v>1463</v>
      </c>
      <c r="N148" s="444"/>
      <c r="O148" s="462">
        <f t="shared" si="75"/>
        <v>5918.87</v>
      </c>
      <c r="P148" s="447" t="s">
        <v>1527</v>
      </c>
      <c r="R148" s="462">
        <f t="shared" si="76"/>
        <v>5918.87</v>
      </c>
      <c r="S148" s="447" t="s">
        <v>1579</v>
      </c>
      <c r="U148" s="462">
        <f t="shared" si="77"/>
        <v>5918.87</v>
      </c>
      <c r="V148" s="447" t="s">
        <v>1627</v>
      </c>
      <c r="X148" s="462">
        <f t="shared" si="78"/>
        <v>5918.87</v>
      </c>
      <c r="Y148" s="447" t="s">
        <v>1662</v>
      </c>
      <c r="AA148" s="462">
        <f t="shared" si="101"/>
        <v>5918.87</v>
      </c>
      <c r="AB148" s="447" t="s">
        <v>1717</v>
      </c>
      <c r="AD148" s="462">
        <f t="shared" si="79"/>
        <v>5918.87</v>
      </c>
      <c r="AE148" s="447" t="s">
        <v>1747</v>
      </c>
      <c r="AF148" s="462">
        <f>AD148</f>
        <v>5918.87</v>
      </c>
      <c r="AG148" s="462">
        <f t="shared" si="80"/>
        <v>0</v>
      </c>
      <c r="AH148" s="447" t="s">
        <v>1820</v>
      </c>
      <c r="AJ148" s="462">
        <f t="shared" si="81"/>
        <v>0</v>
      </c>
      <c r="AM148" s="462">
        <f t="shared" si="82"/>
        <v>0</v>
      </c>
      <c r="AN148" s="447" t="s">
        <v>1960</v>
      </c>
      <c r="AP148" s="462">
        <f t="shared" si="83"/>
        <v>0</v>
      </c>
      <c r="AQ148" s="447" t="s">
        <v>1996</v>
      </c>
      <c r="AS148" s="459">
        <f t="shared" si="84"/>
        <v>0</v>
      </c>
      <c r="AV148" s="462">
        <f t="shared" si="85"/>
        <v>0</v>
      </c>
      <c r="AY148" s="462">
        <f t="shared" si="86"/>
        <v>0</v>
      </c>
      <c r="BB148" s="462">
        <f t="shared" si="87"/>
        <v>0</v>
      </c>
      <c r="BC148" s="447" t="s">
        <v>2204</v>
      </c>
      <c r="BE148" s="462">
        <f t="shared" si="88"/>
        <v>0</v>
      </c>
      <c r="BH148" s="462">
        <f t="shared" si="89"/>
        <v>0</v>
      </c>
      <c r="BK148" s="462">
        <f t="shared" si="90"/>
        <v>0</v>
      </c>
      <c r="BN148" s="462">
        <f t="shared" si="91"/>
        <v>0</v>
      </c>
      <c r="BQ148" s="462">
        <f t="shared" si="92"/>
        <v>0</v>
      </c>
      <c r="BT148" s="462">
        <f t="shared" si="93"/>
        <v>0</v>
      </c>
      <c r="BW148" s="462">
        <f t="shared" si="94"/>
        <v>0</v>
      </c>
      <c r="BZ148" s="462">
        <f t="shared" si="95"/>
        <v>0</v>
      </c>
      <c r="CD148" s="418" t="str">
        <f t="shared" si="96"/>
        <v>CU0468001</v>
      </c>
      <c r="CE148" s="442" t="str">
        <f t="shared" si="97"/>
        <v>2019年1月</v>
      </c>
      <c r="CF148" s="418" t="str">
        <f t="shared" si="98"/>
        <v>包商银行clife服务费暂估</v>
      </c>
      <c r="CG148" s="418" t="str">
        <f t="shared" si="99"/>
        <v>2019年1月包商银行clife服务费暂估</v>
      </c>
    </row>
    <row r="149" spans="2:85" s="447" customFormat="1" ht="17.25" customHeight="1">
      <c r="B149" s="447" t="str">
        <f t="shared" si="71"/>
        <v>CU0531</v>
      </c>
      <c r="C149" s="431" t="s">
        <v>755</v>
      </c>
      <c r="D149" s="367" t="s">
        <v>1952</v>
      </c>
      <c r="E149" s="367" t="s">
        <v>1394</v>
      </c>
      <c r="F149" s="439">
        <v>43466</v>
      </c>
      <c r="G149" s="430">
        <v>22687.52</v>
      </c>
      <c r="H149" s="440"/>
      <c r="I149" s="440">
        <v>22687.52</v>
      </c>
      <c r="J149" s="440" t="s">
        <v>1376</v>
      </c>
      <c r="L149" s="462">
        <f t="shared" si="100"/>
        <v>22687.52</v>
      </c>
      <c r="M149" s="462" t="s">
        <v>1463</v>
      </c>
      <c r="N149" s="444">
        <f>304600-N114-N113-N105-N104-N73-N56-N55-N43-N42-N38-N37-N35-N34-N30-N29-N24-N23-N21-N20</f>
        <v>11567.490000000005</v>
      </c>
      <c r="O149" s="462">
        <f t="shared" si="75"/>
        <v>11120.029999999995</v>
      </c>
      <c r="P149" s="447" t="s">
        <v>1527</v>
      </c>
      <c r="R149" s="462">
        <f t="shared" si="76"/>
        <v>11120.029999999995</v>
      </c>
      <c r="S149" s="447" t="s">
        <v>1579</v>
      </c>
      <c r="U149" s="462">
        <f t="shared" si="77"/>
        <v>11120.029999999995</v>
      </c>
      <c r="V149" s="447" t="s">
        <v>1627</v>
      </c>
      <c r="X149" s="462">
        <f t="shared" si="78"/>
        <v>11120.029999999995</v>
      </c>
      <c r="Y149" s="447" t="s">
        <v>1662</v>
      </c>
      <c r="AA149" s="462">
        <f t="shared" si="101"/>
        <v>11120.029999999995</v>
      </c>
      <c r="AB149" s="447" t="s">
        <v>1717</v>
      </c>
      <c r="AD149" s="462">
        <f t="shared" si="79"/>
        <v>11120.029999999995</v>
      </c>
      <c r="AE149" s="447" t="s">
        <v>1747</v>
      </c>
      <c r="AG149" s="462">
        <f t="shared" si="80"/>
        <v>11120.029999999995</v>
      </c>
      <c r="AH149" s="447" t="s">
        <v>1820</v>
      </c>
      <c r="AJ149" s="462">
        <f t="shared" si="81"/>
        <v>11120.029999999995</v>
      </c>
      <c r="AK149" s="447" t="s">
        <v>1863</v>
      </c>
      <c r="AL149" s="447">
        <v>9436.91</v>
      </c>
      <c r="AM149" s="462">
        <f t="shared" si="82"/>
        <v>1683.1199999999953</v>
      </c>
      <c r="AN149" s="447" t="s">
        <v>1960</v>
      </c>
      <c r="AO149" s="462">
        <f>AM149</f>
        <v>1683.1199999999953</v>
      </c>
      <c r="AP149" s="462">
        <f t="shared" si="83"/>
        <v>0</v>
      </c>
      <c r="AQ149" s="447" t="s">
        <v>1996</v>
      </c>
      <c r="AS149" s="459">
        <f t="shared" si="84"/>
        <v>0</v>
      </c>
      <c r="AV149" s="462">
        <f t="shared" si="85"/>
        <v>0</v>
      </c>
      <c r="AY149" s="462">
        <f t="shared" si="86"/>
        <v>0</v>
      </c>
      <c r="BB149" s="462">
        <f t="shared" si="87"/>
        <v>0</v>
      </c>
      <c r="BC149" s="447" t="s">
        <v>2204</v>
      </c>
      <c r="BE149" s="462">
        <f t="shared" si="88"/>
        <v>0</v>
      </c>
      <c r="BH149" s="462">
        <f t="shared" si="89"/>
        <v>0</v>
      </c>
      <c r="BK149" s="462">
        <f t="shared" si="90"/>
        <v>0</v>
      </c>
      <c r="BN149" s="462">
        <f t="shared" si="91"/>
        <v>0</v>
      </c>
      <c r="BQ149" s="462">
        <f t="shared" si="92"/>
        <v>0</v>
      </c>
      <c r="BT149" s="462">
        <f t="shared" si="93"/>
        <v>0</v>
      </c>
      <c r="BW149" s="462">
        <f t="shared" si="94"/>
        <v>0</v>
      </c>
      <c r="BZ149" s="462">
        <f t="shared" si="95"/>
        <v>0</v>
      </c>
      <c r="CD149" s="418" t="str">
        <f t="shared" si="96"/>
        <v>CU0531001</v>
      </c>
      <c r="CE149" s="442" t="str">
        <f t="shared" si="97"/>
        <v>2019年1月</v>
      </c>
      <c r="CF149" s="418" t="str">
        <f t="shared" si="98"/>
        <v>恩思恩clife服务费暂估</v>
      </c>
      <c r="CG149" s="418" t="str">
        <f t="shared" si="99"/>
        <v>2019年1月恩思恩clife服务费暂估</v>
      </c>
    </row>
    <row r="150" spans="2:85" s="447" customFormat="1" ht="17.25" customHeight="1">
      <c r="B150" s="447" t="str">
        <f t="shared" si="71"/>
        <v>CU0570</v>
      </c>
      <c r="C150" s="431" t="s">
        <v>755</v>
      </c>
      <c r="D150" s="367" t="s">
        <v>1953</v>
      </c>
      <c r="E150" s="367" t="s">
        <v>1395</v>
      </c>
      <c r="F150" s="439">
        <v>43466</v>
      </c>
      <c r="G150" s="430">
        <v>133997.64000000001</v>
      </c>
      <c r="H150" s="440"/>
      <c r="I150" s="440">
        <v>133997.64000000001</v>
      </c>
      <c r="J150" s="440" t="s">
        <v>1376</v>
      </c>
      <c r="L150" s="462">
        <f t="shared" si="100"/>
        <v>133997.64000000001</v>
      </c>
      <c r="M150" s="462" t="s">
        <v>1463</v>
      </c>
      <c r="N150" s="444"/>
      <c r="O150" s="462">
        <f t="shared" si="75"/>
        <v>133997.64000000001</v>
      </c>
      <c r="P150" s="447" t="s">
        <v>1527</v>
      </c>
      <c r="Q150" s="444">
        <f>100000/1.06</f>
        <v>94339.622641509428</v>
      </c>
      <c r="R150" s="462">
        <f t="shared" si="76"/>
        <v>39658.017358490586</v>
      </c>
      <c r="S150" s="447" t="s">
        <v>1579</v>
      </c>
      <c r="U150" s="462">
        <f t="shared" si="77"/>
        <v>39658.017358490586</v>
      </c>
      <c r="V150" s="447" t="s">
        <v>1627</v>
      </c>
      <c r="X150" s="462">
        <f t="shared" si="78"/>
        <v>39658.017358490586</v>
      </c>
      <c r="Y150" s="447" t="s">
        <v>1662</v>
      </c>
      <c r="AA150" s="462">
        <f t="shared" si="101"/>
        <v>39658.017358490586</v>
      </c>
      <c r="AB150" s="447" t="s">
        <v>1717</v>
      </c>
      <c r="AD150" s="462">
        <f t="shared" si="79"/>
        <v>39658.017358490586</v>
      </c>
      <c r="AE150" s="447" t="s">
        <v>1747</v>
      </c>
      <c r="AG150" s="462">
        <f t="shared" si="80"/>
        <v>39658.017358490586</v>
      </c>
      <c r="AH150" s="447" t="s">
        <v>1820</v>
      </c>
      <c r="AJ150" s="462">
        <f t="shared" si="81"/>
        <v>39658.017358490586</v>
      </c>
      <c r="AK150" s="447" t="s">
        <v>1863</v>
      </c>
      <c r="AM150" s="462">
        <f t="shared" si="82"/>
        <v>39658.017358490586</v>
      </c>
      <c r="AN150" s="447" t="s">
        <v>1960</v>
      </c>
      <c r="AP150" s="462">
        <f t="shared" si="83"/>
        <v>39658.017358490586</v>
      </c>
      <c r="AQ150" s="447" t="s">
        <v>1996</v>
      </c>
      <c r="AS150" s="459">
        <f t="shared" si="84"/>
        <v>39658.017358490586</v>
      </c>
      <c r="AV150" s="462">
        <f t="shared" si="85"/>
        <v>39658.017358490586</v>
      </c>
      <c r="AW150" s="447" t="s">
        <v>2107</v>
      </c>
      <c r="AY150" s="462">
        <f t="shared" si="86"/>
        <v>39658.017358490586</v>
      </c>
      <c r="AZ150" s="447" t="s">
        <v>2131</v>
      </c>
      <c r="BB150" s="462">
        <f>AY150-BA150</f>
        <v>39658.017358490586</v>
      </c>
      <c r="BC150" s="447" t="s">
        <v>2204</v>
      </c>
      <c r="BE150" s="462">
        <f t="shared" si="88"/>
        <v>39658.017358490586</v>
      </c>
      <c r="BF150" s="447" t="s">
        <v>2237</v>
      </c>
      <c r="BH150" s="462">
        <f t="shared" si="89"/>
        <v>39658.017358490586</v>
      </c>
      <c r="BI150" s="447" t="s">
        <v>2292</v>
      </c>
      <c r="BK150" s="462">
        <f t="shared" si="90"/>
        <v>39658.017358490586</v>
      </c>
      <c r="BL150" s="447" t="s">
        <v>2339</v>
      </c>
      <c r="BN150" s="462">
        <f t="shared" si="91"/>
        <v>39658.017358490586</v>
      </c>
      <c r="BO150" s="447" t="s">
        <v>2365</v>
      </c>
      <c r="BQ150" s="462">
        <f t="shared" si="92"/>
        <v>39658.019999999997</v>
      </c>
      <c r="BR150" s="447" t="s">
        <v>2374</v>
      </c>
      <c r="BS150" s="462">
        <f>BQ150</f>
        <v>39658.019999999997</v>
      </c>
      <c r="BT150" s="462">
        <f t="shared" si="93"/>
        <v>0</v>
      </c>
      <c r="BW150" s="462">
        <f t="shared" si="94"/>
        <v>0</v>
      </c>
      <c r="BZ150" s="462">
        <f t="shared" si="95"/>
        <v>0</v>
      </c>
      <c r="CD150" s="418" t="str">
        <f t="shared" si="96"/>
        <v>CU0570001</v>
      </c>
      <c r="CE150" s="442" t="str">
        <f t="shared" si="97"/>
        <v>2019年1月</v>
      </c>
      <c r="CF150" s="418" t="str">
        <f t="shared" si="98"/>
        <v>华院数据clife服务费暂估</v>
      </c>
      <c r="CG150" s="418" t="str">
        <f t="shared" si="99"/>
        <v>2019年1月华院数据clife服务费暂估</v>
      </c>
    </row>
    <row r="151" spans="2:85" s="447" customFormat="1" ht="17.25" customHeight="1">
      <c r="B151" s="447" t="str">
        <f t="shared" si="71"/>
        <v>CU0636</v>
      </c>
      <c r="C151" s="431" t="s">
        <v>755</v>
      </c>
      <c r="D151" s="367" t="s">
        <v>1954</v>
      </c>
      <c r="E151" s="367" t="s">
        <v>1396</v>
      </c>
      <c r="F151" s="439">
        <v>43466</v>
      </c>
      <c r="G151" s="430">
        <v>509618.22</v>
      </c>
      <c r="H151" s="440"/>
      <c r="I151" s="440">
        <v>509618.22</v>
      </c>
      <c r="J151" s="440" t="s">
        <v>1376</v>
      </c>
      <c r="L151" s="462">
        <f t="shared" si="100"/>
        <v>509618.22</v>
      </c>
      <c r="M151" s="462" t="s">
        <v>1463</v>
      </c>
      <c r="N151" s="444">
        <f>513252/1.06</f>
        <v>484200</v>
      </c>
      <c r="O151" s="462">
        <f t="shared" si="75"/>
        <v>25418.219999999972</v>
      </c>
      <c r="P151" s="447" t="s">
        <v>1527</v>
      </c>
      <c r="R151" s="462">
        <f t="shared" si="76"/>
        <v>25418.219999999972</v>
      </c>
      <c r="S151" s="447" t="s">
        <v>1579</v>
      </c>
      <c r="U151" s="462">
        <f t="shared" si="77"/>
        <v>25418.219999999972</v>
      </c>
      <c r="V151" s="447" t="s">
        <v>1627</v>
      </c>
      <c r="X151" s="462">
        <f t="shared" si="78"/>
        <v>25418.219999999972</v>
      </c>
      <c r="Y151" s="447" t="s">
        <v>1662</v>
      </c>
      <c r="AA151" s="462">
        <f t="shared" si="101"/>
        <v>25418.219999999972</v>
      </c>
      <c r="AB151" s="447" t="s">
        <v>1717</v>
      </c>
      <c r="AD151" s="462">
        <f t="shared" si="79"/>
        <v>25418.219999999972</v>
      </c>
      <c r="AE151" s="447" t="s">
        <v>1747</v>
      </c>
      <c r="AG151" s="462">
        <f t="shared" si="80"/>
        <v>25418.219999999972</v>
      </c>
      <c r="AH151" s="447" t="s">
        <v>1820</v>
      </c>
      <c r="AJ151" s="462">
        <f t="shared" si="81"/>
        <v>25418.219999999972</v>
      </c>
      <c r="AK151" s="447" t="s">
        <v>1863</v>
      </c>
      <c r="AL151" s="447">
        <f>ROUND(26894.31/1.06,2)</f>
        <v>25371.99</v>
      </c>
      <c r="AM151" s="462">
        <f t="shared" si="82"/>
        <v>46.22999999997046</v>
      </c>
      <c r="AN151" s="447" t="s">
        <v>1960</v>
      </c>
      <c r="AO151" s="462">
        <f>AM151</f>
        <v>46.22999999997046</v>
      </c>
      <c r="AP151" s="462">
        <f t="shared" si="83"/>
        <v>0</v>
      </c>
      <c r="AQ151" s="447" t="s">
        <v>1996</v>
      </c>
      <c r="AS151" s="459">
        <f t="shared" si="84"/>
        <v>0</v>
      </c>
      <c r="AV151" s="462">
        <f t="shared" si="85"/>
        <v>0</v>
      </c>
      <c r="AY151" s="462">
        <f t="shared" si="86"/>
        <v>0</v>
      </c>
      <c r="BB151" s="462">
        <f t="shared" si="87"/>
        <v>0</v>
      </c>
      <c r="BC151" s="447" t="s">
        <v>2204</v>
      </c>
      <c r="BE151" s="462">
        <f t="shared" si="88"/>
        <v>0</v>
      </c>
      <c r="BH151" s="462">
        <f t="shared" si="89"/>
        <v>0</v>
      </c>
      <c r="BK151" s="462">
        <f t="shared" si="90"/>
        <v>0</v>
      </c>
      <c r="BN151" s="462">
        <f t="shared" si="91"/>
        <v>0</v>
      </c>
      <c r="BQ151" s="462">
        <f t="shared" si="92"/>
        <v>0</v>
      </c>
      <c r="BT151" s="462">
        <f t="shared" si="93"/>
        <v>0</v>
      </c>
      <c r="BW151" s="462">
        <f t="shared" si="94"/>
        <v>0</v>
      </c>
      <c r="BZ151" s="462">
        <f t="shared" si="95"/>
        <v>0</v>
      </c>
      <c r="CD151" s="418" t="str">
        <f t="shared" si="96"/>
        <v>CU0636001</v>
      </c>
      <c r="CE151" s="442" t="str">
        <f t="shared" si="97"/>
        <v>2019年1月</v>
      </c>
      <c r="CF151" s="418" t="str">
        <f t="shared" si="98"/>
        <v>巴丽clife服务费暂估</v>
      </c>
      <c r="CG151" s="418" t="str">
        <f t="shared" si="99"/>
        <v>2019年1月巴丽clife服务费暂估</v>
      </c>
    </row>
    <row r="152" spans="2:85" s="447" customFormat="1" ht="17.25" customHeight="1">
      <c r="B152" s="447" t="str">
        <f t="shared" si="71"/>
        <v>CU0667</v>
      </c>
      <c r="C152" s="431" t="s">
        <v>755</v>
      </c>
      <c r="D152" s="367" t="s">
        <v>1398</v>
      </c>
      <c r="E152" s="367" t="s">
        <v>1397</v>
      </c>
      <c r="F152" s="439">
        <v>43466</v>
      </c>
      <c r="G152" s="430">
        <v>576.53</v>
      </c>
      <c r="H152" s="440"/>
      <c r="I152" s="440">
        <v>576.53</v>
      </c>
      <c r="J152" s="440" t="s">
        <v>1376</v>
      </c>
      <c r="L152" s="462">
        <f t="shared" si="100"/>
        <v>576.53</v>
      </c>
      <c r="M152" s="462" t="s">
        <v>1463</v>
      </c>
      <c r="N152" s="444"/>
      <c r="O152" s="462">
        <f t="shared" si="75"/>
        <v>576.53</v>
      </c>
      <c r="P152" s="447" t="s">
        <v>1527</v>
      </c>
      <c r="R152" s="462">
        <f t="shared" si="76"/>
        <v>576.53</v>
      </c>
      <c r="S152" s="447" t="s">
        <v>1579</v>
      </c>
      <c r="U152" s="462">
        <f t="shared" si="77"/>
        <v>576.53</v>
      </c>
      <c r="V152" s="447" t="s">
        <v>1627</v>
      </c>
      <c r="X152" s="462">
        <f t="shared" si="78"/>
        <v>576.53</v>
      </c>
      <c r="Y152" s="447" t="s">
        <v>1662</v>
      </c>
      <c r="Z152" s="462">
        <f>X152</f>
        <v>576.53</v>
      </c>
      <c r="AA152" s="462">
        <f t="shared" si="101"/>
        <v>0</v>
      </c>
      <c r="AB152" s="447" t="s">
        <v>1717</v>
      </c>
      <c r="AD152" s="462">
        <f t="shared" si="79"/>
        <v>0</v>
      </c>
      <c r="AE152" s="447" t="s">
        <v>1747</v>
      </c>
      <c r="AG152" s="462">
        <f t="shared" si="80"/>
        <v>0</v>
      </c>
      <c r="AH152" s="447" t="s">
        <v>1820</v>
      </c>
      <c r="AJ152" s="462">
        <f t="shared" si="81"/>
        <v>0</v>
      </c>
      <c r="AM152" s="462">
        <f t="shared" si="82"/>
        <v>0</v>
      </c>
      <c r="AN152" s="447" t="s">
        <v>1960</v>
      </c>
      <c r="AP152" s="462">
        <f t="shared" si="83"/>
        <v>0</v>
      </c>
      <c r="AQ152" s="447" t="s">
        <v>1996</v>
      </c>
      <c r="AS152" s="459">
        <f t="shared" si="84"/>
        <v>0</v>
      </c>
      <c r="AV152" s="462">
        <f t="shared" si="85"/>
        <v>0</v>
      </c>
      <c r="AY152" s="462">
        <f t="shared" si="86"/>
        <v>0</v>
      </c>
      <c r="BB152" s="462">
        <f t="shared" si="87"/>
        <v>0</v>
      </c>
      <c r="BC152" s="447" t="s">
        <v>2204</v>
      </c>
      <c r="BE152" s="462">
        <f t="shared" si="88"/>
        <v>0</v>
      </c>
      <c r="BH152" s="462">
        <f t="shared" si="89"/>
        <v>0</v>
      </c>
      <c r="BK152" s="462">
        <f t="shared" si="90"/>
        <v>0</v>
      </c>
      <c r="BN152" s="462">
        <f t="shared" si="91"/>
        <v>0</v>
      </c>
      <c r="BQ152" s="462">
        <f t="shared" si="92"/>
        <v>0</v>
      </c>
      <c r="BT152" s="462">
        <f t="shared" si="93"/>
        <v>0</v>
      </c>
      <c r="BW152" s="462">
        <f t="shared" si="94"/>
        <v>0</v>
      </c>
      <c r="BZ152" s="462">
        <f t="shared" si="95"/>
        <v>0</v>
      </c>
      <c r="CD152" s="418" t="str">
        <f t="shared" si="96"/>
        <v>CU0667001</v>
      </c>
      <c r="CE152" s="442" t="str">
        <f t="shared" si="97"/>
        <v>2019年1月</v>
      </c>
      <c r="CF152" s="418" t="str">
        <f t="shared" si="98"/>
        <v>北京杰迪安clife服务费暂估</v>
      </c>
      <c r="CG152" s="418" t="str">
        <f t="shared" si="99"/>
        <v>2019年1月北京杰迪安clife服务费暂估</v>
      </c>
    </row>
    <row r="153" spans="2:85" s="447" customFormat="1" ht="17.25" customHeight="1">
      <c r="B153" s="447" t="str">
        <f t="shared" si="71"/>
        <v>CU0692</v>
      </c>
      <c r="C153" s="431" t="s">
        <v>755</v>
      </c>
      <c r="D153" s="367" t="s">
        <v>1955</v>
      </c>
      <c r="E153" s="367" t="s">
        <v>1399</v>
      </c>
      <c r="F153" s="439">
        <v>43466</v>
      </c>
      <c r="G153" s="430">
        <v>342.77</v>
      </c>
      <c r="H153" s="440"/>
      <c r="I153" s="440">
        <v>342.77</v>
      </c>
      <c r="J153" s="440" t="s">
        <v>1376</v>
      </c>
      <c r="L153" s="462">
        <f t="shared" si="100"/>
        <v>342.77</v>
      </c>
      <c r="M153" s="462" t="s">
        <v>1463</v>
      </c>
      <c r="N153" s="444"/>
      <c r="O153" s="462">
        <f t="shared" si="75"/>
        <v>342.77</v>
      </c>
      <c r="P153" s="447" t="s">
        <v>1527</v>
      </c>
      <c r="R153" s="462">
        <f t="shared" si="76"/>
        <v>342.77</v>
      </c>
      <c r="S153" s="447" t="s">
        <v>1579</v>
      </c>
      <c r="U153" s="462">
        <f t="shared" si="77"/>
        <v>342.77</v>
      </c>
      <c r="V153" s="447" t="s">
        <v>1627</v>
      </c>
      <c r="X153" s="462">
        <f t="shared" si="78"/>
        <v>342.77</v>
      </c>
      <c r="Y153" s="447" t="s">
        <v>1662</v>
      </c>
      <c r="AA153" s="462">
        <f t="shared" si="101"/>
        <v>342.77</v>
      </c>
      <c r="AB153" s="447" t="s">
        <v>1717</v>
      </c>
      <c r="AD153" s="462">
        <f t="shared" si="79"/>
        <v>342.77</v>
      </c>
      <c r="AE153" s="447" t="s">
        <v>1747</v>
      </c>
      <c r="AG153" s="462">
        <f t="shared" si="80"/>
        <v>342.77</v>
      </c>
      <c r="AH153" s="447" t="s">
        <v>1820</v>
      </c>
      <c r="AJ153" s="462">
        <f t="shared" si="81"/>
        <v>342.77</v>
      </c>
      <c r="AK153" s="447" t="s">
        <v>1863</v>
      </c>
      <c r="AL153" s="447">
        <v>263.02</v>
      </c>
      <c r="AM153" s="462">
        <f t="shared" si="82"/>
        <v>79.75</v>
      </c>
      <c r="AN153" s="447" t="s">
        <v>1960</v>
      </c>
      <c r="AP153" s="462">
        <f t="shared" si="83"/>
        <v>79.75</v>
      </c>
      <c r="AQ153" s="447" t="s">
        <v>1996</v>
      </c>
      <c r="AS153" s="459">
        <f t="shared" si="84"/>
        <v>79.75</v>
      </c>
      <c r="AV153" s="462">
        <f t="shared" si="85"/>
        <v>79.75</v>
      </c>
      <c r="AW153" s="447" t="s">
        <v>2107</v>
      </c>
      <c r="AX153" s="462">
        <f>AV153</f>
        <v>79.75</v>
      </c>
      <c r="AY153" s="462">
        <f t="shared" si="86"/>
        <v>0</v>
      </c>
      <c r="BB153" s="462">
        <f t="shared" si="87"/>
        <v>0</v>
      </c>
      <c r="BC153" s="447" t="s">
        <v>2204</v>
      </c>
      <c r="BE153" s="462">
        <f t="shared" si="88"/>
        <v>0</v>
      </c>
      <c r="BH153" s="462">
        <f t="shared" si="89"/>
        <v>0</v>
      </c>
      <c r="BK153" s="462">
        <f t="shared" si="90"/>
        <v>0</v>
      </c>
      <c r="BN153" s="462">
        <f t="shared" si="91"/>
        <v>0</v>
      </c>
      <c r="BQ153" s="462">
        <f t="shared" si="92"/>
        <v>0</v>
      </c>
      <c r="BT153" s="462">
        <f t="shared" si="93"/>
        <v>0</v>
      </c>
      <c r="BW153" s="462">
        <f t="shared" si="94"/>
        <v>0</v>
      </c>
      <c r="BZ153" s="462">
        <f t="shared" si="95"/>
        <v>0</v>
      </c>
      <c r="CD153" s="418" t="str">
        <f t="shared" si="96"/>
        <v>CU0692001</v>
      </c>
      <c r="CE153" s="442" t="str">
        <f t="shared" si="97"/>
        <v>2019年1月</v>
      </c>
      <c r="CF153" s="418" t="str">
        <f t="shared" si="98"/>
        <v>欧尚（中国clife服务费暂估</v>
      </c>
      <c r="CG153" s="418" t="str">
        <f t="shared" si="99"/>
        <v>2019年1月欧尚（中国clife服务费暂估</v>
      </c>
    </row>
    <row r="154" spans="2:85" s="447" customFormat="1" ht="17.25" customHeight="1">
      <c r="B154" s="447" t="str">
        <f t="shared" si="71"/>
        <v>CU0734</v>
      </c>
      <c r="C154" s="431" t="s">
        <v>755</v>
      </c>
      <c r="D154" s="367" t="s">
        <v>1956</v>
      </c>
      <c r="E154" s="367" t="s">
        <v>1400</v>
      </c>
      <c r="F154" s="439">
        <v>43466</v>
      </c>
      <c r="G154" s="430">
        <v>157780</v>
      </c>
      <c r="H154" s="440"/>
      <c r="I154" s="440">
        <v>157780</v>
      </c>
      <c r="J154" s="440" t="s">
        <v>1376</v>
      </c>
      <c r="L154" s="462">
        <f t="shared" si="100"/>
        <v>157780</v>
      </c>
      <c r="M154" s="462" t="s">
        <v>1463</v>
      </c>
      <c r="N154" s="444"/>
      <c r="O154" s="462">
        <f t="shared" si="75"/>
        <v>157780</v>
      </c>
      <c r="P154" s="447" t="s">
        <v>1527</v>
      </c>
      <c r="R154" s="462">
        <f t="shared" si="76"/>
        <v>157780</v>
      </c>
      <c r="S154" s="447" t="s">
        <v>1579</v>
      </c>
      <c r="U154" s="462">
        <f t="shared" si="77"/>
        <v>157780</v>
      </c>
      <c r="V154" s="447" t="s">
        <v>1627</v>
      </c>
      <c r="X154" s="462">
        <f t="shared" si="78"/>
        <v>157780</v>
      </c>
      <c r="Y154" s="447" t="s">
        <v>1662</v>
      </c>
      <c r="Z154" s="447">
        <f>20000+ROUND((71832+20000)/1.06,2)</f>
        <v>106633.96</v>
      </c>
      <c r="AA154" s="462">
        <f t="shared" si="101"/>
        <v>51146.039999999994</v>
      </c>
      <c r="AB154" s="447" t="s">
        <v>1717</v>
      </c>
      <c r="AC154" s="462"/>
      <c r="AD154" s="462">
        <f t="shared" si="79"/>
        <v>51146.039999999994</v>
      </c>
      <c r="AE154" s="447" t="s">
        <v>1747</v>
      </c>
      <c r="AG154" s="462">
        <f t="shared" si="80"/>
        <v>51146.039999999994</v>
      </c>
      <c r="AH154" s="447" t="s">
        <v>1820</v>
      </c>
      <c r="AJ154" s="462">
        <f t="shared" si="81"/>
        <v>51146.039999999994</v>
      </c>
      <c r="AK154" s="447" t="s">
        <v>1863</v>
      </c>
      <c r="AL154" s="447">
        <v>51047.72</v>
      </c>
      <c r="AM154" s="462">
        <f t="shared" si="82"/>
        <v>98.319999999992433</v>
      </c>
      <c r="AN154" s="447" t="s">
        <v>1960</v>
      </c>
      <c r="AP154" s="462">
        <f t="shared" si="83"/>
        <v>98.319999999992433</v>
      </c>
      <c r="AQ154" s="447" t="s">
        <v>1996</v>
      </c>
      <c r="AS154" s="459">
        <f t="shared" si="84"/>
        <v>98.319999999992433</v>
      </c>
      <c r="AV154" s="462">
        <f t="shared" si="85"/>
        <v>98.319999999992433</v>
      </c>
      <c r="AW154" s="447" t="s">
        <v>2107</v>
      </c>
      <c r="AY154" s="462">
        <f t="shared" si="86"/>
        <v>98.319999999992433</v>
      </c>
      <c r="AZ154" s="447" t="s">
        <v>2131</v>
      </c>
      <c r="BB154" s="462">
        <f t="shared" si="87"/>
        <v>98.319999999992433</v>
      </c>
      <c r="BC154" s="447" t="s">
        <v>2204</v>
      </c>
      <c r="BE154" s="462">
        <f t="shared" si="88"/>
        <v>98.319999999992433</v>
      </c>
      <c r="BF154" s="447" t="s">
        <v>2237</v>
      </c>
      <c r="BH154" s="462">
        <f t="shared" si="89"/>
        <v>98.319999999992433</v>
      </c>
      <c r="BI154" s="447" t="s">
        <v>2292</v>
      </c>
      <c r="BK154" s="462">
        <f t="shared" si="90"/>
        <v>98.319999999992433</v>
      </c>
      <c r="BL154" s="447" t="s">
        <v>2339</v>
      </c>
      <c r="BN154" s="462">
        <f t="shared" si="91"/>
        <v>98.319999999992433</v>
      </c>
      <c r="BO154" s="447" t="s">
        <v>2365</v>
      </c>
      <c r="BQ154" s="462">
        <f t="shared" si="92"/>
        <v>98.32</v>
      </c>
      <c r="BR154" s="447" t="s">
        <v>2374</v>
      </c>
      <c r="BT154" s="462">
        <f t="shared" si="93"/>
        <v>98.32</v>
      </c>
      <c r="BU154" s="447" t="s">
        <v>2134</v>
      </c>
      <c r="BV154" s="462">
        <f>BT154</f>
        <v>98.32</v>
      </c>
      <c r="BW154" s="462">
        <f t="shared" si="94"/>
        <v>0</v>
      </c>
      <c r="BZ154" s="462">
        <f t="shared" si="95"/>
        <v>0</v>
      </c>
      <c r="CD154" s="418" t="str">
        <f t="shared" si="96"/>
        <v>CU0734001</v>
      </c>
      <c r="CE154" s="442" t="str">
        <f t="shared" si="97"/>
        <v>2019年1月</v>
      </c>
      <c r="CF154" s="418" t="str">
        <f t="shared" si="98"/>
        <v>蒂森克虏伯clife服务费暂估</v>
      </c>
      <c r="CG154" s="418" t="str">
        <f t="shared" si="99"/>
        <v>2019年1月蒂森克虏伯clife服务费暂估</v>
      </c>
    </row>
    <row r="155" spans="2:85" s="447" customFormat="1" ht="17.25" customHeight="1">
      <c r="B155" s="447" t="str">
        <f t="shared" si="71"/>
        <v>CU0769</v>
      </c>
      <c r="C155" s="431" t="s">
        <v>755</v>
      </c>
      <c r="D155" s="367" t="s">
        <v>1957</v>
      </c>
      <c r="E155" s="367" t="s">
        <v>1401</v>
      </c>
      <c r="F155" s="439">
        <v>43466</v>
      </c>
      <c r="G155" s="430">
        <v>377.32</v>
      </c>
      <c r="H155" s="440"/>
      <c r="I155" s="440">
        <v>377.32</v>
      </c>
      <c r="J155" s="440" t="s">
        <v>1376</v>
      </c>
      <c r="L155" s="462">
        <f t="shared" si="100"/>
        <v>377.32</v>
      </c>
      <c r="M155" s="462" t="s">
        <v>1463</v>
      </c>
      <c r="N155" s="444"/>
      <c r="O155" s="462">
        <f t="shared" si="75"/>
        <v>377.32</v>
      </c>
      <c r="P155" s="447" t="s">
        <v>1527</v>
      </c>
      <c r="R155" s="462">
        <f t="shared" si="76"/>
        <v>377.32</v>
      </c>
      <c r="S155" s="447" t="s">
        <v>1579</v>
      </c>
      <c r="T155" s="462"/>
      <c r="U155" s="462">
        <f t="shared" si="77"/>
        <v>377.32</v>
      </c>
      <c r="V155" s="447" t="s">
        <v>1627</v>
      </c>
      <c r="X155" s="462">
        <f t="shared" si="78"/>
        <v>377.32</v>
      </c>
      <c r="Y155" s="447" t="s">
        <v>1662</v>
      </c>
      <c r="AA155" s="462">
        <f t="shared" si="101"/>
        <v>377.32</v>
      </c>
      <c r="AB155" s="447" t="s">
        <v>1717</v>
      </c>
      <c r="AD155" s="462">
        <f t="shared" si="79"/>
        <v>377.32</v>
      </c>
      <c r="AE155" s="447" t="s">
        <v>1747</v>
      </c>
      <c r="AG155" s="462">
        <f t="shared" si="80"/>
        <v>377.32</v>
      </c>
      <c r="AH155" s="447" t="s">
        <v>1820</v>
      </c>
      <c r="AJ155" s="462">
        <f t="shared" ref="AJ155" si="102">AG155-AI155</f>
        <v>377.32</v>
      </c>
      <c r="AK155" s="447" t="s">
        <v>1863</v>
      </c>
      <c r="AL155" s="447">
        <v>313.56</v>
      </c>
      <c r="AM155" s="462">
        <f t="shared" si="82"/>
        <v>63.759999999999991</v>
      </c>
      <c r="AN155" s="447" t="s">
        <v>1960</v>
      </c>
      <c r="AP155" s="462">
        <f t="shared" si="83"/>
        <v>63.759999999999991</v>
      </c>
      <c r="AQ155" s="447" t="s">
        <v>1996</v>
      </c>
      <c r="AS155" s="459">
        <f t="shared" si="84"/>
        <v>63.759999999999991</v>
      </c>
      <c r="AV155" s="462">
        <f t="shared" si="85"/>
        <v>63.759999999999991</v>
      </c>
      <c r="AW155" s="447" t="s">
        <v>2107</v>
      </c>
      <c r="AY155" s="462">
        <f t="shared" si="86"/>
        <v>63.759999999999991</v>
      </c>
      <c r="AZ155" s="447" t="s">
        <v>2131</v>
      </c>
      <c r="BB155" s="462">
        <f t="shared" si="87"/>
        <v>63.759999999999991</v>
      </c>
      <c r="BC155" s="447" t="s">
        <v>2204</v>
      </c>
      <c r="BD155" s="462">
        <f>BB155</f>
        <v>63.759999999999991</v>
      </c>
      <c r="BE155" s="462">
        <f t="shared" si="88"/>
        <v>0</v>
      </c>
      <c r="BH155" s="462">
        <f t="shared" si="89"/>
        <v>0</v>
      </c>
      <c r="BK155" s="462">
        <f t="shared" si="90"/>
        <v>0</v>
      </c>
      <c r="BN155" s="462">
        <f t="shared" si="91"/>
        <v>0</v>
      </c>
      <c r="BQ155" s="462">
        <f t="shared" si="92"/>
        <v>0</v>
      </c>
      <c r="BT155" s="462">
        <f t="shared" si="93"/>
        <v>0</v>
      </c>
      <c r="BW155" s="462">
        <f t="shared" si="94"/>
        <v>0</v>
      </c>
      <c r="BZ155" s="462">
        <f t="shared" si="95"/>
        <v>0</v>
      </c>
      <c r="CD155" s="418" t="str">
        <f t="shared" si="96"/>
        <v>CU0769001</v>
      </c>
      <c r="CE155" s="442" t="str">
        <f t="shared" si="97"/>
        <v>2019年1月</v>
      </c>
      <c r="CF155" s="418" t="str">
        <f t="shared" si="98"/>
        <v>思童嘉商贸clife服务费暂估</v>
      </c>
      <c r="CG155" s="418" t="str">
        <f t="shared" si="99"/>
        <v>2019年1月思童嘉商贸clife服务费暂估</v>
      </c>
    </row>
    <row r="156" spans="2:85" s="447" customFormat="1" ht="17.25" customHeight="1">
      <c r="B156" s="447" t="str">
        <f t="shared" si="71"/>
        <v>CU0782</v>
      </c>
      <c r="C156" s="431" t="s">
        <v>755</v>
      </c>
      <c r="D156" s="367" t="s">
        <v>1403</v>
      </c>
      <c r="E156" s="367" t="s">
        <v>1402</v>
      </c>
      <c r="F156" s="439">
        <v>43466</v>
      </c>
      <c r="G156" s="430">
        <v>638271.28</v>
      </c>
      <c r="H156" s="440"/>
      <c r="I156" s="440">
        <v>638271.28</v>
      </c>
      <c r="J156" s="440" t="s">
        <v>1376</v>
      </c>
      <c r="L156" s="462">
        <f t="shared" si="100"/>
        <v>638271.28</v>
      </c>
      <c r="M156" s="462" t="s">
        <v>1463</v>
      </c>
      <c r="N156" s="444">
        <f>611640/1.06</f>
        <v>577018.86792452831</v>
      </c>
      <c r="O156" s="462">
        <f t="shared" si="75"/>
        <v>61252.412075471715</v>
      </c>
      <c r="P156" s="447" t="s">
        <v>1527</v>
      </c>
      <c r="Q156" s="444">
        <f>10800-Q76</f>
        <v>6074.44</v>
      </c>
      <c r="R156" s="462">
        <f t="shared" si="76"/>
        <v>55177.972075471713</v>
      </c>
      <c r="S156" s="447" t="s">
        <v>1579</v>
      </c>
      <c r="U156" s="462">
        <f t="shared" si="77"/>
        <v>55177.972075471713</v>
      </c>
      <c r="V156" s="447" t="s">
        <v>1627</v>
      </c>
      <c r="X156" s="462">
        <f t="shared" si="78"/>
        <v>55177.972075471713</v>
      </c>
      <c r="Y156" s="447" t="s">
        <v>1662</v>
      </c>
      <c r="Z156" s="462">
        <f>X156</f>
        <v>55177.972075471713</v>
      </c>
      <c r="AA156" s="462">
        <f t="shared" si="101"/>
        <v>0</v>
      </c>
      <c r="AB156" s="447" t="s">
        <v>1717</v>
      </c>
      <c r="AD156" s="462">
        <f t="shared" si="79"/>
        <v>0</v>
      </c>
      <c r="AE156" s="447" t="s">
        <v>1747</v>
      </c>
      <c r="AG156" s="462">
        <f t="shared" si="80"/>
        <v>0</v>
      </c>
      <c r="AH156" s="447" t="s">
        <v>1820</v>
      </c>
      <c r="AJ156" s="462">
        <f t="shared" si="81"/>
        <v>0</v>
      </c>
      <c r="AM156" s="462">
        <f t="shared" si="82"/>
        <v>0</v>
      </c>
      <c r="AN156" s="447" t="s">
        <v>1960</v>
      </c>
      <c r="AP156" s="462">
        <f t="shared" si="83"/>
        <v>0</v>
      </c>
      <c r="AQ156" s="447" t="s">
        <v>1996</v>
      </c>
      <c r="AS156" s="459">
        <f t="shared" si="84"/>
        <v>0</v>
      </c>
      <c r="AV156" s="462">
        <f t="shared" si="85"/>
        <v>0</v>
      </c>
      <c r="AY156" s="462">
        <f t="shared" si="86"/>
        <v>0</v>
      </c>
      <c r="BB156" s="462">
        <f t="shared" si="87"/>
        <v>0</v>
      </c>
      <c r="BC156" s="447" t="s">
        <v>2204</v>
      </c>
      <c r="BE156" s="462">
        <f t="shared" si="88"/>
        <v>0</v>
      </c>
      <c r="BH156" s="462">
        <f t="shared" si="89"/>
        <v>0</v>
      </c>
      <c r="BK156" s="462">
        <f t="shared" si="90"/>
        <v>0</v>
      </c>
      <c r="BN156" s="462">
        <f t="shared" si="91"/>
        <v>0</v>
      </c>
      <c r="BQ156" s="462">
        <f t="shared" si="92"/>
        <v>0</v>
      </c>
      <c r="BT156" s="462">
        <f t="shared" si="93"/>
        <v>0</v>
      </c>
      <c r="BW156" s="462">
        <f t="shared" si="94"/>
        <v>0</v>
      </c>
      <c r="BZ156" s="462">
        <f t="shared" si="95"/>
        <v>0</v>
      </c>
      <c r="CD156" s="418" t="str">
        <f t="shared" si="96"/>
        <v>CU0782001</v>
      </c>
      <c r="CE156" s="442" t="str">
        <f t="shared" si="97"/>
        <v>2019年1月</v>
      </c>
      <c r="CF156" s="418" t="str">
        <f t="shared" si="98"/>
        <v>天职集团clife服务费暂估</v>
      </c>
      <c r="CG156" s="418" t="str">
        <f t="shared" si="99"/>
        <v>2019年1月天职集团clife服务费暂估</v>
      </c>
    </row>
    <row r="157" spans="2:85" s="447" customFormat="1" ht="17.25" customHeight="1">
      <c r="B157" s="447" t="str">
        <f t="shared" si="71"/>
        <v>CU0812</v>
      </c>
      <c r="C157" s="431" t="s">
        <v>755</v>
      </c>
      <c r="D157" s="367" t="s">
        <v>1405</v>
      </c>
      <c r="E157" s="367" t="s">
        <v>1404</v>
      </c>
      <c r="F157" s="439">
        <v>43466</v>
      </c>
      <c r="G157" s="430">
        <v>8208.7199999999993</v>
      </c>
      <c r="H157" s="440"/>
      <c r="I157" s="440">
        <v>8208.7199999999993</v>
      </c>
      <c r="J157" s="440" t="s">
        <v>1376</v>
      </c>
      <c r="L157" s="462">
        <f t="shared" si="100"/>
        <v>8208.7199999999993</v>
      </c>
      <c r="M157" s="462" t="s">
        <v>1463</v>
      </c>
      <c r="N157" s="444"/>
      <c r="O157" s="462">
        <f t="shared" si="75"/>
        <v>8208.7199999999993</v>
      </c>
      <c r="P157" s="447" t="s">
        <v>1527</v>
      </c>
      <c r="R157" s="462">
        <f t="shared" si="76"/>
        <v>8208.7199999999993</v>
      </c>
      <c r="S157" s="447" t="s">
        <v>1579</v>
      </c>
      <c r="U157" s="462">
        <f t="shared" si="77"/>
        <v>8208.7199999999993</v>
      </c>
      <c r="V157" s="447" t="s">
        <v>1627</v>
      </c>
      <c r="X157" s="462">
        <f t="shared" si="78"/>
        <v>8208.7199999999993</v>
      </c>
      <c r="Y157" s="447" t="s">
        <v>1662</v>
      </c>
      <c r="AA157" s="462">
        <f t="shared" si="101"/>
        <v>8208.7199999999993</v>
      </c>
      <c r="AB157" s="447" t="s">
        <v>1717</v>
      </c>
      <c r="AC157" s="462">
        <f>AA157</f>
        <v>8208.7199999999993</v>
      </c>
      <c r="AD157" s="462">
        <f t="shared" si="79"/>
        <v>0</v>
      </c>
      <c r="AE157" s="447" t="s">
        <v>1747</v>
      </c>
      <c r="AG157" s="462">
        <f t="shared" si="80"/>
        <v>0</v>
      </c>
      <c r="AH157" s="447" t="s">
        <v>1820</v>
      </c>
      <c r="AJ157" s="462">
        <f t="shared" si="81"/>
        <v>0</v>
      </c>
      <c r="AM157" s="462">
        <f t="shared" si="82"/>
        <v>0</v>
      </c>
      <c r="AN157" s="447" t="s">
        <v>1960</v>
      </c>
      <c r="AP157" s="462">
        <f t="shared" si="83"/>
        <v>0</v>
      </c>
      <c r="AQ157" s="447" t="s">
        <v>1996</v>
      </c>
      <c r="AS157" s="459">
        <f t="shared" si="84"/>
        <v>0</v>
      </c>
      <c r="AV157" s="462">
        <f t="shared" si="85"/>
        <v>0</v>
      </c>
      <c r="AY157" s="462">
        <f t="shared" si="86"/>
        <v>0</v>
      </c>
      <c r="BB157" s="462">
        <f t="shared" si="87"/>
        <v>0</v>
      </c>
      <c r="BC157" s="447" t="s">
        <v>2204</v>
      </c>
      <c r="BE157" s="462">
        <f t="shared" si="88"/>
        <v>0</v>
      </c>
      <c r="BH157" s="462">
        <f t="shared" si="89"/>
        <v>0</v>
      </c>
      <c r="BK157" s="462">
        <f t="shared" si="90"/>
        <v>0</v>
      </c>
      <c r="BN157" s="462">
        <f t="shared" si="91"/>
        <v>0</v>
      </c>
      <c r="BQ157" s="462">
        <f t="shared" si="92"/>
        <v>0</v>
      </c>
      <c r="BT157" s="462">
        <f t="shared" si="93"/>
        <v>0</v>
      </c>
      <c r="BW157" s="462">
        <f t="shared" si="94"/>
        <v>0</v>
      </c>
      <c r="BZ157" s="462">
        <f t="shared" si="95"/>
        <v>0</v>
      </c>
      <c r="CD157" s="418" t="str">
        <f t="shared" si="96"/>
        <v>CU0812001</v>
      </c>
      <c r="CE157" s="442" t="str">
        <f t="shared" si="97"/>
        <v>2019年1月</v>
      </c>
      <c r="CF157" s="418" t="str">
        <f t="shared" si="98"/>
        <v>恩派clife服务费暂估</v>
      </c>
      <c r="CG157" s="418" t="str">
        <f t="shared" si="99"/>
        <v>2019年1月恩派clife服务费暂估</v>
      </c>
    </row>
    <row r="158" spans="2:85" s="447" customFormat="1" ht="17.25" customHeight="1">
      <c r="B158" s="447" t="str">
        <f t="shared" si="71"/>
        <v>CU0822</v>
      </c>
      <c r="C158" s="431" t="s">
        <v>755</v>
      </c>
      <c r="D158" s="367" t="s">
        <v>1407</v>
      </c>
      <c r="E158" s="367" t="s">
        <v>1406</v>
      </c>
      <c r="F158" s="439">
        <v>43466</v>
      </c>
      <c r="G158" s="430">
        <v>25998.69</v>
      </c>
      <c r="H158" s="440"/>
      <c r="I158" s="440">
        <v>25998.69</v>
      </c>
      <c r="J158" s="440" t="s">
        <v>1376</v>
      </c>
      <c r="L158" s="462">
        <f t="shared" si="100"/>
        <v>25998.69</v>
      </c>
      <c r="M158" s="462" t="s">
        <v>1463</v>
      </c>
      <c r="N158" s="444"/>
      <c r="O158" s="462">
        <f t="shared" si="75"/>
        <v>25998.69</v>
      </c>
      <c r="P158" s="447" t="s">
        <v>1527</v>
      </c>
      <c r="R158" s="462">
        <f t="shared" si="76"/>
        <v>25998.69</v>
      </c>
      <c r="S158" s="447" t="s">
        <v>1579</v>
      </c>
      <c r="U158" s="462">
        <f t="shared" si="77"/>
        <v>25998.69</v>
      </c>
      <c r="V158" s="447" t="s">
        <v>1627</v>
      </c>
      <c r="W158" s="447">
        <f>ROUND(7491/1.06,2)+4012+579+14340.71</f>
        <v>25998.69</v>
      </c>
      <c r="X158" s="462">
        <f t="shared" si="78"/>
        <v>0</v>
      </c>
      <c r="Y158" s="447" t="s">
        <v>1662</v>
      </c>
      <c r="AA158" s="462">
        <f t="shared" si="101"/>
        <v>0</v>
      </c>
      <c r="AB158" s="447" t="s">
        <v>1717</v>
      </c>
      <c r="AD158" s="462">
        <f t="shared" si="79"/>
        <v>0</v>
      </c>
      <c r="AE158" s="447" t="s">
        <v>1747</v>
      </c>
      <c r="AG158" s="462">
        <f t="shared" si="80"/>
        <v>0</v>
      </c>
      <c r="AH158" s="447" t="s">
        <v>1820</v>
      </c>
      <c r="AJ158" s="462">
        <f t="shared" si="81"/>
        <v>0</v>
      </c>
      <c r="AM158" s="462">
        <f t="shared" si="82"/>
        <v>0</v>
      </c>
      <c r="AN158" s="447" t="s">
        <v>1960</v>
      </c>
      <c r="AP158" s="462">
        <f t="shared" si="83"/>
        <v>0</v>
      </c>
      <c r="AQ158" s="447" t="s">
        <v>1996</v>
      </c>
      <c r="AS158" s="459">
        <f t="shared" si="84"/>
        <v>0</v>
      </c>
      <c r="AV158" s="462">
        <f t="shared" si="85"/>
        <v>0</v>
      </c>
      <c r="AY158" s="462">
        <f t="shared" si="86"/>
        <v>0</v>
      </c>
      <c r="BB158" s="462">
        <f t="shared" si="87"/>
        <v>0</v>
      </c>
      <c r="BC158" s="447" t="s">
        <v>2204</v>
      </c>
      <c r="BE158" s="462">
        <f t="shared" si="88"/>
        <v>0</v>
      </c>
      <c r="BH158" s="462">
        <f t="shared" si="89"/>
        <v>0</v>
      </c>
      <c r="BK158" s="462">
        <f t="shared" si="90"/>
        <v>0</v>
      </c>
      <c r="BN158" s="462">
        <f t="shared" si="91"/>
        <v>0</v>
      </c>
      <c r="BQ158" s="462">
        <f t="shared" si="92"/>
        <v>0</v>
      </c>
      <c r="BT158" s="462">
        <f t="shared" si="93"/>
        <v>0</v>
      </c>
      <c r="BW158" s="462">
        <f t="shared" si="94"/>
        <v>0</v>
      </c>
      <c r="BZ158" s="462">
        <f t="shared" si="95"/>
        <v>0</v>
      </c>
      <c r="CD158" s="418" t="str">
        <f t="shared" si="96"/>
        <v>CU0822001</v>
      </c>
      <c r="CE158" s="442" t="str">
        <f t="shared" si="97"/>
        <v>2019年1月</v>
      </c>
      <c r="CF158" s="418" t="str">
        <f t="shared" si="98"/>
        <v>美克国际家clife服务费暂估</v>
      </c>
      <c r="CG158" s="418" t="str">
        <f t="shared" si="99"/>
        <v>2019年1月美克国际家clife服务费暂估</v>
      </c>
    </row>
    <row r="159" spans="2:85" s="447" customFormat="1" ht="17.25" customHeight="1">
      <c r="B159" s="447" t="str">
        <f t="shared" si="71"/>
        <v>CU0823</v>
      </c>
      <c r="C159" s="431" t="s">
        <v>755</v>
      </c>
      <c r="D159" s="367" t="s">
        <v>1958</v>
      </c>
      <c r="E159" s="367" t="s">
        <v>1408</v>
      </c>
      <c r="F159" s="439">
        <v>43466</v>
      </c>
      <c r="G159" s="430">
        <v>87171.92</v>
      </c>
      <c r="H159" s="440"/>
      <c r="I159" s="440">
        <v>87171.92</v>
      </c>
      <c r="J159" s="440" t="s">
        <v>1376</v>
      </c>
      <c r="L159" s="462">
        <f t="shared" si="100"/>
        <v>87171.92</v>
      </c>
      <c r="M159" s="462" t="s">
        <v>1463</v>
      </c>
      <c r="N159" s="444"/>
      <c r="O159" s="462">
        <f t="shared" si="75"/>
        <v>87171.92</v>
      </c>
      <c r="P159" s="447" t="s">
        <v>1527</v>
      </c>
      <c r="R159" s="462">
        <f t="shared" si="76"/>
        <v>87171.92</v>
      </c>
      <c r="S159" s="447" t="s">
        <v>1579</v>
      </c>
      <c r="U159" s="462">
        <f t="shared" si="77"/>
        <v>87171.92</v>
      </c>
      <c r="V159" s="447" t="s">
        <v>1627</v>
      </c>
      <c r="X159" s="462">
        <f t="shared" si="78"/>
        <v>87171.92</v>
      </c>
      <c r="Y159" s="447" t="s">
        <v>1662</v>
      </c>
      <c r="AA159" s="462">
        <f t="shared" si="101"/>
        <v>87171.92</v>
      </c>
      <c r="AB159" s="447" t="s">
        <v>1717</v>
      </c>
      <c r="AD159" s="462">
        <f t="shared" si="79"/>
        <v>87171.92</v>
      </c>
      <c r="AE159" s="447" t="s">
        <v>1747</v>
      </c>
      <c r="AG159" s="462">
        <f t="shared" si="80"/>
        <v>87171.92</v>
      </c>
      <c r="AH159" s="447" t="s">
        <v>1820</v>
      </c>
      <c r="AI159" s="462">
        <f>ROUND(106000/1.06,2)-AI135</f>
        <v>79897.77</v>
      </c>
      <c r="AJ159" s="462">
        <f t="shared" si="81"/>
        <v>7274.1499999999942</v>
      </c>
      <c r="AK159" s="447" t="s">
        <v>1863</v>
      </c>
      <c r="AL159" s="447">
        <v>6907</v>
      </c>
      <c r="AM159" s="462">
        <f t="shared" si="82"/>
        <v>367.14999999999418</v>
      </c>
      <c r="AN159" s="447" t="s">
        <v>1960</v>
      </c>
      <c r="AO159" s="462">
        <f>AM159</f>
        <v>367.14999999999418</v>
      </c>
      <c r="AP159" s="462">
        <f t="shared" si="83"/>
        <v>0</v>
      </c>
      <c r="AQ159" s="447" t="s">
        <v>1996</v>
      </c>
      <c r="AS159" s="459">
        <f t="shared" si="84"/>
        <v>0</v>
      </c>
      <c r="AV159" s="462">
        <f t="shared" si="85"/>
        <v>0</v>
      </c>
      <c r="AY159" s="462">
        <f t="shared" si="86"/>
        <v>0</v>
      </c>
      <c r="BB159" s="462">
        <f t="shared" si="87"/>
        <v>0</v>
      </c>
      <c r="BC159" s="447" t="s">
        <v>2204</v>
      </c>
      <c r="BE159" s="462">
        <f t="shared" si="88"/>
        <v>0</v>
      </c>
      <c r="BH159" s="462">
        <f t="shared" si="89"/>
        <v>0</v>
      </c>
      <c r="BK159" s="462">
        <f t="shared" si="90"/>
        <v>0</v>
      </c>
      <c r="BN159" s="462">
        <f t="shared" si="91"/>
        <v>0</v>
      </c>
      <c r="BQ159" s="462">
        <f t="shared" si="92"/>
        <v>0</v>
      </c>
      <c r="BT159" s="462">
        <f t="shared" si="93"/>
        <v>0</v>
      </c>
      <c r="BW159" s="462">
        <f t="shared" si="94"/>
        <v>0</v>
      </c>
      <c r="BZ159" s="462">
        <f t="shared" si="95"/>
        <v>0</v>
      </c>
      <c r="CD159" s="418" t="str">
        <f t="shared" si="96"/>
        <v>CU0823001</v>
      </c>
      <c r="CE159" s="442" t="str">
        <f t="shared" si="97"/>
        <v>2019年1月</v>
      </c>
      <c r="CF159" s="418" t="str">
        <f t="shared" si="98"/>
        <v>凯杰clife服务费暂估</v>
      </c>
      <c r="CG159" s="418" t="str">
        <f t="shared" si="99"/>
        <v>2019年1月凯杰clife服务费暂估</v>
      </c>
    </row>
    <row r="160" spans="2:85" s="447" customFormat="1" ht="17.25" customHeight="1">
      <c r="B160" s="447" t="str">
        <f t="shared" si="71"/>
        <v>CU0824</v>
      </c>
      <c r="C160" s="431" t="s">
        <v>755</v>
      </c>
      <c r="D160" s="367" t="s">
        <v>1410</v>
      </c>
      <c r="E160" s="367" t="s">
        <v>1409</v>
      </c>
      <c r="F160" s="439">
        <v>43466</v>
      </c>
      <c r="G160" s="430">
        <v>17655.09</v>
      </c>
      <c r="H160" s="440"/>
      <c r="I160" s="440">
        <v>17655.09</v>
      </c>
      <c r="J160" s="440" t="s">
        <v>1376</v>
      </c>
      <c r="L160" s="462">
        <f t="shared" si="100"/>
        <v>17655.09</v>
      </c>
      <c r="M160" s="462" t="s">
        <v>1463</v>
      </c>
      <c r="N160" s="444"/>
      <c r="O160" s="462">
        <f t="shared" si="75"/>
        <v>17655.09</v>
      </c>
      <c r="P160" s="447" t="s">
        <v>1527</v>
      </c>
      <c r="R160" s="462">
        <f t="shared" si="76"/>
        <v>17655.09</v>
      </c>
      <c r="S160" s="447" t="s">
        <v>1579</v>
      </c>
      <c r="T160" s="462"/>
      <c r="U160" s="462">
        <f t="shared" si="77"/>
        <v>17655.09</v>
      </c>
      <c r="V160" s="447" t="s">
        <v>1627</v>
      </c>
      <c r="W160" s="462">
        <f>U160</f>
        <v>17655.09</v>
      </c>
      <c r="X160" s="462">
        <f t="shared" si="78"/>
        <v>0</v>
      </c>
      <c r="Y160" s="447" t="s">
        <v>1662</v>
      </c>
      <c r="AA160" s="462">
        <f t="shared" si="101"/>
        <v>0</v>
      </c>
      <c r="AB160" s="447" t="s">
        <v>1717</v>
      </c>
      <c r="AD160" s="462">
        <f t="shared" si="79"/>
        <v>0</v>
      </c>
      <c r="AE160" s="447" t="s">
        <v>1747</v>
      </c>
      <c r="AG160" s="462">
        <f t="shared" si="80"/>
        <v>0</v>
      </c>
      <c r="AH160" s="447" t="s">
        <v>1820</v>
      </c>
      <c r="AJ160" s="462">
        <f t="shared" si="81"/>
        <v>0</v>
      </c>
      <c r="AM160" s="462">
        <f t="shared" si="82"/>
        <v>0</v>
      </c>
      <c r="AN160" s="447" t="s">
        <v>1960</v>
      </c>
      <c r="AP160" s="462">
        <f t="shared" si="83"/>
        <v>0</v>
      </c>
      <c r="AQ160" s="447" t="s">
        <v>1996</v>
      </c>
      <c r="AS160" s="459">
        <f t="shared" si="84"/>
        <v>0</v>
      </c>
      <c r="AV160" s="462">
        <f t="shared" si="85"/>
        <v>0</v>
      </c>
      <c r="AY160" s="462">
        <f t="shared" si="86"/>
        <v>0</v>
      </c>
      <c r="BB160" s="462">
        <f t="shared" si="87"/>
        <v>0</v>
      </c>
      <c r="BC160" s="447" t="s">
        <v>2204</v>
      </c>
      <c r="BE160" s="462">
        <f t="shared" si="88"/>
        <v>0</v>
      </c>
      <c r="BH160" s="462">
        <f t="shared" si="89"/>
        <v>0</v>
      </c>
      <c r="BK160" s="462">
        <f t="shared" si="90"/>
        <v>0</v>
      </c>
      <c r="BN160" s="462">
        <f t="shared" si="91"/>
        <v>0</v>
      </c>
      <c r="BQ160" s="462">
        <f t="shared" si="92"/>
        <v>0</v>
      </c>
      <c r="BT160" s="462">
        <f t="shared" si="93"/>
        <v>0</v>
      </c>
      <c r="BW160" s="462">
        <f t="shared" si="94"/>
        <v>0</v>
      </c>
      <c r="BZ160" s="462">
        <f t="shared" si="95"/>
        <v>0</v>
      </c>
      <c r="CD160" s="418" t="str">
        <f t="shared" si="96"/>
        <v>CU0824001</v>
      </c>
      <c r="CE160" s="442" t="str">
        <f t="shared" si="97"/>
        <v>2019年1月</v>
      </c>
      <c r="CF160" s="418" t="str">
        <f t="shared" si="98"/>
        <v>苏州舒尔贸clife服务费暂估</v>
      </c>
      <c r="CG160" s="418" t="str">
        <f t="shared" si="99"/>
        <v>2019年1月苏州舒尔贸clife服务费暂估</v>
      </c>
    </row>
    <row r="161" spans="2:85" s="447" customFormat="1" ht="17.25" customHeight="1">
      <c r="B161" s="447" t="str">
        <f t="shared" si="71"/>
        <v>CU0848</v>
      </c>
      <c r="C161" s="431" t="s">
        <v>755</v>
      </c>
      <c r="D161" s="367" t="s">
        <v>1412</v>
      </c>
      <c r="E161" s="367" t="s">
        <v>1411</v>
      </c>
      <c r="F161" s="439">
        <v>43466</v>
      </c>
      <c r="G161" s="430">
        <v>174290.18</v>
      </c>
      <c r="H161" s="440"/>
      <c r="I161" s="440">
        <v>174290.18</v>
      </c>
      <c r="J161" s="440" t="s">
        <v>1376</v>
      </c>
      <c r="L161" s="462">
        <f t="shared" si="100"/>
        <v>174290.18</v>
      </c>
      <c r="M161" s="462" t="s">
        <v>1463</v>
      </c>
      <c r="N161" s="444"/>
      <c r="O161" s="462">
        <f t="shared" si="75"/>
        <v>174290.18</v>
      </c>
      <c r="P161" s="447" t="s">
        <v>1527</v>
      </c>
      <c r="Q161" s="444">
        <f>100000/1.06</f>
        <v>94339.622641509428</v>
      </c>
      <c r="R161" s="462">
        <f t="shared" si="76"/>
        <v>79950.557358490565</v>
      </c>
      <c r="S161" s="447" t="s">
        <v>1579</v>
      </c>
      <c r="T161" s="447">
        <f>ROUND((53800/1.06),2)</f>
        <v>50754.720000000001</v>
      </c>
      <c r="U161" s="462">
        <f t="shared" si="77"/>
        <v>29195.837358490564</v>
      </c>
      <c r="V161" s="447" t="s">
        <v>1627</v>
      </c>
      <c r="X161" s="462">
        <f t="shared" si="78"/>
        <v>29195.837358490564</v>
      </c>
      <c r="Y161" s="447" t="s">
        <v>1662</v>
      </c>
      <c r="AA161" s="462">
        <f t="shared" si="101"/>
        <v>29195.837358490564</v>
      </c>
      <c r="AB161" s="447" t="s">
        <v>1717</v>
      </c>
      <c r="AC161" s="462">
        <f>AA161</f>
        <v>29195.837358490564</v>
      </c>
      <c r="AD161" s="462">
        <f t="shared" si="79"/>
        <v>0</v>
      </c>
      <c r="AE161" s="447" t="s">
        <v>1747</v>
      </c>
      <c r="AG161" s="462">
        <f t="shared" si="80"/>
        <v>0</v>
      </c>
      <c r="AH161" s="447" t="s">
        <v>1820</v>
      </c>
      <c r="AJ161" s="462">
        <f t="shared" si="81"/>
        <v>0</v>
      </c>
      <c r="AM161" s="462">
        <f t="shared" si="82"/>
        <v>0</v>
      </c>
      <c r="AN161" s="447" t="s">
        <v>1960</v>
      </c>
      <c r="AP161" s="462">
        <f t="shared" si="83"/>
        <v>0</v>
      </c>
      <c r="AQ161" s="447" t="s">
        <v>1996</v>
      </c>
      <c r="AS161" s="459">
        <f t="shared" si="84"/>
        <v>0</v>
      </c>
      <c r="AV161" s="462">
        <f t="shared" si="85"/>
        <v>0</v>
      </c>
      <c r="AY161" s="462">
        <f t="shared" si="86"/>
        <v>0</v>
      </c>
      <c r="BB161" s="462">
        <f t="shared" si="87"/>
        <v>0</v>
      </c>
      <c r="BC161" s="447" t="s">
        <v>2204</v>
      </c>
      <c r="BE161" s="462">
        <f t="shared" si="88"/>
        <v>0</v>
      </c>
      <c r="BH161" s="462">
        <f t="shared" si="89"/>
        <v>0</v>
      </c>
      <c r="BK161" s="462">
        <f t="shared" si="90"/>
        <v>0</v>
      </c>
      <c r="BN161" s="462">
        <f t="shared" si="91"/>
        <v>0</v>
      </c>
      <c r="BQ161" s="462">
        <f t="shared" si="92"/>
        <v>0</v>
      </c>
      <c r="BT161" s="462">
        <f t="shared" si="93"/>
        <v>0</v>
      </c>
      <c r="BW161" s="462">
        <f t="shared" si="94"/>
        <v>0</v>
      </c>
      <c r="BZ161" s="462">
        <f t="shared" si="95"/>
        <v>0</v>
      </c>
      <c r="CD161" s="418" t="str">
        <f t="shared" si="96"/>
        <v>CU0848001</v>
      </c>
      <c r="CE161" s="442" t="str">
        <f t="shared" si="97"/>
        <v>2019年1月</v>
      </c>
      <c r="CF161" s="418" t="str">
        <f t="shared" si="98"/>
        <v>深圳欧贝特clife服务费暂估</v>
      </c>
      <c r="CG161" s="418" t="str">
        <f t="shared" si="99"/>
        <v>2019年1月深圳欧贝特clife服务费暂估</v>
      </c>
    </row>
    <row r="162" spans="2:85" s="447" customFormat="1" ht="17.25" customHeight="1">
      <c r="B162" s="447" t="str">
        <f t="shared" si="71"/>
        <v>CU0869</v>
      </c>
      <c r="C162" s="431" t="s">
        <v>755</v>
      </c>
      <c r="D162" s="367" t="s">
        <v>1373</v>
      </c>
      <c r="E162" s="367" t="s">
        <v>1413</v>
      </c>
      <c r="F162" s="439">
        <v>43466</v>
      </c>
      <c r="G162" s="430">
        <v>53545.279999999999</v>
      </c>
      <c r="H162" s="440"/>
      <c r="I162" s="440">
        <v>53545.279999999999</v>
      </c>
      <c r="J162" s="440" t="s">
        <v>1376</v>
      </c>
      <c r="L162" s="462">
        <f t="shared" si="100"/>
        <v>53545.279999999999</v>
      </c>
      <c r="M162" s="462" t="s">
        <v>1463</v>
      </c>
      <c r="N162" s="444"/>
      <c r="O162" s="462">
        <f t="shared" si="75"/>
        <v>53545.279999999999</v>
      </c>
      <c r="P162" s="447" t="s">
        <v>1527</v>
      </c>
      <c r="Q162" s="444">
        <f>39500/1.06</f>
        <v>37264.150943396227</v>
      </c>
      <c r="R162" s="462">
        <f t="shared" si="76"/>
        <v>16281.129056603771</v>
      </c>
      <c r="S162" s="447" t="s">
        <v>1579</v>
      </c>
      <c r="U162" s="462">
        <f t="shared" si="77"/>
        <v>16281.129056603771</v>
      </c>
      <c r="V162" s="447" t="s">
        <v>1627</v>
      </c>
      <c r="X162" s="462">
        <f t="shared" si="78"/>
        <v>16281.129056603771</v>
      </c>
      <c r="Y162" s="447" t="s">
        <v>1662</v>
      </c>
      <c r="Z162" s="462">
        <f>X162</f>
        <v>16281.129056603771</v>
      </c>
      <c r="AA162" s="462">
        <f t="shared" si="101"/>
        <v>0</v>
      </c>
      <c r="AB162" s="447" t="s">
        <v>1717</v>
      </c>
      <c r="AD162" s="462">
        <f t="shared" si="79"/>
        <v>0</v>
      </c>
      <c r="AE162" s="447" t="s">
        <v>1747</v>
      </c>
      <c r="AG162" s="462">
        <f t="shared" si="80"/>
        <v>0</v>
      </c>
      <c r="AH162" s="447" t="s">
        <v>1820</v>
      </c>
      <c r="AJ162" s="462">
        <f t="shared" si="81"/>
        <v>0</v>
      </c>
      <c r="AM162" s="462">
        <f t="shared" si="82"/>
        <v>0</v>
      </c>
      <c r="AN162" s="447" t="s">
        <v>1960</v>
      </c>
      <c r="AP162" s="462">
        <f t="shared" si="83"/>
        <v>0</v>
      </c>
      <c r="AQ162" s="447" t="s">
        <v>1996</v>
      </c>
      <c r="AS162" s="459">
        <f t="shared" si="84"/>
        <v>0</v>
      </c>
      <c r="AV162" s="462">
        <f t="shared" si="85"/>
        <v>0</v>
      </c>
      <c r="AY162" s="462">
        <f t="shared" si="86"/>
        <v>0</v>
      </c>
      <c r="BB162" s="462">
        <f t="shared" si="87"/>
        <v>0</v>
      </c>
      <c r="BC162" s="447" t="s">
        <v>2204</v>
      </c>
      <c r="BE162" s="462">
        <f t="shared" si="88"/>
        <v>0</v>
      </c>
      <c r="BH162" s="462">
        <f t="shared" si="89"/>
        <v>0</v>
      </c>
      <c r="BK162" s="462">
        <f t="shared" si="90"/>
        <v>0</v>
      </c>
      <c r="BN162" s="462">
        <f t="shared" si="91"/>
        <v>0</v>
      </c>
      <c r="BQ162" s="462">
        <f t="shared" si="92"/>
        <v>0</v>
      </c>
      <c r="BT162" s="462">
        <f t="shared" si="93"/>
        <v>0</v>
      </c>
      <c r="BW162" s="462">
        <f t="shared" si="94"/>
        <v>0</v>
      </c>
      <c r="BZ162" s="462">
        <f t="shared" si="95"/>
        <v>0</v>
      </c>
      <c r="CD162" s="418" t="str">
        <f t="shared" si="96"/>
        <v>CU0869001</v>
      </c>
      <c r="CE162" s="442" t="str">
        <f t="shared" si="97"/>
        <v>2019年1月</v>
      </c>
      <c r="CF162" s="418" t="str">
        <f t="shared" si="98"/>
        <v>智睿clife服务费暂估</v>
      </c>
      <c r="CG162" s="418" t="str">
        <f t="shared" si="99"/>
        <v>2019年1月智睿clife服务费暂估</v>
      </c>
    </row>
    <row r="163" spans="2:85" s="447" customFormat="1" ht="17.25" customHeight="1">
      <c r="B163" s="447" t="str">
        <f t="shared" si="71"/>
        <v>CU0884</v>
      </c>
      <c r="C163" s="431" t="s">
        <v>755</v>
      </c>
      <c r="D163" s="367" t="s">
        <v>1415</v>
      </c>
      <c r="E163" s="367" t="s">
        <v>1414</v>
      </c>
      <c r="F163" s="439">
        <v>43466</v>
      </c>
      <c r="G163" s="430">
        <v>51.37</v>
      </c>
      <c r="H163" s="440"/>
      <c r="I163" s="440">
        <v>51.37</v>
      </c>
      <c r="J163" s="440" t="s">
        <v>1376</v>
      </c>
      <c r="L163" s="462">
        <f t="shared" si="100"/>
        <v>51.37</v>
      </c>
      <c r="M163" s="462" t="s">
        <v>1463</v>
      </c>
      <c r="N163" s="444"/>
      <c r="O163" s="462">
        <f t="shared" si="75"/>
        <v>51.37</v>
      </c>
      <c r="P163" s="447" t="s">
        <v>1527</v>
      </c>
      <c r="R163" s="462">
        <f t="shared" si="76"/>
        <v>51.37</v>
      </c>
      <c r="S163" s="447" t="s">
        <v>1579</v>
      </c>
      <c r="U163" s="462">
        <f t="shared" si="77"/>
        <v>51.37</v>
      </c>
      <c r="V163" s="447" t="s">
        <v>1627</v>
      </c>
      <c r="X163" s="462">
        <f t="shared" si="78"/>
        <v>51.37</v>
      </c>
      <c r="Y163" s="447" t="s">
        <v>1662</v>
      </c>
      <c r="AA163" s="462">
        <v>0</v>
      </c>
      <c r="AB163" s="447" t="s">
        <v>1717</v>
      </c>
      <c r="AD163" s="462">
        <f t="shared" si="79"/>
        <v>0</v>
      </c>
      <c r="AE163" s="447" t="s">
        <v>1747</v>
      </c>
      <c r="AG163" s="462">
        <f t="shared" si="80"/>
        <v>0</v>
      </c>
      <c r="AH163" s="447" t="s">
        <v>1820</v>
      </c>
      <c r="AJ163" s="462">
        <f t="shared" si="81"/>
        <v>0</v>
      </c>
      <c r="AM163" s="462">
        <f t="shared" si="82"/>
        <v>0</v>
      </c>
      <c r="AN163" s="447" t="s">
        <v>1960</v>
      </c>
      <c r="AP163" s="462">
        <f t="shared" si="83"/>
        <v>0</v>
      </c>
      <c r="AQ163" s="447" t="s">
        <v>1996</v>
      </c>
      <c r="AS163" s="459">
        <f t="shared" si="84"/>
        <v>0</v>
      </c>
      <c r="AV163" s="462">
        <f t="shared" si="85"/>
        <v>0</v>
      </c>
      <c r="AY163" s="462">
        <f t="shared" si="86"/>
        <v>0</v>
      </c>
      <c r="BB163" s="462">
        <f t="shared" si="87"/>
        <v>0</v>
      </c>
      <c r="BC163" s="447" t="s">
        <v>2204</v>
      </c>
      <c r="BE163" s="462">
        <f t="shared" si="88"/>
        <v>0</v>
      </c>
      <c r="BH163" s="462">
        <f t="shared" si="89"/>
        <v>0</v>
      </c>
      <c r="BK163" s="462">
        <f t="shared" si="90"/>
        <v>0</v>
      </c>
      <c r="BN163" s="462">
        <f t="shared" si="91"/>
        <v>0</v>
      </c>
      <c r="BQ163" s="462">
        <f t="shared" si="92"/>
        <v>0</v>
      </c>
      <c r="BT163" s="462">
        <f t="shared" si="93"/>
        <v>0</v>
      </c>
      <c r="BW163" s="462">
        <f t="shared" si="94"/>
        <v>0</v>
      </c>
      <c r="BZ163" s="462">
        <f t="shared" si="95"/>
        <v>0</v>
      </c>
      <c r="CD163" s="418" t="str">
        <f t="shared" si="96"/>
        <v>CU0884001</v>
      </c>
      <c r="CE163" s="442" t="str">
        <f t="shared" si="97"/>
        <v>2019年1月</v>
      </c>
      <c r="CF163" s="418" t="str">
        <f t="shared" si="98"/>
        <v>恩德斯豪斯clife服务费暂估</v>
      </c>
      <c r="CG163" s="418" t="str">
        <f t="shared" si="99"/>
        <v>2019年1月恩德斯豪斯clife服务费暂估</v>
      </c>
    </row>
    <row r="164" spans="2:85" s="447" customFormat="1" ht="17.25" customHeight="1">
      <c r="B164" s="447" t="str">
        <f t="shared" si="71"/>
        <v>CU0904</v>
      </c>
      <c r="C164" s="431" t="s">
        <v>755</v>
      </c>
      <c r="D164" s="367" t="s">
        <v>1417</v>
      </c>
      <c r="E164" s="367" t="s">
        <v>1416</v>
      </c>
      <c r="F164" s="439">
        <v>43466</v>
      </c>
      <c r="G164" s="430">
        <v>333686.96000000002</v>
      </c>
      <c r="H164" s="440"/>
      <c r="I164" s="440">
        <v>333686.96000000002</v>
      </c>
      <c r="J164" s="440" t="s">
        <v>1376</v>
      </c>
      <c r="L164" s="462">
        <f t="shared" si="100"/>
        <v>333686.96000000002</v>
      </c>
      <c r="M164" s="462" t="s">
        <v>1463</v>
      </c>
      <c r="N164" s="444"/>
      <c r="O164" s="462">
        <f t="shared" si="75"/>
        <v>333686.96000000002</v>
      </c>
      <c r="P164" s="447" t="s">
        <v>1527</v>
      </c>
      <c r="R164" s="462">
        <f t="shared" si="76"/>
        <v>333686.96000000002</v>
      </c>
      <c r="S164" s="447" t="s">
        <v>1579</v>
      </c>
      <c r="U164" s="462">
        <f t="shared" si="77"/>
        <v>333686.96000000002</v>
      </c>
      <c r="V164" s="447" t="s">
        <v>1627</v>
      </c>
      <c r="W164" s="462">
        <f>200000-W65-W99+100000+36829.52</f>
        <v>333686.96000000002</v>
      </c>
      <c r="X164" s="462">
        <f t="shared" si="78"/>
        <v>0</v>
      </c>
      <c r="Y164" s="447" t="s">
        <v>1662</v>
      </c>
      <c r="AA164" s="462">
        <f t="shared" si="101"/>
        <v>0</v>
      </c>
      <c r="AB164" s="447" t="s">
        <v>1717</v>
      </c>
      <c r="AD164" s="462">
        <f t="shared" si="79"/>
        <v>0</v>
      </c>
      <c r="AE164" s="447" t="s">
        <v>1747</v>
      </c>
      <c r="AG164" s="462">
        <f t="shared" si="80"/>
        <v>0</v>
      </c>
      <c r="AH164" s="447" t="s">
        <v>1820</v>
      </c>
      <c r="AJ164" s="462">
        <f t="shared" si="81"/>
        <v>0</v>
      </c>
      <c r="AM164" s="462">
        <f t="shared" si="82"/>
        <v>0</v>
      </c>
      <c r="AN164" s="447" t="s">
        <v>1960</v>
      </c>
      <c r="AP164" s="462">
        <f t="shared" si="83"/>
        <v>0</v>
      </c>
      <c r="AQ164" s="447" t="s">
        <v>1996</v>
      </c>
      <c r="AS164" s="459">
        <f t="shared" si="84"/>
        <v>0</v>
      </c>
      <c r="AV164" s="462">
        <f t="shared" si="85"/>
        <v>0</v>
      </c>
      <c r="AY164" s="462">
        <f t="shared" si="86"/>
        <v>0</v>
      </c>
      <c r="BB164" s="462">
        <f t="shared" si="87"/>
        <v>0</v>
      </c>
      <c r="BC164" s="447" t="s">
        <v>2204</v>
      </c>
      <c r="BE164" s="462">
        <f t="shared" si="88"/>
        <v>0</v>
      </c>
      <c r="BH164" s="462">
        <f t="shared" si="89"/>
        <v>0</v>
      </c>
      <c r="BK164" s="462">
        <f t="shared" si="90"/>
        <v>0</v>
      </c>
      <c r="BN164" s="462">
        <f t="shared" si="91"/>
        <v>0</v>
      </c>
      <c r="BQ164" s="462">
        <f t="shared" si="92"/>
        <v>0</v>
      </c>
      <c r="BT164" s="462">
        <f t="shared" si="93"/>
        <v>0</v>
      </c>
      <c r="BW164" s="462">
        <f t="shared" si="94"/>
        <v>0</v>
      </c>
      <c r="BZ164" s="462">
        <f t="shared" si="95"/>
        <v>0</v>
      </c>
      <c r="CD164" s="418" t="str">
        <f t="shared" si="96"/>
        <v>CU0904001</v>
      </c>
      <c r="CE164" s="442" t="str">
        <f t="shared" si="97"/>
        <v>2019年1月</v>
      </c>
      <c r="CF164" s="418" t="str">
        <f t="shared" si="98"/>
        <v>紫光集团clife服务费暂估</v>
      </c>
      <c r="CG164" s="418" t="str">
        <f t="shared" si="99"/>
        <v>2019年1月紫光集团clife服务费暂估</v>
      </c>
    </row>
    <row r="165" spans="2:85" s="447" customFormat="1" ht="17.25" customHeight="1">
      <c r="B165" s="447" t="str">
        <f t="shared" si="71"/>
        <v>CU0914</v>
      </c>
      <c r="C165" s="431" t="s">
        <v>755</v>
      </c>
      <c r="D165" s="367" t="s">
        <v>1419</v>
      </c>
      <c r="E165" s="367" t="s">
        <v>1418</v>
      </c>
      <c r="F165" s="439">
        <v>43466</v>
      </c>
      <c r="G165" s="430">
        <v>1744494.33</v>
      </c>
      <c r="H165" s="440"/>
      <c r="I165" s="440">
        <v>1744494.33</v>
      </c>
      <c r="J165" s="440" t="s">
        <v>1376</v>
      </c>
      <c r="L165" s="462">
        <f t="shared" si="100"/>
        <v>1744494.33</v>
      </c>
      <c r="M165" s="462" t="s">
        <v>1463</v>
      </c>
      <c r="N165" s="444">
        <f>258240/1.06+1076000/1.06</f>
        <v>1258716.9811320754</v>
      </c>
      <c r="O165" s="462">
        <f t="shared" si="75"/>
        <v>485777.34886792465</v>
      </c>
      <c r="P165" s="447" t="s">
        <v>1527</v>
      </c>
      <c r="Q165" s="444">
        <f>430400/1.06</f>
        <v>406037.73584905657</v>
      </c>
      <c r="R165" s="462">
        <f t="shared" si="76"/>
        <v>79739.613018868084</v>
      </c>
      <c r="S165" s="447" t="s">
        <v>1579</v>
      </c>
      <c r="U165" s="462">
        <f t="shared" si="77"/>
        <v>79739.613018868084</v>
      </c>
      <c r="V165" s="447" t="s">
        <v>1627</v>
      </c>
      <c r="X165" s="462">
        <f t="shared" si="78"/>
        <v>79739.613018868084</v>
      </c>
      <c r="Y165" s="447" t="s">
        <v>1662</v>
      </c>
      <c r="AA165" s="462">
        <f t="shared" si="101"/>
        <v>79739.613018868084</v>
      </c>
      <c r="AB165" s="447" t="s">
        <v>1717</v>
      </c>
      <c r="AC165" s="462">
        <f>AA165</f>
        <v>79739.613018868084</v>
      </c>
      <c r="AD165" s="462">
        <f t="shared" si="79"/>
        <v>0</v>
      </c>
      <c r="AE165" s="447" t="s">
        <v>1747</v>
      </c>
      <c r="AG165" s="462">
        <f t="shared" si="80"/>
        <v>0</v>
      </c>
      <c r="AH165" s="447" t="s">
        <v>1820</v>
      </c>
      <c r="AJ165" s="462">
        <f t="shared" si="81"/>
        <v>0</v>
      </c>
      <c r="AM165" s="462">
        <f t="shared" si="82"/>
        <v>0</v>
      </c>
      <c r="AN165" s="447" t="s">
        <v>1960</v>
      </c>
      <c r="AP165" s="462">
        <f t="shared" si="83"/>
        <v>0</v>
      </c>
      <c r="AQ165" s="447" t="s">
        <v>1996</v>
      </c>
      <c r="AS165" s="459">
        <f t="shared" si="84"/>
        <v>0</v>
      </c>
      <c r="AV165" s="462">
        <f t="shared" si="85"/>
        <v>0</v>
      </c>
      <c r="AY165" s="462">
        <f t="shared" si="86"/>
        <v>0</v>
      </c>
      <c r="BB165" s="462">
        <f t="shared" si="87"/>
        <v>0</v>
      </c>
      <c r="BC165" s="447" t="s">
        <v>2204</v>
      </c>
      <c r="BE165" s="462">
        <f t="shared" si="88"/>
        <v>0</v>
      </c>
      <c r="BH165" s="462">
        <f t="shared" si="89"/>
        <v>0</v>
      </c>
      <c r="BK165" s="462">
        <f t="shared" si="90"/>
        <v>0</v>
      </c>
      <c r="BN165" s="462">
        <f t="shared" si="91"/>
        <v>0</v>
      </c>
      <c r="BQ165" s="462">
        <f t="shared" si="92"/>
        <v>0</v>
      </c>
      <c r="BT165" s="462">
        <f t="shared" si="93"/>
        <v>0</v>
      </c>
      <c r="BW165" s="462">
        <f t="shared" si="94"/>
        <v>0</v>
      </c>
      <c r="BZ165" s="462">
        <f t="shared" si="95"/>
        <v>0</v>
      </c>
      <c r="CD165" s="418" t="str">
        <f t="shared" si="96"/>
        <v>CU0914001</v>
      </c>
      <c r="CE165" s="442" t="str">
        <f t="shared" si="97"/>
        <v>2019年1月</v>
      </c>
      <c r="CF165" s="418" t="str">
        <f t="shared" si="98"/>
        <v>鑫车投资（clife服务费暂估</v>
      </c>
      <c r="CG165" s="418" t="str">
        <f t="shared" si="99"/>
        <v>2019年1月鑫车投资（clife服务费暂估</v>
      </c>
    </row>
    <row r="166" spans="2:85" s="447" customFormat="1" ht="17.25" customHeight="1">
      <c r="B166" s="447" t="str">
        <f t="shared" si="71"/>
        <v>CU1013</v>
      </c>
      <c r="C166" s="431" t="s">
        <v>755</v>
      </c>
      <c r="D166" s="367" t="s">
        <v>1421</v>
      </c>
      <c r="E166" s="367" t="s">
        <v>1420</v>
      </c>
      <c r="F166" s="439">
        <v>43466</v>
      </c>
      <c r="G166" s="430">
        <v>777.53</v>
      </c>
      <c r="H166" s="440"/>
      <c r="I166" s="440">
        <v>777.53</v>
      </c>
      <c r="J166" s="440" t="s">
        <v>1376</v>
      </c>
      <c r="L166" s="462">
        <f t="shared" si="100"/>
        <v>777.53</v>
      </c>
      <c r="M166" s="462" t="s">
        <v>1463</v>
      </c>
      <c r="N166" s="444"/>
      <c r="O166" s="462">
        <f t="shared" si="75"/>
        <v>777.53</v>
      </c>
      <c r="P166" s="447" t="s">
        <v>1527</v>
      </c>
      <c r="R166" s="462">
        <f t="shared" si="76"/>
        <v>777.53</v>
      </c>
      <c r="S166" s="447" t="s">
        <v>1579</v>
      </c>
      <c r="U166" s="462">
        <f t="shared" si="77"/>
        <v>777.53</v>
      </c>
      <c r="V166" s="447" t="s">
        <v>1627</v>
      </c>
      <c r="X166" s="462">
        <f t="shared" si="78"/>
        <v>777.53</v>
      </c>
      <c r="Y166" s="447" t="s">
        <v>1662</v>
      </c>
      <c r="AA166" s="462">
        <f t="shared" si="101"/>
        <v>777.53</v>
      </c>
      <c r="AB166" s="447" t="s">
        <v>1717</v>
      </c>
      <c r="AC166" s="462">
        <f>AA166</f>
        <v>777.53</v>
      </c>
      <c r="AD166" s="462">
        <f t="shared" si="79"/>
        <v>0</v>
      </c>
      <c r="AE166" s="447" t="s">
        <v>1747</v>
      </c>
      <c r="AG166" s="462">
        <f t="shared" si="80"/>
        <v>0</v>
      </c>
      <c r="AH166" s="447" t="s">
        <v>1820</v>
      </c>
      <c r="AJ166" s="462">
        <f t="shared" si="81"/>
        <v>0</v>
      </c>
      <c r="AM166" s="462">
        <f t="shared" si="82"/>
        <v>0</v>
      </c>
      <c r="AN166" s="447" t="s">
        <v>1960</v>
      </c>
      <c r="AP166" s="462">
        <f t="shared" si="83"/>
        <v>0</v>
      </c>
      <c r="AQ166" s="447" t="s">
        <v>1996</v>
      </c>
      <c r="AS166" s="459">
        <f t="shared" si="84"/>
        <v>0</v>
      </c>
      <c r="AV166" s="462">
        <f t="shared" si="85"/>
        <v>0</v>
      </c>
      <c r="AY166" s="462">
        <f t="shared" si="86"/>
        <v>0</v>
      </c>
      <c r="BB166" s="462">
        <f t="shared" si="87"/>
        <v>0</v>
      </c>
      <c r="BC166" s="447" t="s">
        <v>2204</v>
      </c>
      <c r="BE166" s="462">
        <f t="shared" si="88"/>
        <v>0</v>
      </c>
      <c r="BH166" s="462">
        <f t="shared" si="89"/>
        <v>0</v>
      </c>
      <c r="BK166" s="462">
        <f t="shared" si="90"/>
        <v>0</v>
      </c>
      <c r="BN166" s="462">
        <f t="shared" si="91"/>
        <v>0</v>
      </c>
      <c r="BQ166" s="462">
        <f t="shared" si="92"/>
        <v>0</v>
      </c>
      <c r="BT166" s="462">
        <f t="shared" si="93"/>
        <v>0</v>
      </c>
      <c r="BW166" s="462">
        <f t="shared" si="94"/>
        <v>0</v>
      </c>
      <c r="BZ166" s="462">
        <f t="shared" si="95"/>
        <v>0</v>
      </c>
      <c r="CD166" s="418" t="str">
        <f t="shared" si="96"/>
        <v>CU1013001</v>
      </c>
      <c r="CE166" s="442" t="str">
        <f t="shared" si="97"/>
        <v>2019年1月</v>
      </c>
      <c r="CF166" s="418" t="str">
        <f t="shared" si="98"/>
        <v>喜利得（中clife服务费暂估</v>
      </c>
      <c r="CG166" s="418" t="str">
        <f t="shared" si="99"/>
        <v>2019年1月喜利得（中clife服务费暂估</v>
      </c>
    </row>
    <row r="167" spans="2:85" s="447" customFormat="1" ht="17.25" customHeight="1">
      <c r="B167" s="447" t="str">
        <f t="shared" si="71"/>
        <v>CU1032</v>
      </c>
      <c r="C167" s="431" t="s">
        <v>755</v>
      </c>
      <c r="D167" s="367" t="s">
        <v>1423</v>
      </c>
      <c r="E167" s="367" t="s">
        <v>1422</v>
      </c>
      <c r="F167" s="439">
        <v>43466</v>
      </c>
      <c r="G167" s="430">
        <v>184.91</v>
      </c>
      <c r="H167" s="440"/>
      <c r="I167" s="440">
        <v>184.91</v>
      </c>
      <c r="J167" s="440" t="s">
        <v>1376</v>
      </c>
      <c r="L167" s="462">
        <f t="shared" si="100"/>
        <v>184.91</v>
      </c>
      <c r="M167" s="462" t="s">
        <v>1463</v>
      </c>
      <c r="N167" s="444"/>
      <c r="O167" s="462">
        <f t="shared" si="75"/>
        <v>184.91</v>
      </c>
      <c r="P167" s="447" t="s">
        <v>1527</v>
      </c>
      <c r="R167" s="462">
        <f t="shared" si="76"/>
        <v>184.91</v>
      </c>
      <c r="S167" s="447" t="s">
        <v>1579</v>
      </c>
      <c r="U167" s="462">
        <f t="shared" si="77"/>
        <v>184.91</v>
      </c>
      <c r="V167" s="447" t="s">
        <v>1627</v>
      </c>
      <c r="X167" s="462">
        <f t="shared" si="78"/>
        <v>184.91</v>
      </c>
      <c r="Y167" s="447" t="s">
        <v>1662</v>
      </c>
      <c r="AA167" s="462">
        <v>0</v>
      </c>
      <c r="AB167" s="447" t="s">
        <v>1717</v>
      </c>
      <c r="AD167" s="462">
        <f t="shared" si="79"/>
        <v>0</v>
      </c>
      <c r="AE167" s="447" t="s">
        <v>1747</v>
      </c>
      <c r="AG167" s="462">
        <f t="shared" si="80"/>
        <v>0</v>
      </c>
      <c r="AH167" s="447" t="s">
        <v>1820</v>
      </c>
      <c r="AJ167" s="462">
        <f t="shared" si="81"/>
        <v>0</v>
      </c>
      <c r="AM167" s="462">
        <f t="shared" si="82"/>
        <v>0</v>
      </c>
      <c r="AN167" s="447" t="s">
        <v>1960</v>
      </c>
      <c r="AP167" s="462">
        <f t="shared" si="83"/>
        <v>0</v>
      </c>
      <c r="AQ167" s="447" t="s">
        <v>1996</v>
      </c>
      <c r="AS167" s="459">
        <f t="shared" si="84"/>
        <v>0</v>
      </c>
      <c r="AV167" s="462">
        <f t="shared" si="85"/>
        <v>0</v>
      </c>
      <c r="AY167" s="462">
        <f t="shared" si="86"/>
        <v>0</v>
      </c>
      <c r="BB167" s="462">
        <f t="shared" si="87"/>
        <v>0</v>
      </c>
      <c r="BC167" s="447" t="s">
        <v>2204</v>
      </c>
      <c r="BE167" s="462">
        <f t="shared" si="88"/>
        <v>0</v>
      </c>
      <c r="BH167" s="462">
        <f t="shared" si="89"/>
        <v>0</v>
      </c>
      <c r="BK167" s="462">
        <f t="shared" si="90"/>
        <v>0</v>
      </c>
      <c r="BN167" s="462">
        <f t="shared" si="91"/>
        <v>0</v>
      </c>
      <c r="BQ167" s="462">
        <f t="shared" si="92"/>
        <v>0</v>
      </c>
      <c r="BT167" s="462">
        <f t="shared" si="93"/>
        <v>0</v>
      </c>
      <c r="BW167" s="462">
        <f t="shared" si="94"/>
        <v>0</v>
      </c>
      <c r="BZ167" s="462">
        <f t="shared" si="95"/>
        <v>0</v>
      </c>
      <c r="CD167" s="418" t="str">
        <f t="shared" si="96"/>
        <v>CU1032001</v>
      </c>
      <c r="CE167" s="442" t="str">
        <f t="shared" si="97"/>
        <v>2019年1月</v>
      </c>
      <c r="CF167" s="418" t="str">
        <f t="shared" si="98"/>
        <v>斐珞尔（上clife服务费暂估</v>
      </c>
      <c r="CG167" s="418" t="str">
        <f t="shared" si="99"/>
        <v>2019年1月斐珞尔（上clife服务费暂估</v>
      </c>
    </row>
    <row r="168" spans="2:85" s="447" customFormat="1" ht="17.25" customHeight="1">
      <c r="B168" s="447" t="str">
        <f t="shared" si="71"/>
        <v>CU1034</v>
      </c>
      <c r="C168" s="431" t="s">
        <v>755</v>
      </c>
      <c r="D168" s="367" t="s">
        <v>1425</v>
      </c>
      <c r="E168" s="367" t="s">
        <v>1424</v>
      </c>
      <c r="F168" s="439">
        <v>43466</v>
      </c>
      <c r="G168" s="430">
        <v>58251.33</v>
      </c>
      <c r="H168" s="440"/>
      <c r="I168" s="440">
        <v>58251.33</v>
      </c>
      <c r="J168" s="440" t="s">
        <v>1376</v>
      </c>
      <c r="L168" s="462">
        <f t="shared" si="100"/>
        <v>58251.33</v>
      </c>
      <c r="M168" s="462" t="s">
        <v>1463</v>
      </c>
      <c r="N168" s="444"/>
      <c r="O168" s="462">
        <f t="shared" si="75"/>
        <v>58251.33</v>
      </c>
      <c r="P168" s="447" t="s">
        <v>1527</v>
      </c>
      <c r="R168" s="462">
        <f t="shared" si="76"/>
        <v>58251.33</v>
      </c>
      <c r="S168" s="447" t="s">
        <v>1579</v>
      </c>
      <c r="U168" s="462">
        <f t="shared" si="77"/>
        <v>58251.33</v>
      </c>
      <c r="V168" s="447" t="s">
        <v>1627</v>
      </c>
      <c r="X168" s="462">
        <f t="shared" si="78"/>
        <v>58251.33</v>
      </c>
      <c r="Y168" s="447" t="s">
        <v>1662</v>
      </c>
      <c r="Z168" s="462">
        <f>X168</f>
        <v>58251.33</v>
      </c>
      <c r="AA168" s="462">
        <f t="shared" si="101"/>
        <v>0</v>
      </c>
      <c r="AB168" s="447" t="s">
        <v>1717</v>
      </c>
      <c r="AD168" s="462">
        <f t="shared" si="79"/>
        <v>0</v>
      </c>
      <c r="AE168" s="447" t="s">
        <v>1747</v>
      </c>
      <c r="AG168" s="462">
        <f t="shared" si="80"/>
        <v>0</v>
      </c>
      <c r="AH168" s="447" t="s">
        <v>1820</v>
      </c>
      <c r="AJ168" s="462">
        <f t="shared" si="81"/>
        <v>0</v>
      </c>
      <c r="AM168" s="462">
        <f t="shared" si="82"/>
        <v>0</v>
      </c>
      <c r="AN168" s="447" t="s">
        <v>1960</v>
      </c>
      <c r="AP168" s="462">
        <f t="shared" si="83"/>
        <v>0</v>
      </c>
      <c r="AQ168" s="447" t="s">
        <v>1996</v>
      </c>
      <c r="AS168" s="459">
        <f t="shared" si="84"/>
        <v>0</v>
      </c>
      <c r="AV168" s="462">
        <f t="shared" si="85"/>
        <v>0</v>
      </c>
      <c r="AY168" s="462">
        <f t="shared" si="86"/>
        <v>0</v>
      </c>
      <c r="BB168" s="462">
        <f t="shared" si="87"/>
        <v>0</v>
      </c>
      <c r="BC168" s="447" t="s">
        <v>2204</v>
      </c>
      <c r="BE168" s="462">
        <f t="shared" si="88"/>
        <v>0</v>
      </c>
      <c r="BH168" s="462">
        <f t="shared" si="89"/>
        <v>0</v>
      </c>
      <c r="BK168" s="462">
        <f t="shared" si="90"/>
        <v>0</v>
      </c>
      <c r="BN168" s="462">
        <f t="shared" si="91"/>
        <v>0</v>
      </c>
      <c r="BQ168" s="462">
        <f t="shared" si="92"/>
        <v>0</v>
      </c>
      <c r="BT168" s="462">
        <f t="shared" si="93"/>
        <v>0</v>
      </c>
      <c r="BW168" s="462">
        <f t="shared" si="94"/>
        <v>0</v>
      </c>
      <c r="BZ168" s="462">
        <f t="shared" si="95"/>
        <v>0</v>
      </c>
      <c r="CD168" s="418" t="str">
        <f t="shared" si="96"/>
        <v>CU1034001</v>
      </c>
      <c r="CE168" s="442" t="str">
        <f t="shared" si="97"/>
        <v>2019年1月</v>
      </c>
      <c r="CF168" s="418" t="str">
        <f t="shared" si="98"/>
        <v>北京天信宏clife服务费暂估</v>
      </c>
      <c r="CG168" s="418" t="str">
        <f t="shared" si="99"/>
        <v>2019年1月北京天信宏clife服务费暂估</v>
      </c>
    </row>
    <row r="169" spans="2:85" s="447" customFormat="1" ht="17.25" customHeight="1">
      <c r="B169" s="447" t="str">
        <f t="shared" si="71"/>
        <v>CU1048</v>
      </c>
      <c r="C169" s="431" t="s">
        <v>755</v>
      </c>
      <c r="D169" s="367" t="s">
        <v>1427</v>
      </c>
      <c r="E169" s="367" t="s">
        <v>1426</v>
      </c>
      <c r="F169" s="439">
        <v>43466</v>
      </c>
      <c r="G169" s="430">
        <v>930.08</v>
      </c>
      <c r="H169" s="440"/>
      <c r="I169" s="440">
        <v>930.08</v>
      </c>
      <c r="J169" s="440" t="s">
        <v>1376</v>
      </c>
      <c r="L169" s="462">
        <f t="shared" si="100"/>
        <v>930.08</v>
      </c>
      <c r="M169" s="462" t="s">
        <v>1463</v>
      </c>
      <c r="N169" s="444"/>
      <c r="O169" s="462">
        <f t="shared" si="75"/>
        <v>930.08</v>
      </c>
      <c r="P169" s="447" t="s">
        <v>1527</v>
      </c>
      <c r="R169" s="462">
        <f t="shared" si="76"/>
        <v>930.08</v>
      </c>
      <c r="S169" s="447" t="s">
        <v>1579</v>
      </c>
      <c r="U169" s="462">
        <f t="shared" si="77"/>
        <v>930.08</v>
      </c>
      <c r="V169" s="447" t="s">
        <v>1627</v>
      </c>
      <c r="X169" s="462">
        <f t="shared" si="78"/>
        <v>930.08</v>
      </c>
      <c r="Y169" s="447" t="s">
        <v>1662</v>
      </c>
      <c r="AA169" s="462">
        <f t="shared" si="101"/>
        <v>930.08</v>
      </c>
      <c r="AB169" s="447" t="s">
        <v>1717</v>
      </c>
      <c r="AD169" s="462">
        <f t="shared" si="79"/>
        <v>930.08</v>
      </c>
      <c r="AE169" s="447" t="s">
        <v>1747</v>
      </c>
      <c r="AF169" s="462">
        <f>AD169</f>
        <v>930.08</v>
      </c>
      <c r="AG169" s="462">
        <f t="shared" si="80"/>
        <v>0</v>
      </c>
      <c r="AH169" s="447" t="s">
        <v>1820</v>
      </c>
      <c r="AJ169" s="462">
        <f t="shared" si="81"/>
        <v>0</v>
      </c>
      <c r="AM169" s="462">
        <f t="shared" si="82"/>
        <v>0</v>
      </c>
      <c r="AN169" s="447" t="s">
        <v>1960</v>
      </c>
      <c r="AP169" s="462">
        <f t="shared" si="83"/>
        <v>0</v>
      </c>
      <c r="AQ169" s="447" t="s">
        <v>1996</v>
      </c>
      <c r="AS169" s="459">
        <f t="shared" si="84"/>
        <v>0</v>
      </c>
      <c r="AV169" s="462">
        <f t="shared" si="85"/>
        <v>0</v>
      </c>
      <c r="AY169" s="462">
        <f t="shared" si="86"/>
        <v>0</v>
      </c>
      <c r="BB169" s="462">
        <f t="shared" si="87"/>
        <v>0</v>
      </c>
      <c r="BC169" s="447" t="s">
        <v>2204</v>
      </c>
      <c r="BE169" s="462">
        <f t="shared" si="88"/>
        <v>0</v>
      </c>
      <c r="BH169" s="462">
        <f t="shared" si="89"/>
        <v>0</v>
      </c>
      <c r="BK169" s="462">
        <f t="shared" si="90"/>
        <v>0</v>
      </c>
      <c r="BN169" s="462">
        <f t="shared" si="91"/>
        <v>0</v>
      </c>
      <c r="BQ169" s="462">
        <f t="shared" si="92"/>
        <v>0</v>
      </c>
      <c r="BT169" s="462">
        <f t="shared" si="93"/>
        <v>0</v>
      </c>
      <c r="BW169" s="462">
        <f t="shared" si="94"/>
        <v>0</v>
      </c>
      <c r="BZ169" s="462">
        <f t="shared" si="95"/>
        <v>0</v>
      </c>
      <c r="CD169" s="418" t="str">
        <f t="shared" si="96"/>
        <v>CU1048001</v>
      </c>
      <c r="CE169" s="442" t="str">
        <f t="shared" si="97"/>
        <v>2019年1月</v>
      </c>
      <c r="CF169" s="418" t="str">
        <f t="shared" si="98"/>
        <v>奥托博克（clife服务费暂估</v>
      </c>
      <c r="CG169" s="418" t="str">
        <f t="shared" si="99"/>
        <v>2019年1月奥托博克（clife服务费暂估</v>
      </c>
    </row>
    <row r="170" spans="2:85" s="447" customFormat="1" ht="17.25" customHeight="1">
      <c r="B170" s="447" t="str">
        <f t="shared" si="71"/>
        <v>CU1065</v>
      </c>
      <c r="C170" s="431" t="s">
        <v>755</v>
      </c>
      <c r="D170" s="367" t="s">
        <v>1429</v>
      </c>
      <c r="E170" s="367" t="s">
        <v>1428</v>
      </c>
      <c r="F170" s="439">
        <v>43466</v>
      </c>
      <c r="G170" s="430">
        <v>213897.28</v>
      </c>
      <c r="H170" s="440"/>
      <c r="I170" s="440">
        <v>213897.28</v>
      </c>
      <c r="J170" s="440" t="s">
        <v>1376</v>
      </c>
      <c r="L170" s="462">
        <f t="shared" si="100"/>
        <v>213897.28</v>
      </c>
      <c r="M170" s="462" t="s">
        <v>1463</v>
      </c>
      <c r="N170" s="444"/>
      <c r="O170" s="462">
        <f t="shared" si="75"/>
        <v>213897.28</v>
      </c>
      <c r="P170" s="447" t="s">
        <v>1527</v>
      </c>
      <c r="R170" s="462">
        <f t="shared" si="76"/>
        <v>213897.28</v>
      </c>
      <c r="S170" s="447" t="s">
        <v>1579</v>
      </c>
      <c r="T170" s="462">
        <f>R170</f>
        <v>213897.28</v>
      </c>
      <c r="U170" s="462">
        <f t="shared" si="77"/>
        <v>0</v>
      </c>
      <c r="V170" s="447" t="s">
        <v>1627</v>
      </c>
      <c r="X170" s="462">
        <f t="shared" si="78"/>
        <v>0</v>
      </c>
      <c r="Y170" s="447" t="s">
        <v>1662</v>
      </c>
      <c r="AA170" s="462">
        <f t="shared" si="101"/>
        <v>0</v>
      </c>
      <c r="AB170" s="447" t="s">
        <v>1717</v>
      </c>
      <c r="AD170" s="462">
        <f t="shared" si="79"/>
        <v>0</v>
      </c>
      <c r="AE170" s="447" t="s">
        <v>1747</v>
      </c>
      <c r="AG170" s="462">
        <f t="shared" si="80"/>
        <v>0</v>
      </c>
      <c r="AH170" s="447" t="s">
        <v>1820</v>
      </c>
      <c r="AJ170" s="462">
        <f t="shared" si="81"/>
        <v>0</v>
      </c>
      <c r="AM170" s="462">
        <f t="shared" si="82"/>
        <v>0</v>
      </c>
      <c r="AN170" s="447" t="s">
        <v>1960</v>
      </c>
      <c r="AP170" s="462">
        <f t="shared" si="83"/>
        <v>0</v>
      </c>
      <c r="AQ170" s="447" t="s">
        <v>1996</v>
      </c>
      <c r="AS170" s="459">
        <f t="shared" si="84"/>
        <v>0</v>
      </c>
      <c r="AV170" s="462">
        <f t="shared" si="85"/>
        <v>0</v>
      </c>
      <c r="AY170" s="462">
        <f t="shared" si="86"/>
        <v>0</v>
      </c>
      <c r="BB170" s="462">
        <f t="shared" si="87"/>
        <v>0</v>
      </c>
      <c r="BC170" s="447" t="s">
        <v>2204</v>
      </c>
      <c r="BE170" s="462">
        <f t="shared" si="88"/>
        <v>0</v>
      </c>
      <c r="BH170" s="462">
        <f t="shared" si="89"/>
        <v>0</v>
      </c>
      <c r="BK170" s="462">
        <f t="shared" si="90"/>
        <v>0</v>
      </c>
      <c r="BN170" s="462">
        <f t="shared" si="91"/>
        <v>0</v>
      </c>
      <c r="BQ170" s="462">
        <f t="shared" si="92"/>
        <v>0</v>
      </c>
      <c r="BT170" s="462">
        <f t="shared" si="93"/>
        <v>0</v>
      </c>
      <c r="BW170" s="462">
        <f t="shared" si="94"/>
        <v>0</v>
      </c>
      <c r="BZ170" s="462">
        <f t="shared" si="95"/>
        <v>0</v>
      </c>
      <c r="CD170" s="418" t="str">
        <f t="shared" si="96"/>
        <v>CU1065001</v>
      </c>
      <c r="CE170" s="442" t="str">
        <f t="shared" si="97"/>
        <v>2019年1月</v>
      </c>
      <c r="CF170" s="418" t="str">
        <f t="shared" si="98"/>
        <v>蔚兰红瓴clife服务费暂估</v>
      </c>
      <c r="CG170" s="418" t="str">
        <f t="shared" si="99"/>
        <v>2019年1月蔚兰红瓴clife服务费暂估</v>
      </c>
    </row>
    <row r="171" spans="2:85" s="447" customFormat="1" ht="17.25" customHeight="1">
      <c r="B171" s="447" t="str">
        <f t="shared" si="71"/>
        <v>CU1075</v>
      </c>
      <c r="C171" s="431" t="s">
        <v>755</v>
      </c>
      <c r="D171" s="367" t="s">
        <v>1431</v>
      </c>
      <c r="E171" s="367" t="s">
        <v>1430</v>
      </c>
      <c r="F171" s="439">
        <v>43466</v>
      </c>
      <c r="G171" s="430">
        <v>13018.87</v>
      </c>
      <c r="H171" s="440"/>
      <c r="I171" s="440">
        <v>13018.87</v>
      </c>
      <c r="J171" s="440" t="s">
        <v>1376</v>
      </c>
      <c r="L171" s="462">
        <f t="shared" si="100"/>
        <v>13018.87</v>
      </c>
      <c r="M171" s="462" t="s">
        <v>1463</v>
      </c>
      <c r="N171" s="444">
        <f>13800/1.06</f>
        <v>13018.867924528302</v>
      </c>
      <c r="O171" s="462">
        <f t="shared" si="75"/>
        <v>2.0754716988449218E-3</v>
      </c>
      <c r="P171" s="447" t="s">
        <v>1527</v>
      </c>
      <c r="R171" s="462">
        <f t="shared" si="76"/>
        <v>2.0754716988449218E-3</v>
      </c>
      <c r="S171" s="447" t="s">
        <v>1579</v>
      </c>
      <c r="U171" s="462">
        <f t="shared" si="77"/>
        <v>2.0754716988449218E-3</v>
      </c>
      <c r="V171" s="447" t="s">
        <v>1627</v>
      </c>
      <c r="X171" s="462">
        <f t="shared" si="78"/>
        <v>2.0754716988449218E-3</v>
      </c>
      <c r="Y171" s="447" t="s">
        <v>1662</v>
      </c>
      <c r="AA171" s="462">
        <f t="shared" si="101"/>
        <v>2.0754716988449218E-3</v>
      </c>
      <c r="AB171" s="447" t="s">
        <v>1717</v>
      </c>
      <c r="AD171" s="462">
        <f t="shared" si="79"/>
        <v>2.0754716988449218E-3</v>
      </c>
      <c r="AE171" s="447" t="s">
        <v>1747</v>
      </c>
      <c r="AG171" s="462">
        <f t="shared" si="80"/>
        <v>2.0754716988449218E-3</v>
      </c>
      <c r="AH171" s="447" t="s">
        <v>1820</v>
      </c>
      <c r="AJ171" s="462">
        <f t="shared" si="81"/>
        <v>2.0754716988449218E-3</v>
      </c>
      <c r="AM171" s="462">
        <f t="shared" si="82"/>
        <v>2.0754716988449218E-3</v>
      </c>
      <c r="AN171" s="447" t="s">
        <v>1960</v>
      </c>
      <c r="AP171" s="462">
        <f t="shared" si="83"/>
        <v>2.0754716988449218E-3</v>
      </c>
      <c r="AQ171" s="447" t="s">
        <v>1996</v>
      </c>
      <c r="AS171" s="459">
        <f t="shared" si="84"/>
        <v>2.0754716988449218E-3</v>
      </c>
      <c r="AV171" s="462">
        <f t="shared" si="85"/>
        <v>2.0754716988449218E-3</v>
      </c>
      <c r="AY171" s="462">
        <f t="shared" si="86"/>
        <v>2.0754716988449218E-3</v>
      </c>
      <c r="BB171" s="462">
        <f t="shared" si="87"/>
        <v>2.0754716988449218E-3</v>
      </c>
      <c r="BC171" s="447" t="s">
        <v>2204</v>
      </c>
      <c r="BE171" s="462">
        <f t="shared" si="88"/>
        <v>2.0754716988449218E-3</v>
      </c>
      <c r="BH171" s="462">
        <f t="shared" si="89"/>
        <v>2.0754716988449218E-3</v>
      </c>
      <c r="BK171" s="462">
        <f t="shared" si="90"/>
        <v>2.0754716988449218E-3</v>
      </c>
      <c r="BN171" s="462">
        <f t="shared" si="91"/>
        <v>2.0754716988449218E-3</v>
      </c>
      <c r="BQ171" s="462">
        <f t="shared" si="92"/>
        <v>0</v>
      </c>
      <c r="BT171" s="462">
        <f t="shared" si="93"/>
        <v>0</v>
      </c>
      <c r="BW171" s="462">
        <f t="shared" si="94"/>
        <v>0</v>
      </c>
      <c r="BZ171" s="462">
        <f t="shared" si="95"/>
        <v>0</v>
      </c>
      <c r="CD171" s="418" t="str">
        <f t="shared" si="96"/>
        <v>CU1075001</v>
      </c>
      <c r="CE171" s="442" t="str">
        <f t="shared" si="97"/>
        <v>2019年1月</v>
      </c>
      <c r="CF171" s="418" t="str">
        <f t="shared" si="98"/>
        <v>上海盈努惠clife服务费暂估</v>
      </c>
      <c r="CG171" s="418" t="str">
        <f t="shared" si="99"/>
        <v>2019年1月上海盈努惠clife服务费暂估</v>
      </c>
    </row>
    <row r="172" spans="2:85" s="447" customFormat="1" ht="17.25" customHeight="1">
      <c r="B172" s="447" t="str">
        <f t="shared" si="71"/>
        <v>CU1152</v>
      </c>
      <c r="C172" s="431" t="s">
        <v>755</v>
      </c>
      <c r="D172" s="367" t="s">
        <v>1959</v>
      </c>
      <c r="E172" s="367" t="s">
        <v>1432</v>
      </c>
      <c r="F172" s="439">
        <v>43466</v>
      </c>
      <c r="G172" s="430">
        <v>417379.22</v>
      </c>
      <c r="H172" s="440"/>
      <c r="I172" s="440">
        <v>417379.22</v>
      </c>
      <c r="J172" s="440" t="s">
        <v>1376</v>
      </c>
      <c r="L172" s="462">
        <f t="shared" si="100"/>
        <v>417379.22</v>
      </c>
      <c r="M172" s="462" t="s">
        <v>1463</v>
      </c>
      <c r="N172" s="444"/>
      <c r="O172" s="462">
        <f t="shared" si="75"/>
        <v>417379.22</v>
      </c>
      <c r="P172" s="447" t="s">
        <v>1527</v>
      </c>
      <c r="Q172" s="444">
        <f>ROUND(200000/1.06,2)</f>
        <v>188679.25</v>
      </c>
      <c r="R172" s="462">
        <f t="shared" si="76"/>
        <v>228699.96999999997</v>
      </c>
      <c r="S172" s="447" t="s">
        <v>1579</v>
      </c>
      <c r="T172" s="444">
        <v>200000</v>
      </c>
      <c r="U172" s="462">
        <f t="shared" si="77"/>
        <v>28699.969999999972</v>
      </c>
      <c r="V172" s="447" t="s">
        <v>1627</v>
      </c>
      <c r="X172" s="462">
        <f t="shared" si="78"/>
        <v>28699.969999999972</v>
      </c>
      <c r="Y172" s="447" t="s">
        <v>1662</v>
      </c>
      <c r="AA172" s="462">
        <f t="shared" si="101"/>
        <v>28699.969999999972</v>
      </c>
      <c r="AB172" s="447" t="s">
        <v>1717</v>
      </c>
      <c r="AD172" s="462">
        <f t="shared" si="79"/>
        <v>28699.969999999972</v>
      </c>
      <c r="AE172" s="447" t="s">
        <v>1747</v>
      </c>
      <c r="AG172" s="462">
        <f t="shared" si="80"/>
        <v>28699.969999999972</v>
      </c>
      <c r="AH172" s="447" t="s">
        <v>1820</v>
      </c>
      <c r="AJ172" s="462">
        <f t="shared" si="81"/>
        <v>28699.969999999972</v>
      </c>
      <c r="AK172" s="447" t="s">
        <v>1863</v>
      </c>
      <c r="AL172" s="447">
        <v>17807</v>
      </c>
      <c r="AM172" s="462">
        <f t="shared" si="82"/>
        <v>10892.969999999972</v>
      </c>
      <c r="AN172" s="447" t="s">
        <v>1960</v>
      </c>
      <c r="AO172" s="462">
        <f>AM172</f>
        <v>10892.969999999972</v>
      </c>
      <c r="AP172" s="462">
        <f t="shared" si="83"/>
        <v>0</v>
      </c>
      <c r="AQ172" s="447" t="s">
        <v>1996</v>
      </c>
      <c r="AS172" s="459">
        <f t="shared" si="84"/>
        <v>0</v>
      </c>
      <c r="AV172" s="462">
        <f t="shared" si="85"/>
        <v>0</v>
      </c>
      <c r="AY172" s="462">
        <f t="shared" si="86"/>
        <v>0</v>
      </c>
      <c r="BB172" s="462">
        <f t="shared" si="87"/>
        <v>0</v>
      </c>
      <c r="BC172" s="447" t="s">
        <v>2204</v>
      </c>
      <c r="BE172" s="462">
        <f t="shared" si="88"/>
        <v>0</v>
      </c>
      <c r="BH172" s="462">
        <f t="shared" si="89"/>
        <v>0</v>
      </c>
      <c r="BK172" s="462">
        <f t="shared" si="90"/>
        <v>0</v>
      </c>
      <c r="BN172" s="462">
        <f t="shared" si="91"/>
        <v>0</v>
      </c>
      <c r="BQ172" s="462">
        <f t="shared" si="92"/>
        <v>0</v>
      </c>
      <c r="BT172" s="462">
        <f t="shared" si="93"/>
        <v>0</v>
      </c>
      <c r="BW172" s="462">
        <f t="shared" si="94"/>
        <v>0</v>
      </c>
      <c r="BZ172" s="462">
        <f t="shared" si="95"/>
        <v>0</v>
      </c>
      <c r="CD172" s="418" t="str">
        <f t="shared" si="96"/>
        <v>CU1152001</v>
      </c>
      <c r="CE172" s="442" t="str">
        <f t="shared" si="97"/>
        <v>2019年1月</v>
      </c>
      <c r="CF172" s="418" t="str">
        <f t="shared" si="98"/>
        <v>昆明贝泰妮clife服务费暂估</v>
      </c>
      <c r="CG172" s="418" t="str">
        <f t="shared" si="99"/>
        <v>2019年1月昆明贝泰妮clife服务费暂估</v>
      </c>
    </row>
    <row r="173" spans="2:85" s="447" customFormat="1" ht="17.25" customHeight="1">
      <c r="B173" s="447" t="str">
        <f t="shared" si="71"/>
        <v>CU1164</v>
      </c>
      <c r="C173" s="431" t="s">
        <v>755</v>
      </c>
      <c r="D173" s="367" t="s">
        <v>1434</v>
      </c>
      <c r="E173" s="367" t="s">
        <v>1433</v>
      </c>
      <c r="F173" s="439">
        <v>43466</v>
      </c>
      <c r="G173" s="430">
        <v>95500</v>
      </c>
      <c r="H173" s="440"/>
      <c r="I173" s="440">
        <v>95500</v>
      </c>
      <c r="J173" s="440" t="s">
        <v>1376</v>
      </c>
      <c r="L173" s="462">
        <f t="shared" si="100"/>
        <v>95500</v>
      </c>
      <c r="M173" s="462" t="s">
        <v>1463</v>
      </c>
      <c r="N173" s="444"/>
      <c r="O173" s="462">
        <f t="shared" si="75"/>
        <v>95500</v>
      </c>
      <c r="P173" s="447" t="s">
        <v>1527</v>
      </c>
      <c r="Q173" s="447">
        <v>95500</v>
      </c>
      <c r="R173" s="462">
        <f t="shared" si="76"/>
        <v>0</v>
      </c>
      <c r="S173" s="447" t="s">
        <v>1579</v>
      </c>
      <c r="U173" s="462">
        <f t="shared" si="77"/>
        <v>0</v>
      </c>
      <c r="V173" s="447" t="s">
        <v>1627</v>
      </c>
      <c r="X173" s="462">
        <f t="shared" si="78"/>
        <v>0</v>
      </c>
      <c r="Y173" s="447" t="s">
        <v>1662</v>
      </c>
      <c r="AA173" s="462">
        <f t="shared" si="101"/>
        <v>0</v>
      </c>
      <c r="AB173" s="447" t="s">
        <v>1717</v>
      </c>
      <c r="AD173" s="462">
        <f t="shared" si="79"/>
        <v>0</v>
      </c>
      <c r="AE173" s="447" t="s">
        <v>1747</v>
      </c>
      <c r="AG173" s="462">
        <f t="shared" si="80"/>
        <v>0</v>
      </c>
      <c r="AH173" s="447" t="s">
        <v>1820</v>
      </c>
      <c r="AJ173" s="462">
        <f t="shared" si="81"/>
        <v>0</v>
      </c>
      <c r="AM173" s="462">
        <f t="shared" si="82"/>
        <v>0</v>
      </c>
      <c r="AN173" s="447" t="s">
        <v>1960</v>
      </c>
      <c r="AP173" s="462">
        <f t="shared" si="83"/>
        <v>0</v>
      </c>
      <c r="AQ173" s="447" t="s">
        <v>1996</v>
      </c>
      <c r="AS173" s="459">
        <f t="shared" si="84"/>
        <v>0</v>
      </c>
      <c r="AV173" s="462">
        <f t="shared" si="85"/>
        <v>0</v>
      </c>
      <c r="AY173" s="462">
        <f t="shared" si="86"/>
        <v>0</v>
      </c>
      <c r="BB173" s="462">
        <f t="shared" si="87"/>
        <v>0</v>
      </c>
      <c r="BC173" s="447" t="s">
        <v>2204</v>
      </c>
      <c r="BE173" s="462">
        <f t="shared" si="88"/>
        <v>0</v>
      </c>
      <c r="BH173" s="462">
        <f t="shared" si="89"/>
        <v>0</v>
      </c>
      <c r="BK173" s="462">
        <f t="shared" si="90"/>
        <v>0</v>
      </c>
      <c r="BN173" s="462">
        <f t="shared" si="91"/>
        <v>0</v>
      </c>
      <c r="BQ173" s="462">
        <f t="shared" si="92"/>
        <v>0</v>
      </c>
      <c r="BT173" s="462">
        <f t="shared" si="93"/>
        <v>0</v>
      </c>
      <c r="BW173" s="462">
        <f t="shared" si="94"/>
        <v>0</v>
      </c>
      <c r="BZ173" s="462">
        <f t="shared" si="95"/>
        <v>0</v>
      </c>
      <c r="CD173" s="418" t="str">
        <f t="shared" si="96"/>
        <v>CU1164001</v>
      </c>
      <c r="CE173" s="442" t="str">
        <f t="shared" si="97"/>
        <v>2019年1月</v>
      </c>
      <c r="CF173" s="418" t="str">
        <f t="shared" si="98"/>
        <v>法拉利汽车clife服务费暂估</v>
      </c>
      <c r="CG173" s="418" t="str">
        <f t="shared" si="99"/>
        <v>2019年1月法拉利汽车clife服务费暂估</v>
      </c>
    </row>
    <row r="174" spans="2:85" s="447" customFormat="1" ht="17.25" customHeight="1">
      <c r="B174" s="447" t="str">
        <f t="shared" si="71"/>
        <v>CU0813</v>
      </c>
      <c r="C174" s="431" t="s">
        <v>755</v>
      </c>
      <c r="D174" s="367" t="s">
        <v>1440</v>
      </c>
      <c r="E174" s="367" t="s">
        <v>423</v>
      </c>
      <c r="F174" s="439">
        <v>43466</v>
      </c>
      <c r="G174" s="430">
        <v>70000</v>
      </c>
      <c r="H174" s="440"/>
      <c r="I174" s="440">
        <v>70000</v>
      </c>
      <c r="J174" s="440" t="s">
        <v>367</v>
      </c>
      <c r="K174" s="444">
        <f>ROUND((71900/1.06+2600/1.06-K22),2)</f>
        <v>70000</v>
      </c>
      <c r="L174" s="462">
        <f t="shared" si="100"/>
        <v>0</v>
      </c>
      <c r="M174" s="462" t="s">
        <v>1463</v>
      </c>
      <c r="N174" s="444"/>
      <c r="O174" s="462">
        <f t="shared" si="75"/>
        <v>0</v>
      </c>
      <c r="P174" s="447" t="s">
        <v>1527</v>
      </c>
      <c r="R174" s="462">
        <f t="shared" si="76"/>
        <v>0</v>
      </c>
      <c r="S174" s="447" t="s">
        <v>1579</v>
      </c>
      <c r="U174" s="462">
        <f t="shared" si="77"/>
        <v>0</v>
      </c>
      <c r="V174" s="447" t="s">
        <v>1627</v>
      </c>
      <c r="X174" s="462">
        <f t="shared" si="78"/>
        <v>0</v>
      </c>
      <c r="Y174" s="447" t="s">
        <v>1662</v>
      </c>
      <c r="AA174" s="462">
        <f t="shared" si="101"/>
        <v>0</v>
      </c>
      <c r="AB174" s="447" t="s">
        <v>1717</v>
      </c>
      <c r="AD174" s="462">
        <f t="shared" si="79"/>
        <v>0</v>
      </c>
      <c r="AE174" s="447" t="s">
        <v>1747</v>
      </c>
      <c r="AG174" s="462">
        <f t="shared" si="80"/>
        <v>0</v>
      </c>
      <c r="AH174" s="447" t="s">
        <v>1820</v>
      </c>
      <c r="AJ174" s="462">
        <f t="shared" si="81"/>
        <v>0</v>
      </c>
      <c r="AM174" s="462">
        <f t="shared" si="82"/>
        <v>0</v>
      </c>
      <c r="AN174" s="447" t="s">
        <v>1960</v>
      </c>
      <c r="AP174" s="462">
        <f t="shared" si="83"/>
        <v>0</v>
      </c>
      <c r="AQ174" s="447" t="s">
        <v>1996</v>
      </c>
      <c r="AS174" s="459">
        <f t="shared" si="84"/>
        <v>0</v>
      </c>
      <c r="AV174" s="462">
        <f t="shared" si="85"/>
        <v>0</v>
      </c>
      <c r="AY174" s="462">
        <f t="shared" si="86"/>
        <v>0</v>
      </c>
      <c r="BB174" s="462">
        <f t="shared" si="87"/>
        <v>0</v>
      </c>
      <c r="BC174" s="447" t="s">
        <v>2204</v>
      </c>
      <c r="BE174" s="462">
        <f t="shared" si="88"/>
        <v>0</v>
      </c>
      <c r="BH174" s="462">
        <f t="shared" si="89"/>
        <v>0</v>
      </c>
      <c r="BK174" s="462">
        <f t="shared" si="90"/>
        <v>0</v>
      </c>
      <c r="BN174" s="462">
        <f t="shared" si="91"/>
        <v>0</v>
      </c>
      <c r="BQ174" s="462">
        <f t="shared" si="92"/>
        <v>0</v>
      </c>
      <c r="BT174" s="462">
        <f t="shared" si="93"/>
        <v>0</v>
      </c>
      <c r="BW174" s="462">
        <f t="shared" si="94"/>
        <v>0</v>
      </c>
      <c r="BZ174" s="462">
        <f t="shared" si="95"/>
        <v>0</v>
      </c>
      <c r="CD174" s="418" t="str">
        <f t="shared" si="96"/>
        <v>CU0813001</v>
      </c>
      <c r="CE174" s="442" t="str">
        <f t="shared" si="97"/>
        <v>2019年1月</v>
      </c>
      <c r="CF174" s="418" t="str">
        <f t="shared" si="98"/>
        <v>北京陌陌信clife服务费暂估</v>
      </c>
      <c r="CG174" s="418" t="str">
        <f t="shared" si="99"/>
        <v>2019年1月北京陌陌信clife服务费暂估</v>
      </c>
    </row>
    <row r="175" spans="2:85" s="447" customFormat="1" ht="17.25" customHeight="1">
      <c r="B175" s="447" t="str">
        <f t="shared" si="71"/>
        <v>CU1172</v>
      </c>
      <c r="C175" s="431" t="s">
        <v>755</v>
      </c>
      <c r="D175" s="367" t="s">
        <v>1493</v>
      </c>
      <c r="E175" s="367" t="s">
        <v>1490</v>
      </c>
      <c r="F175" s="439">
        <v>43497</v>
      </c>
      <c r="G175" s="430">
        <v>29578.49</v>
      </c>
      <c r="H175" s="440"/>
      <c r="I175" s="440">
        <v>29578.49</v>
      </c>
      <c r="J175" s="440"/>
      <c r="K175" s="424"/>
      <c r="L175" s="462">
        <v>29578.49</v>
      </c>
      <c r="M175" s="462" t="s">
        <v>1498</v>
      </c>
      <c r="N175" s="444">
        <v>27000</v>
      </c>
      <c r="O175" s="462">
        <f t="shared" si="75"/>
        <v>2578.4900000000016</v>
      </c>
      <c r="P175" s="447" t="s">
        <v>1526</v>
      </c>
      <c r="R175" s="462">
        <f t="shared" si="76"/>
        <v>2578.4900000000016</v>
      </c>
      <c r="S175" s="447" t="s">
        <v>1578</v>
      </c>
      <c r="U175" s="462">
        <f t="shared" si="77"/>
        <v>2578.4900000000016</v>
      </c>
      <c r="V175" s="447" t="s">
        <v>1628</v>
      </c>
      <c r="X175" s="462">
        <f t="shared" si="78"/>
        <v>2578.4900000000016</v>
      </c>
      <c r="Y175" s="447" t="s">
        <v>1663</v>
      </c>
      <c r="AA175" s="462">
        <f t="shared" si="101"/>
        <v>2578.4900000000016</v>
      </c>
      <c r="AB175" s="447" t="s">
        <v>1718</v>
      </c>
      <c r="AC175" s="447">
        <f>ROUND(2733.2/1.06,2)</f>
        <v>2578.4899999999998</v>
      </c>
      <c r="AD175" s="462">
        <f t="shared" si="79"/>
        <v>0</v>
      </c>
      <c r="AE175" s="447" t="s">
        <v>1752</v>
      </c>
      <c r="AG175" s="462">
        <f t="shared" si="80"/>
        <v>0</v>
      </c>
      <c r="AH175" s="447" t="s">
        <v>1821</v>
      </c>
      <c r="AJ175" s="462">
        <f t="shared" si="81"/>
        <v>0</v>
      </c>
      <c r="AM175" s="462">
        <f t="shared" si="82"/>
        <v>0</v>
      </c>
      <c r="AN175" s="447" t="s">
        <v>1966</v>
      </c>
      <c r="AP175" s="462">
        <f t="shared" si="83"/>
        <v>0</v>
      </c>
      <c r="AQ175" s="447" t="s">
        <v>1997</v>
      </c>
      <c r="AS175" s="459">
        <f t="shared" si="84"/>
        <v>0</v>
      </c>
      <c r="AV175" s="462">
        <f t="shared" si="85"/>
        <v>0</v>
      </c>
      <c r="AY175" s="462">
        <f t="shared" si="86"/>
        <v>0</v>
      </c>
      <c r="BB175" s="462">
        <f t="shared" si="87"/>
        <v>0</v>
      </c>
      <c r="BC175" s="447" t="s">
        <v>2204</v>
      </c>
      <c r="BE175" s="462">
        <f t="shared" si="88"/>
        <v>0</v>
      </c>
      <c r="BH175" s="462">
        <f t="shared" si="89"/>
        <v>0</v>
      </c>
      <c r="BK175" s="462">
        <f t="shared" si="90"/>
        <v>0</v>
      </c>
      <c r="BN175" s="462">
        <f t="shared" si="91"/>
        <v>0</v>
      </c>
      <c r="BQ175" s="462">
        <f t="shared" si="92"/>
        <v>0</v>
      </c>
      <c r="BT175" s="462">
        <f t="shared" si="93"/>
        <v>0</v>
      </c>
      <c r="BW175" s="462">
        <f t="shared" si="94"/>
        <v>0</v>
      </c>
      <c r="BZ175" s="462">
        <f t="shared" si="95"/>
        <v>0</v>
      </c>
      <c r="CD175" s="418" t="str">
        <f t="shared" si="96"/>
        <v>CU1172001</v>
      </c>
      <c r="CE175" s="442" t="str">
        <f t="shared" si="97"/>
        <v>2019年2月</v>
      </c>
      <c r="CF175" s="418" t="str">
        <f t="shared" si="98"/>
        <v>之宝（中国clife服务费暂估</v>
      </c>
      <c r="CG175" s="418" t="str">
        <f t="shared" si="99"/>
        <v>2019年2月之宝（中国clife服务费暂估</v>
      </c>
    </row>
    <row r="176" spans="2:85" s="447" customFormat="1" ht="17.25" customHeight="1">
      <c r="B176" s="447" t="str">
        <f t="shared" si="71"/>
        <v>CU1034</v>
      </c>
      <c r="C176" s="431" t="s">
        <v>755</v>
      </c>
      <c r="D176" s="367" t="s">
        <v>1489</v>
      </c>
      <c r="E176" s="367" t="s">
        <v>1467</v>
      </c>
      <c r="F176" s="439">
        <v>43497</v>
      </c>
      <c r="G176" s="430">
        <v>93887.97</v>
      </c>
      <c r="H176" s="440"/>
      <c r="I176" s="440">
        <v>93887.97</v>
      </c>
      <c r="J176" s="440"/>
      <c r="L176" s="462">
        <v>93887.97</v>
      </c>
      <c r="M176" s="462" t="s">
        <v>1498</v>
      </c>
      <c r="N176" s="444"/>
      <c r="O176" s="462">
        <f t="shared" ref="O176:O207" si="103">L176-N176</f>
        <v>93887.97</v>
      </c>
      <c r="P176" s="447" t="s">
        <v>1526</v>
      </c>
      <c r="R176" s="462">
        <f t="shared" si="76"/>
        <v>93887.97</v>
      </c>
      <c r="S176" s="447" t="s">
        <v>1578</v>
      </c>
      <c r="U176" s="462">
        <f t="shared" si="77"/>
        <v>93887.97</v>
      </c>
      <c r="V176" s="447" t="s">
        <v>1628</v>
      </c>
      <c r="X176" s="462">
        <f t="shared" si="78"/>
        <v>93887.97</v>
      </c>
      <c r="Y176" s="447" t="s">
        <v>1663</v>
      </c>
      <c r="Z176" s="462">
        <f>ROUND(161267.65/1.06,2)-Z168</f>
        <v>93887.96</v>
      </c>
      <c r="AA176" s="462">
        <v>0</v>
      </c>
      <c r="AB176" s="447" t="s">
        <v>1718</v>
      </c>
      <c r="AD176" s="462">
        <f t="shared" si="79"/>
        <v>0</v>
      </c>
      <c r="AE176" s="447" t="s">
        <v>1752</v>
      </c>
      <c r="AG176" s="462">
        <f t="shared" si="80"/>
        <v>0</v>
      </c>
      <c r="AH176" s="447" t="s">
        <v>1821</v>
      </c>
      <c r="AJ176" s="462">
        <f t="shared" si="81"/>
        <v>0</v>
      </c>
      <c r="AM176" s="462">
        <f t="shared" si="82"/>
        <v>0</v>
      </c>
      <c r="AN176" s="447" t="s">
        <v>1966</v>
      </c>
      <c r="AP176" s="462">
        <f t="shared" si="83"/>
        <v>0</v>
      </c>
      <c r="AQ176" s="447" t="s">
        <v>1997</v>
      </c>
      <c r="AS176" s="459">
        <f t="shared" si="84"/>
        <v>0</v>
      </c>
      <c r="AV176" s="462">
        <f t="shared" si="85"/>
        <v>0</v>
      </c>
      <c r="AY176" s="462">
        <f t="shared" si="86"/>
        <v>0</v>
      </c>
      <c r="BB176" s="462">
        <f t="shared" si="87"/>
        <v>0</v>
      </c>
      <c r="BC176" s="447" t="s">
        <v>2204</v>
      </c>
      <c r="BE176" s="462">
        <f t="shared" si="88"/>
        <v>0</v>
      </c>
      <c r="BH176" s="462">
        <f t="shared" si="89"/>
        <v>0</v>
      </c>
      <c r="BK176" s="462">
        <f t="shared" si="90"/>
        <v>0</v>
      </c>
      <c r="BN176" s="462">
        <f t="shared" si="91"/>
        <v>0</v>
      </c>
      <c r="BQ176" s="462">
        <f t="shared" si="92"/>
        <v>0</v>
      </c>
      <c r="BT176" s="462">
        <f t="shared" si="93"/>
        <v>0</v>
      </c>
      <c r="BW176" s="462">
        <f t="shared" si="94"/>
        <v>0</v>
      </c>
      <c r="BZ176" s="462">
        <f t="shared" si="95"/>
        <v>0</v>
      </c>
      <c r="CD176" s="418" t="str">
        <f t="shared" si="96"/>
        <v>CU1034001</v>
      </c>
      <c r="CE176" s="442" t="str">
        <f t="shared" si="97"/>
        <v>2019年2月</v>
      </c>
      <c r="CF176" s="418" t="str">
        <f t="shared" si="98"/>
        <v>北京天信宏clife服务费暂估</v>
      </c>
      <c r="CG176" s="418" t="str">
        <f t="shared" si="99"/>
        <v>2019年2月北京天信宏clife服务费暂估</v>
      </c>
    </row>
    <row r="177" spans="2:85" s="447" customFormat="1" ht="17.25" customHeight="1">
      <c r="B177" s="447" t="str">
        <f t="shared" si="71"/>
        <v>CU1016</v>
      </c>
      <c r="C177" s="431" t="s">
        <v>755</v>
      </c>
      <c r="D177" s="367" t="s">
        <v>1492</v>
      </c>
      <c r="E177" s="367" t="s">
        <v>1491</v>
      </c>
      <c r="F177" s="439">
        <v>43497</v>
      </c>
      <c r="G177" s="430">
        <v>175703.47</v>
      </c>
      <c r="H177" s="440"/>
      <c r="I177" s="440">
        <v>175703.47</v>
      </c>
      <c r="J177" s="440"/>
      <c r="L177" s="462">
        <v>175703.47</v>
      </c>
      <c r="M177" s="462" t="s">
        <v>1498</v>
      </c>
      <c r="N177" s="444"/>
      <c r="O177" s="462">
        <f t="shared" si="103"/>
        <v>175703.47</v>
      </c>
      <c r="P177" s="447" t="s">
        <v>1526</v>
      </c>
      <c r="Q177" s="444">
        <f>100000/1.06</f>
        <v>94339.622641509428</v>
      </c>
      <c r="R177" s="462">
        <f t="shared" si="76"/>
        <v>81363.847358490573</v>
      </c>
      <c r="S177" s="447" t="s">
        <v>1578</v>
      </c>
      <c r="U177" s="462">
        <f t="shared" si="77"/>
        <v>81363.847358490573</v>
      </c>
      <c r="V177" s="447" t="s">
        <v>1628</v>
      </c>
      <c r="X177" s="462">
        <f t="shared" si="78"/>
        <v>81363.847358490573</v>
      </c>
      <c r="Y177" s="447" t="s">
        <v>1663</v>
      </c>
      <c r="Z177" s="447">
        <v>80000</v>
      </c>
      <c r="AA177" s="462">
        <f t="shared" si="101"/>
        <v>1363.8473584905732</v>
      </c>
      <c r="AB177" s="447" t="s">
        <v>1718</v>
      </c>
      <c r="AC177" s="462">
        <f>AA177</f>
        <v>1363.8473584905732</v>
      </c>
      <c r="AD177" s="462">
        <f t="shared" si="79"/>
        <v>0</v>
      </c>
      <c r="AE177" s="447" t="s">
        <v>1752</v>
      </c>
      <c r="AG177" s="462">
        <f t="shared" si="80"/>
        <v>0</v>
      </c>
      <c r="AH177" s="447" t="s">
        <v>1821</v>
      </c>
      <c r="AJ177" s="462">
        <f t="shared" si="81"/>
        <v>0</v>
      </c>
      <c r="AM177" s="462">
        <f t="shared" si="82"/>
        <v>0</v>
      </c>
      <c r="AN177" s="447" t="s">
        <v>1966</v>
      </c>
      <c r="AP177" s="462">
        <f t="shared" si="83"/>
        <v>0</v>
      </c>
      <c r="AQ177" s="447" t="s">
        <v>1997</v>
      </c>
      <c r="AS177" s="459">
        <f t="shared" si="84"/>
        <v>0</v>
      </c>
      <c r="AV177" s="462">
        <f t="shared" si="85"/>
        <v>0</v>
      </c>
      <c r="AY177" s="462">
        <f t="shared" si="86"/>
        <v>0</v>
      </c>
      <c r="BB177" s="462">
        <f t="shared" si="87"/>
        <v>0</v>
      </c>
      <c r="BC177" s="447" t="s">
        <v>2204</v>
      </c>
      <c r="BE177" s="462">
        <f t="shared" si="88"/>
        <v>0</v>
      </c>
      <c r="BH177" s="462">
        <f t="shared" si="89"/>
        <v>0</v>
      </c>
      <c r="BK177" s="462">
        <f t="shared" si="90"/>
        <v>0</v>
      </c>
      <c r="BN177" s="462">
        <f t="shared" si="91"/>
        <v>0</v>
      </c>
      <c r="BQ177" s="462">
        <f t="shared" si="92"/>
        <v>0</v>
      </c>
      <c r="BT177" s="462">
        <f t="shared" si="93"/>
        <v>0</v>
      </c>
      <c r="BW177" s="462">
        <f t="shared" si="94"/>
        <v>0</v>
      </c>
      <c r="BZ177" s="462">
        <f t="shared" si="95"/>
        <v>0</v>
      </c>
      <c r="CD177" s="418" t="str">
        <f t="shared" si="96"/>
        <v>CU1016001</v>
      </c>
      <c r="CE177" s="442" t="str">
        <f t="shared" si="97"/>
        <v>2019年2月</v>
      </c>
      <c r="CF177" s="418" t="str">
        <f t="shared" si="98"/>
        <v>乔治阿玛尼clife服务费暂估</v>
      </c>
      <c r="CG177" s="418" t="str">
        <f t="shared" si="99"/>
        <v>2019年2月乔治阿玛尼clife服务费暂估</v>
      </c>
    </row>
    <row r="178" spans="2:85" s="447" customFormat="1" ht="17.25" customHeight="1">
      <c r="B178" s="447" t="str">
        <f t="shared" si="71"/>
        <v>CU1013</v>
      </c>
      <c r="C178" s="431" t="s">
        <v>755</v>
      </c>
      <c r="D178" s="367" t="s">
        <v>1488</v>
      </c>
      <c r="E178" s="367" t="s">
        <v>1468</v>
      </c>
      <c r="F178" s="439">
        <v>43497</v>
      </c>
      <c r="G178" s="430">
        <v>48353.2</v>
      </c>
      <c r="H178" s="440"/>
      <c r="I178" s="440">
        <v>48353.2</v>
      </c>
      <c r="J178" s="440"/>
      <c r="L178" s="462">
        <v>48353.2</v>
      </c>
      <c r="M178" s="462" t="s">
        <v>1498</v>
      </c>
      <c r="N178" s="444"/>
      <c r="O178" s="462">
        <f t="shared" si="103"/>
        <v>48353.2</v>
      </c>
      <c r="P178" s="447" t="s">
        <v>1526</v>
      </c>
      <c r="R178" s="462">
        <f t="shared" si="76"/>
        <v>48353.2</v>
      </c>
      <c r="S178" s="447" t="s">
        <v>1578</v>
      </c>
      <c r="U178" s="462">
        <f t="shared" si="77"/>
        <v>48353.2</v>
      </c>
      <c r="V178" s="447" t="s">
        <v>1628</v>
      </c>
      <c r="X178" s="462">
        <f t="shared" si="78"/>
        <v>48353.2</v>
      </c>
      <c r="Y178" s="447" t="s">
        <v>1663</v>
      </c>
      <c r="AA178" s="462">
        <f t="shared" si="101"/>
        <v>48353.2</v>
      </c>
      <c r="AB178" s="447" t="s">
        <v>1718</v>
      </c>
      <c r="AC178" s="462">
        <f>AA178</f>
        <v>48353.2</v>
      </c>
      <c r="AD178" s="462">
        <f t="shared" si="79"/>
        <v>0</v>
      </c>
      <c r="AE178" s="447" t="s">
        <v>1752</v>
      </c>
      <c r="AG178" s="462">
        <f t="shared" si="80"/>
        <v>0</v>
      </c>
      <c r="AH178" s="447" t="s">
        <v>1821</v>
      </c>
      <c r="AJ178" s="462">
        <f t="shared" si="81"/>
        <v>0</v>
      </c>
      <c r="AM178" s="462">
        <f t="shared" si="82"/>
        <v>0</v>
      </c>
      <c r="AN178" s="447" t="s">
        <v>1966</v>
      </c>
      <c r="AP178" s="462">
        <f t="shared" si="83"/>
        <v>0</v>
      </c>
      <c r="AQ178" s="447" t="s">
        <v>1997</v>
      </c>
      <c r="AS178" s="459">
        <f t="shared" si="84"/>
        <v>0</v>
      </c>
      <c r="AV178" s="462">
        <f t="shared" si="85"/>
        <v>0</v>
      </c>
      <c r="AY178" s="462">
        <f t="shared" si="86"/>
        <v>0</v>
      </c>
      <c r="BB178" s="462">
        <f t="shared" si="87"/>
        <v>0</v>
      </c>
      <c r="BC178" s="447" t="s">
        <v>2204</v>
      </c>
      <c r="BE178" s="462">
        <f t="shared" si="88"/>
        <v>0</v>
      </c>
      <c r="BH178" s="462">
        <f t="shared" si="89"/>
        <v>0</v>
      </c>
      <c r="BK178" s="462">
        <f t="shared" si="90"/>
        <v>0</v>
      </c>
      <c r="BN178" s="462">
        <f t="shared" si="91"/>
        <v>0</v>
      </c>
      <c r="BQ178" s="462">
        <f t="shared" si="92"/>
        <v>0</v>
      </c>
      <c r="BT178" s="462">
        <f t="shared" si="93"/>
        <v>0</v>
      </c>
      <c r="BW178" s="462">
        <f t="shared" si="94"/>
        <v>0</v>
      </c>
      <c r="BZ178" s="462">
        <f t="shared" si="95"/>
        <v>0</v>
      </c>
      <c r="CD178" s="418" t="str">
        <f t="shared" si="96"/>
        <v>CU1013001</v>
      </c>
      <c r="CE178" s="442" t="str">
        <f t="shared" si="97"/>
        <v>2019年2月</v>
      </c>
      <c r="CF178" s="418" t="str">
        <f t="shared" si="98"/>
        <v>喜利得（中clife服务费暂估</v>
      </c>
      <c r="CG178" s="418" t="str">
        <f t="shared" si="99"/>
        <v>2019年2月喜利得（中clife服务费暂估</v>
      </c>
    </row>
    <row r="179" spans="2:85" s="447" customFormat="1" ht="17.25" customHeight="1">
      <c r="B179" s="447" t="str">
        <f t="shared" si="71"/>
        <v>CU0937</v>
      </c>
      <c r="C179" s="431" t="s">
        <v>755</v>
      </c>
      <c r="D179" s="367" t="s">
        <v>1495</v>
      </c>
      <c r="E179" s="367" t="s">
        <v>1494</v>
      </c>
      <c r="F179" s="439">
        <v>43497</v>
      </c>
      <c r="G179" s="430">
        <v>204320.68</v>
      </c>
      <c r="H179" s="440"/>
      <c r="I179" s="440">
        <v>204320.68</v>
      </c>
      <c r="J179" s="440"/>
      <c r="L179" s="462">
        <v>204320.68</v>
      </c>
      <c r="M179" s="462" t="s">
        <v>1498</v>
      </c>
      <c r="N179" s="444">
        <f>216579.92/1.06</f>
        <v>204320.67924528301</v>
      </c>
      <c r="O179" s="462">
        <f t="shared" si="103"/>
        <v>7.5471698073670268E-4</v>
      </c>
      <c r="P179" s="447" t="s">
        <v>1526</v>
      </c>
      <c r="R179" s="462">
        <f t="shared" si="76"/>
        <v>7.5471698073670268E-4</v>
      </c>
      <c r="S179" s="447" t="s">
        <v>1578</v>
      </c>
      <c r="U179" s="462">
        <f t="shared" si="77"/>
        <v>7.5471698073670268E-4</v>
      </c>
      <c r="V179" s="447" t="s">
        <v>1628</v>
      </c>
      <c r="X179" s="462">
        <f t="shared" si="78"/>
        <v>7.5471698073670268E-4</v>
      </c>
      <c r="Y179" s="447" t="s">
        <v>1663</v>
      </c>
      <c r="AA179" s="462">
        <f t="shared" si="101"/>
        <v>7.5471698073670268E-4</v>
      </c>
      <c r="AB179" s="447" t="s">
        <v>1718</v>
      </c>
      <c r="AD179" s="462">
        <f t="shared" si="79"/>
        <v>7.5471698073670268E-4</v>
      </c>
      <c r="AE179" s="447" t="s">
        <v>1752</v>
      </c>
      <c r="AG179" s="462">
        <f t="shared" si="80"/>
        <v>7.5471698073670268E-4</v>
      </c>
      <c r="AH179" s="447" t="s">
        <v>1821</v>
      </c>
      <c r="AJ179" s="462">
        <f t="shared" si="81"/>
        <v>7.5471698073670268E-4</v>
      </c>
      <c r="AM179" s="462">
        <f t="shared" si="82"/>
        <v>7.5471698073670268E-4</v>
      </c>
      <c r="AN179" s="447" t="s">
        <v>1966</v>
      </c>
      <c r="AP179" s="462">
        <f t="shared" si="83"/>
        <v>7.5471698073670268E-4</v>
      </c>
      <c r="AQ179" s="447" t="s">
        <v>1997</v>
      </c>
      <c r="AS179" s="459">
        <f t="shared" si="84"/>
        <v>7.5471698073670268E-4</v>
      </c>
      <c r="AV179" s="462">
        <f t="shared" si="85"/>
        <v>7.5471698073670268E-4</v>
      </c>
      <c r="AY179" s="462">
        <f t="shared" si="86"/>
        <v>7.5471698073670268E-4</v>
      </c>
      <c r="BB179" s="462">
        <f t="shared" si="87"/>
        <v>7.5471698073670268E-4</v>
      </c>
      <c r="BC179" s="447" t="s">
        <v>2204</v>
      </c>
      <c r="BE179" s="462">
        <f t="shared" si="88"/>
        <v>7.5471698073670268E-4</v>
      </c>
      <c r="BH179" s="462">
        <f t="shared" si="89"/>
        <v>7.5471698073670268E-4</v>
      </c>
      <c r="BK179" s="462">
        <f t="shared" si="90"/>
        <v>7.5471698073670268E-4</v>
      </c>
      <c r="BN179" s="462">
        <f t="shared" si="91"/>
        <v>7.5471698073670268E-4</v>
      </c>
      <c r="BQ179" s="462">
        <f t="shared" si="92"/>
        <v>0</v>
      </c>
      <c r="BT179" s="462">
        <f t="shared" si="93"/>
        <v>0</v>
      </c>
      <c r="BW179" s="462">
        <f t="shared" si="94"/>
        <v>0</v>
      </c>
      <c r="BZ179" s="462">
        <f t="shared" si="95"/>
        <v>0</v>
      </c>
      <c r="CD179" s="418" t="str">
        <f t="shared" si="96"/>
        <v>CU0937001</v>
      </c>
      <c r="CE179" s="442" t="str">
        <f t="shared" si="97"/>
        <v>2019年2月</v>
      </c>
      <c r="CF179" s="418" t="str">
        <f t="shared" si="98"/>
        <v>蓝图创新投clife服务费暂估</v>
      </c>
      <c r="CG179" s="418" t="str">
        <f t="shared" si="99"/>
        <v>2019年2月蓝图创新投clife服务费暂估</v>
      </c>
    </row>
    <row r="180" spans="2:85" s="447" customFormat="1" ht="17.25" customHeight="1">
      <c r="B180" s="447" t="str">
        <f t="shared" si="71"/>
        <v>CU0904</v>
      </c>
      <c r="C180" s="431" t="s">
        <v>755</v>
      </c>
      <c r="D180" s="367" t="s">
        <v>1486</v>
      </c>
      <c r="E180" s="367" t="s">
        <v>1487</v>
      </c>
      <c r="F180" s="439">
        <v>43497</v>
      </c>
      <c r="G180" s="430">
        <v>1016.22</v>
      </c>
      <c r="H180" s="440"/>
      <c r="I180" s="440">
        <v>1016.22</v>
      </c>
      <c r="J180" s="440"/>
      <c r="L180" s="462">
        <v>1016.22</v>
      </c>
      <c r="M180" s="462" t="s">
        <v>1498</v>
      </c>
      <c r="N180" s="444"/>
      <c r="O180" s="462">
        <f t="shared" si="103"/>
        <v>1016.22</v>
      </c>
      <c r="P180" s="447" t="s">
        <v>1526</v>
      </c>
      <c r="R180" s="462">
        <f t="shared" si="76"/>
        <v>1016.22</v>
      </c>
      <c r="S180" s="447" t="s">
        <v>1578</v>
      </c>
      <c r="U180" s="462">
        <f t="shared" si="77"/>
        <v>1016.22</v>
      </c>
      <c r="V180" s="447" t="s">
        <v>1628</v>
      </c>
      <c r="W180" s="462">
        <f>U180</f>
        <v>1016.22</v>
      </c>
      <c r="X180" s="462">
        <f t="shared" si="78"/>
        <v>0</v>
      </c>
      <c r="Y180" s="447" t="s">
        <v>1663</v>
      </c>
      <c r="AA180" s="462">
        <f t="shared" si="101"/>
        <v>0</v>
      </c>
      <c r="AB180" s="447" t="s">
        <v>1718</v>
      </c>
      <c r="AD180" s="462">
        <f t="shared" si="79"/>
        <v>0</v>
      </c>
      <c r="AE180" s="447" t="s">
        <v>1752</v>
      </c>
      <c r="AG180" s="462">
        <f t="shared" si="80"/>
        <v>0</v>
      </c>
      <c r="AH180" s="447" t="s">
        <v>1821</v>
      </c>
      <c r="AJ180" s="462">
        <f t="shared" si="81"/>
        <v>0</v>
      </c>
      <c r="AM180" s="462">
        <f t="shared" si="82"/>
        <v>0</v>
      </c>
      <c r="AN180" s="447" t="s">
        <v>1966</v>
      </c>
      <c r="AP180" s="462">
        <f t="shared" si="83"/>
        <v>0</v>
      </c>
      <c r="AQ180" s="447" t="s">
        <v>1997</v>
      </c>
      <c r="AS180" s="459">
        <f t="shared" si="84"/>
        <v>0</v>
      </c>
      <c r="AV180" s="462">
        <f t="shared" si="85"/>
        <v>0</v>
      </c>
      <c r="AY180" s="462">
        <f t="shared" si="86"/>
        <v>0</v>
      </c>
      <c r="BB180" s="462">
        <f t="shared" si="87"/>
        <v>0</v>
      </c>
      <c r="BC180" s="447" t="s">
        <v>2204</v>
      </c>
      <c r="BE180" s="462">
        <f t="shared" si="88"/>
        <v>0</v>
      </c>
      <c r="BH180" s="462">
        <f t="shared" si="89"/>
        <v>0</v>
      </c>
      <c r="BK180" s="462">
        <f t="shared" si="90"/>
        <v>0</v>
      </c>
      <c r="BN180" s="462">
        <f t="shared" si="91"/>
        <v>0</v>
      </c>
      <c r="BQ180" s="462">
        <f t="shared" si="92"/>
        <v>0</v>
      </c>
      <c r="BT180" s="462">
        <f t="shared" si="93"/>
        <v>0</v>
      </c>
      <c r="BW180" s="462">
        <f t="shared" si="94"/>
        <v>0</v>
      </c>
      <c r="BZ180" s="462">
        <f t="shared" si="95"/>
        <v>0</v>
      </c>
      <c r="CD180" s="418" t="str">
        <f t="shared" si="96"/>
        <v>CU0904001</v>
      </c>
      <c r="CE180" s="442" t="str">
        <f t="shared" si="97"/>
        <v>2019年2月</v>
      </c>
      <c r="CF180" s="418" t="str">
        <f t="shared" si="98"/>
        <v>紫光clife服务费暂估</v>
      </c>
      <c r="CG180" s="418" t="str">
        <f t="shared" si="99"/>
        <v>2019年2月紫光clife服务费暂估</v>
      </c>
    </row>
    <row r="181" spans="2:85" s="447" customFormat="1" ht="17.25" customHeight="1">
      <c r="B181" s="447" t="str">
        <f t="shared" si="71"/>
        <v>CU0869</v>
      </c>
      <c r="C181" s="431" t="s">
        <v>755</v>
      </c>
      <c r="D181" s="367" t="s">
        <v>1485</v>
      </c>
      <c r="E181" s="367" t="s">
        <v>1469</v>
      </c>
      <c r="F181" s="439">
        <v>43497</v>
      </c>
      <c r="G181" s="430">
        <v>67285.52</v>
      </c>
      <c r="H181" s="440"/>
      <c r="I181" s="440">
        <v>67285.52</v>
      </c>
      <c r="J181" s="440"/>
      <c r="L181" s="462">
        <v>67285.52</v>
      </c>
      <c r="M181" s="462" t="s">
        <v>1498</v>
      </c>
      <c r="N181" s="444"/>
      <c r="O181" s="462">
        <f t="shared" si="103"/>
        <v>67285.52</v>
      </c>
      <c r="P181" s="447" t="s">
        <v>1526</v>
      </c>
      <c r="R181" s="462">
        <f t="shared" si="76"/>
        <v>67285.52</v>
      </c>
      <c r="S181" s="447" t="s">
        <v>1578</v>
      </c>
      <c r="U181" s="462">
        <f t="shared" si="77"/>
        <v>67285.52</v>
      </c>
      <c r="V181" s="447" t="s">
        <v>1628</v>
      </c>
      <c r="X181" s="462">
        <f t="shared" si="78"/>
        <v>67285.52</v>
      </c>
      <c r="Y181" s="447" t="s">
        <v>1663</v>
      </c>
      <c r="Z181" s="462">
        <f>ROUND(65700/1.06,2)-15351.02-Z127-Z162</f>
        <v>29057.983018867926</v>
      </c>
      <c r="AA181" s="462">
        <f t="shared" si="101"/>
        <v>38227.536981132078</v>
      </c>
      <c r="AB181" s="447" t="s">
        <v>1718</v>
      </c>
      <c r="AC181" s="462">
        <f>AA181</f>
        <v>38227.536981132078</v>
      </c>
      <c r="AD181" s="462">
        <f t="shared" si="79"/>
        <v>0</v>
      </c>
      <c r="AE181" s="447" t="s">
        <v>1752</v>
      </c>
      <c r="AG181" s="462">
        <f t="shared" si="80"/>
        <v>0</v>
      </c>
      <c r="AH181" s="447" t="s">
        <v>1821</v>
      </c>
      <c r="AJ181" s="462">
        <f t="shared" si="81"/>
        <v>0</v>
      </c>
      <c r="AM181" s="462">
        <f t="shared" si="82"/>
        <v>0</v>
      </c>
      <c r="AN181" s="447" t="s">
        <v>1966</v>
      </c>
      <c r="AP181" s="462">
        <f t="shared" si="83"/>
        <v>0</v>
      </c>
      <c r="AQ181" s="447" t="s">
        <v>1997</v>
      </c>
      <c r="AS181" s="459">
        <f t="shared" si="84"/>
        <v>0</v>
      </c>
      <c r="AV181" s="462">
        <f t="shared" si="85"/>
        <v>0</v>
      </c>
      <c r="AY181" s="462">
        <f t="shared" si="86"/>
        <v>0</v>
      </c>
      <c r="BB181" s="462">
        <f t="shared" si="87"/>
        <v>0</v>
      </c>
      <c r="BC181" s="447" t="s">
        <v>2204</v>
      </c>
      <c r="BE181" s="462">
        <f t="shared" si="88"/>
        <v>0</v>
      </c>
      <c r="BH181" s="462">
        <f t="shared" si="89"/>
        <v>0</v>
      </c>
      <c r="BK181" s="462">
        <f t="shared" si="90"/>
        <v>0</v>
      </c>
      <c r="BN181" s="462">
        <f t="shared" si="91"/>
        <v>0</v>
      </c>
      <c r="BQ181" s="462">
        <f t="shared" si="92"/>
        <v>0</v>
      </c>
      <c r="BT181" s="462">
        <f t="shared" si="93"/>
        <v>0</v>
      </c>
      <c r="BW181" s="462">
        <f t="shared" si="94"/>
        <v>0</v>
      </c>
      <c r="BZ181" s="462">
        <f t="shared" si="95"/>
        <v>0</v>
      </c>
      <c r="CD181" s="418" t="str">
        <f t="shared" si="96"/>
        <v>CU0869001</v>
      </c>
      <c r="CE181" s="442" t="str">
        <f t="shared" si="97"/>
        <v>2019年2月</v>
      </c>
      <c r="CF181" s="418" t="str">
        <f t="shared" si="98"/>
        <v>智睿clife服务费暂估</v>
      </c>
      <c r="CG181" s="418" t="str">
        <f t="shared" si="99"/>
        <v>2019年2月智睿clife服务费暂估</v>
      </c>
    </row>
    <row r="182" spans="2:85" s="447" customFormat="1" ht="17.25" customHeight="1">
      <c r="B182" s="447" t="str">
        <f t="shared" si="71"/>
        <v>CU0848</v>
      </c>
      <c r="C182" s="431" t="s">
        <v>755</v>
      </c>
      <c r="D182" s="367" t="s">
        <v>1484</v>
      </c>
      <c r="E182" s="367" t="s">
        <v>1470</v>
      </c>
      <c r="F182" s="439">
        <v>43497</v>
      </c>
      <c r="G182" s="430">
        <v>39463.53</v>
      </c>
      <c r="H182" s="440"/>
      <c r="I182" s="440">
        <v>39463.53</v>
      </c>
      <c r="J182" s="440"/>
      <c r="L182" s="462">
        <v>39463.53</v>
      </c>
      <c r="M182" s="462" t="s">
        <v>1498</v>
      </c>
      <c r="N182" s="444"/>
      <c r="O182" s="462">
        <f t="shared" si="103"/>
        <v>39463.53</v>
      </c>
      <c r="P182" s="447" t="s">
        <v>1526</v>
      </c>
      <c r="R182" s="462">
        <f t="shared" si="76"/>
        <v>39463.53</v>
      </c>
      <c r="S182" s="447" t="s">
        <v>1578</v>
      </c>
      <c r="U182" s="462">
        <f t="shared" si="77"/>
        <v>39463.53</v>
      </c>
      <c r="V182" s="447" t="s">
        <v>1628</v>
      </c>
      <c r="X182" s="462">
        <f t="shared" si="78"/>
        <v>39463.53</v>
      </c>
      <c r="Y182" s="447" t="s">
        <v>1663</v>
      </c>
      <c r="AA182" s="462">
        <f t="shared" si="101"/>
        <v>39463.53</v>
      </c>
      <c r="AB182" s="447" t="s">
        <v>1718</v>
      </c>
      <c r="AC182" s="462">
        <f>AA182</f>
        <v>39463.53</v>
      </c>
      <c r="AD182" s="462">
        <f t="shared" si="79"/>
        <v>0</v>
      </c>
      <c r="AE182" s="447" t="s">
        <v>1752</v>
      </c>
      <c r="AG182" s="462">
        <f t="shared" si="80"/>
        <v>0</v>
      </c>
      <c r="AH182" s="447" t="s">
        <v>1821</v>
      </c>
      <c r="AJ182" s="462">
        <f t="shared" si="81"/>
        <v>0</v>
      </c>
      <c r="AM182" s="462">
        <f t="shared" si="82"/>
        <v>0</v>
      </c>
      <c r="AN182" s="447" t="s">
        <v>1966</v>
      </c>
      <c r="AP182" s="462">
        <f t="shared" si="83"/>
        <v>0</v>
      </c>
      <c r="AQ182" s="447" t="s">
        <v>1997</v>
      </c>
      <c r="AS182" s="459">
        <f t="shared" si="84"/>
        <v>0</v>
      </c>
      <c r="AV182" s="462">
        <f t="shared" si="85"/>
        <v>0</v>
      </c>
      <c r="AY182" s="462">
        <f t="shared" si="86"/>
        <v>0</v>
      </c>
      <c r="BB182" s="462">
        <f t="shared" si="87"/>
        <v>0</v>
      </c>
      <c r="BC182" s="447" t="s">
        <v>2204</v>
      </c>
      <c r="BE182" s="462">
        <f t="shared" si="88"/>
        <v>0</v>
      </c>
      <c r="BH182" s="462">
        <f t="shared" si="89"/>
        <v>0</v>
      </c>
      <c r="BK182" s="462">
        <f t="shared" si="90"/>
        <v>0</v>
      </c>
      <c r="BN182" s="462">
        <f t="shared" si="91"/>
        <v>0</v>
      </c>
      <c r="BQ182" s="462">
        <f t="shared" si="92"/>
        <v>0</v>
      </c>
      <c r="BT182" s="462">
        <f t="shared" si="93"/>
        <v>0</v>
      </c>
      <c r="BW182" s="462">
        <f t="shared" si="94"/>
        <v>0</v>
      </c>
      <c r="BZ182" s="462">
        <f t="shared" si="95"/>
        <v>0</v>
      </c>
      <c r="CD182" s="418" t="str">
        <f t="shared" si="96"/>
        <v>CU0848001</v>
      </c>
      <c r="CE182" s="442" t="str">
        <f t="shared" si="97"/>
        <v>2019年2月</v>
      </c>
      <c r="CF182" s="418" t="str">
        <f t="shared" si="98"/>
        <v>深圳欧贝特clife服务费暂估</v>
      </c>
      <c r="CG182" s="418" t="str">
        <f t="shared" si="99"/>
        <v>2019年2月深圳欧贝特clife服务费暂估</v>
      </c>
    </row>
    <row r="183" spans="2:85" s="447" customFormat="1" ht="17.25" customHeight="1">
      <c r="B183" s="447" t="str">
        <f t="shared" si="71"/>
        <v>CU0824</v>
      </c>
      <c r="C183" s="431" t="s">
        <v>755</v>
      </c>
      <c r="D183" s="367" t="s">
        <v>1483</v>
      </c>
      <c r="E183" s="367" t="s">
        <v>1292</v>
      </c>
      <c r="F183" s="439">
        <v>43497</v>
      </c>
      <c r="G183" s="430">
        <v>36571.129999999997</v>
      </c>
      <c r="H183" s="440"/>
      <c r="I183" s="440">
        <v>36571.129999999997</v>
      </c>
      <c r="J183" s="440"/>
      <c r="L183" s="462">
        <v>36571.129999999997</v>
      </c>
      <c r="M183" s="462" t="s">
        <v>1498</v>
      </c>
      <c r="N183" s="444"/>
      <c r="O183" s="462">
        <f t="shared" si="103"/>
        <v>36571.129999999997</v>
      </c>
      <c r="P183" s="447" t="s">
        <v>1526</v>
      </c>
      <c r="R183" s="462">
        <f t="shared" si="76"/>
        <v>36571.129999999997</v>
      </c>
      <c r="S183" s="447" t="s">
        <v>1578</v>
      </c>
      <c r="T183" s="462"/>
      <c r="U183" s="462">
        <f t="shared" si="77"/>
        <v>36571.129999999997</v>
      </c>
      <c r="V183" s="447" t="s">
        <v>1628</v>
      </c>
      <c r="W183" s="462">
        <f>U183</f>
        <v>36571.129999999997</v>
      </c>
      <c r="X183" s="462">
        <f t="shared" si="78"/>
        <v>0</v>
      </c>
      <c r="Y183" s="447" t="s">
        <v>1663</v>
      </c>
      <c r="AA183" s="462">
        <f t="shared" si="101"/>
        <v>0</v>
      </c>
      <c r="AB183" s="447" t="s">
        <v>1718</v>
      </c>
      <c r="AD183" s="462">
        <f t="shared" si="79"/>
        <v>0</v>
      </c>
      <c r="AE183" s="447" t="s">
        <v>1752</v>
      </c>
      <c r="AG183" s="462">
        <f t="shared" si="80"/>
        <v>0</v>
      </c>
      <c r="AH183" s="447" t="s">
        <v>1821</v>
      </c>
      <c r="AJ183" s="462">
        <f t="shared" si="81"/>
        <v>0</v>
      </c>
      <c r="AM183" s="462">
        <f t="shared" si="82"/>
        <v>0</v>
      </c>
      <c r="AN183" s="447" t="s">
        <v>1966</v>
      </c>
      <c r="AP183" s="462">
        <f t="shared" si="83"/>
        <v>0</v>
      </c>
      <c r="AQ183" s="447" t="s">
        <v>1997</v>
      </c>
      <c r="AS183" s="459">
        <f t="shared" si="84"/>
        <v>0</v>
      </c>
      <c r="AV183" s="462">
        <f t="shared" si="85"/>
        <v>0</v>
      </c>
      <c r="AY183" s="462">
        <f t="shared" si="86"/>
        <v>0</v>
      </c>
      <c r="BB183" s="462">
        <f t="shared" si="87"/>
        <v>0</v>
      </c>
      <c r="BC183" s="447" t="s">
        <v>2204</v>
      </c>
      <c r="BE183" s="462">
        <f t="shared" si="88"/>
        <v>0</v>
      </c>
      <c r="BH183" s="462">
        <f t="shared" si="89"/>
        <v>0</v>
      </c>
      <c r="BK183" s="462">
        <f t="shared" si="90"/>
        <v>0</v>
      </c>
      <c r="BN183" s="462">
        <f t="shared" si="91"/>
        <v>0</v>
      </c>
      <c r="BQ183" s="462">
        <f t="shared" si="92"/>
        <v>0</v>
      </c>
      <c r="BT183" s="462">
        <f t="shared" si="93"/>
        <v>0</v>
      </c>
      <c r="BW183" s="462">
        <f t="shared" si="94"/>
        <v>0</v>
      </c>
      <c r="BZ183" s="462">
        <f t="shared" si="95"/>
        <v>0</v>
      </c>
      <c r="CD183" s="418" t="str">
        <f t="shared" si="96"/>
        <v>CU0824001</v>
      </c>
      <c r="CE183" s="442" t="str">
        <f t="shared" si="97"/>
        <v>2019年2月</v>
      </c>
      <c r="CF183" s="418" t="str">
        <f t="shared" si="98"/>
        <v>苏州舒尔贸clife服务费暂估</v>
      </c>
      <c r="CG183" s="418" t="str">
        <f t="shared" si="99"/>
        <v>2019年2月苏州舒尔贸clife服务费暂估</v>
      </c>
    </row>
    <row r="184" spans="2:85" s="447" customFormat="1" ht="17.25" customHeight="1">
      <c r="B184" s="447" t="str">
        <f t="shared" si="71"/>
        <v>CU0823</v>
      </c>
      <c r="C184" s="431" t="s">
        <v>755</v>
      </c>
      <c r="D184" s="367" t="s">
        <v>1481</v>
      </c>
      <c r="E184" s="367" t="s">
        <v>1482</v>
      </c>
      <c r="F184" s="439">
        <v>43497</v>
      </c>
      <c r="G184" s="430">
        <v>11173.08</v>
      </c>
      <c r="H184" s="440"/>
      <c r="I184" s="440">
        <v>11173.08</v>
      </c>
      <c r="J184" s="440"/>
      <c r="L184" s="462">
        <v>11173.08</v>
      </c>
      <c r="M184" s="462" t="s">
        <v>1498</v>
      </c>
      <c r="N184" s="444"/>
      <c r="O184" s="462">
        <f t="shared" si="103"/>
        <v>11173.08</v>
      </c>
      <c r="P184" s="447" t="s">
        <v>1526</v>
      </c>
      <c r="R184" s="462">
        <f t="shared" si="76"/>
        <v>11173.08</v>
      </c>
      <c r="S184" s="447" t="s">
        <v>1578</v>
      </c>
      <c r="U184" s="462">
        <f t="shared" si="77"/>
        <v>11173.08</v>
      </c>
      <c r="V184" s="447" t="s">
        <v>1628</v>
      </c>
      <c r="X184" s="462">
        <f t="shared" si="78"/>
        <v>11173.08</v>
      </c>
      <c r="Y184" s="447" t="s">
        <v>1663</v>
      </c>
      <c r="AA184" s="462">
        <f t="shared" si="101"/>
        <v>11173.08</v>
      </c>
      <c r="AB184" s="447" t="s">
        <v>1718</v>
      </c>
      <c r="AD184" s="462">
        <f t="shared" si="79"/>
        <v>11173.08</v>
      </c>
      <c r="AE184" s="447" t="s">
        <v>1752</v>
      </c>
      <c r="AG184" s="462">
        <f t="shared" si="80"/>
        <v>11173.08</v>
      </c>
      <c r="AH184" s="447" t="s">
        <v>1821</v>
      </c>
      <c r="AI184" s="462"/>
      <c r="AJ184" s="462">
        <f t="shared" si="81"/>
        <v>11173.08</v>
      </c>
      <c r="AK184" s="447" t="s">
        <v>1864</v>
      </c>
      <c r="AL184" s="462">
        <f>AJ184</f>
        <v>11173.08</v>
      </c>
      <c r="AM184" s="462">
        <f t="shared" si="82"/>
        <v>0</v>
      </c>
      <c r="AN184" s="447" t="s">
        <v>1966</v>
      </c>
      <c r="AP184" s="462">
        <f t="shared" si="83"/>
        <v>0</v>
      </c>
      <c r="AQ184" s="447" t="s">
        <v>1997</v>
      </c>
      <c r="AS184" s="459">
        <f t="shared" si="84"/>
        <v>0</v>
      </c>
      <c r="AV184" s="462">
        <f t="shared" si="85"/>
        <v>0</v>
      </c>
      <c r="AY184" s="462">
        <f t="shared" si="86"/>
        <v>0</v>
      </c>
      <c r="BB184" s="462">
        <f t="shared" si="87"/>
        <v>0</v>
      </c>
      <c r="BC184" s="447" t="s">
        <v>2204</v>
      </c>
      <c r="BE184" s="462">
        <f t="shared" si="88"/>
        <v>0</v>
      </c>
      <c r="BH184" s="462">
        <f t="shared" si="89"/>
        <v>0</v>
      </c>
      <c r="BK184" s="462">
        <f t="shared" si="90"/>
        <v>0</v>
      </c>
      <c r="BN184" s="462">
        <f t="shared" si="91"/>
        <v>0</v>
      </c>
      <c r="BQ184" s="462">
        <f t="shared" si="92"/>
        <v>0</v>
      </c>
      <c r="BT184" s="462">
        <f t="shared" si="93"/>
        <v>0</v>
      </c>
      <c r="BW184" s="462">
        <f t="shared" si="94"/>
        <v>0</v>
      </c>
      <c r="BZ184" s="462">
        <f t="shared" si="95"/>
        <v>0</v>
      </c>
      <c r="CD184" s="418" t="str">
        <f t="shared" si="96"/>
        <v>CU0823001</v>
      </c>
      <c r="CE184" s="442" t="str">
        <f t="shared" si="97"/>
        <v>2019年2月</v>
      </c>
      <c r="CF184" s="418" t="str">
        <f t="shared" si="98"/>
        <v>凯杰clife服务费暂估</v>
      </c>
      <c r="CG184" s="418" t="str">
        <f t="shared" si="99"/>
        <v>2019年2月凯杰clife服务费暂估</v>
      </c>
    </row>
    <row r="185" spans="2:85" s="447" customFormat="1" ht="17.25" customHeight="1">
      <c r="B185" s="447" t="str">
        <f t="shared" si="71"/>
        <v>CU0822</v>
      </c>
      <c r="C185" s="431" t="s">
        <v>755</v>
      </c>
      <c r="D185" s="367" t="s">
        <v>1480</v>
      </c>
      <c r="E185" s="367" t="s">
        <v>239</v>
      </c>
      <c r="F185" s="439">
        <v>43497</v>
      </c>
      <c r="G185" s="430">
        <v>142950.94</v>
      </c>
      <c r="H185" s="440"/>
      <c r="I185" s="440">
        <v>142950.94</v>
      </c>
      <c r="J185" s="440"/>
      <c r="L185" s="462">
        <v>142950.94</v>
      </c>
      <c r="M185" s="462" t="s">
        <v>1498</v>
      </c>
      <c r="N185" s="444"/>
      <c r="O185" s="462">
        <f t="shared" si="103"/>
        <v>142950.94</v>
      </c>
      <c r="P185" s="447" t="s">
        <v>1526</v>
      </c>
      <c r="R185" s="462">
        <f t="shared" si="76"/>
        <v>142950.94</v>
      </c>
      <c r="S185" s="447" t="s">
        <v>1578</v>
      </c>
      <c r="U185" s="462">
        <f t="shared" si="77"/>
        <v>142950.94</v>
      </c>
      <c r="V185" s="447" t="s">
        <v>1628</v>
      </c>
      <c r="W185" s="462">
        <f>U185</f>
        <v>142950.94</v>
      </c>
      <c r="X185" s="462">
        <f t="shared" si="78"/>
        <v>0</v>
      </c>
      <c r="Y185" s="447" t="s">
        <v>1663</v>
      </c>
      <c r="AA185" s="462">
        <f t="shared" si="101"/>
        <v>0</v>
      </c>
      <c r="AB185" s="447" t="s">
        <v>1718</v>
      </c>
      <c r="AD185" s="462">
        <f t="shared" si="79"/>
        <v>0</v>
      </c>
      <c r="AE185" s="447" t="s">
        <v>1752</v>
      </c>
      <c r="AG185" s="462">
        <f t="shared" si="80"/>
        <v>0</v>
      </c>
      <c r="AH185" s="447" t="s">
        <v>1821</v>
      </c>
      <c r="AJ185" s="462">
        <f t="shared" si="81"/>
        <v>0</v>
      </c>
      <c r="AM185" s="462">
        <f t="shared" si="82"/>
        <v>0</v>
      </c>
      <c r="AN185" s="447" t="s">
        <v>1966</v>
      </c>
      <c r="AP185" s="462">
        <f t="shared" si="83"/>
        <v>0</v>
      </c>
      <c r="AQ185" s="447" t="s">
        <v>1997</v>
      </c>
      <c r="AS185" s="459">
        <f t="shared" si="84"/>
        <v>0</v>
      </c>
      <c r="AV185" s="462">
        <f t="shared" si="85"/>
        <v>0</v>
      </c>
      <c r="AY185" s="462">
        <f t="shared" si="86"/>
        <v>0</v>
      </c>
      <c r="BB185" s="462">
        <f t="shared" si="87"/>
        <v>0</v>
      </c>
      <c r="BC185" s="447" t="s">
        <v>2204</v>
      </c>
      <c r="BE185" s="462">
        <f t="shared" si="88"/>
        <v>0</v>
      </c>
      <c r="BH185" s="462">
        <f t="shared" si="89"/>
        <v>0</v>
      </c>
      <c r="BK185" s="462">
        <f t="shared" si="90"/>
        <v>0</v>
      </c>
      <c r="BN185" s="462">
        <f t="shared" si="91"/>
        <v>0</v>
      </c>
      <c r="BQ185" s="462">
        <f t="shared" si="92"/>
        <v>0</v>
      </c>
      <c r="BT185" s="462">
        <f t="shared" si="93"/>
        <v>0</v>
      </c>
      <c r="BW185" s="462">
        <f t="shared" si="94"/>
        <v>0</v>
      </c>
      <c r="BZ185" s="462">
        <f t="shared" si="95"/>
        <v>0</v>
      </c>
      <c r="CD185" s="418" t="str">
        <f t="shared" si="96"/>
        <v>CU0822001</v>
      </c>
      <c r="CE185" s="442" t="str">
        <f t="shared" si="97"/>
        <v>2019年2月</v>
      </c>
      <c r="CF185" s="418" t="str">
        <f t="shared" si="98"/>
        <v>美克国际家clife服务费暂估</v>
      </c>
      <c r="CG185" s="418" t="str">
        <f t="shared" si="99"/>
        <v>2019年2月美克国际家clife服务费暂估</v>
      </c>
    </row>
    <row r="186" spans="2:85" s="447" customFormat="1" ht="17.25" customHeight="1">
      <c r="B186" s="447" t="str">
        <f t="shared" si="71"/>
        <v>CU0812</v>
      </c>
      <c r="C186" s="431" t="s">
        <v>755</v>
      </c>
      <c r="D186" s="367" t="s">
        <v>1478</v>
      </c>
      <c r="E186" s="367" t="s">
        <v>1479</v>
      </c>
      <c r="F186" s="439">
        <v>43497</v>
      </c>
      <c r="G186" s="430">
        <v>5276.53</v>
      </c>
      <c r="H186" s="440"/>
      <c r="I186" s="440">
        <v>5276.53</v>
      </c>
      <c r="J186" s="440"/>
      <c r="L186" s="462">
        <v>5276.53</v>
      </c>
      <c r="M186" s="462" t="s">
        <v>1498</v>
      </c>
      <c r="N186" s="444"/>
      <c r="O186" s="462">
        <f t="shared" si="103"/>
        <v>5276.53</v>
      </c>
      <c r="P186" s="447" t="s">
        <v>1526</v>
      </c>
      <c r="R186" s="462">
        <f t="shared" si="76"/>
        <v>5276.53</v>
      </c>
      <c r="S186" s="447" t="s">
        <v>1578</v>
      </c>
      <c r="U186" s="462">
        <f t="shared" si="77"/>
        <v>5276.53</v>
      </c>
      <c r="V186" s="447" t="s">
        <v>1628</v>
      </c>
      <c r="X186" s="462">
        <f t="shared" si="78"/>
        <v>5276.53</v>
      </c>
      <c r="Y186" s="447" t="s">
        <v>1663</v>
      </c>
      <c r="AA186" s="462">
        <f t="shared" si="101"/>
        <v>5276.53</v>
      </c>
      <c r="AB186" s="447" t="s">
        <v>1718</v>
      </c>
      <c r="AC186" s="462">
        <f>AA186</f>
        <v>5276.53</v>
      </c>
      <c r="AD186" s="462">
        <f t="shared" si="79"/>
        <v>0</v>
      </c>
      <c r="AE186" s="447" t="s">
        <v>1752</v>
      </c>
      <c r="AG186" s="462">
        <f t="shared" si="80"/>
        <v>0</v>
      </c>
      <c r="AH186" s="447" t="s">
        <v>1821</v>
      </c>
      <c r="AJ186" s="462">
        <f t="shared" si="81"/>
        <v>0</v>
      </c>
      <c r="AM186" s="462">
        <f t="shared" si="82"/>
        <v>0</v>
      </c>
      <c r="AN186" s="447" t="s">
        <v>1966</v>
      </c>
      <c r="AP186" s="462">
        <f t="shared" si="83"/>
        <v>0</v>
      </c>
      <c r="AQ186" s="447" t="s">
        <v>1997</v>
      </c>
      <c r="AS186" s="459">
        <f t="shared" si="84"/>
        <v>0</v>
      </c>
      <c r="AV186" s="462">
        <f t="shared" si="85"/>
        <v>0</v>
      </c>
      <c r="AY186" s="462">
        <f t="shared" si="86"/>
        <v>0</v>
      </c>
      <c r="BB186" s="462">
        <f t="shared" si="87"/>
        <v>0</v>
      </c>
      <c r="BC186" s="447" t="s">
        <v>2204</v>
      </c>
      <c r="BE186" s="462">
        <f t="shared" si="88"/>
        <v>0</v>
      </c>
      <c r="BH186" s="462">
        <f t="shared" si="89"/>
        <v>0</v>
      </c>
      <c r="BK186" s="462">
        <f t="shared" si="90"/>
        <v>0</v>
      </c>
      <c r="BN186" s="462">
        <f t="shared" si="91"/>
        <v>0</v>
      </c>
      <c r="BQ186" s="462">
        <f t="shared" si="92"/>
        <v>0</v>
      </c>
      <c r="BT186" s="462">
        <f t="shared" si="93"/>
        <v>0</v>
      </c>
      <c r="BW186" s="462">
        <f t="shared" si="94"/>
        <v>0</v>
      </c>
      <c r="BZ186" s="462">
        <f t="shared" si="95"/>
        <v>0</v>
      </c>
      <c r="CD186" s="418" t="str">
        <f t="shared" si="96"/>
        <v>CU0812001</v>
      </c>
      <c r="CE186" s="442" t="str">
        <f t="shared" si="97"/>
        <v>2019年2月</v>
      </c>
      <c r="CF186" s="418" t="str">
        <f t="shared" si="98"/>
        <v>恩派clife服务费暂估</v>
      </c>
      <c r="CG186" s="418" t="str">
        <f t="shared" si="99"/>
        <v>2019年2月恩派clife服务费暂估</v>
      </c>
    </row>
    <row r="187" spans="2:85" s="447" customFormat="1" ht="17.25" customHeight="1">
      <c r="B187" s="447" t="str">
        <f t="shared" si="71"/>
        <v>CU0667</v>
      </c>
      <c r="C187" s="431" t="s">
        <v>755</v>
      </c>
      <c r="D187" s="367" t="s">
        <v>1477</v>
      </c>
      <c r="E187" s="367" t="s">
        <v>168</v>
      </c>
      <c r="F187" s="439">
        <v>43497</v>
      </c>
      <c r="G187" s="430">
        <v>570.65</v>
      </c>
      <c r="H187" s="440"/>
      <c r="I187" s="440">
        <v>570.65</v>
      </c>
      <c r="J187" s="440"/>
      <c r="L187" s="462">
        <v>570.65</v>
      </c>
      <c r="M187" s="462" t="s">
        <v>1498</v>
      </c>
      <c r="N187" s="444"/>
      <c r="O187" s="462">
        <f t="shared" si="103"/>
        <v>570.65</v>
      </c>
      <c r="P187" s="447" t="s">
        <v>1526</v>
      </c>
      <c r="R187" s="462">
        <f t="shared" si="76"/>
        <v>570.65</v>
      </c>
      <c r="S187" s="447" t="s">
        <v>1578</v>
      </c>
      <c r="U187" s="462">
        <f t="shared" si="77"/>
        <v>570.65</v>
      </c>
      <c r="V187" s="447" t="s">
        <v>1628</v>
      </c>
      <c r="X187" s="462">
        <f t="shared" si="78"/>
        <v>570.65</v>
      </c>
      <c r="Y187" s="447" t="s">
        <v>1663</v>
      </c>
      <c r="Z187" s="462">
        <f>ROUND(1160/1.06,2)-Z133-Z152</f>
        <v>300.02999999999997</v>
      </c>
      <c r="AA187" s="462">
        <f t="shared" si="101"/>
        <v>270.62</v>
      </c>
      <c r="AB187" s="447" t="s">
        <v>1718</v>
      </c>
      <c r="AC187" s="462">
        <f>AA187</f>
        <v>270.62</v>
      </c>
      <c r="AD187" s="462">
        <f t="shared" si="79"/>
        <v>0</v>
      </c>
      <c r="AE187" s="447" t="s">
        <v>1752</v>
      </c>
      <c r="AG187" s="462">
        <f t="shared" si="80"/>
        <v>0</v>
      </c>
      <c r="AH187" s="447" t="s">
        <v>1821</v>
      </c>
      <c r="AJ187" s="462">
        <f t="shared" si="81"/>
        <v>0</v>
      </c>
      <c r="AM187" s="462">
        <f t="shared" si="82"/>
        <v>0</v>
      </c>
      <c r="AN187" s="447" t="s">
        <v>1966</v>
      </c>
      <c r="AP187" s="462">
        <f t="shared" si="83"/>
        <v>0</v>
      </c>
      <c r="AQ187" s="447" t="s">
        <v>1997</v>
      </c>
      <c r="AS187" s="459">
        <f t="shared" si="84"/>
        <v>0</v>
      </c>
      <c r="AV187" s="462">
        <f t="shared" si="85"/>
        <v>0</v>
      </c>
      <c r="AY187" s="462">
        <f t="shared" si="86"/>
        <v>0</v>
      </c>
      <c r="BB187" s="462">
        <f t="shared" si="87"/>
        <v>0</v>
      </c>
      <c r="BC187" s="447" t="s">
        <v>2204</v>
      </c>
      <c r="BE187" s="462">
        <f t="shared" si="88"/>
        <v>0</v>
      </c>
      <c r="BH187" s="462">
        <f t="shared" si="89"/>
        <v>0</v>
      </c>
      <c r="BK187" s="462">
        <f t="shared" si="90"/>
        <v>0</v>
      </c>
      <c r="BN187" s="462">
        <f t="shared" si="91"/>
        <v>0</v>
      </c>
      <c r="BQ187" s="462">
        <f t="shared" si="92"/>
        <v>0</v>
      </c>
      <c r="BT187" s="462">
        <f t="shared" si="93"/>
        <v>0</v>
      </c>
      <c r="BW187" s="462">
        <f t="shared" si="94"/>
        <v>0</v>
      </c>
      <c r="BZ187" s="462">
        <f t="shared" si="95"/>
        <v>0</v>
      </c>
      <c r="CD187" s="418" t="str">
        <f t="shared" si="96"/>
        <v>CU0667001</v>
      </c>
      <c r="CE187" s="442" t="str">
        <f t="shared" si="97"/>
        <v>2019年2月</v>
      </c>
      <c r="CF187" s="418" t="str">
        <f t="shared" si="98"/>
        <v>北京杰迪安clife服务费暂估</v>
      </c>
      <c r="CG187" s="418" t="str">
        <f t="shared" si="99"/>
        <v>2019年2月北京杰迪安clife服务费暂估</v>
      </c>
    </row>
    <row r="188" spans="2:85" s="447" customFormat="1" ht="17.25" customHeight="1">
      <c r="B188" s="447" t="str">
        <f t="shared" si="71"/>
        <v>CU0636</v>
      </c>
      <c r="C188" s="431" t="s">
        <v>755</v>
      </c>
      <c r="D188" s="367" t="s">
        <v>1963</v>
      </c>
      <c r="E188" s="367" t="s">
        <v>1476</v>
      </c>
      <c r="F188" s="439">
        <v>43497</v>
      </c>
      <c r="G188" s="430">
        <v>12014.89</v>
      </c>
      <c r="H188" s="440"/>
      <c r="I188" s="440">
        <v>12014.89</v>
      </c>
      <c r="J188" s="440"/>
      <c r="L188" s="462">
        <v>12014.89</v>
      </c>
      <c r="M188" s="462" t="s">
        <v>1498</v>
      </c>
      <c r="N188" s="444"/>
      <c r="O188" s="462">
        <f t="shared" si="103"/>
        <v>12014.89</v>
      </c>
      <c r="P188" s="447" t="s">
        <v>1526</v>
      </c>
      <c r="R188" s="462">
        <f t="shared" si="76"/>
        <v>12014.89</v>
      </c>
      <c r="S188" s="447" t="s">
        <v>1578</v>
      </c>
      <c r="U188" s="462">
        <f t="shared" si="77"/>
        <v>12014.89</v>
      </c>
      <c r="V188" s="447" t="s">
        <v>1628</v>
      </c>
      <c r="X188" s="462">
        <f t="shared" si="78"/>
        <v>12014.89</v>
      </c>
      <c r="Y188" s="447" t="s">
        <v>1663</v>
      </c>
      <c r="AA188" s="462">
        <f t="shared" si="101"/>
        <v>12014.89</v>
      </c>
      <c r="AB188" s="447" t="s">
        <v>1718</v>
      </c>
      <c r="AD188" s="462">
        <f t="shared" si="79"/>
        <v>12014.89</v>
      </c>
      <c r="AE188" s="447" t="s">
        <v>1752</v>
      </c>
      <c r="AG188" s="444">
        <f t="shared" si="80"/>
        <v>12014.89</v>
      </c>
      <c r="AH188" s="447" t="s">
        <v>1821</v>
      </c>
      <c r="AJ188" s="462">
        <f t="shared" si="81"/>
        <v>12014.89</v>
      </c>
      <c r="AK188" s="447" t="s">
        <v>1864</v>
      </c>
      <c r="AL188" s="447">
        <v>779.95</v>
      </c>
      <c r="AM188" s="462">
        <f t="shared" si="82"/>
        <v>11234.939999999999</v>
      </c>
      <c r="AN188" s="447" t="s">
        <v>1966</v>
      </c>
      <c r="AO188" s="462">
        <f>ROUND(2368/1.06,2)-AO151</f>
        <v>2187.7300000000296</v>
      </c>
      <c r="AP188" s="462">
        <f t="shared" si="83"/>
        <v>9047.20999999997</v>
      </c>
      <c r="AQ188" s="447" t="s">
        <v>1997</v>
      </c>
      <c r="AS188" s="459">
        <f t="shared" si="84"/>
        <v>9047.20999999997</v>
      </c>
      <c r="AV188" s="462">
        <f t="shared" si="85"/>
        <v>9047.20999999997</v>
      </c>
      <c r="AW188" s="447" t="s">
        <v>2107</v>
      </c>
      <c r="AY188" s="462">
        <f t="shared" si="86"/>
        <v>9047.20999999997</v>
      </c>
      <c r="AZ188" s="447" t="s">
        <v>2131</v>
      </c>
      <c r="BB188" s="462">
        <f t="shared" si="87"/>
        <v>9047.20999999997</v>
      </c>
      <c r="BC188" s="447" t="s">
        <v>2204</v>
      </c>
      <c r="BD188" s="462">
        <f>BB188</f>
        <v>9047.20999999997</v>
      </c>
      <c r="BE188" s="462">
        <f t="shared" si="88"/>
        <v>0</v>
      </c>
      <c r="BH188" s="462">
        <f t="shared" si="89"/>
        <v>0</v>
      </c>
      <c r="BK188" s="462">
        <f t="shared" si="90"/>
        <v>0</v>
      </c>
      <c r="BN188" s="462">
        <f t="shared" si="91"/>
        <v>0</v>
      </c>
      <c r="BQ188" s="462">
        <f t="shared" si="92"/>
        <v>0</v>
      </c>
      <c r="BT188" s="462">
        <f t="shared" si="93"/>
        <v>0</v>
      </c>
      <c r="BW188" s="462">
        <f t="shared" si="94"/>
        <v>0</v>
      </c>
      <c r="BZ188" s="462">
        <f t="shared" si="95"/>
        <v>0</v>
      </c>
      <c r="CD188" s="418" t="str">
        <f t="shared" si="96"/>
        <v>CU0636001</v>
      </c>
      <c r="CE188" s="442" t="str">
        <f t="shared" si="97"/>
        <v>2019年2月</v>
      </c>
      <c r="CF188" s="418" t="str">
        <f t="shared" si="98"/>
        <v>巴丽clife服务费暂估</v>
      </c>
      <c r="CG188" s="418" t="str">
        <f t="shared" si="99"/>
        <v>2019年2月巴丽clife服务费暂估</v>
      </c>
    </row>
    <row r="189" spans="2:85" s="447" customFormat="1" ht="17.25" customHeight="1">
      <c r="B189" s="447" t="str">
        <f t="shared" si="71"/>
        <v>CU0570</v>
      </c>
      <c r="C189" s="431" t="s">
        <v>755</v>
      </c>
      <c r="D189" s="367" t="s">
        <v>1962</v>
      </c>
      <c r="E189" s="367" t="s">
        <v>1471</v>
      </c>
      <c r="F189" s="439">
        <v>43497</v>
      </c>
      <c r="G189" s="430">
        <v>132630.32</v>
      </c>
      <c r="H189" s="440"/>
      <c r="I189" s="440">
        <v>132630.32</v>
      </c>
      <c r="J189" s="440"/>
      <c r="L189" s="462">
        <v>132630.32</v>
      </c>
      <c r="M189" s="462" t="s">
        <v>1498</v>
      </c>
      <c r="N189" s="444"/>
      <c r="O189" s="462">
        <f t="shared" si="103"/>
        <v>132630.32</v>
      </c>
      <c r="P189" s="447" t="s">
        <v>1526</v>
      </c>
      <c r="R189" s="462">
        <f t="shared" si="76"/>
        <v>132630.32</v>
      </c>
      <c r="S189" s="447" t="s">
        <v>1578</v>
      </c>
      <c r="T189" s="444">
        <f>139094.52/1.06</f>
        <v>131221.24528301886</v>
      </c>
      <c r="U189" s="462">
        <f t="shared" si="77"/>
        <v>1409.0747169811511</v>
      </c>
      <c r="V189" s="447" t="s">
        <v>1628</v>
      </c>
      <c r="X189" s="462">
        <f t="shared" si="78"/>
        <v>1409.0747169811511</v>
      </c>
      <c r="Y189" s="447" t="s">
        <v>1663</v>
      </c>
      <c r="AA189" s="462">
        <f t="shared" si="101"/>
        <v>1409.0747169811511</v>
      </c>
      <c r="AB189" s="447" t="s">
        <v>1718</v>
      </c>
      <c r="AD189" s="462">
        <f>ROUND(AA189-AC189,2)</f>
        <v>1409.07</v>
      </c>
      <c r="AE189" s="447" t="s">
        <v>1752</v>
      </c>
      <c r="AG189" s="444">
        <f t="shared" si="80"/>
        <v>1409.07</v>
      </c>
      <c r="AH189" s="447" t="s">
        <v>1821</v>
      </c>
      <c r="AJ189" s="462">
        <f t="shared" si="81"/>
        <v>1409.07</v>
      </c>
      <c r="AK189" s="447" t="s">
        <v>1864</v>
      </c>
      <c r="AM189" s="462">
        <f t="shared" si="82"/>
        <v>1409.07</v>
      </c>
      <c r="AN189" s="447" t="s">
        <v>1966</v>
      </c>
      <c r="AP189" s="462">
        <f t="shared" si="83"/>
        <v>1409.07</v>
      </c>
      <c r="AQ189" s="447" t="s">
        <v>1997</v>
      </c>
      <c r="AS189" s="459">
        <f t="shared" si="84"/>
        <v>1409.07</v>
      </c>
      <c r="AV189" s="462">
        <f t="shared" si="85"/>
        <v>1409.07</v>
      </c>
      <c r="AW189" s="447" t="s">
        <v>2107</v>
      </c>
      <c r="AY189" s="462">
        <f t="shared" si="86"/>
        <v>1409.07</v>
      </c>
      <c r="AZ189" s="447" t="s">
        <v>2131</v>
      </c>
      <c r="BB189" s="462">
        <f t="shared" si="87"/>
        <v>1409.07</v>
      </c>
      <c r="BC189" s="447" t="s">
        <v>2204</v>
      </c>
      <c r="BE189" s="462">
        <f t="shared" si="88"/>
        <v>1409.07</v>
      </c>
      <c r="BF189" s="447" t="s">
        <v>2237</v>
      </c>
      <c r="BH189" s="462">
        <f t="shared" si="89"/>
        <v>1409.07</v>
      </c>
      <c r="BI189" s="447" t="s">
        <v>2292</v>
      </c>
      <c r="BK189" s="462">
        <f t="shared" si="90"/>
        <v>1409.07</v>
      </c>
      <c r="BL189" s="447" t="s">
        <v>2339</v>
      </c>
      <c r="BN189" s="462">
        <f t="shared" si="91"/>
        <v>1409.07</v>
      </c>
      <c r="BO189" s="447" t="s">
        <v>2365</v>
      </c>
      <c r="BQ189" s="462">
        <f t="shared" si="92"/>
        <v>1409.07</v>
      </c>
      <c r="BR189" s="447" t="s">
        <v>2374</v>
      </c>
      <c r="BS189" s="462">
        <f>BQ189</f>
        <v>1409.07</v>
      </c>
      <c r="BT189" s="462">
        <f t="shared" si="93"/>
        <v>0</v>
      </c>
      <c r="BW189" s="462">
        <f t="shared" si="94"/>
        <v>0</v>
      </c>
      <c r="BZ189" s="462">
        <f t="shared" si="95"/>
        <v>0</v>
      </c>
      <c r="CD189" s="418" t="str">
        <f t="shared" si="96"/>
        <v>CU0570001</v>
      </c>
      <c r="CE189" s="442" t="str">
        <f t="shared" si="97"/>
        <v>2019年2月</v>
      </c>
      <c r="CF189" s="418" t="str">
        <f t="shared" si="98"/>
        <v>华院数据技clife服务费暂估</v>
      </c>
      <c r="CG189" s="418" t="str">
        <f t="shared" si="99"/>
        <v>2019年2月华院数据技clife服务费暂估</v>
      </c>
    </row>
    <row r="190" spans="2:85" s="447" customFormat="1" ht="17.25" customHeight="1">
      <c r="B190" s="447" t="str">
        <f t="shared" si="71"/>
        <v>CU0531</v>
      </c>
      <c r="C190" s="431" t="s">
        <v>755</v>
      </c>
      <c r="D190" s="367" t="s">
        <v>1961</v>
      </c>
      <c r="E190" s="367" t="s">
        <v>1475</v>
      </c>
      <c r="F190" s="439">
        <v>43497</v>
      </c>
      <c r="G190" s="430">
        <v>19845.91</v>
      </c>
      <c r="H190" s="440"/>
      <c r="I190" s="440">
        <v>19845.91</v>
      </c>
      <c r="J190" s="440"/>
      <c r="L190" s="462">
        <v>19845.91</v>
      </c>
      <c r="M190" s="462" t="s">
        <v>1498</v>
      </c>
      <c r="N190" s="444"/>
      <c r="O190" s="462">
        <f t="shared" si="103"/>
        <v>19845.91</v>
      </c>
      <c r="P190" s="447" t="s">
        <v>1526</v>
      </c>
      <c r="R190" s="462">
        <f t="shared" si="76"/>
        <v>19845.91</v>
      </c>
      <c r="S190" s="447" t="s">
        <v>1578</v>
      </c>
      <c r="U190" s="462">
        <f t="shared" si="77"/>
        <v>19845.91</v>
      </c>
      <c r="V190" s="447" t="s">
        <v>1628</v>
      </c>
      <c r="X190" s="462">
        <f t="shared" si="78"/>
        <v>19845.91</v>
      </c>
      <c r="Y190" s="447" t="s">
        <v>1663</v>
      </c>
      <c r="AA190" s="462">
        <f t="shared" si="101"/>
        <v>19845.91</v>
      </c>
      <c r="AB190" s="447" t="s">
        <v>1718</v>
      </c>
      <c r="AD190" s="462">
        <f t="shared" si="79"/>
        <v>19845.91</v>
      </c>
      <c r="AE190" s="447" t="s">
        <v>1752</v>
      </c>
      <c r="AG190" s="444">
        <f t="shared" si="80"/>
        <v>19845.91</v>
      </c>
      <c r="AH190" s="447" t="s">
        <v>1821</v>
      </c>
      <c r="AJ190" s="462">
        <f t="shared" si="81"/>
        <v>19845.91</v>
      </c>
      <c r="AK190" s="447" t="s">
        <v>1864</v>
      </c>
      <c r="AM190" s="462">
        <f t="shared" si="82"/>
        <v>19845.91</v>
      </c>
      <c r="AN190" s="447" t="s">
        <v>1966</v>
      </c>
      <c r="AO190" s="462">
        <f>AM190</f>
        <v>19845.91</v>
      </c>
      <c r="AP190" s="462">
        <f t="shared" si="83"/>
        <v>0</v>
      </c>
      <c r="AQ190" s="447" t="s">
        <v>1997</v>
      </c>
      <c r="AS190" s="459">
        <f t="shared" si="84"/>
        <v>0</v>
      </c>
      <c r="AV190" s="462">
        <f t="shared" si="85"/>
        <v>0</v>
      </c>
      <c r="AY190" s="462">
        <f t="shared" si="86"/>
        <v>0</v>
      </c>
      <c r="BB190" s="462">
        <f t="shared" si="87"/>
        <v>0</v>
      </c>
      <c r="BC190" s="447" t="s">
        <v>2204</v>
      </c>
      <c r="BE190" s="462">
        <f t="shared" si="88"/>
        <v>0</v>
      </c>
      <c r="BH190" s="462">
        <f t="shared" si="89"/>
        <v>0</v>
      </c>
      <c r="BK190" s="462">
        <f t="shared" si="90"/>
        <v>0</v>
      </c>
      <c r="BN190" s="462">
        <f t="shared" si="91"/>
        <v>0</v>
      </c>
      <c r="BQ190" s="462">
        <f t="shared" si="92"/>
        <v>0</v>
      </c>
      <c r="BT190" s="462">
        <f t="shared" si="93"/>
        <v>0</v>
      </c>
      <c r="BW190" s="462">
        <f t="shared" si="94"/>
        <v>0</v>
      </c>
      <c r="BZ190" s="462">
        <f t="shared" si="95"/>
        <v>0</v>
      </c>
      <c r="CD190" s="418" t="str">
        <f t="shared" si="96"/>
        <v>CU0531001</v>
      </c>
      <c r="CE190" s="442" t="str">
        <f t="shared" si="97"/>
        <v>2019年2月</v>
      </c>
      <c r="CF190" s="418" t="str">
        <f t="shared" si="98"/>
        <v>恩思恩clife服务费暂估</v>
      </c>
      <c r="CG190" s="418" t="str">
        <f t="shared" si="99"/>
        <v>2019年2月恩思恩clife服务费暂估</v>
      </c>
    </row>
    <row r="191" spans="2:85" s="447" customFormat="1" ht="17.25" customHeight="1">
      <c r="B191" s="447" t="str">
        <f t="shared" si="71"/>
        <v>CU0406</v>
      </c>
      <c r="C191" s="431" t="s">
        <v>755</v>
      </c>
      <c r="D191" s="367" t="s">
        <v>1497</v>
      </c>
      <c r="E191" s="367" t="s">
        <v>1496</v>
      </c>
      <c r="F191" s="439">
        <v>43497</v>
      </c>
      <c r="G191" s="430">
        <v>457924.53</v>
      </c>
      <c r="H191" s="440"/>
      <c r="I191" s="440">
        <v>457924.53</v>
      </c>
      <c r="J191" s="440"/>
      <c r="L191" s="462">
        <v>457924.53</v>
      </c>
      <c r="M191" s="462" t="s">
        <v>1498</v>
      </c>
      <c r="N191" s="444">
        <f>255974.42+201950.11</f>
        <v>457924.53</v>
      </c>
      <c r="O191" s="462">
        <f t="shared" si="103"/>
        <v>0</v>
      </c>
      <c r="P191" s="447" t="s">
        <v>1526</v>
      </c>
      <c r="R191" s="462">
        <f t="shared" si="76"/>
        <v>0</v>
      </c>
      <c r="S191" s="447" t="s">
        <v>1578</v>
      </c>
      <c r="U191" s="462">
        <f t="shared" si="77"/>
        <v>0</v>
      </c>
      <c r="V191" s="447" t="s">
        <v>1628</v>
      </c>
      <c r="X191" s="462">
        <f t="shared" si="78"/>
        <v>0</v>
      </c>
      <c r="Y191" s="447" t="s">
        <v>1663</v>
      </c>
      <c r="AA191" s="462">
        <f t="shared" si="101"/>
        <v>0</v>
      </c>
      <c r="AB191" s="447" t="s">
        <v>1718</v>
      </c>
      <c r="AD191" s="462">
        <f t="shared" si="79"/>
        <v>0</v>
      </c>
      <c r="AE191" s="447" t="s">
        <v>1752</v>
      </c>
      <c r="AG191" s="444">
        <f t="shared" si="80"/>
        <v>0</v>
      </c>
      <c r="AH191" s="447" t="s">
        <v>1821</v>
      </c>
      <c r="AJ191" s="462">
        <f t="shared" si="81"/>
        <v>0</v>
      </c>
      <c r="AM191" s="462">
        <f t="shared" si="82"/>
        <v>0</v>
      </c>
      <c r="AN191" s="447" t="s">
        <v>1966</v>
      </c>
      <c r="AP191" s="462">
        <f t="shared" si="83"/>
        <v>0</v>
      </c>
      <c r="AQ191" s="447" t="s">
        <v>1997</v>
      </c>
      <c r="AS191" s="459">
        <f t="shared" si="84"/>
        <v>0</v>
      </c>
      <c r="AV191" s="462">
        <f t="shared" si="85"/>
        <v>0</v>
      </c>
      <c r="AY191" s="462">
        <f t="shared" si="86"/>
        <v>0</v>
      </c>
      <c r="BB191" s="462">
        <f t="shared" si="87"/>
        <v>0</v>
      </c>
      <c r="BC191" s="447" t="s">
        <v>2204</v>
      </c>
      <c r="BE191" s="462">
        <f t="shared" si="88"/>
        <v>0</v>
      </c>
      <c r="BH191" s="462">
        <f t="shared" si="89"/>
        <v>0</v>
      </c>
      <c r="BK191" s="462">
        <f t="shared" si="90"/>
        <v>0</v>
      </c>
      <c r="BN191" s="462">
        <f t="shared" si="91"/>
        <v>0</v>
      </c>
      <c r="BQ191" s="462">
        <f t="shared" si="92"/>
        <v>0</v>
      </c>
      <c r="BT191" s="462">
        <f t="shared" si="93"/>
        <v>0</v>
      </c>
      <c r="BW191" s="462">
        <f t="shared" si="94"/>
        <v>0</v>
      </c>
      <c r="BZ191" s="462">
        <f t="shared" si="95"/>
        <v>0</v>
      </c>
      <c r="CD191" s="418" t="str">
        <f t="shared" si="96"/>
        <v>CU0406001</v>
      </c>
      <c r="CE191" s="442" t="str">
        <f t="shared" si="97"/>
        <v>2019年2月</v>
      </c>
      <c r="CF191" s="418" t="str">
        <f t="shared" si="98"/>
        <v>游娱网络clife服务费暂估</v>
      </c>
      <c r="CG191" s="418" t="str">
        <f t="shared" si="99"/>
        <v>2019年2月游娱网络clife服务费暂估</v>
      </c>
    </row>
    <row r="192" spans="2:85" s="447" customFormat="1" ht="17.25" customHeight="1">
      <c r="B192" s="447" t="str">
        <f t="shared" si="71"/>
        <v>CU0182</v>
      </c>
      <c r="C192" s="431" t="s">
        <v>755</v>
      </c>
      <c r="D192" s="367" t="s">
        <v>1382</v>
      </c>
      <c r="E192" s="367" t="s">
        <v>1473</v>
      </c>
      <c r="F192" s="439">
        <v>43497</v>
      </c>
      <c r="G192" s="430">
        <v>3573.39</v>
      </c>
      <c r="H192" s="440"/>
      <c r="I192" s="440">
        <v>3573.39</v>
      </c>
      <c r="J192" s="440"/>
      <c r="L192" s="462">
        <v>3573.39</v>
      </c>
      <c r="M192" s="462" t="s">
        <v>1498</v>
      </c>
      <c r="N192" s="444"/>
      <c r="O192" s="462">
        <f t="shared" si="103"/>
        <v>3573.39</v>
      </c>
      <c r="P192" s="447" t="s">
        <v>1526</v>
      </c>
      <c r="R192" s="462">
        <f t="shared" si="76"/>
        <v>3573.39</v>
      </c>
      <c r="S192" s="447" t="s">
        <v>1578</v>
      </c>
      <c r="U192" s="462">
        <f t="shared" si="77"/>
        <v>3573.39</v>
      </c>
      <c r="V192" s="447" t="s">
        <v>1628</v>
      </c>
      <c r="X192" s="462">
        <f t="shared" si="78"/>
        <v>3573.39</v>
      </c>
      <c r="Y192" s="447" t="s">
        <v>1663</v>
      </c>
      <c r="AA192" s="462">
        <f t="shared" si="101"/>
        <v>3573.39</v>
      </c>
      <c r="AB192" s="447" t="s">
        <v>1718</v>
      </c>
      <c r="AD192" s="462">
        <f t="shared" si="79"/>
        <v>3573.39</v>
      </c>
      <c r="AE192" s="447" t="s">
        <v>1752</v>
      </c>
      <c r="AG192" s="444">
        <f t="shared" si="80"/>
        <v>3573.39</v>
      </c>
      <c r="AH192" s="447" t="s">
        <v>1821</v>
      </c>
      <c r="AJ192" s="462">
        <f t="shared" si="81"/>
        <v>3573.39</v>
      </c>
      <c r="AK192" s="447" t="s">
        <v>1864</v>
      </c>
      <c r="AM192" s="462">
        <f t="shared" si="82"/>
        <v>3573.39</v>
      </c>
      <c r="AN192" s="447" t="s">
        <v>1966</v>
      </c>
      <c r="AP192" s="462">
        <f t="shared" si="83"/>
        <v>3573.39</v>
      </c>
      <c r="AQ192" s="447" t="s">
        <v>1997</v>
      </c>
      <c r="AS192" s="459">
        <f t="shared" si="84"/>
        <v>3573.39</v>
      </c>
      <c r="AV192" s="462">
        <f t="shared" si="85"/>
        <v>3573.39</v>
      </c>
      <c r="AW192" s="447" t="s">
        <v>2107</v>
      </c>
      <c r="AY192" s="462">
        <f t="shared" si="86"/>
        <v>3573.39</v>
      </c>
      <c r="AZ192" s="447" t="s">
        <v>2131</v>
      </c>
      <c r="BB192" s="462">
        <f t="shared" si="87"/>
        <v>3573.39</v>
      </c>
      <c r="BC192" s="447" t="s">
        <v>2204</v>
      </c>
      <c r="BE192" s="462">
        <f t="shared" si="88"/>
        <v>3573.39</v>
      </c>
      <c r="BF192" s="447" t="s">
        <v>2237</v>
      </c>
      <c r="BH192" s="462">
        <f t="shared" si="89"/>
        <v>3573.39</v>
      </c>
      <c r="BI192" s="447" t="s">
        <v>2292</v>
      </c>
      <c r="BK192" s="462">
        <f t="shared" si="90"/>
        <v>3573.39</v>
      </c>
      <c r="BL192" s="447" t="s">
        <v>2339</v>
      </c>
      <c r="BN192" s="462">
        <f t="shared" si="91"/>
        <v>3573.39</v>
      </c>
      <c r="BO192" s="447" t="s">
        <v>2365</v>
      </c>
      <c r="BQ192" s="462">
        <f t="shared" si="92"/>
        <v>3573.39</v>
      </c>
      <c r="BR192" s="447" t="s">
        <v>2374</v>
      </c>
      <c r="BT192" s="462">
        <f t="shared" si="93"/>
        <v>3573.39</v>
      </c>
      <c r="BU192" s="447" t="s">
        <v>2134</v>
      </c>
      <c r="BW192" s="462">
        <f t="shared" si="94"/>
        <v>3573.39</v>
      </c>
      <c r="BZ192" s="462">
        <f t="shared" si="95"/>
        <v>3573.39</v>
      </c>
      <c r="CD192" s="418" t="str">
        <f t="shared" si="96"/>
        <v>CU0182001</v>
      </c>
      <c r="CE192" s="442" t="str">
        <f t="shared" si="97"/>
        <v>2019年2月</v>
      </c>
      <c r="CF192" s="418" t="str">
        <f t="shared" si="98"/>
        <v>阿姆斯壮clife服务费暂估</v>
      </c>
      <c r="CG192" s="418" t="str">
        <f t="shared" si="99"/>
        <v>2019年2月阿姆斯壮clife服务费暂估</v>
      </c>
    </row>
    <row r="193" spans="2:85" s="447" customFormat="1" ht="17.25" customHeight="1">
      <c r="B193" s="447" t="str">
        <f t="shared" si="71"/>
        <v>CU0145</v>
      </c>
      <c r="C193" s="431" t="s">
        <v>755</v>
      </c>
      <c r="D193" s="367" t="s">
        <v>1472</v>
      </c>
      <c r="E193" s="367" t="s">
        <v>1474</v>
      </c>
      <c r="F193" s="439">
        <v>43497</v>
      </c>
      <c r="G193" s="430">
        <v>110108.49</v>
      </c>
      <c r="H193" s="440"/>
      <c r="I193" s="440">
        <v>110108.49</v>
      </c>
      <c r="J193" s="440"/>
      <c r="L193" s="462">
        <v>110108.49</v>
      </c>
      <c r="M193" s="462" t="s">
        <v>1498</v>
      </c>
      <c r="N193" s="444"/>
      <c r="O193" s="462">
        <f t="shared" si="103"/>
        <v>110108.49</v>
      </c>
      <c r="P193" s="447" t="s">
        <v>1526</v>
      </c>
      <c r="Q193" s="444">
        <f>215200/1.06-Q139-Q108</f>
        <v>91628.687924528276</v>
      </c>
      <c r="R193" s="462">
        <f t="shared" si="76"/>
        <v>18479.802075471729</v>
      </c>
      <c r="S193" s="447" t="s">
        <v>1578</v>
      </c>
      <c r="T193" s="462">
        <f>R193</f>
        <v>18479.802075471729</v>
      </c>
      <c r="U193" s="462">
        <f t="shared" si="77"/>
        <v>0</v>
      </c>
      <c r="V193" s="447" t="s">
        <v>1628</v>
      </c>
      <c r="X193" s="462">
        <f t="shared" si="78"/>
        <v>0</v>
      </c>
      <c r="Y193" s="447" t="s">
        <v>1663</v>
      </c>
      <c r="AA193" s="462">
        <f t="shared" si="101"/>
        <v>0</v>
      </c>
      <c r="AB193" s="447" t="s">
        <v>1718</v>
      </c>
      <c r="AD193" s="462">
        <f t="shared" si="79"/>
        <v>0</v>
      </c>
      <c r="AE193" s="447" t="s">
        <v>1752</v>
      </c>
      <c r="AG193" s="444">
        <f t="shared" si="80"/>
        <v>0</v>
      </c>
      <c r="AH193" s="447" t="s">
        <v>1821</v>
      </c>
      <c r="AJ193" s="462">
        <f t="shared" si="81"/>
        <v>0</v>
      </c>
      <c r="AM193" s="462">
        <f t="shared" si="82"/>
        <v>0</v>
      </c>
      <c r="AN193" s="447" t="s">
        <v>1966</v>
      </c>
      <c r="AP193" s="462">
        <f t="shared" si="83"/>
        <v>0</v>
      </c>
      <c r="AQ193" s="447" t="s">
        <v>1997</v>
      </c>
      <c r="AS193" s="459">
        <f t="shared" si="84"/>
        <v>0</v>
      </c>
      <c r="AV193" s="462">
        <f t="shared" si="85"/>
        <v>0</v>
      </c>
      <c r="AY193" s="462">
        <f t="shared" si="86"/>
        <v>0</v>
      </c>
      <c r="BB193" s="462">
        <f t="shared" si="87"/>
        <v>0</v>
      </c>
      <c r="BC193" s="447" t="s">
        <v>2204</v>
      </c>
      <c r="BE193" s="462">
        <f t="shared" si="88"/>
        <v>0</v>
      </c>
      <c r="BH193" s="462">
        <f t="shared" si="89"/>
        <v>0</v>
      </c>
      <c r="BK193" s="462">
        <f t="shared" si="90"/>
        <v>0</v>
      </c>
      <c r="BN193" s="462">
        <f t="shared" si="91"/>
        <v>0</v>
      </c>
      <c r="BQ193" s="462">
        <f t="shared" si="92"/>
        <v>0</v>
      </c>
      <c r="BT193" s="462">
        <f t="shared" si="93"/>
        <v>0</v>
      </c>
      <c r="BW193" s="462">
        <f t="shared" si="94"/>
        <v>0</v>
      </c>
      <c r="BZ193" s="462">
        <f t="shared" si="95"/>
        <v>0</v>
      </c>
      <c r="CD193" s="418" t="str">
        <f t="shared" si="96"/>
        <v>CU0145001</v>
      </c>
      <c r="CE193" s="442" t="str">
        <f t="shared" si="97"/>
        <v>2019年2月</v>
      </c>
      <c r="CF193" s="418" t="str">
        <f t="shared" si="98"/>
        <v>锐珂clife服务费暂估</v>
      </c>
      <c r="CG193" s="418" t="str">
        <f t="shared" si="99"/>
        <v>2019年2月锐珂clife服务费暂估</v>
      </c>
    </row>
    <row r="194" spans="2:85" s="447" customFormat="1" ht="17.25" customHeight="1">
      <c r="B194" s="447" t="str">
        <f t="shared" si="71"/>
        <v>CU0963</v>
      </c>
      <c r="C194" s="431" t="s">
        <v>755</v>
      </c>
      <c r="D194" s="367" t="s">
        <v>1500</v>
      </c>
      <c r="E194" s="367" t="s">
        <v>1501</v>
      </c>
      <c r="F194" s="439">
        <v>43497</v>
      </c>
      <c r="G194" s="430">
        <v>284811.32</v>
      </c>
      <c r="H194" s="440"/>
      <c r="I194" s="440">
        <v>284811.32</v>
      </c>
      <c r="J194" s="440"/>
      <c r="L194" s="462">
        <v>284811.32</v>
      </c>
      <c r="M194" s="462" t="s">
        <v>1498</v>
      </c>
      <c r="N194" s="444">
        <f>99000/1.06+202900/1.06</f>
        <v>284811.32075471699</v>
      </c>
      <c r="O194" s="462">
        <f t="shared" si="103"/>
        <v>-7.5471698073670268E-4</v>
      </c>
      <c r="P194" s="447" t="s">
        <v>1526</v>
      </c>
      <c r="R194" s="462">
        <f t="shared" si="76"/>
        <v>-7.5471698073670268E-4</v>
      </c>
      <c r="S194" s="447" t="s">
        <v>1578</v>
      </c>
      <c r="U194" s="462">
        <f t="shared" si="77"/>
        <v>-7.5471698073670268E-4</v>
      </c>
      <c r="V194" s="447" t="s">
        <v>1628</v>
      </c>
      <c r="X194" s="462">
        <f t="shared" si="78"/>
        <v>-7.5471698073670268E-4</v>
      </c>
      <c r="Y194" s="447" t="s">
        <v>1663</v>
      </c>
      <c r="AA194" s="462">
        <f t="shared" si="101"/>
        <v>-7.5471698073670268E-4</v>
      </c>
      <c r="AB194" s="447" t="s">
        <v>1718</v>
      </c>
      <c r="AD194" s="462">
        <f>ROUND(AA194-AC194,2)</f>
        <v>0</v>
      </c>
      <c r="AE194" s="447" t="s">
        <v>1752</v>
      </c>
      <c r="AG194" s="444">
        <f t="shared" si="80"/>
        <v>0</v>
      </c>
      <c r="AH194" s="447" t="s">
        <v>1821</v>
      </c>
      <c r="AJ194" s="462">
        <f t="shared" si="81"/>
        <v>0</v>
      </c>
      <c r="AM194" s="462">
        <f t="shared" si="82"/>
        <v>0</v>
      </c>
      <c r="AN194" s="447" t="s">
        <v>1966</v>
      </c>
      <c r="AP194" s="462">
        <f t="shared" si="83"/>
        <v>0</v>
      </c>
      <c r="AQ194" s="447" t="s">
        <v>1997</v>
      </c>
      <c r="AS194" s="459">
        <f t="shared" si="84"/>
        <v>0</v>
      </c>
      <c r="AV194" s="462">
        <f t="shared" si="85"/>
        <v>0</v>
      </c>
      <c r="AY194" s="462">
        <f t="shared" si="86"/>
        <v>0</v>
      </c>
      <c r="BB194" s="462">
        <f t="shared" si="87"/>
        <v>0</v>
      </c>
      <c r="BC194" s="447" t="s">
        <v>2204</v>
      </c>
      <c r="BE194" s="462">
        <f t="shared" si="88"/>
        <v>0</v>
      </c>
      <c r="BH194" s="462">
        <f t="shared" si="89"/>
        <v>0</v>
      </c>
      <c r="BK194" s="462">
        <f t="shared" si="90"/>
        <v>0</v>
      </c>
      <c r="BN194" s="462">
        <f t="shared" si="91"/>
        <v>0</v>
      </c>
      <c r="BQ194" s="462">
        <f t="shared" si="92"/>
        <v>0</v>
      </c>
      <c r="BT194" s="462">
        <f t="shared" si="93"/>
        <v>0</v>
      </c>
      <c r="BW194" s="462">
        <f t="shared" si="94"/>
        <v>0</v>
      </c>
      <c r="BZ194" s="462">
        <f t="shared" si="95"/>
        <v>0</v>
      </c>
      <c r="CD194" s="418" t="str">
        <f t="shared" si="96"/>
        <v>CU0963001</v>
      </c>
      <c r="CE194" s="442" t="str">
        <f t="shared" si="97"/>
        <v>2019年2月</v>
      </c>
      <c r="CF194" s="418" t="str">
        <f t="shared" si="98"/>
        <v>瑞慈门诊clife服务费暂估</v>
      </c>
      <c r="CG194" s="418" t="str">
        <f t="shared" si="99"/>
        <v>2019年2月瑞慈门诊clife服务费暂估</v>
      </c>
    </row>
    <row r="195" spans="2:85" s="447" customFormat="1" ht="17.25" customHeight="1">
      <c r="B195" s="447" t="str">
        <f t="shared" ref="B195:B258" si="104">LEFT(D195,6)</f>
        <v>CU0736</v>
      </c>
      <c r="C195" s="431" t="s">
        <v>755</v>
      </c>
      <c r="D195" s="367" t="s">
        <v>1503</v>
      </c>
      <c r="E195" s="367" t="s">
        <v>1502</v>
      </c>
      <c r="F195" s="439">
        <v>43497</v>
      </c>
      <c r="G195" s="430">
        <v>184377.35849056602</v>
      </c>
      <c r="H195" s="440"/>
      <c r="I195" s="440">
        <f t="shared" ref="I195:I207" si="105">G195-H195</f>
        <v>184377.35849056602</v>
      </c>
      <c r="J195" s="440"/>
      <c r="K195" s="444"/>
      <c r="L195" s="462">
        <v>184377.35849056602</v>
      </c>
      <c r="M195" s="462" t="s">
        <v>1498</v>
      </c>
      <c r="N195" s="444">
        <f>96840/1.06+98600/1.06</f>
        <v>184377.35849056602</v>
      </c>
      <c r="O195" s="462">
        <f t="shared" si="103"/>
        <v>0</v>
      </c>
      <c r="P195" s="447" t="s">
        <v>1526</v>
      </c>
      <c r="R195" s="462">
        <f t="shared" si="76"/>
        <v>0</v>
      </c>
      <c r="S195" s="447" t="s">
        <v>1578</v>
      </c>
      <c r="U195" s="462">
        <f t="shared" si="77"/>
        <v>0</v>
      </c>
      <c r="V195" s="447" t="s">
        <v>1628</v>
      </c>
      <c r="X195" s="462">
        <f t="shared" si="78"/>
        <v>0</v>
      </c>
      <c r="Y195" s="447" t="s">
        <v>1663</v>
      </c>
      <c r="AA195" s="462">
        <f t="shared" si="101"/>
        <v>0</v>
      </c>
      <c r="AB195" s="447" t="s">
        <v>1718</v>
      </c>
      <c r="AD195" s="462">
        <f t="shared" si="79"/>
        <v>0</v>
      </c>
      <c r="AE195" s="447" t="s">
        <v>1752</v>
      </c>
      <c r="AG195" s="444">
        <f t="shared" si="80"/>
        <v>0</v>
      </c>
      <c r="AH195" s="447" t="s">
        <v>1821</v>
      </c>
      <c r="AJ195" s="462">
        <f t="shared" si="81"/>
        <v>0</v>
      </c>
      <c r="AM195" s="462">
        <f t="shared" si="82"/>
        <v>0</v>
      </c>
      <c r="AN195" s="447" t="s">
        <v>1966</v>
      </c>
      <c r="AP195" s="462">
        <f t="shared" si="83"/>
        <v>0</v>
      </c>
      <c r="AQ195" s="447" t="s">
        <v>1997</v>
      </c>
      <c r="AS195" s="459">
        <f t="shared" si="84"/>
        <v>0</v>
      </c>
      <c r="AV195" s="462">
        <f t="shared" si="85"/>
        <v>0</v>
      </c>
      <c r="AY195" s="462">
        <f t="shared" si="86"/>
        <v>0</v>
      </c>
      <c r="BB195" s="462">
        <f t="shared" si="87"/>
        <v>0</v>
      </c>
      <c r="BC195" s="447" t="s">
        <v>2204</v>
      </c>
      <c r="BE195" s="462">
        <f t="shared" si="88"/>
        <v>0</v>
      </c>
      <c r="BH195" s="462">
        <f t="shared" si="89"/>
        <v>0</v>
      </c>
      <c r="BK195" s="462">
        <f t="shared" si="90"/>
        <v>0</v>
      </c>
      <c r="BN195" s="462">
        <f t="shared" si="91"/>
        <v>0</v>
      </c>
      <c r="BQ195" s="462">
        <f t="shared" si="92"/>
        <v>0</v>
      </c>
      <c r="BT195" s="462">
        <f t="shared" si="93"/>
        <v>0</v>
      </c>
      <c r="BW195" s="462">
        <f t="shared" si="94"/>
        <v>0</v>
      </c>
      <c r="BZ195" s="462">
        <f t="shared" si="95"/>
        <v>0</v>
      </c>
      <c r="CD195" s="418" t="str">
        <f t="shared" si="96"/>
        <v>CU0736001</v>
      </c>
      <c r="CE195" s="442" t="str">
        <f t="shared" si="97"/>
        <v>2019年2月</v>
      </c>
      <c r="CF195" s="418" t="str">
        <f t="shared" si="98"/>
        <v>上海利宣广clife服务费暂估</v>
      </c>
      <c r="CG195" s="418" t="str">
        <f t="shared" si="99"/>
        <v>2019年2月上海利宣广clife服务费暂估</v>
      </c>
    </row>
    <row r="196" spans="2:85" s="447" customFormat="1" ht="17.25" customHeight="1">
      <c r="B196" s="447" t="str">
        <f t="shared" si="104"/>
        <v>CU0448</v>
      </c>
      <c r="C196" s="431" t="s">
        <v>755</v>
      </c>
      <c r="D196" s="367" t="s">
        <v>1505</v>
      </c>
      <c r="E196" s="367" t="s">
        <v>1504</v>
      </c>
      <c r="F196" s="439">
        <v>43497</v>
      </c>
      <c r="G196" s="443">
        <v>1200301.95</v>
      </c>
      <c r="H196" s="440"/>
      <c r="I196" s="440">
        <v>1200301.95</v>
      </c>
      <c r="J196" s="440"/>
      <c r="L196" s="462">
        <v>1200301.95</v>
      </c>
      <c r="M196" s="462" t="s">
        <v>1498</v>
      </c>
      <c r="N196" s="444">
        <f>(1331000-216579.92)/1.06+148962.25</f>
        <v>1200301.9481132075</v>
      </c>
      <c r="O196" s="462">
        <f t="shared" si="103"/>
        <v>1.8867924809455872E-3</v>
      </c>
      <c r="P196" s="447" t="s">
        <v>1526</v>
      </c>
      <c r="R196" s="462">
        <f t="shared" ref="R196:R208" si="106">O196-Q196</f>
        <v>1.8867924809455872E-3</v>
      </c>
      <c r="S196" s="447" t="s">
        <v>1578</v>
      </c>
      <c r="U196" s="462">
        <f t="shared" ref="U196:U226" si="107">R196-T196</f>
        <v>1.8867924809455872E-3</v>
      </c>
      <c r="V196" s="447" t="s">
        <v>1628</v>
      </c>
      <c r="X196" s="462">
        <f t="shared" ref="X196:X251" si="108">U196-W196</f>
        <v>1.8867924809455872E-3</v>
      </c>
      <c r="Y196" s="447" t="s">
        <v>1663</v>
      </c>
      <c r="AA196" s="462">
        <f t="shared" si="101"/>
        <v>1.8867924809455872E-3</v>
      </c>
      <c r="AB196" s="447" t="s">
        <v>1718</v>
      </c>
      <c r="AD196" s="462">
        <f t="shared" ref="AD196:AD259" si="109">AA196-AC196</f>
        <v>1.8867924809455872E-3</v>
      </c>
      <c r="AE196" s="447" t="s">
        <v>1752</v>
      </c>
      <c r="AG196" s="444">
        <f t="shared" ref="AG196:AG259" si="110">AD196-AF196</f>
        <v>1.8867924809455872E-3</v>
      </c>
      <c r="AH196" s="447" t="s">
        <v>1821</v>
      </c>
      <c r="AJ196" s="462">
        <f t="shared" ref="AJ196:AJ259" si="111">AG196-AI196</f>
        <v>1.8867924809455872E-3</v>
      </c>
      <c r="AM196" s="462">
        <f t="shared" ref="AM196:AM259" si="112">AJ196-AL196</f>
        <v>1.8867924809455872E-3</v>
      </c>
      <c r="AN196" s="447" t="s">
        <v>1966</v>
      </c>
      <c r="AP196" s="462">
        <f t="shared" ref="AP196:AP259" si="113">AM196-AO196</f>
        <v>1.8867924809455872E-3</v>
      </c>
      <c r="AQ196" s="447" t="s">
        <v>1997</v>
      </c>
      <c r="AS196" s="459">
        <f t="shared" ref="AS196:AS259" si="114">AP196-AR196</f>
        <v>1.8867924809455872E-3</v>
      </c>
      <c r="AV196" s="462">
        <f t="shared" ref="AV196:AV259" si="115">AS196-AU196</f>
        <v>1.8867924809455872E-3</v>
      </c>
      <c r="AY196" s="462">
        <f t="shared" ref="AY196:AY259" si="116">AV196-AX196</f>
        <v>1.8867924809455872E-3</v>
      </c>
      <c r="BB196" s="462">
        <f t="shared" ref="BB196:BB259" si="117">AY196-BA196</f>
        <v>1.8867924809455872E-3</v>
      </c>
      <c r="BC196" s="447" t="s">
        <v>2204</v>
      </c>
      <c r="BE196" s="462">
        <f t="shared" ref="BE196:BE259" si="118">BB196-BD196</f>
        <v>1.8867924809455872E-3</v>
      </c>
      <c r="BH196" s="462">
        <f t="shared" ref="BH196:BH259" si="119">BE196-BG196</f>
        <v>1.8867924809455872E-3</v>
      </c>
      <c r="BK196" s="462">
        <f t="shared" ref="BK196:BK259" si="120">BH196-BJ196</f>
        <v>1.8867924809455872E-3</v>
      </c>
      <c r="BN196" s="462">
        <f t="shared" ref="BN196:BN259" si="121">BK196-BM196</f>
        <v>1.8867924809455872E-3</v>
      </c>
      <c r="BQ196" s="462">
        <f t="shared" ref="BQ196:BQ259" si="122">ROUND((BN196-BP196),2)</f>
        <v>0</v>
      </c>
      <c r="BT196" s="462">
        <f t="shared" ref="BT196:BT259" si="123">ROUND((BQ196-BS196),2)</f>
        <v>0</v>
      </c>
      <c r="BW196" s="462">
        <f t="shared" ref="BW196:BW259" si="124">ROUND((BT196-BV196),2)</f>
        <v>0</v>
      </c>
      <c r="BZ196" s="462">
        <f t="shared" ref="BZ196:BZ259" si="125">ROUND((BW196-BY196),2)</f>
        <v>0</v>
      </c>
      <c r="CD196" s="418" t="str">
        <f t="shared" ref="CD196:CD259" si="126">B196&amp;$B$1</f>
        <v>CU0448001</v>
      </c>
      <c r="CE196" s="442" t="str">
        <f t="shared" ref="CE196:CE259" si="127">YEAR(F196)&amp;"年"&amp;MONTH(F196)&amp;"月"</f>
        <v>2019年2月</v>
      </c>
      <c r="CF196" s="418" t="str">
        <f t="shared" ref="CF196:CF259" si="128">LEFT(E196,5)&amp;$E$1</f>
        <v>蓝色光标clife服务费暂估</v>
      </c>
      <c r="CG196" s="418" t="str">
        <f t="shared" ref="CG196:CG259" si="129">CE196&amp;CF196</f>
        <v>2019年2月蓝色光标clife服务费暂估</v>
      </c>
    </row>
    <row r="197" spans="2:85" s="447" customFormat="1" ht="17.25" customHeight="1">
      <c r="B197" s="447" t="str">
        <f t="shared" si="104"/>
        <v>CU0847</v>
      </c>
      <c r="C197" s="431" t="s">
        <v>755</v>
      </c>
      <c r="D197" s="367" t="s">
        <v>1507</v>
      </c>
      <c r="E197" s="367" t="s">
        <v>1506</v>
      </c>
      <c r="F197" s="439">
        <v>43497</v>
      </c>
      <c r="G197" s="443">
        <v>740377.36</v>
      </c>
      <c r="H197" s="440"/>
      <c r="I197" s="440">
        <v>740377.36</v>
      </c>
      <c r="J197" s="440"/>
      <c r="L197" s="462">
        <v>740377.36</v>
      </c>
      <c r="M197" s="462" t="s">
        <v>1498</v>
      </c>
      <c r="N197" s="444">
        <f>784800/1.06</f>
        <v>740377.35849056602</v>
      </c>
      <c r="O197" s="462">
        <f t="shared" si="103"/>
        <v>1.5094339614734054E-3</v>
      </c>
      <c r="P197" s="447" t="s">
        <v>1526</v>
      </c>
      <c r="R197" s="462">
        <f t="shared" si="106"/>
        <v>1.5094339614734054E-3</v>
      </c>
      <c r="S197" s="447" t="s">
        <v>1578</v>
      </c>
      <c r="U197" s="462">
        <f t="shared" si="107"/>
        <v>1.5094339614734054E-3</v>
      </c>
      <c r="V197" s="447" t="s">
        <v>1628</v>
      </c>
      <c r="X197" s="462">
        <f t="shared" si="108"/>
        <v>1.5094339614734054E-3</v>
      </c>
      <c r="Y197" s="447" t="s">
        <v>1663</v>
      </c>
      <c r="AA197" s="462">
        <f t="shared" si="101"/>
        <v>1.5094339614734054E-3</v>
      </c>
      <c r="AB197" s="447" t="s">
        <v>1718</v>
      </c>
      <c r="AD197" s="462">
        <f t="shared" si="109"/>
        <v>1.5094339614734054E-3</v>
      </c>
      <c r="AE197" s="447" t="s">
        <v>1752</v>
      </c>
      <c r="AG197" s="444">
        <f t="shared" si="110"/>
        <v>1.5094339614734054E-3</v>
      </c>
      <c r="AH197" s="447" t="s">
        <v>1821</v>
      </c>
      <c r="AJ197" s="462">
        <f t="shared" si="111"/>
        <v>1.5094339614734054E-3</v>
      </c>
      <c r="AM197" s="462">
        <f t="shared" si="112"/>
        <v>1.5094339614734054E-3</v>
      </c>
      <c r="AN197" s="447" t="s">
        <v>1966</v>
      </c>
      <c r="AP197" s="462">
        <f t="shared" si="113"/>
        <v>1.5094339614734054E-3</v>
      </c>
      <c r="AQ197" s="447" t="s">
        <v>1997</v>
      </c>
      <c r="AS197" s="459">
        <f t="shared" si="114"/>
        <v>1.5094339614734054E-3</v>
      </c>
      <c r="AV197" s="462">
        <f t="shared" si="115"/>
        <v>1.5094339614734054E-3</v>
      </c>
      <c r="AY197" s="462">
        <f t="shared" si="116"/>
        <v>1.5094339614734054E-3</v>
      </c>
      <c r="BB197" s="462">
        <f t="shared" si="117"/>
        <v>1.5094339614734054E-3</v>
      </c>
      <c r="BC197" s="447" t="s">
        <v>2204</v>
      </c>
      <c r="BE197" s="462">
        <f t="shared" si="118"/>
        <v>1.5094339614734054E-3</v>
      </c>
      <c r="BH197" s="462">
        <f t="shared" si="119"/>
        <v>1.5094339614734054E-3</v>
      </c>
      <c r="BK197" s="462">
        <f t="shared" si="120"/>
        <v>1.5094339614734054E-3</v>
      </c>
      <c r="BN197" s="462">
        <f t="shared" si="121"/>
        <v>1.5094339614734054E-3</v>
      </c>
      <c r="BQ197" s="462">
        <f t="shared" si="122"/>
        <v>0</v>
      </c>
      <c r="BT197" s="462">
        <f t="shared" si="123"/>
        <v>0</v>
      </c>
      <c r="BW197" s="462">
        <f t="shared" si="124"/>
        <v>0</v>
      </c>
      <c r="BZ197" s="462">
        <f t="shared" si="125"/>
        <v>0</v>
      </c>
      <c r="CD197" s="418" t="str">
        <f t="shared" si="126"/>
        <v>CU0847001</v>
      </c>
      <c r="CE197" s="442" t="str">
        <f t="shared" si="127"/>
        <v>2019年2月</v>
      </c>
      <c r="CF197" s="418" t="str">
        <f t="shared" si="128"/>
        <v>大健康clife服务费暂估</v>
      </c>
      <c r="CG197" s="418" t="str">
        <f t="shared" si="129"/>
        <v>2019年2月大健康clife服务费暂估</v>
      </c>
    </row>
    <row r="198" spans="2:85" s="447" customFormat="1" ht="17.25" customHeight="1">
      <c r="B198" s="447" t="str">
        <f t="shared" si="104"/>
        <v>CU1054</v>
      </c>
      <c r="C198" s="431" t="s">
        <v>755</v>
      </c>
      <c r="D198" s="367" t="s">
        <v>1509</v>
      </c>
      <c r="E198" s="367" t="s">
        <v>1508</v>
      </c>
      <c r="F198" s="439">
        <v>43497</v>
      </c>
      <c r="G198" s="443">
        <v>22381.98</v>
      </c>
      <c r="H198" s="440"/>
      <c r="I198" s="440">
        <f t="shared" si="105"/>
        <v>22381.98</v>
      </c>
      <c r="J198" s="440"/>
      <c r="L198" s="462">
        <f t="shared" ref="L198:L207" si="130">I198-K198</f>
        <v>22381.98</v>
      </c>
      <c r="M198" s="462" t="s">
        <v>1498</v>
      </c>
      <c r="N198" s="444"/>
      <c r="O198" s="462">
        <f t="shared" si="103"/>
        <v>22381.98</v>
      </c>
      <c r="P198" s="447" t="s">
        <v>1526</v>
      </c>
      <c r="Q198" s="447">
        <v>22381.98</v>
      </c>
      <c r="R198" s="462">
        <f t="shared" si="106"/>
        <v>0</v>
      </c>
      <c r="S198" s="447" t="s">
        <v>1578</v>
      </c>
      <c r="U198" s="462">
        <f t="shared" si="107"/>
        <v>0</v>
      </c>
      <c r="V198" s="447" t="s">
        <v>1628</v>
      </c>
      <c r="X198" s="462">
        <f t="shared" si="108"/>
        <v>0</v>
      </c>
      <c r="Y198" s="447" t="s">
        <v>1663</v>
      </c>
      <c r="AA198" s="462">
        <f t="shared" si="101"/>
        <v>0</v>
      </c>
      <c r="AB198" s="447" t="s">
        <v>1718</v>
      </c>
      <c r="AD198" s="462">
        <f t="shared" si="109"/>
        <v>0</v>
      </c>
      <c r="AE198" s="447" t="s">
        <v>1752</v>
      </c>
      <c r="AG198" s="444">
        <f t="shared" si="110"/>
        <v>0</v>
      </c>
      <c r="AH198" s="447" t="s">
        <v>1821</v>
      </c>
      <c r="AJ198" s="462">
        <f t="shared" si="111"/>
        <v>0</v>
      </c>
      <c r="AM198" s="462">
        <f t="shared" si="112"/>
        <v>0</v>
      </c>
      <c r="AN198" s="447" t="s">
        <v>1966</v>
      </c>
      <c r="AP198" s="462">
        <f t="shared" si="113"/>
        <v>0</v>
      </c>
      <c r="AQ198" s="447" t="s">
        <v>1997</v>
      </c>
      <c r="AS198" s="459">
        <f t="shared" si="114"/>
        <v>0</v>
      </c>
      <c r="AV198" s="462">
        <f t="shared" si="115"/>
        <v>0</v>
      </c>
      <c r="AY198" s="462">
        <f t="shared" si="116"/>
        <v>0</v>
      </c>
      <c r="BB198" s="462">
        <f t="shared" si="117"/>
        <v>0</v>
      </c>
      <c r="BC198" s="447" t="s">
        <v>2204</v>
      </c>
      <c r="BE198" s="462">
        <f t="shared" si="118"/>
        <v>0</v>
      </c>
      <c r="BH198" s="462">
        <f t="shared" si="119"/>
        <v>0</v>
      </c>
      <c r="BK198" s="462">
        <f t="shared" si="120"/>
        <v>0</v>
      </c>
      <c r="BN198" s="462">
        <f t="shared" si="121"/>
        <v>0</v>
      </c>
      <c r="BQ198" s="462">
        <f t="shared" si="122"/>
        <v>0</v>
      </c>
      <c r="BT198" s="462">
        <f t="shared" si="123"/>
        <v>0</v>
      </c>
      <c r="BW198" s="462">
        <f t="shared" si="124"/>
        <v>0</v>
      </c>
      <c r="BZ198" s="462">
        <f t="shared" si="125"/>
        <v>0</v>
      </c>
      <c r="CD198" s="418" t="str">
        <f t="shared" si="126"/>
        <v>CU1054001</v>
      </c>
      <c r="CE198" s="442" t="str">
        <f t="shared" si="127"/>
        <v>2019年2月</v>
      </c>
      <c r="CF198" s="418" t="str">
        <f t="shared" si="128"/>
        <v>北京金未来clife服务费暂估</v>
      </c>
      <c r="CG198" s="418" t="str">
        <f t="shared" si="129"/>
        <v>2019年2月北京金未来clife服务费暂估</v>
      </c>
    </row>
    <row r="199" spans="2:85" s="447" customFormat="1" ht="17.25" customHeight="1">
      <c r="B199" s="447" t="str">
        <f t="shared" si="104"/>
        <v>CU1067</v>
      </c>
      <c r="C199" s="431" t="s">
        <v>755</v>
      </c>
      <c r="D199" s="367" t="s">
        <v>1964</v>
      </c>
      <c r="E199" s="367" t="s">
        <v>1293</v>
      </c>
      <c r="F199" s="439">
        <v>43497</v>
      </c>
      <c r="G199" s="443">
        <v>70733.83</v>
      </c>
      <c r="H199" s="440"/>
      <c r="I199" s="440">
        <f t="shared" si="105"/>
        <v>70733.83</v>
      </c>
      <c r="J199" s="440"/>
      <c r="L199" s="462">
        <f t="shared" si="130"/>
        <v>70733.83</v>
      </c>
      <c r="M199" s="462" t="s">
        <v>1498</v>
      </c>
      <c r="N199" s="444">
        <f>65700/1.06</f>
        <v>61981.132075471694</v>
      </c>
      <c r="O199" s="462">
        <f t="shared" si="103"/>
        <v>8752.6979245283073</v>
      </c>
      <c r="P199" s="447" t="s">
        <v>1526</v>
      </c>
      <c r="R199" s="462">
        <f t="shared" si="106"/>
        <v>8752.6979245283073</v>
      </c>
      <c r="S199" s="447" t="s">
        <v>1578</v>
      </c>
      <c r="U199" s="462">
        <f t="shared" si="107"/>
        <v>8752.6979245283073</v>
      </c>
      <c r="V199" s="447" t="s">
        <v>1628</v>
      </c>
      <c r="X199" s="462">
        <f t="shared" si="108"/>
        <v>8752.6979245283073</v>
      </c>
      <c r="Y199" s="447" t="s">
        <v>1663</v>
      </c>
      <c r="AA199" s="462">
        <f t="shared" si="101"/>
        <v>8752.6979245283073</v>
      </c>
      <c r="AB199" s="447" t="s">
        <v>1718</v>
      </c>
      <c r="AD199" s="462">
        <f t="shared" si="109"/>
        <v>8752.6979245283073</v>
      </c>
      <c r="AE199" s="447" t="s">
        <v>1752</v>
      </c>
      <c r="AG199" s="444">
        <f t="shared" si="110"/>
        <v>8752.6979245283073</v>
      </c>
      <c r="AH199" s="447" t="s">
        <v>1821</v>
      </c>
      <c r="AJ199" s="462">
        <f t="shared" si="111"/>
        <v>8752.6979245283073</v>
      </c>
      <c r="AK199" s="447" t="s">
        <v>1864</v>
      </c>
      <c r="AM199" s="462">
        <f t="shared" si="112"/>
        <v>8752.6979245283073</v>
      </c>
      <c r="AN199" s="447" t="s">
        <v>1966</v>
      </c>
      <c r="AP199" s="462">
        <f t="shared" si="113"/>
        <v>8752.6979245283073</v>
      </c>
      <c r="AQ199" s="447" t="s">
        <v>1997</v>
      </c>
      <c r="AS199" s="459">
        <f t="shared" si="114"/>
        <v>8752.6979245283073</v>
      </c>
      <c r="AV199" s="462">
        <f t="shared" si="115"/>
        <v>8752.6979245283073</v>
      </c>
      <c r="AW199" s="447" t="s">
        <v>2107</v>
      </c>
      <c r="AY199" s="462">
        <f t="shared" si="116"/>
        <v>8752.6979245283073</v>
      </c>
      <c r="AZ199" s="447" t="s">
        <v>2131</v>
      </c>
      <c r="BB199" s="462">
        <f t="shared" si="117"/>
        <v>8752.6979245283073</v>
      </c>
      <c r="BC199" s="447" t="s">
        <v>2204</v>
      </c>
      <c r="BE199" s="462">
        <f t="shared" si="118"/>
        <v>8752.6979245283073</v>
      </c>
      <c r="BF199" s="447" t="s">
        <v>2237</v>
      </c>
      <c r="BH199" s="462">
        <f t="shared" si="119"/>
        <v>8752.6979245283073</v>
      </c>
      <c r="BI199" s="447" t="s">
        <v>2292</v>
      </c>
      <c r="BJ199" s="548">
        <v>6097.75</v>
      </c>
      <c r="BK199" s="462">
        <f t="shared" si="120"/>
        <v>2654.9479245283073</v>
      </c>
      <c r="BL199" s="447" t="s">
        <v>2339</v>
      </c>
      <c r="BN199" s="462">
        <f t="shared" si="121"/>
        <v>2654.9479245283073</v>
      </c>
      <c r="BO199" s="447" t="s">
        <v>2365</v>
      </c>
      <c r="BQ199" s="462">
        <f t="shared" si="122"/>
        <v>2654.95</v>
      </c>
      <c r="BR199" s="447" t="s">
        <v>2374</v>
      </c>
      <c r="BT199" s="462">
        <f t="shared" si="123"/>
        <v>2654.95</v>
      </c>
      <c r="BU199" s="447" t="s">
        <v>2134</v>
      </c>
      <c r="BW199" s="462">
        <f t="shared" si="124"/>
        <v>2654.95</v>
      </c>
      <c r="BZ199" s="462">
        <f t="shared" si="125"/>
        <v>2654.95</v>
      </c>
      <c r="CD199" s="418" t="str">
        <f t="shared" si="126"/>
        <v>CU1067001</v>
      </c>
      <c r="CE199" s="442" t="str">
        <f t="shared" si="127"/>
        <v>2019年2月</v>
      </c>
      <c r="CF199" s="418" t="str">
        <f t="shared" si="128"/>
        <v>三诺生物传clife服务费暂估</v>
      </c>
      <c r="CG199" s="418" t="str">
        <f t="shared" si="129"/>
        <v>2019年2月三诺生物传clife服务费暂估</v>
      </c>
    </row>
    <row r="200" spans="2:85" s="447" customFormat="1" ht="17.25" customHeight="1">
      <c r="B200" s="447" t="str">
        <f t="shared" si="104"/>
        <v>CU1149</v>
      </c>
      <c r="C200" s="431" t="s">
        <v>755</v>
      </c>
      <c r="D200" s="367" t="s">
        <v>1965</v>
      </c>
      <c r="E200" s="367" t="s">
        <v>1510</v>
      </c>
      <c r="F200" s="439">
        <v>43497</v>
      </c>
      <c r="G200" s="443">
        <v>65215.9</v>
      </c>
      <c r="H200" s="440"/>
      <c r="I200" s="440">
        <f t="shared" si="105"/>
        <v>65215.9</v>
      </c>
      <c r="J200" s="440"/>
      <c r="L200" s="462">
        <f t="shared" si="130"/>
        <v>65215.9</v>
      </c>
      <c r="M200" s="462" t="s">
        <v>1498</v>
      </c>
      <c r="N200" s="444"/>
      <c r="O200" s="462">
        <f t="shared" si="103"/>
        <v>65215.9</v>
      </c>
      <c r="P200" s="447" t="s">
        <v>1526</v>
      </c>
      <c r="R200" s="462">
        <f t="shared" si="106"/>
        <v>65215.9</v>
      </c>
      <c r="S200" s="447" t="s">
        <v>1578</v>
      </c>
      <c r="U200" s="462">
        <f t="shared" si="107"/>
        <v>65215.9</v>
      </c>
      <c r="V200" s="447" t="s">
        <v>1628</v>
      </c>
      <c r="X200" s="462">
        <f t="shared" si="108"/>
        <v>65215.9</v>
      </c>
      <c r="Y200" s="447" t="s">
        <v>1663</v>
      </c>
      <c r="AA200" s="462">
        <f t="shared" si="101"/>
        <v>65215.9</v>
      </c>
      <c r="AB200" s="447" t="s">
        <v>1718</v>
      </c>
      <c r="AD200" s="462">
        <f t="shared" si="109"/>
        <v>65215.9</v>
      </c>
      <c r="AE200" s="447" t="s">
        <v>1752</v>
      </c>
      <c r="AG200" s="444">
        <f t="shared" si="110"/>
        <v>65215.9</v>
      </c>
      <c r="AH200" s="447" t="s">
        <v>1821</v>
      </c>
      <c r="AJ200" s="462">
        <f t="shared" si="111"/>
        <v>65215.9</v>
      </c>
      <c r="AK200" s="447" t="s">
        <v>1864</v>
      </c>
      <c r="AM200" s="462">
        <f t="shared" si="112"/>
        <v>65215.9</v>
      </c>
      <c r="AN200" s="447" t="s">
        <v>1966</v>
      </c>
      <c r="AP200" s="462">
        <f t="shared" si="113"/>
        <v>65215.9</v>
      </c>
      <c r="AQ200" s="447" t="s">
        <v>1997</v>
      </c>
      <c r="AS200" s="459">
        <f t="shared" si="114"/>
        <v>65215.9</v>
      </c>
      <c r="AV200" s="462">
        <f t="shared" si="115"/>
        <v>65215.9</v>
      </c>
      <c r="AW200" s="447" t="s">
        <v>2107</v>
      </c>
      <c r="AY200" s="462">
        <f t="shared" si="116"/>
        <v>65215.9</v>
      </c>
      <c r="AZ200" s="447" t="s">
        <v>2131</v>
      </c>
      <c r="BB200" s="462">
        <f t="shared" si="117"/>
        <v>65215.9</v>
      </c>
      <c r="BC200" s="447" t="s">
        <v>2204</v>
      </c>
      <c r="BE200" s="462">
        <f t="shared" si="118"/>
        <v>65215.9</v>
      </c>
      <c r="BF200" s="447" t="s">
        <v>2237</v>
      </c>
      <c r="BH200" s="462">
        <f t="shared" si="119"/>
        <v>65215.9</v>
      </c>
      <c r="BI200" s="447" t="s">
        <v>2292</v>
      </c>
      <c r="BK200" s="462">
        <f t="shared" si="120"/>
        <v>65215.9</v>
      </c>
      <c r="BL200" s="447" t="s">
        <v>2339</v>
      </c>
      <c r="BN200" s="462">
        <f t="shared" si="121"/>
        <v>65215.9</v>
      </c>
      <c r="BO200" s="447" t="s">
        <v>2365</v>
      </c>
      <c r="BQ200" s="462">
        <f t="shared" si="122"/>
        <v>65215.9</v>
      </c>
      <c r="BR200" s="447" t="s">
        <v>2374</v>
      </c>
      <c r="BT200" s="462">
        <f t="shared" si="123"/>
        <v>65215.9</v>
      </c>
      <c r="BU200" s="447" t="s">
        <v>2134</v>
      </c>
      <c r="BW200" s="462">
        <f t="shared" si="124"/>
        <v>65215.9</v>
      </c>
      <c r="BZ200" s="462">
        <f t="shared" si="125"/>
        <v>65215.9</v>
      </c>
      <c r="CD200" s="418" t="str">
        <f t="shared" si="126"/>
        <v>CU1149001</v>
      </c>
      <c r="CE200" s="442" t="str">
        <f t="shared" si="127"/>
        <v>2019年2月</v>
      </c>
      <c r="CF200" s="418" t="str">
        <f t="shared" si="128"/>
        <v>好车酷酷二clife服务费暂估</v>
      </c>
      <c r="CG200" s="418" t="str">
        <f t="shared" si="129"/>
        <v>2019年2月好车酷酷二clife服务费暂估</v>
      </c>
    </row>
    <row r="201" spans="2:85" s="447" customFormat="1" ht="17.25" customHeight="1">
      <c r="B201" s="447" t="str">
        <f t="shared" si="104"/>
        <v>CU0093</v>
      </c>
      <c r="C201" s="431" t="s">
        <v>755</v>
      </c>
      <c r="D201" s="367" t="s">
        <v>1551</v>
      </c>
      <c r="E201" s="367" t="s">
        <v>32</v>
      </c>
      <c r="F201" s="439">
        <v>43525</v>
      </c>
      <c r="G201" s="430">
        <v>819.19</v>
      </c>
      <c r="H201" s="440"/>
      <c r="I201" s="440">
        <f t="shared" si="105"/>
        <v>819.19</v>
      </c>
      <c r="J201" s="440"/>
      <c r="L201" s="462">
        <f t="shared" si="130"/>
        <v>819.19</v>
      </c>
      <c r="M201" s="462"/>
      <c r="N201" s="444"/>
      <c r="O201" s="462">
        <f t="shared" si="103"/>
        <v>819.19</v>
      </c>
      <c r="P201" s="447" t="s">
        <v>1559</v>
      </c>
      <c r="R201" s="462">
        <f t="shared" si="106"/>
        <v>819.19</v>
      </c>
      <c r="S201" s="447" t="s">
        <v>1577</v>
      </c>
      <c r="U201" s="462">
        <f t="shared" si="107"/>
        <v>819.19</v>
      </c>
      <c r="V201" s="447" t="s">
        <v>1629</v>
      </c>
      <c r="X201" s="462">
        <f t="shared" si="108"/>
        <v>819.19</v>
      </c>
      <c r="Y201" s="447" t="s">
        <v>1664</v>
      </c>
      <c r="AA201" s="462">
        <f t="shared" si="101"/>
        <v>819.19</v>
      </c>
      <c r="AB201" s="447" t="s">
        <v>1719</v>
      </c>
      <c r="AC201" s="462">
        <f>AA201</f>
        <v>819.19</v>
      </c>
      <c r="AD201" s="462">
        <f t="shared" si="109"/>
        <v>0</v>
      </c>
      <c r="AE201" s="447" t="s">
        <v>1748</v>
      </c>
      <c r="AG201" s="462">
        <f t="shared" si="110"/>
        <v>0</v>
      </c>
      <c r="AH201" s="447" t="s">
        <v>1822</v>
      </c>
      <c r="AJ201" s="462">
        <f t="shared" si="111"/>
        <v>0</v>
      </c>
      <c r="AM201" s="462">
        <f t="shared" si="112"/>
        <v>0</v>
      </c>
      <c r="AN201" s="447" t="s">
        <v>1970</v>
      </c>
      <c r="AP201" s="462">
        <f t="shared" si="113"/>
        <v>0</v>
      </c>
      <c r="AQ201" s="447" t="s">
        <v>1998</v>
      </c>
      <c r="AS201" s="459">
        <f t="shared" si="114"/>
        <v>0</v>
      </c>
      <c r="AV201" s="462">
        <f t="shared" si="115"/>
        <v>0</v>
      </c>
      <c r="AY201" s="462">
        <f t="shared" si="116"/>
        <v>0</v>
      </c>
      <c r="BB201" s="462">
        <f t="shared" si="117"/>
        <v>0</v>
      </c>
      <c r="BC201" s="447" t="s">
        <v>2204</v>
      </c>
      <c r="BE201" s="462">
        <f t="shared" si="118"/>
        <v>0</v>
      </c>
      <c r="BH201" s="462">
        <f t="shared" si="119"/>
        <v>0</v>
      </c>
      <c r="BK201" s="462">
        <f t="shared" si="120"/>
        <v>0</v>
      </c>
      <c r="BN201" s="462">
        <f t="shared" si="121"/>
        <v>0</v>
      </c>
      <c r="BQ201" s="462">
        <f t="shared" si="122"/>
        <v>0</v>
      </c>
      <c r="BT201" s="462">
        <f t="shared" si="123"/>
        <v>0</v>
      </c>
      <c r="BW201" s="462">
        <f t="shared" si="124"/>
        <v>0</v>
      </c>
      <c r="BZ201" s="462">
        <f t="shared" si="125"/>
        <v>0</v>
      </c>
      <c r="CD201" s="418" t="str">
        <f t="shared" si="126"/>
        <v>CU0093001</v>
      </c>
      <c r="CE201" s="442" t="str">
        <f t="shared" si="127"/>
        <v>2019年3月</v>
      </c>
      <c r="CF201" s="418" t="str">
        <f t="shared" si="128"/>
        <v>日立保险代clife服务费暂估</v>
      </c>
      <c r="CG201" s="418" t="str">
        <f t="shared" si="129"/>
        <v>2019年3月日立保险代clife服务费暂估</v>
      </c>
    </row>
    <row r="202" spans="2:85" s="447" customFormat="1" ht="17.25" customHeight="1">
      <c r="B202" s="447" t="str">
        <f t="shared" si="104"/>
        <v>CU0145</v>
      </c>
      <c r="C202" s="431" t="s">
        <v>755</v>
      </c>
      <c r="D202" s="367" t="s">
        <v>1539</v>
      </c>
      <c r="E202" s="367" t="s">
        <v>1323</v>
      </c>
      <c r="F202" s="439">
        <v>43525</v>
      </c>
      <c r="G202" s="430">
        <v>54987.17</v>
      </c>
      <c r="H202" s="440"/>
      <c r="I202" s="440">
        <f t="shared" si="105"/>
        <v>54987.17</v>
      </c>
      <c r="J202" s="440"/>
      <c r="L202" s="462">
        <f t="shared" si="130"/>
        <v>54987.17</v>
      </c>
      <c r="M202" s="462"/>
      <c r="N202" s="444"/>
      <c r="O202" s="462">
        <f t="shared" si="103"/>
        <v>54987.17</v>
      </c>
      <c r="P202" s="447" t="s">
        <v>1559</v>
      </c>
      <c r="R202" s="462">
        <f t="shared" si="106"/>
        <v>54987.17</v>
      </c>
      <c r="S202" s="447" t="s">
        <v>1577</v>
      </c>
      <c r="T202" s="462">
        <f>R202</f>
        <v>54987.17</v>
      </c>
      <c r="U202" s="462">
        <f t="shared" si="107"/>
        <v>0</v>
      </c>
      <c r="V202" s="447" t="s">
        <v>1629</v>
      </c>
      <c r="X202" s="462">
        <f t="shared" si="108"/>
        <v>0</v>
      </c>
      <c r="Y202" s="447" t="s">
        <v>1664</v>
      </c>
      <c r="AA202" s="462">
        <f t="shared" si="101"/>
        <v>0</v>
      </c>
      <c r="AB202" s="447" t="s">
        <v>1719</v>
      </c>
      <c r="AD202" s="462">
        <f t="shared" si="109"/>
        <v>0</v>
      </c>
      <c r="AE202" s="447" t="s">
        <v>1748</v>
      </c>
      <c r="AG202" s="462">
        <f t="shared" si="110"/>
        <v>0</v>
      </c>
      <c r="AH202" s="447" t="s">
        <v>1822</v>
      </c>
      <c r="AJ202" s="462">
        <f t="shared" si="111"/>
        <v>0</v>
      </c>
      <c r="AM202" s="462">
        <f t="shared" si="112"/>
        <v>0</v>
      </c>
      <c r="AN202" s="447" t="s">
        <v>1970</v>
      </c>
      <c r="AP202" s="462">
        <f t="shared" si="113"/>
        <v>0</v>
      </c>
      <c r="AQ202" s="447" t="s">
        <v>1998</v>
      </c>
      <c r="AS202" s="459">
        <f t="shared" si="114"/>
        <v>0</v>
      </c>
      <c r="AV202" s="462">
        <f t="shared" si="115"/>
        <v>0</v>
      </c>
      <c r="AY202" s="462">
        <f t="shared" si="116"/>
        <v>0</v>
      </c>
      <c r="BB202" s="462">
        <f t="shared" si="117"/>
        <v>0</v>
      </c>
      <c r="BC202" s="447" t="s">
        <v>2204</v>
      </c>
      <c r="BE202" s="462">
        <f t="shared" si="118"/>
        <v>0</v>
      </c>
      <c r="BH202" s="462">
        <f t="shared" si="119"/>
        <v>0</v>
      </c>
      <c r="BK202" s="462">
        <f t="shared" si="120"/>
        <v>0</v>
      </c>
      <c r="BN202" s="462">
        <f t="shared" si="121"/>
        <v>0</v>
      </c>
      <c r="BQ202" s="462">
        <f t="shared" si="122"/>
        <v>0</v>
      </c>
      <c r="BT202" s="462">
        <f t="shared" si="123"/>
        <v>0</v>
      </c>
      <c r="BW202" s="462">
        <f t="shared" si="124"/>
        <v>0</v>
      </c>
      <c r="BZ202" s="462">
        <f t="shared" si="125"/>
        <v>0</v>
      </c>
      <c r="CD202" s="418" t="str">
        <f t="shared" si="126"/>
        <v>CU0145001</v>
      </c>
      <c r="CE202" s="442" t="str">
        <f t="shared" si="127"/>
        <v>2019年3月</v>
      </c>
      <c r="CF202" s="418" t="str">
        <f t="shared" si="128"/>
        <v>锐珂亚太投clife服务费暂估</v>
      </c>
      <c r="CG202" s="418" t="str">
        <f t="shared" si="129"/>
        <v>2019年3月锐珂亚太投clife服务费暂估</v>
      </c>
    </row>
    <row r="203" spans="2:85" s="447" customFormat="1" ht="17.25" customHeight="1">
      <c r="B203" s="447" t="str">
        <f t="shared" si="104"/>
        <v>CU0148</v>
      </c>
      <c r="C203" s="431" t="s">
        <v>755</v>
      </c>
      <c r="D203" s="367" t="s">
        <v>1552</v>
      </c>
      <c r="E203" s="367" t="s">
        <v>1549</v>
      </c>
      <c r="F203" s="439">
        <v>43525</v>
      </c>
      <c r="G203" s="430">
        <v>2229.19</v>
      </c>
      <c r="H203" s="440"/>
      <c r="I203" s="440">
        <f t="shared" si="105"/>
        <v>2229.19</v>
      </c>
      <c r="J203" s="440"/>
      <c r="L203" s="462">
        <f t="shared" si="130"/>
        <v>2229.19</v>
      </c>
      <c r="M203" s="462"/>
      <c r="N203" s="444"/>
      <c r="O203" s="462">
        <f t="shared" si="103"/>
        <v>2229.19</v>
      </c>
      <c r="P203" s="447" t="s">
        <v>1559</v>
      </c>
      <c r="R203" s="462">
        <f t="shared" si="106"/>
        <v>2229.19</v>
      </c>
      <c r="S203" s="447" t="s">
        <v>1577</v>
      </c>
      <c r="U203" s="462">
        <f t="shared" si="107"/>
        <v>2229.19</v>
      </c>
      <c r="V203" s="447" t="s">
        <v>1629</v>
      </c>
      <c r="W203" s="447">
        <f>6734-6031.07+656</f>
        <v>1358.9300000000003</v>
      </c>
      <c r="X203" s="462">
        <f t="shared" si="108"/>
        <v>870.25999999999976</v>
      </c>
      <c r="Y203" s="447" t="s">
        <v>1664</v>
      </c>
      <c r="AA203" s="462">
        <f t="shared" si="101"/>
        <v>870.25999999999976</v>
      </c>
      <c r="AB203" s="447" t="s">
        <v>1719</v>
      </c>
      <c r="AD203" s="462">
        <f t="shared" si="109"/>
        <v>870.25999999999976</v>
      </c>
      <c r="AE203" s="447" t="s">
        <v>1748</v>
      </c>
      <c r="AF203" s="462">
        <f>AD203</f>
        <v>870.25999999999976</v>
      </c>
      <c r="AG203" s="462">
        <f t="shared" si="110"/>
        <v>0</v>
      </c>
      <c r="AH203" s="447" t="s">
        <v>1822</v>
      </c>
      <c r="AJ203" s="462">
        <f t="shared" si="111"/>
        <v>0</v>
      </c>
      <c r="AM203" s="462">
        <f t="shared" si="112"/>
        <v>0</v>
      </c>
      <c r="AN203" s="447" t="s">
        <v>1970</v>
      </c>
      <c r="AP203" s="462">
        <f t="shared" si="113"/>
        <v>0</v>
      </c>
      <c r="AQ203" s="447" t="s">
        <v>1998</v>
      </c>
      <c r="AS203" s="459">
        <f t="shared" si="114"/>
        <v>0</v>
      </c>
      <c r="AV203" s="462">
        <f t="shared" si="115"/>
        <v>0</v>
      </c>
      <c r="AY203" s="462">
        <f t="shared" si="116"/>
        <v>0</v>
      </c>
      <c r="BB203" s="462">
        <f t="shared" si="117"/>
        <v>0</v>
      </c>
      <c r="BC203" s="447" t="s">
        <v>2204</v>
      </c>
      <c r="BE203" s="462">
        <f t="shared" si="118"/>
        <v>0</v>
      </c>
      <c r="BH203" s="462">
        <f t="shared" si="119"/>
        <v>0</v>
      </c>
      <c r="BK203" s="462">
        <f t="shared" si="120"/>
        <v>0</v>
      </c>
      <c r="BN203" s="462">
        <f t="shared" si="121"/>
        <v>0</v>
      </c>
      <c r="BQ203" s="462">
        <f t="shared" si="122"/>
        <v>0</v>
      </c>
      <c r="BT203" s="462">
        <f t="shared" si="123"/>
        <v>0</v>
      </c>
      <c r="BW203" s="462">
        <f t="shared" si="124"/>
        <v>0</v>
      </c>
      <c r="BZ203" s="462">
        <f t="shared" si="125"/>
        <v>0</v>
      </c>
      <c r="CD203" s="418" t="str">
        <f t="shared" si="126"/>
        <v>CU0148001</v>
      </c>
      <c r="CE203" s="442" t="str">
        <f t="shared" si="127"/>
        <v>2019年3月</v>
      </c>
      <c r="CF203" s="418" t="str">
        <f t="shared" si="128"/>
        <v>贝雅投资咨clife服务费暂估</v>
      </c>
      <c r="CG203" s="418" t="str">
        <f t="shared" si="129"/>
        <v>2019年3月贝雅投资咨clife服务费暂估</v>
      </c>
    </row>
    <row r="204" spans="2:85" s="447" customFormat="1" ht="17.25" customHeight="1">
      <c r="B204" s="447" t="str">
        <f t="shared" si="104"/>
        <v>CU0182</v>
      </c>
      <c r="C204" s="431" t="s">
        <v>755</v>
      </c>
      <c r="D204" s="367" t="s">
        <v>1967</v>
      </c>
      <c r="E204" s="367" t="s">
        <v>821</v>
      </c>
      <c r="F204" s="439">
        <v>43525</v>
      </c>
      <c r="G204" s="430">
        <v>10461.25</v>
      </c>
      <c r="H204" s="440"/>
      <c r="I204" s="440">
        <f t="shared" si="105"/>
        <v>10461.25</v>
      </c>
      <c r="J204" s="440"/>
      <c r="L204" s="462">
        <f t="shared" si="130"/>
        <v>10461.25</v>
      </c>
      <c r="M204" s="462"/>
      <c r="N204" s="444"/>
      <c r="O204" s="462">
        <f t="shared" si="103"/>
        <v>10461.25</v>
      </c>
      <c r="P204" s="447" t="s">
        <v>1559</v>
      </c>
      <c r="R204" s="462">
        <f t="shared" si="106"/>
        <v>10461.25</v>
      </c>
      <c r="S204" s="447" t="s">
        <v>1577</v>
      </c>
      <c r="U204" s="462">
        <f t="shared" si="107"/>
        <v>10461.25</v>
      </c>
      <c r="V204" s="447" t="s">
        <v>1629</v>
      </c>
      <c r="X204" s="462">
        <f t="shared" si="108"/>
        <v>10461.25</v>
      </c>
      <c r="Y204" s="447" t="s">
        <v>1664</v>
      </c>
      <c r="AA204" s="462">
        <f t="shared" si="101"/>
        <v>10461.25</v>
      </c>
      <c r="AB204" s="447" t="s">
        <v>1719</v>
      </c>
      <c r="AD204" s="462">
        <f t="shared" si="109"/>
        <v>10461.25</v>
      </c>
      <c r="AE204" s="447" t="s">
        <v>1748</v>
      </c>
      <c r="AG204" s="462">
        <f t="shared" si="110"/>
        <v>10461.25</v>
      </c>
      <c r="AH204" s="447" t="s">
        <v>1822</v>
      </c>
      <c r="AJ204" s="462">
        <f t="shared" si="111"/>
        <v>10461.25</v>
      </c>
      <c r="AK204" s="447" t="s">
        <v>1865</v>
      </c>
      <c r="AM204" s="462">
        <f t="shared" si="112"/>
        <v>10461.25</v>
      </c>
      <c r="AN204" s="447" t="s">
        <v>1970</v>
      </c>
      <c r="AP204" s="462">
        <f t="shared" si="113"/>
        <v>10461.25</v>
      </c>
      <c r="AQ204" s="447" t="s">
        <v>1998</v>
      </c>
      <c r="AS204" s="459">
        <f t="shared" si="114"/>
        <v>10461.25</v>
      </c>
      <c r="AV204" s="462">
        <f t="shared" si="115"/>
        <v>10461.25</v>
      </c>
      <c r="AW204" s="447" t="s">
        <v>2107</v>
      </c>
      <c r="AY204" s="462">
        <f t="shared" si="116"/>
        <v>10461.25</v>
      </c>
      <c r="AZ204" s="447" t="s">
        <v>2131</v>
      </c>
      <c r="BB204" s="462">
        <f t="shared" si="117"/>
        <v>10461.25</v>
      </c>
      <c r="BC204" s="447" t="s">
        <v>2204</v>
      </c>
      <c r="BE204" s="462">
        <f t="shared" si="118"/>
        <v>10461.25</v>
      </c>
      <c r="BF204" s="447" t="s">
        <v>2237</v>
      </c>
      <c r="BH204" s="462">
        <f t="shared" si="119"/>
        <v>10461.25</v>
      </c>
      <c r="BI204" s="447" t="s">
        <v>2292</v>
      </c>
      <c r="BK204" s="462">
        <f t="shared" si="120"/>
        <v>10461.25</v>
      </c>
      <c r="BL204" s="447" t="s">
        <v>2339</v>
      </c>
      <c r="BN204" s="462">
        <f t="shared" si="121"/>
        <v>10461.25</v>
      </c>
      <c r="BO204" s="447" t="s">
        <v>2365</v>
      </c>
      <c r="BQ204" s="462">
        <f t="shared" si="122"/>
        <v>10461.25</v>
      </c>
      <c r="BR204" s="447" t="s">
        <v>2374</v>
      </c>
      <c r="BT204" s="462">
        <f t="shared" si="123"/>
        <v>10461.25</v>
      </c>
      <c r="BU204" s="447" t="s">
        <v>2134</v>
      </c>
      <c r="BW204" s="462">
        <f t="shared" si="124"/>
        <v>10461.25</v>
      </c>
      <c r="BZ204" s="462">
        <f t="shared" si="125"/>
        <v>10461.25</v>
      </c>
      <c r="CD204" s="418" t="str">
        <f t="shared" si="126"/>
        <v>CU0182001</v>
      </c>
      <c r="CE204" s="442" t="str">
        <f t="shared" si="127"/>
        <v>2019年3月</v>
      </c>
      <c r="CF204" s="418" t="str">
        <f t="shared" si="128"/>
        <v>阿姆斯壮（clife服务费暂估</v>
      </c>
      <c r="CG204" s="418" t="str">
        <f t="shared" si="129"/>
        <v>2019年3月阿姆斯壮（clife服务费暂估</v>
      </c>
    </row>
    <row r="205" spans="2:85" s="447" customFormat="1" ht="17.25" customHeight="1">
      <c r="B205" s="447" t="str">
        <f t="shared" si="104"/>
        <v>CU0238</v>
      </c>
      <c r="C205" s="431" t="s">
        <v>755</v>
      </c>
      <c r="D205" s="367" t="s">
        <v>1550</v>
      </c>
      <c r="E205" s="367" t="s">
        <v>54</v>
      </c>
      <c r="F205" s="439">
        <v>43525</v>
      </c>
      <c r="G205" s="430">
        <v>4660.38</v>
      </c>
      <c r="H205" s="440"/>
      <c r="I205" s="440">
        <f t="shared" si="105"/>
        <v>4660.38</v>
      </c>
      <c r="J205" s="440"/>
      <c r="L205" s="462">
        <f t="shared" si="130"/>
        <v>4660.38</v>
      </c>
      <c r="M205" s="462"/>
      <c r="N205" s="444"/>
      <c r="O205" s="462">
        <f t="shared" si="103"/>
        <v>4660.38</v>
      </c>
      <c r="P205" s="447" t="s">
        <v>1559</v>
      </c>
      <c r="R205" s="462">
        <f t="shared" si="106"/>
        <v>4660.38</v>
      </c>
      <c r="S205" s="447" t="s">
        <v>1577</v>
      </c>
      <c r="U205" s="462">
        <f t="shared" si="107"/>
        <v>4660.38</v>
      </c>
      <c r="V205" s="447" t="s">
        <v>1629</v>
      </c>
      <c r="X205" s="462">
        <f t="shared" si="108"/>
        <v>4660.38</v>
      </c>
      <c r="Y205" s="447" t="s">
        <v>1664</v>
      </c>
      <c r="Z205" s="462">
        <f>X205</f>
        <v>4660.38</v>
      </c>
      <c r="AA205" s="462">
        <f t="shared" ref="AA205:AA268" si="131">X205-Z205</f>
        <v>0</v>
      </c>
      <c r="AB205" s="447" t="s">
        <v>1719</v>
      </c>
      <c r="AD205" s="462">
        <f t="shared" si="109"/>
        <v>0</v>
      </c>
      <c r="AE205" s="447" t="s">
        <v>1748</v>
      </c>
      <c r="AG205" s="462">
        <f t="shared" si="110"/>
        <v>0</v>
      </c>
      <c r="AH205" s="447" t="s">
        <v>1822</v>
      </c>
      <c r="AJ205" s="462">
        <f t="shared" si="111"/>
        <v>0</v>
      </c>
      <c r="AM205" s="462">
        <f t="shared" si="112"/>
        <v>0</v>
      </c>
      <c r="AN205" s="447" t="s">
        <v>1970</v>
      </c>
      <c r="AP205" s="462">
        <f t="shared" si="113"/>
        <v>0</v>
      </c>
      <c r="AQ205" s="447" t="s">
        <v>1998</v>
      </c>
      <c r="AS205" s="459">
        <f t="shared" si="114"/>
        <v>0</v>
      </c>
      <c r="AV205" s="462">
        <f t="shared" si="115"/>
        <v>0</v>
      </c>
      <c r="AY205" s="462">
        <f t="shared" si="116"/>
        <v>0</v>
      </c>
      <c r="BB205" s="462">
        <f t="shared" si="117"/>
        <v>0</v>
      </c>
      <c r="BC205" s="447" t="s">
        <v>2204</v>
      </c>
      <c r="BE205" s="462">
        <f t="shared" si="118"/>
        <v>0</v>
      </c>
      <c r="BH205" s="462">
        <f t="shared" si="119"/>
        <v>0</v>
      </c>
      <c r="BK205" s="462">
        <f t="shared" si="120"/>
        <v>0</v>
      </c>
      <c r="BN205" s="462">
        <f t="shared" si="121"/>
        <v>0</v>
      </c>
      <c r="BQ205" s="462">
        <f t="shared" si="122"/>
        <v>0</v>
      </c>
      <c r="BT205" s="462">
        <f t="shared" si="123"/>
        <v>0</v>
      </c>
      <c r="BW205" s="462">
        <f t="shared" si="124"/>
        <v>0</v>
      </c>
      <c r="BZ205" s="462">
        <f t="shared" si="125"/>
        <v>0</v>
      </c>
      <c r="CD205" s="418" t="str">
        <f t="shared" si="126"/>
        <v>CU0238001</v>
      </c>
      <c r="CE205" s="442" t="str">
        <f t="shared" si="127"/>
        <v>2019年3月</v>
      </c>
      <c r="CF205" s="418" t="str">
        <f t="shared" si="128"/>
        <v>丘奇鞋业（clife服务费暂估</v>
      </c>
      <c r="CG205" s="418" t="str">
        <f t="shared" si="129"/>
        <v>2019年3月丘奇鞋业（clife服务费暂估</v>
      </c>
    </row>
    <row r="206" spans="2:85" s="447" customFormat="1" ht="17.25" customHeight="1">
      <c r="B206" s="447" t="str">
        <f t="shared" si="104"/>
        <v>CU0351</v>
      </c>
      <c r="C206" s="431" t="s">
        <v>755</v>
      </c>
      <c r="D206" s="367" t="s">
        <v>1553</v>
      </c>
      <c r="E206" s="367" t="s">
        <v>82</v>
      </c>
      <c r="F206" s="439">
        <v>43525</v>
      </c>
      <c r="G206" s="430">
        <v>29313.9</v>
      </c>
      <c r="H206" s="440"/>
      <c r="I206" s="440">
        <f t="shared" si="105"/>
        <v>29313.9</v>
      </c>
      <c r="J206" s="440"/>
      <c r="L206" s="462">
        <f t="shared" si="130"/>
        <v>29313.9</v>
      </c>
      <c r="M206" s="462"/>
      <c r="N206" s="444"/>
      <c r="O206" s="462">
        <f t="shared" si="103"/>
        <v>29313.9</v>
      </c>
      <c r="P206" s="447" t="s">
        <v>1559</v>
      </c>
      <c r="R206" s="462">
        <f t="shared" si="106"/>
        <v>29313.9</v>
      </c>
      <c r="S206" s="447" t="s">
        <v>1577</v>
      </c>
      <c r="U206" s="462">
        <f t="shared" si="107"/>
        <v>29313.9</v>
      </c>
      <c r="V206" s="447" t="s">
        <v>1629</v>
      </c>
      <c r="X206" s="462">
        <f t="shared" si="108"/>
        <v>29313.9</v>
      </c>
      <c r="Y206" s="447" t="s">
        <v>1664</v>
      </c>
      <c r="AA206" s="462">
        <f t="shared" si="131"/>
        <v>29313.9</v>
      </c>
      <c r="AB206" s="447" t="s">
        <v>1719</v>
      </c>
      <c r="AC206" s="462">
        <f>AA206</f>
        <v>29313.9</v>
      </c>
      <c r="AD206" s="462">
        <f t="shared" si="109"/>
        <v>0</v>
      </c>
      <c r="AE206" s="447" t="s">
        <v>1748</v>
      </c>
      <c r="AG206" s="462">
        <f t="shared" si="110"/>
        <v>0</v>
      </c>
      <c r="AH206" s="447" t="s">
        <v>1822</v>
      </c>
      <c r="AJ206" s="462">
        <f t="shared" si="111"/>
        <v>0</v>
      </c>
      <c r="AM206" s="462">
        <f t="shared" si="112"/>
        <v>0</v>
      </c>
      <c r="AN206" s="447" t="s">
        <v>1970</v>
      </c>
      <c r="AP206" s="462">
        <f t="shared" si="113"/>
        <v>0</v>
      </c>
      <c r="AQ206" s="447" t="s">
        <v>1998</v>
      </c>
      <c r="AS206" s="459">
        <f t="shared" si="114"/>
        <v>0</v>
      </c>
      <c r="AV206" s="462">
        <f t="shared" si="115"/>
        <v>0</v>
      </c>
      <c r="AY206" s="462">
        <f t="shared" si="116"/>
        <v>0</v>
      </c>
      <c r="BB206" s="462">
        <f t="shared" si="117"/>
        <v>0</v>
      </c>
      <c r="BC206" s="447" t="s">
        <v>2204</v>
      </c>
      <c r="BE206" s="462">
        <f t="shared" si="118"/>
        <v>0</v>
      </c>
      <c r="BH206" s="462">
        <f t="shared" si="119"/>
        <v>0</v>
      </c>
      <c r="BK206" s="462">
        <f t="shared" si="120"/>
        <v>0</v>
      </c>
      <c r="BN206" s="462">
        <f t="shared" si="121"/>
        <v>0</v>
      </c>
      <c r="BQ206" s="462">
        <f t="shared" si="122"/>
        <v>0</v>
      </c>
      <c r="BT206" s="462">
        <f t="shared" si="123"/>
        <v>0</v>
      </c>
      <c r="BW206" s="462">
        <f t="shared" si="124"/>
        <v>0</v>
      </c>
      <c r="BZ206" s="462">
        <f t="shared" si="125"/>
        <v>0</v>
      </c>
      <c r="CD206" s="418" t="str">
        <f t="shared" si="126"/>
        <v>CU0351001</v>
      </c>
      <c r="CE206" s="442" t="str">
        <f t="shared" si="127"/>
        <v>2019年3月</v>
      </c>
      <c r="CF206" s="418" t="str">
        <f t="shared" si="128"/>
        <v>克鲁勃润滑clife服务费暂估</v>
      </c>
      <c r="CG206" s="418" t="str">
        <f t="shared" si="129"/>
        <v>2019年3月克鲁勃润滑clife服务费暂估</v>
      </c>
    </row>
    <row r="207" spans="2:85" s="447" customFormat="1" ht="17.25" customHeight="1">
      <c r="B207" s="447" t="str">
        <f t="shared" si="104"/>
        <v>CU0468</v>
      </c>
      <c r="C207" s="431" t="s">
        <v>755</v>
      </c>
      <c r="D207" s="367" t="s">
        <v>1554</v>
      </c>
      <c r="E207" s="367" t="s">
        <v>1229</v>
      </c>
      <c r="F207" s="439">
        <v>43525</v>
      </c>
      <c r="G207" s="430">
        <v>16728.96</v>
      </c>
      <c r="H207" s="440"/>
      <c r="I207" s="440">
        <f t="shared" si="105"/>
        <v>16728.96</v>
      </c>
      <c r="J207" s="440"/>
      <c r="L207" s="462">
        <f t="shared" si="130"/>
        <v>16728.96</v>
      </c>
      <c r="M207" s="462"/>
      <c r="N207" s="444"/>
      <c r="O207" s="462">
        <f t="shared" si="103"/>
        <v>16728.96</v>
      </c>
      <c r="P207" s="447" t="s">
        <v>1559</v>
      </c>
      <c r="R207" s="462">
        <f t="shared" si="106"/>
        <v>16728.96</v>
      </c>
      <c r="S207" s="447" t="s">
        <v>1577</v>
      </c>
      <c r="T207" s="462">
        <f>ROUND((320563.68/1.06),2)-T103+0.01</f>
        <v>16728.96000000001</v>
      </c>
      <c r="U207" s="462">
        <v>0</v>
      </c>
      <c r="V207" s="447" t="s">
        <v>1629</v>
      </c>
      <c r="X207" s="462">
        <f t="shared" si="108"/>
        <v>0</v>
      </c>
      <c r="Y207" s="447" t="s">
        <v>1664</v>
      </c>
      <c r="AA207" s="462">
        <f t="shared" si="131"/>
        <v>0</v>
      </c>
      <c r="AB207" s="447" t="s">
        <v>1719</v>
      </c>
      <c r="AD207" s="462">
        <f t="shared" si="109"/>
        <v>0</v>
      </c>
      <c r="AE207" s="447" t="s">
        <v>1748</v>
      </c>
      <c r="AG207" s="462">
        <f t="shared" si="110"/>
        <v>0</v>
      </c>
      <c r="AH207" s="447" t="s">
        <v>1822</v>
      </c>
      <c r="AJ207" s="462">
        <f t="shared" si="111"/>
        <v>0</v>
      </c>
      <c r="AM207" s="462">
        <f t="shared" si="112"/>
        <v>0</v>
      </c>
      <c r="AN207" s="447" t="s">
        <v>1970</v>
      </c>
      <c r="AP207" s="462">
        <f t="shared" si="113"/>
        <v>0</v>
      </c>
      <c r="AQ207" s="447" t="s">
        <v>1998</v>
      </c>
      <c r="AS207" s="459">
        <f t="shared" si="114"/>
        <v>0</v>
      </c>
      <c r="AV207" s="462">
        <f t="shared" si="115"/>
        <v>0</v>
      </c>
      <c r="AY207" s="462">
        <f t="shared" si="116"/>
        <v>0</v>
      </c>
      <c r="BB207" s="462">
        <f t="shared" si="117"/>
        <v>0</v>
      </c>
      <c r="BC207" s="447" t="s">
        <v>2204</v>
      </c>
      <c r="BE207" s="462">
        <f t="shared" si="118"/>
        <v>0</v>
      </c>
      <c r="BH207" s="462">
        <f t="shared" si="119"/>
        <v>0</v>
      </c>
      <c r="BK207" s="462">
        <f t="shared" si="120"/>
        <v>0</v>
      </c>
      <c r="BN207" s="462">
        <f t="shared" si="121"/>
        <v>0</v>
      </c>
      <c r="BQ207" s="462">
        <f t="shared" si="122"/>
        <v>0</v>
      </c>
      <c r="BT207" s="462">
        <f t="shared" si="123"/>
        <v>0</v>
      </c>
      <c r="BW207" s="462">
        <f t="shared" si="124"/>
        <v>0</v>
      </c>
      <c r="BZ207" s="462">
        <f t="shared" si="125"/>
        <v>0</v>
      </c>
      <c r="CD207" s="418" t="str">
        <f t="shared" si="126"/>
        <v>CU0468001</v>
      </c>
      <c r="CE207" s="442" t="str">
        <f t="shared" si="127"/>
        <v>2019年3月</v>
      </c>
      <c r="CF207" s="418" t="str">
        <f t="shared" si="128"/>
        <v>包商银行股clife服务费暂估</v>
      </c>
      <c r="CG207" s="418" t="str">
        <f t="shared" si="129"/>
        <v>2019年3月包商银行股clife服务费暂估</v>
      </c>
    </row>
    <row r="208" spans="2:85" s="447" customFormat="1" ht="17.25" customHeight="1">
      <c r="B208" s="447" t="str">
        <f t="shared" si="104"/>
        <v>CU0531</v>
      </c>
      <c r="C208" s="431" t="s">
        <v>755</v>
      </c>
      <c r="D208" s="367" t="s">
        <v>1961</v>
      </c>
      <c r="E208" s="367" t="s">
        <v>134</v>
      </c>
      <c r="F208" s="439">
        <v>43525</v>
      </c>
      <c r="G208" s="430">
        <v>19960.62</v>
      </c>
      <c r="H208" s="440"/>
      <c r="I208" s="440">
        <f t="shared" si="73"/>
        <v>19960.62</v>
      </c>
      <c r="J208" s="440"/>
      <c r="L208" s="462">
        <f t="shared" si="100"/>
        <v>19960.62</v>
      </c>
      <c r="M208" s="462"/>
      <c r="N208" s="444"/>
      <c r="O208" s="462">
        <f t="shared" si="75"/>
        <v>19960.62</v>
      </c>
      <c r="P208" s="447" t="s">
        <v>1559</v>
      </c>
      <c r="R208" s="462">
        <f t="shared" si="106"/>
        <v>19960.62</v>
      </c>
      <c r="S208" s="447" t="s">
        <v>1577</v>
      </c>
      <c r="U208" s="462">
        <f t="shared" si="107"/>
        <v>19960.62</v>
      </c>
      <c r="V208" s="447" t="s">
        <v>1629</v>
      </c>
      <c r="X208" s="462">
        <f t="shared" si="108"/>
        <v>19960.62</v>
      </c>
      <c r="Y208" s="447" t="s">
        <v>1664</v>
      </c>
      <c r="AA208" s="462">
        <f t="shared" si="131"/>
        <v>19960.62</v>
      </c>
      <c r="AB208" s="447" t="s">
        <v>1719</v>
      </c>
      <c r="AD208" s="462">
        <f t="shared" si="109"/>
        <v>19960.62</v>
      </c>
      <c r="AE208" s="447" t="s">
        <v>1748</v>
      </c>
      <c r="AG208" s="462">
        <f t="shared" si="110"/>
        <v>19960.62</v>
      </c>
      <c r="AH208" s="447" t="s">
        <v>1822</v>
      </c>
      <c r="AJ208" s="462">
        <f t="shared" si="111"/>
        <v>19960.62</v>
      </c>
      <c r="AK208" s="447" t="s">
        <v>1865</v>
      </c>
      <c r="AM208" s="462">
        <f t="shared" si="112"/>
        <v>19960.62</v>
      </c>
      <c r="AN208" s="447" t="s">
        <v>1970</v>
      </c>
      <c r="AO208" s="462">
        <f>AM208</f>
        <v>19960.62</v>
      </c>
      <c r="AP208" s="462">
        <f t="shared" si="113"/>
        <v>0</v>
      </c>
      <c r="AQ208" s="447" t="s">
        <v>1998</v>
      </c>
      <c r="AS208" s="459">
        <f t="shared" si="114"/>
        <v>0</v>
      </c>
      <c r="AV208" s="462">
        <f t="shared" si="115"/>
        <v>0</v>
      </c>
      <c r="AY208" s="462">
        <f t="shared" si="116"/>
        <v>0</v>
      </c>
      <c r="BB208" s="462">
        <f t="shared" si="117"/>
        <v>0</v>
      </c>
      <c r="BC208" s="447" t="s">
        <v>2204</v>
      </c>
      <c r="BE208" s="462">
        <f t="shared" si="118"/>
        <v>0</v>
      </c>
      <c r="BH208" s="462">
        <f t="shared" si="119"/>
        <v>0</v>
      </c>
      <c r="BK208" s="462">
        <f t="shared" si="120"/>
        <v>0</v>
      </c>
      <c r="BN208" s="462">
        <f t="shared" si="121"/>
        <v>0</v>
      </c>
      <c r="BQ208" s="462">
        <f t="shared" si="122"/>
        <v>0</v>
      </c>
      <c r="BT208" s="462">
        <f t="shared" si="123"/>
        <v>0</v>
      </c>
      <c r="BW208" s="462">
        <f t="shared" si="124"/>
        <v>0</v>
      </c>
      <c r="BZ208" s="462">
        <f t="shared" si="125"/>
        <v>0</v>
      </c>
      <c r="CD208" s="418" t="str">
        <f t="shared" si="126"/>
        <v>CU0531001</v>
      </c>
      <c r="CE208" s="442" t="str">
        <f t="shared" si="127"/>
        <v>2019年3月</v>
      </c>
      <c r="CF208" s="418" t="str">
        <f t="shared" si="128"/>
        <v>恩思恩时尚clife服务费暂估</v>
      </c>
      <c r="CG208" s="418" t="str">
        <f t="shared" si="129"/>
        <v>2019年3月恩思恩时尚clife服务费暂估</v>
      </c>
    </row>
    <row r="209" spans="2:85" s="447" customFormat="1" ht="17.25" customHeight="1">
      <c r="B209" s="447" t="str">
        <f t="shared" si="104"/>
        <v>CU0562</v>
      </c>
      <c r="C209" s="431" t="s">
        <v>755</v>
      </c>
      <c r="D209" s="367" t="s">
        <v>1968</v>
      </c>
      <c r="E209" s="367" t="s">
        <v>1555</v>
      </c>
      <c r="F209" s="439">
        <v>43525</v>
      </c>
      <c r="G209" s="430">
        <v>305338.96000000002</v>
      </c>
      <c r="H209" s="440"/>
      <c r="I209" s="440">
        <f t="shared" ref="I209:I226" si="132">G209-H209</f>
        <v>305338.96000000002</v>
      </c>
      <c r="J209" s="440"/>
      <c r="L209" s="462">
        <f t="shared" ref="L209:L226" si="133">I209-K209</f>
        <v>305338.96000000002</v>
      </c>
      <c r="M209" s="462"/>
      <c r="N209" s="444"/>
      <c r="O209" s="462">
        <f t="shared" ref="O209:O226" si="134">L209-N209</f>
        <v>305338.96000000002</v>
      </c>
      <c r="P209" s="447" t="s">
        <v>1559</v>
      </c>
      <c r="R209" s="462">
        <f t="shared" ref="R209:R226" si="135">O209-Q209</f>
        <v>305338.96000000002</v>
      </c>
      <c r="S209" s="447" t="s">
        <v>1577</v>
      </c>
      <c r="U209" s="462">
        <f t="shared" si="107"/>
        <v>305338.96000000002</v>
      </c>
      <c r="V209" s="447" t="s">
        <v>1629</v>
      </c>
      <c r="W209" s="444">
        <f>ROUND(150640/1.06,2)</f>
        <v>142113.21</v>
      </c>
      <c r="X209" s="462">
        <f t="shared" si="108"/>
        <v>163225.75000000003</v>
      </c>
      <c r="Y209" s="447" t="s">
        <v>1664</v>
      </c>
      <c r="AA209" s="462">
        <f t="shared" si="131"/>
        <v>163225.75000000003</v>
      </c>
      <c r="AB209" s="447" t="s">
        <v>1719</v>
      </c>
      <c r="AD209" s="462">
        <f t="shared" si="109"/>
        <v>163225.75000000003</v>
      </c>
      <c r="AE209" s="447" t="s">
        <v>1748</v>
      </c>
      <c r="AG209" s="462">
        <f t="shared" si="110"/>
        <v>163225.75000000003</v>
      </c>
      <c r="AH209" s="447" t="s">
        <v>1822</v>
      </c>
      <c r="AI209" s="447">
        <v>100000</v>
      </c>
      <c r="AJ209" s="462">
        <f t="shared" si="111"/>
        <v>63225.750000000029</v>
      </c>
      <c r="AK209" s="447" t="s">
        <v>1865</v>
      </c>
      <c r="AM209" s="462">
        <f t="shared" si="112"/>
        <v>63225.750000000029</v>
      </c>
      <c r="AN209" s="447" t="s">
        <v>1970</v>
      </c>
      <c r="AP209" s="462">
        <f t="shared" si="113"/>
        <v>63225.750000000029</v>
      </c>
      <c r="AQ209" s="447" t="s">
        <v>1998</v>
      </c>
      <c r="AS209" s="459">
        <f t="shared" si="114"/>
        <v>63225.750000000029</v>
      </c>
      <c r="AV209" s="462">
        <f t="shared" si="115"/>
        <v>63225.750000000029</v>
      </c>
      <c r="AW209" s="447" t="s">
        <v>2107</v>
      </c>
      <c r="AY209" s="462">
        <f t="shared" si="116"/>
        <v>63225.750000000029</v>
      </c>
      <c r="AZ209" s="447" t="s">
        <v>2131</v>
      </c>
      <c r="BB209" s="462">
        <f t="shared" si="117"/>
        <v>63225.750000000029</v>
      </c>
      <c r="BC209" s="447" t="s">
        <v>2204</v>
      </c>
      <c r="BE209" s="462">
        <f t="shared" si="118"/>
        <v>63225.750000000029</v>
      </c>
      <c r="BF209" s="447" t="s">
        <v>2237</v>
      </c>
      <c r="BH209" s="462">
        <f t="shared" si="119"/>
        <v>63225.750000000029</v>
      </c>
      <c r="BI209" s="447" t="s">
        <v>2292</v>
      </c>
      <c r="BK209" s="462">
        <f t="shared" si="120"/>
        <v>63225.750000000029</v>
      </c>
      <c r="BL209" s="447" t="s">
        <v>2339</v>
      </c>
      <c r="BN209" s="462">
        <f t="shared" si="121"/>
        <v>63225.750000000029</v>
      </c>
      <c r="BO209" s="447" t="s">
        <v>2365</v>
      </c>
      <c r="BQ209" s="462">
        <f t="shared" si="122"/>
        <v>63225.75</v>
      </c>
      <c r="BR209" s="447" t="s">
        <v>2374</v>
      </c>
      <c r="BT209" s="462">
        <f t="shared" si="123"/>
        <v>63225.75</v>
      </c>
      <c r="BU209" s="447" t="s">
        <v>2134</v>
      </c>
      <c r="BV209" s="447">
        <v>50000</v>
      </c>
      <c r="BW209" s="462">
        <f t="shared" si="124"/>
        <v>13225.75</v>
      </c>
      <c r="BZ209" s="462">
        <f t="shared" si="125"/>
        <v>13225.75</v>
      </c>
      <c r="CD209" s="418" t="str">
        <f t="shared" si="126"/>
        <v>CU0562001</v>
      </c>
      <c r="CE209" s="442" t="str">
        <f t="shared" si="127"/>
        <v>2019年3月</v>
      </c>
      <c r="CF209" s="418" t="str">
        <f t="shared" si="128"/>
        <v>杭州康晟健clife服务费暂估</v>
      </c>
      <c r="CG209" s="418" t="str">
        <f t="shared" si="129"/>
        <v>2019年3月杭州康晟健clife服务费暂估</v>
      </c>
    </row>
    <row r="210" spans="2:85" s="447" customFormat="1" ht="17.25" customHeight="1">
      <c r="B210" s="447" t="str">
        <f t="shared" si="104"/>
        <v>CU0667</v>
      </c>
      <c r="C210" s="431" t="s">
        <v>755</v>
      </c>
      <c r="D210" s="367" t="s">
        <v>1540</v>
      </c>
      <c r="E210" s="367" t="s">
        <v>168</v>
      </c>
      <c r="F210" s="439">
        <v>43525</v>
      </c>
      <c r="G210" s="430">
        <v>558.89</v>
      </c>
      <c r="H210" s="440"/>
      <c r="I210" s="440">
        <f t="shared" si="132"/>
        <v>558.89</v>
      </c>
      <c r="J210" s="440"/>
      <c r="L210" s="462">
        <f t="shared" si="133"/>
        <v>558.89</v>
      </c>
      <c r="M210" s="462"/>
      <c r="N210" s="444"/>
      <c r="O210" s="462">
        <f t="shared" si="134"/>
        <v>558.89</v>
      </c>
      <c r="P210" s="447" t="s">
        <v>1559</v>
      </c>
      <c r="R210" s="462">
        <f t="shared" si="135"/>
        <v>558.89</v>
      </c>
      <c r="S210" s="447" t="s">
        <v>1577</v>
      </c>
      <c r="U210" s="462">
        <f t="shared" si="107"/>
        <v>558.89</v>
      </c>
      <c r="V210" s="447" t="s">
        <v>1629</v>
      </c>
      <c r="X210" s="462">
        <f t="shared" si="108"/>
        <v>558.89</v>
      </c>
      <c r="Y210" s="447" t="s">
        <v>1664</v>
      </c>
      <c r="AA210" s="462">
        <f t="shared" si="131"/>
        <v>558.89</v>
      </c>
      <c r="AB210" s="447" t="s">
        <v>1719</v>
      </c>
      <c r="AC210" s="462">
        <f>AA210</f>
        <v>558.89</v>
      </c>
      <c r="AD210" s="462">
        <f t="shared" si="109"/>
        <v>0</v>
      </c>
      <c r="AE210" s="447" t="s">
        <v>1748</v>
      </c>
      <c r="AG210" s="462">
        <f t="shared" si="110"/>
        <v>0</v>
      </c>
      <c r="AH210" s="447" t="s">
        <v>1822</v>
      </c>
      <c r="AJ210" s="462">
        <f t="shared" si="111"/>
        <v>0</v>
      </c>
      <c r="AM210" s="462">
        <f t="shared" si="112"/>
        <v>0</v>
      </c>
      <c r="AN210" s="447" t="s">
        <v>1970</v>
      </c>
      <c r="AP210" s="462">
        <f t="shared" si="113"/>
        <v>0</v>
      </c>
      <c r="AQ210" s="447" t="s">
        <v>1998</v>
      </c>
      <c r="AS210" s="459">
        <f t="shared" si="114"/>
        <v>0</v>
      </c>
      <c r="AV210" s="462">
        <f t="shared" si="115"/>
        <v>0</v>
      </c>
      <c r="AY210" s="462">
        <f t="shared" si="116"/>
        <v>0</v>
      </c>
      <c r="BB210" s="462">
        <f t="shared" si="117"/>
        <v>0</v>
      </c>
      <c r="BC210" s="447" t="s">
        <v>2204</v>
      </c>
      <c r="BE210" s="462">
        <f t="shared" si="118"/>
        <v>0</v>
      </c>
      <c r="BH210" s="462">
        <f t="shared" si="119"/>
        <v>0</v>
      </c>
      <c r="BK210" s="462">
        <f t="shared" si="120"/>
        <v>0</v>
      </c>
      <c r="BN210" s="462">
        <f t="shared" si="121"/>
        <v>0</v>
      </c>
      <c r="BQ210" s="462">
        <f t="shared" si="122"/>
        <v>0</v>
      </c>
      <c r="BT210" s="462">
        <f t="shared" si="123"/>
        <v>0</v>
      </c>
      <c r="BW210" s="462">
        <f t="shared" si="124"/>
        <v>0</v>
      </c>
      <c r="BZ210" s="462">
        <f t="shared" si="125"/>
        <v>0</v>
      </c>
      <c r="CD210" s="418" t="str">
        <f t="shared" si="126"/>
        <v>CU0667001</v>
      </c>
      <c r="CE210" s="442" t="str">
        <f t="shared" si="127"/>
        <v>2019年3月</v>
      </c>
      <c r="CF210" s="418" t="str">
        <f t="shared" si="128"/>
        <v>北京杰迪安clife服务费暂估</v>
      </c>
      <c r="CG210" s="418" t="str">
        <f t="shared" si="129"/>
        <v>2019年3月北京杰迪安clife服务费暂估</v>
      </c>
    </row>
    <row r="211" spans="2:85" s="447" customFormat="1" ht="17.25" customHeight="1">
      <c r="B211" s="447" t="str">
        <f t="shared" si="104"/>
        <v>CU0812</v>
      </c>
      <c r="C211" s="431" t="s">
        <v>755</v>
      </c>
      <c r="D211" s="367" t="s">
        <v>1541</v>
      </c>
      <c r="E211" s="367" t="s">
        <v>1534</v>
      </c>
      <c r="F211" s="439">
        <v>43525</v>
      </c>
      <c r="G211" s="430">
        <v>4445.97</v>
      </c>
      <c r="H211" s="440"/>
      <c r="I211" s="440">
        <f t="shared" si="132"/>
        <v>4445.97</v>
      </c>
      <c r="J211" s="440"/>
      <c r="L211" s="462">
        <f t="shared" si="133"/>
        <v>4445.97</v>
      </c>
      <c r="M211" s="462"/>
      <c r="N211" s="444"/>
      <c r="O211" s="462">
        <f t="shared" si="134"/>
        <v>4445.97</v>
      </c>
      <c r="P211" s="447" t="s">
        <v>1559</v>
      </c>
      <c r="R211" s="462">
        <f t="shared" si="135"/>
        <v>4445.97</v>
      </c>
      <c r="S211" s="447" t="s">
        <v>1577</v>
      </c>
      <c r="U211" s="462">
        <f t="shared" si="107"/>
        <v>4445.97</v>
      </c>
      <c r="V211" s="447" t="s">
        <v>1629</v>
      </c>
      <c r="X211" s="462">
        <f t="shared" si="108"/>
        <v>4445.97</v>
      </c>
      <c r="Y211" s="447" t="s">
        <v>1664</v>
      </c>
      <c r="AA211" s="462">
        <f t="shared" si="131"/>
        <v>4445.97</v>
      </c>
      <c r="AB211" s="447" t="s">
        <v>1719</v>
      </c>
      <c r="AC211" s="462">
        <f>AA211</f>
        <v>4445.97</v>
      </c>
      <c r="AD211" s="462">
        <f t="shared" si="109"/>
        <v>0</v>
      </c>
      <c r="AE211" s="447" t="s">
        <v>1748</v>
      </c>
      <c r="AG211" s="462">
        <f t="shared" si="110"/>
        <v>0</v>
      </c>
      <c r="AH211" s="447" t="s">
        <v>1822</v>
      </c>
      <c r="AJ211" s="462">
        <f t="shared" si="111"/>
        <v>0</v>
      </c>
      <c r="AM211" s="462">
        <f t="shared" si="112"/>
        <v>0</v>
      </c>
      <c r="AN211" s="447" t="s">
        <v>1970</v>
      </c>
      <c r="AP211" s="462">
        <f t="shared" si="113"/>
        <v>0</v>
      </c>
      <c r="AQ211" s="447" t="s">
        <v>1998</v>
      </c>
      <c r="AS211" s="459">
        <f t="shared" si="114"/>
        <v>0</v>
      </c>
      <c r="AV211" s="462">
        <f t="shared" si="115"/>
        <v>0</v>
      </c>
      <c r="AY211" s="462">
        <f t="shared" si="116"/>
        <v>0</v>
      </c>
      <c r="BB211" s="462">
        <f t="shared" si="117"/>
        <v>0</v>
      </c>
      <c r="BC211" s="447" t="s">
        <v>2204</v>
      </c>
      <c r="BE211" s="462">
        <f t="shared" si="118"/>
        <v>0</v>
      </c>
      <c r="BH211" s="462">
        <f t="shared" si="119"/>
        <v>0</v>
      </c>
      <c r="BK211" s="462">
        <f t="shared" si="120"/>
        <v>0</v>
      </c>
      <c r="BN211" s="462">
        <f t="shared" si="121"/>
        <v>0</v>
      </c>
      <c r="BQ211" s="462">
        <f t="shared" si="122"/>
        <v>0</v>
      </c>
      <c r="BT211" s="462">
        <f t="shared" si="123"/>
        <v>0</v>
      </c>
      <c r="BW211" s="462">
        <f t="shared" si="124"/>
        <v>0</v>
      </c>
      <c r="BZ211" s="462">
        <f t="shared" si="125"/>
        <v>0</v>
      </c>
      <c r="CD211" s="418" t="str">
        <f t="shared" si="126"/>
        <v>CU0812001</v>
      </c>
      <c r="CE211" s="442" t="str">
        <f t="shared" si="127"/>
        <v>2019年3月</v>
      </c>
      <c r="CF211" s="418" t="str">
        <f t="shared" si="128"/>
        <v>上海恩派社clife服务费暂估</v>
      </c>
      <c r="CG211" s="418" t="str">
        <f t="shared" si="129"/>
        <v>2019年3月上海恩派社clife服务费暂估</v>
      </c>
    </row>
    <row r="212" spans="2:85" s="447" customFormat="1" ht="17.25" customHeight="1">
      <c r="B212" s="447" t="str">
        <f t="shared" si="104"/>
        <v>CU0822</v>
      </c>
      <c r="C212" s="431" t="s">
        <v>755</v>
      </c>
      <c r="D212" s="367" t="s">
        <v>1542</v>
      </c>
      <c r="E212" s="367" t="s">
        <v>239</v>
      </c>
      <c r="F212" s="439">
        <v>43525</v>
      </c>
      <c r="G212" s="430">
        <v>23488.1</v>
      </c>
      <c r="H212" s="440"/>
      <c r="I212" s="440">
        <f t="shared" si="132"/>
        <v>23488.1</v>
      </c>
      <c r="J212" s="440"/>
      <c r="L212" s="462">
        <f t="shared" si="133"/>
        <v>23488.1</v>
      </c>
      <c r="M212" s="462"/>
      <c r="N212" s="444"/>
      <c r="O212" s="462">
        <f t="shared" si="134"/>
        <v>23488.1</v>
      </c>
      <c r="P212" s="447" t="s">
        <v>1559</v>
      </c>
      <c r="R212" s="462">
        <f t="shared" si="135"/>
        <v>23488.1</v>
      </c>
      <c r="S212" s="447" t="s">
        <v>1577</v>
      </c>
      <c r="U212" s="462">
        <f t="shared" si="107"/>
        <v>23488.1</v>
      </c>
      <c r="V212" s="447" t="s">
        <v>1629</v>
      </c>
      <c r="W212" s="462">
        <f>U212</f>
        <v>23488.1</v>
      </c>
      <c r="X212" s="462">
        <f t="shared" si="108"/>
        <v>0</v>
      </c>
      <c r="Y212" s="447" t="s">
        <v>1664</v>
      </c>
      <c r="AA212" s="462">
        <f t="shared" si="131"/>
        <v>0</v>
      </c>
      <c r="AB212" s="447" t="s">
        <v>1719</v>
      </c>
      <c r="AD212" s="462">
        <f t="shared" si="109"/>
        <v>0</v>
      </c>
      <c r="AE212" s="447" t="s">
        <v>1748</v>
      </c>
      <c r="AG212" s="462">
        <f t="shared" si="110"/>
        <v>0</v>
      </c>
      <c r="AH212" s="447" t="s">
        <v>1822</v>
      </c>
      <c r="AJ212" s="462">
        <f t="shared" si="111"/>
        <v>0</v>
      </c>
      <c r="AM212" s="462">
        <f t="shared" si="112"/>
        <v>0</v>
      </c>
      <c r="AN212" s="447" t="s">
        <v>1970</v>
      </c>
      <c r="AP212" s="462">
        <f t="shared" si="113"/>
        <v>0</v>
      </c>
      <c r="AQ212" s="447" t="s">
        <v>1998</v>
      </c>
      <c r="AS212" s="459">
        <f t="shared" si="114"/>
        <v>0</v>
      </c>
      <c r="AV212" s="462">
        <f t="shared" si="115"/>
        <v>0</v>
      </c>
      <c r="AY212" s="462">
        <f t="shared" si="116"/>
        <v>0</v>
      </c>
      <c r="BB212" s="462">
        <f t="shared" si="117"/>
        <v>0</v>
      </c>
      <c r="BC212" s="447" t="s">
        <v>2204</v>
      </c>
      <c r="BE212" s="462">
        <f t="shared" si="118"/>
        <v>0</v>
      </c>
      <c r="BH212" s="462">
        <f t="shared" si="119"/>
        <v>0</v>
      </c>
      <c r="BK212" s="462">
        <f t="shared" si="120"/>
        <v>0</v>
      </c>
      <c r="BN212" s="462">
        <f t="shared" si="121"/>
        <v>0</v>
      </c>
      <c r="BQ212" s="462">
        <f t="shared" si="122"/>
        <v>0</v>
      </c>
      <c r="BT212" s="462">
        <f t="shared" si="123"/>
        <v>0</v>
      </c>
      <c r="BW212" s="462">
        <f t="shared" si="124"/>
        <v>0</v>
      </c>
      <c r="BZ212" s="462">
        <f t="shared" si="125"/>
        <v>0</v>
      </c>
      <c r="CD212" s="418" t="str">
        <f t="shared" si="126"/>
        <v>CU0822001</v>
      </c>
      <c r="CE212" s="442" t="str">
        <f t="shared" si="127"/>
        <v>2019年3月</v>
      </c>
      <c r="CF212" s="418" t="str">
        <f t="shared" si="128"/>
        <v>美克国际家clife服务费暂估</v>
      </c>
      <c r="CG212" s="418" t="str">
        <f t="shared" si="129"/>
        <v>2019年3月美克国际家clife服务费暂估</v>
      </c>
    </row>
    <row r="213" spans="2:85" s="447" customFormat="1" ht="17.25" customHeight="1">
      <c r="B213" s="447" t="str">
        <f t="shared" si="104"/>
        <v>CU0823</v>
      </c>
      <c r="C213" s="431" t="s">
        <v>755</v>
      </c>
      <c r="D213" s="367" t="s">
        <v>1543</v>
      </c>
      <c r="E213" s="367" t="s">
        <v>581</v>
      </c>
      <c r="F213" s="439">
        <v>43525</v>
      </c>
      <c r="G213" s="430">
        <v>5437.77</v>
      </c>
      <c r="H213" s="440"/>
      <c r="I213" s="440">
        <f t="shared" si="132"/>
        <v>5437.77</v>
      </c>
      <c r="J213" s="440"/>
      <c r="L213" s="462">
        <f t="shared" si="133"/>
        <v>5437.77</v>
      </c>
      <c r="M213" s="462"/>
      <c r="N213" s="444"/>
      <c r="O213" s="462">
        <f t="shared" si="134"/>
        <v>5437.77</v>
      </c>
      <c r="P213" s="447" t="s">
        <v>1559</v>
      </c>
      <c r="R213" s="462">
        <f t="shared" si="135"/>
        <v>5437.77</v>
      </c>
      <c r="S213" s="447" t="s">
        <v>1577</v>
      </c>
      <c r="U213" s="462">
        <f t="shared" si="107"/>
        <v>5437.77</v>
      </c>
      <c r="V213" s="447" t="s">
        <v>1629</v>
      </c>
      <c r="X213" s="462">
        <f t="shared" si="108"/>
        <v>5437.77</v>
      </c>
      <c r="Y213" s="447" t="s">
        <v>1664</v>
      </c>
      <c r="AA213" s="462">
        <f t="shared" si="131"/>
        <v>5437.77</v>
      </c>
      <c r="AB213" s="447" t="s">
        <v>1719</v>
      </c>
      <c r="AD213" s="462">
        <f t="shared" si="109"/>
        <v>5437.77</v>
      </c>
      <c r="AE213" s="447" t="s">
        <v>1748</v>
      </c>
      <c r="AG213" s="462">
        <f t="shared" si="110"/>
        <v>5437.77</v>
      </c>
      <c r="AH213" s="447" t="s">
        <v>1822</v>
      </c>
      <c r="AI213" s="462"/>
      <c r="AJ213" s="462">
        <f t="shared" si="111"/>
        <v>5437.77</v>
      </c>
      <c r="AK213" s="447" t="s">
        <v>1865</v>
      </c>
      <c r="AL213" s="462">
        <f>AJ213</f>
        <v>5437.77</v>
      </c>
      <c r="AM213" s="462">
        <f t="shared" si="112"/>
        <v>0</v>
      </c>
      <c r="AN213" s="447" t="s">
        <v>1970</v>
      </c>
      <c r="AP213" s="462">
        <f t="shared" si="113"/>
        <v>0</v>
      </c>
      <c r="AQ213" s="447" t="s">
        <v>1998</v>
      </c>
      <c r="AS213" s="459">
        <f t="shared" si="114"/>
        <v>0</v>
      </c>
      <c r="AV213" s="462">
        <f t="shared" si="115"/>
        <v>0</v>
      </c>
      <c r="AY213" s="462">
        <f t="shared" si="116"/>
        <v>0</v>
      </c>
      <c r="BB213" s="462">
        <f t="shared" si="117"/>
        <v>0</v>
      </c>
      <c r="BC213" s="447" t="s">
        <v>2204</v>
      </c>
      <c r="BE213" s="462">
        <f t="shared" si="118"/>
        <v>0</v>
      </c>
      <c r="BH213" s="462">
        <f t="shared" si="119"/>
        <v>0</v>
      </c>
      <c r="BK213" s="462">
        <f t="shared" si="120"/>
        <v>0</v>
      </c>
      <c r="BN213" s="462">
        <f t="shared" si="121"/>
        <v>0</v>
      </c>
      <c r="BQ213" s="462">
        <f t="shared" si="122"/>
        <v>0</v>
      </c>
      <c r="BT213" s="462">
        <f t="shared" si="123"/>
        <v>0</v>
      </c>
      <c r="BW213" s="462">
        <f t="shared" si="124"/>
        <v>0</v>
      </c>
      <c r="BZ213" s="462">
        <f t="shared" si="125"/>
        <v>0</v>
      </c>
      <c r="CD213" s="418" t="str">
        <f t="shared" si="126"/>
        <v>CU0823001</v>
      </c>
      <c r="CE213" s="442" t="str">
        <f t="shared" si="127"/>
        <v>2019年3月</v>
      </c>
      <c r="CF213" s="418" t="str">
        <f t="shared" si="128"/>
        <v>凯杰生物工clife服务费暂估</v>
      </c>
      <c r="CG213" s="418" t="str">
        <f t="shared" si="129"/>
        <v>2019年3月凯杰生物工clife服务费暂估</v>
      </c>
    </row>
    <row r="214" spans="2:85" s="447" customFormat="1" ht="17.25" customHeight="1">
      <c r="B214" s="447" t="str">
        <f t="shared" si="104"/>
        <v>CU0824</v>
      </c>
      <c r="C214" s="431" t="s">
        <v>755</v>
      </c>
      <c r="D214" s="367" t="s">
        <v>1544</v>
      </c>
      <c r="E214" s="367" t="s">
        <v>1292</v>
      </c>
      <c r="F214" s="439">
        <v>43525</v>
      </c>
      <c r="G214" s="430">
        <v>16854.53</v>
      </c>
      <c r="H214" s="440"/>
      <c r="I214" s="440">
        <f t="shared" si="132"/>
        <v>16854.53</v>
      </c>
      <c r="J214" s="440"/>
      <c r="L214" s="462">
        <f t="shared" si="133"/>
        <v>16854.53</v>
      </c>
      <c r="M214" s="462"/>
      <c r="N214" s="444"/>
      <c r="O214" s="462">
        <f t="shared" si="134"/>
        <v>16854.53</v>
      </c>
      <c r="P214" s="447" t="s">
        <v>1559</v>
      </c>
      <c r="R214" s="462">
        <f t="shared" si="135"/>
        <v>16854.53</v>
      </c>
      <c r="S214" s="447" t="s">
        <v>1577</v>
      </c>
      <c r="U214" s="462">
        <f t="shared" si="107"/>
        <v>16854.53</v>
      </c>
      <c r="V214" s="447" t="s">
        <v>1629</v>
      </c>
      <c r="W214" s="462">
        <f>67000-W137-W160-W183</f>
        <v>11555.020000000011</v>
      </c>
      <c r="X214" s="462">
        <f t="shared" si="108"/>
        <v>5299.5099999999875</v>
      </c>
      <c r="Y214" s="447" t="s">
        <v>1664</v>
      </c>
      <c r="AA214" s="462">
        <f t="shared" si="131"/>
        <v>5299.5099999999875</v>
      </c>
      <c r="AB214" s="447" t="s">
        <v>1719</v>
      </c>
      <c r="AC214" s="447">
        <f>1741+3558.51</f>
        <v>5299.51</v>
      </c>
      <c r="AD214" s="462">
        <f t="shared" si="109"/>
        <v>-1.2732925824820995E-11</v>
      </c>
      <c r="AE214" s="447" t="s">
        <v>1748</v>
      </c>
      <c r="AG214" s="462">
        <f t="shared" si="110"/>
        <v>-1.2732925824820995E-11</v>
      </c>
      <c r="AH214" s="447" t="s">
        <v>1822</v>
      </c>
      <c r="AJ214" s="462">
        <f t="shared" si="111"/>
        <v>-1.2732925824820995E-11</v>
      </c>
      <c r="AM214" s="462">
        <f t="shared" si="112"/>
        <v>-1.2732925824820995E-11</v>
      </c>
      <c r="AN214" s="447" t="s">
        <v>1970</v>
      </c>
      <c r="AP214" s="462">
        <f t="shared" si="113"/>
        <v>-1.2732925824820995E-11</v>
      </c>
      <c r="AQ214" s="447" t="s">
        <v>1998</v>
      </c>
      <c r="AS214" s="459">
        <f t="shared" si="114"/>
        <v>-1.2732925824820995E-11</v>
      </c>
      <c r="AV214" s="462">
        <f t="shared" si="115"/>
        <v>-1.2732925824820995E-11</v>
      </c>
      <c r="AY214" s="462">
        <f t="shared" si="116"/>
        <v>-1.2732925824820995E-11</v>
      </c>
      <c r="BB214" s="462">
        <f t="shared" si="117"/>
        <v>-1.2732925824820995E-11</v>
      </c>
      <c r="BC214" s="447" t="s">
        <v>2204</v>
      </c>
      <c r="BE214" s="462">
        <f t="shared" si="118"/>
        <v>-1.2732925824820995E-11</v>
      </c>
      <c r="BH214" s="462">
        <f t="shared" si="119"/>
        <v>-1.2732925824820995E-11</v>
      </c>
      <c r="BK214" s="462">
        <f t="shared" si="120"/>
        <v>-1.2732925824820995E-11</v>
      </c>
      <c r="BN214" s="462">
        <f t="shared" si="121"/>
        <v>-1.2732925824820995E-11</v>
      </c>
      <c r="BQ214" s="462">
        <f t="shared" si="122"/>
        <v>0</v>
      </c>
      <c r="BT214" s="462">
        <f t="shared" si="123"/>
        <v>0</v>
      </c>
      <c r="BW214" s="462">
        <f t="shared" si="124"/>
        <v>0</v>
      </c>
      <c r="BZ214" s="462">
        <f t="shared" si="125"/>
        <v>0</v>
      </c>
      <c r="CD214" s="418" t="str">
        <f t="shared" si="126"/>
        <v>CU0824001</v>
      </c>
      <c r="CE214" s="442" t="str">
        <f t="shared" si="127"/>
        <v>2019年3月</v>
      </c>
      <c r="CF214" s="418" t="str">
        <f t="shared" si="128"/>
        <v>苏州舒尔贸clife服务费暂估</v>
      </c>
      <c r="CG214" s="418" t="str">
        <f t="shared" si="129"/>
        <v>2019年3月苏州舒尔贸clife服务费暂估</v>
      </c>
    </row>
    <row r="215" spans="2:85" s="447" customFormat="1" ht="17.25" customHeight="1">
      <c r="B215" s="447" t="str">
        <f t="shared" si="104"/>
        <v>CU0848</v>
      </c>
      <c r="C215" s="431" t="s">
        <v>755</v>
      </c>
      <c r="D215" s="367" t="s">
        <v>1545</v>
      </c>
      <c r="E215" s="367" t="s">
        <v>1470</v>
      </c>
      <c r="F215" s="439">
        <v>43525</v>
      </c>
      <c r="G215" s="430">
        <v>16772</v>
      </c>
      <c r="H215" s="440"/>
      <c r="I215" s="440">
        <f t="shared" si="132"/>
        <v>16772</v>
      </c>
      <c r="J215" s="440"/>
      <c r="L215" s="462">
        <f t="shared" si="133"/>
        <v>16772</v>
      </c>
      <c r="M215" s="462"/>
      <c r="N215" s="444"/>
      <c r="O215" s="462">
        <f t="shared" si="134"/>
        <v>16772</v>
      </c>
      <c r="P215" s="447" t="s">
        <v>1559</v>
      </c>
      <c r="R215" s="462">
        <f t="shared" si="135"/>
        <v>16772</v>
      </c>
      <c r="S215" s="447" t="s">
        <v>1577</v>
      </c>
      <c r="U215" s="462">
        <f t="shared" si="107"/>
        <v>16772</v>
      </c>
      <c r="V215" s="447" t="s">
        <v>1629</v>
      </c>
      <c r="X215" s="462">
        <f t="shared" si="108"/>
        <v>16772</v>
      </c>
      <c r="Y215" s="447" t="s">
        <v>1664</v>
      </c>
      <c r="AA215" s="462">
        <f t="shared" si="131"/>
        <v>16772</v>
      </c>
      <c r="AB215" s="447" t="s">
        <v>1719</v>
      </c>
      <c r="AC215" s="462">
        <f>AA215</f>
        <v>16772</v>
      </c>
      <c r="AD215" s="462">
        <f t="shared" si="109"/>
        <v>0</v>
      </c>
      <c r="AE215" s="447" t="s">
        <v>1748</v>
      </c>
      <c r="AG215" s="462">
        <f t="shared" si="110"/>
        <v>0</v>
      </c>
      <c r="AH215" s="447" t="s">
        <v>1822</v>
      </c>
      <c r="AJ215" s="462">
        <f t="shared" si="111"/>
        <v>0</v>
      </c>
      <c r="AM215" s="462">
        <f t="shared" si="112"/>
        <v>0</v>
      </c>
      <c r="AN215" s="447" t="s">
        <v>1970</v>
      </c>
      <c r="AP215" s="462">
        <f t="shared" si="113"/>
        <v>0</v>
      </c>
      <c r="AQ215" s="447" t="s">
        <v>1998</v>
      </c>
      <c r="AS215" s="459">
        <f t="shared" si="114"/>
        <v>0</v>
      </c>
      <c r="AV215" s="462">
        <f t="shared" si="115"/>
        <v>0</v>
      </c>
      <c r="AY215" s="462">
        <f t="shared" si="116"/>
        <v>0</v>
      </c>
      <c r="BB215" s="462">
        <f t="shared" si="117"/>
        <v>0</v>
      </c>
      <c r="BC215" s="447" t="s">
        <v>2204</v>
      </c>
      <c r="BE215" s="462">
        <f t="shared" si="118"/>
        <v>0</v>
      </c>
      <c r="BH215" s="462">
        <f t="shared" si="119"/>
        <v>0</v>
      </c>
      <c r="BK215" s="462">
        <f t="shared" si="120"/>
        <v>0</v>
      </c>
      <c r="BN215" s="462">
        <f t="shared" si="121"/>
        <v>0</v>
      </c>
      <c r="BQ215" s="462">
        <f t="shared" si="122"/>
        <v>0</v>
      </c>
      <c r="BT215" s="462">
        <f t="shared" si="123"/>
        <v>0</v>
      </c>
      <c r="BW215" s="462">
        <f t="shared" si="124"/>
        <v>0</v>
      </c>
      <c r="BZ215" s="462">
        <f t="shared" si="125"/>
        <v>0</v>
      </c>
      <c r="CD215" s="418" t="str">
        <f t="shared" si="126"/>
        <v>CU0848001</v>
      </c>
      <c r="CE215" s="442" t="str">
        <f t="shared" si="127"/>
        <v>2019年3月</v>
      </c>
      <c r="CF215" s="418" t="str">
        <f t="shared" si="128"/>
        <v>深圳欧贝特clife服务费暂估</v>
      </c>
      <c r="CG215" s="418" t="str">
        <f t="shared" si="129"/>
        <v>2019年3月深圳欧贝特clife服务费暂估</v>
      </c>
    </row>
    <row r="216" spans="2:85" s="447" customFormat="1" ht="17.25" customHeight="1">
      <c r="B216" s="447" t="str">
        <f t="shared" si="104"/>
        <v>CU0869</v>
      </c>
      <c r="C216" s="431" t="s">
        <v>755</v>
      </c>
      <c r="D216" s="367" t="s">
        <v>1546</v>
      </c>
      <c r="E216" s="367" t="s">
        <v>1469</v>
      </c>
      <c r="F216" s="439">
        <v>43525</v>
      </c>
      <c r="G216" s="430">
        <v>87334.04</v>
      </c>
      <c r="H216" s="440"/>
      <c r="I216" s="440">
        <f t="shared" si="132"/>
        <v>87334.04</v>
      </c>
      <c r="J216" s="440"/>
      <c r="L216" s="462">
        <f t="shared" si="133"/>
        <v>87334.04</v>
      </c>
      <c r="M216" s="462"/>
      <c r="N216" s="444"/>
      <c r="O216" s="462">
        <f t="shared" si="134"/>
        <v>87334.04</v>
      </c>
      <c r="P216" s="447" t="s">
        <v>1559</v>
      </c>
      <c r="R216" s="462">
        <f t="shared" si="135"/>
        <v>87334.04</v>
      </c>
      <c r="S216" s="447" t="s">
        <v>1577</v>
      </c>
      <c r="U216" s="462">
        <f t="shared" si="107"/>
        <v>87334.04</v>
      </c>
      <c r="V216" s="447" t="s">
        <v>1629</v>
      </c>
      <c r="X216" s="462">
        <f t="shared" si="108"/>
        <v>87334.04</v>
      </c>
      <c r="Y216" s="447" t="s">
        <v>1664</v>
      </c>
      <c r="AA216" s="462">
        <f t="shared" si="131"/>
        <v>87334.04</v>
      </c>
      <c r="AB216" s="447" t="s">
        <v>1719</v>
      </c>
      <c r="AC216" s="462">
        <f>ROUND(65700/1.06,2)-AC181</f>
        <v>23753.593018867919</v>
      </c>
      <c r="AD216" s="462">
        <f t="shared" si="109"/>
        <v>63580.446981132074</v>
      </c>
      <c r="AE216" s="447" t="s">
        <v>1748</v>
      </c>
      <c r="AF216" s="447">
        <f>ROUND(65700/1.06,2)</f>
        <v>61981.13</v>
      </c>
      <c r="AG216" s="462">
        <f t="shared" si="110"/>
        <v>1599.3169811320768</v>
      </c>
      <c r="AH216" s="447" t="s">
        <v>1822</v>
      </c>
      <c r="AI216" s="462">
        <f>AG216</f>
        <v>1599.3169811320768</v>
      </c>
      <c r="AJ216" s="462">
        <f t="shared" si="111"/>
        <v>0</v>
      </c>
      <c r="AM216" s="462">
        <f t="shared" si="112"/>
        <v>0</v>
      </c>
      <c r="AN216" s="447" t="s">
        <v>1970</v>
      </c>
      <c r="AP216" s="462">
        <f t="shared" si="113"/>
        <v>0</v>
      </c>
      <c r="AQ216" s="447" t="s">
        <v>1998</v>
      </c>
      <c r="AS216" s="459">
        <f t="shared" si="114"/>
        <v>0</v>
      </c>
      <c r="AV216" s="462">
        <f t="shared" si="115"/>
        <v>0</v>
      </c>
      <c r="AY216" s="462">
        <f t="shared" si="116"/>
        <v>0</v>
      </c>
      <c r="BB216" s="462">
        <f t="shared" si="117"/>
        <v>0</v>
      </c>
      <c r="BC216" s="447" t="s">
        <v>2204</v>
      </c>
      <c r="BE216" s="462">
        <f t="shared" si="118"/>
        <v>0</v>
      </c>
      <c r="BH216" s="462">
        <f t="shared" si="119"/>
        <v>0</v>
      </c>
      <c r="BK216" s="462">
        <f t="shared" si="120"/>
        <v>0</v>
      </c>
      <c r="BN216" s="462">
        <f t="shared" si="121"/>
        <v>0</v>
      </c>
      <c r="BQ216" s="462">
        <f t="shared" si="122"/>
        <v>0</v>
      </c>
      <c r="BT216" s="462">
        <f t="shared" si="123"/>
        <v>0</v>
      </c>
      <c r="BW216" s="462">
        <f t="shared" si="124"/>
        <v>0</v>
      </c>
      <c r="BZ216" s="462">
        <f t="shared" si="125"/>
        <v>0</v>
      </c>
      <c r="CD216" s="418" t="str">
        <f t="shared" si="126"/>
        <v>CU0869001</v>
      </c>
      <c r="CE216" s="442" t="str">
        <f t="shared" si="127"/>
        <v>2019年3月</v>
      </c>
      <c r="CF216" s="418" t="str">
        <f t="shared" si="128"/>
        <v>智睿clife服务费暂估</v>
      </c>
      <c r="CG216" s="418" t="str">
        <f t="shared" si="129"/>
        <v>2019年3月智睿clife服务费暂估</v>
      </c>
    </row>
    <row r="217" spans="2:85" s="447" customFormat="1" ht="17.25" customHeight="1">
      <c r="B217" s="447" t="str">
        <f t="shared" si="104"/>
        <v>CU0904</v>
      </c>
      <c r="C217" s="431" t="s">
        <v>755</v>
      </c>
      <c r="D217" s="367" t="s">
        <v>1547</v>
      </c>
      <c r="E217" s="367" t="s">
        <v>955</v>
      </c>
      <c r="F217" s="439">
        <v>43525</v>
      </c>
      <c r="G217" s="430">
        <v>24591</v>
      </c>
      <c r="H217" s="440"/>
      <c r="I217" s="440">
        <f t="shared" si="132"/>
        <v>24591</v>
      </c>
      <c r="J217" s="440"/>
      <c r="L217" s="462">
        <f t="shared" si="133"/>
        <v>24591</v>
      </c>
      <c r="M217" s="462"/>
      <c r="N217" s="444"/>
      <c r="O217" s="462">
        <f t="shared" si="134"/>
        <v>24591</v>
      </c>
      <c r="P217" s="447" t="s">
        <v>1559</v>
      </c>
      <c r="R217" s="462">
        <f t="shared" si="135"/>
        <v>24591</v>
      </c>
      <c r="S217" s="447" t="s">
        <v>1577</v>
      </c>
      <c r="U217" s="462">
        <f t="shared" si="107"/>
        <v>24591</v>
      </c>
      <c r="V217" s="447" t="s">
        <v>1629</v>
      </c>
      <c r="W217" s="462">
        <f>U217</f>
        <v>24591</v>
      </c>
      <c r="X217" s="462">
        <f t="shared" si="108"/>
        <v>0</v>
      </c>
      <c r="Y217" s="447" t="s">
        <v>1664</v>
      </c>
      <c r="AA217" s="462">
        <f t="shared" si="131"/>
        <v>0</v>
      </c>
      <c r="AB217" s="447" t="s">
        <v>1719</v>
      </c>
      <c r="AD217" s="462">
        <f t="shared" si="109"/>
        <v>0</v>
      </c>
      <c r="AE217" s="447" t="s">
        <v>1748</v>
      </c>
      <c r="AG217" s="462">
        <f t="shared" si="110"/>
        <v>0</v>
      </c>
      <c r="AH217" s="447" t="s">
        <v>1822</v>
      </c>
      <c r="AJ217" s="462">
        <f t="shared" si="111"/>
        <v>0</v>
      </c>
      <c r="AM217" s="462">
        <f t="shared" si="112"/>
        <v>0</v>
      </c>
      <c r="AN217" s="447" t="s">
        <v>1970</v>
      </c>
      <c r="AP217" s="462">
        <f t="shared" si="113"/>
        <v>0</v>
      </c>
      <c r="AQ217" s="447" t="s">
        <v>1998</v>
      </c>
      <c r="AS217" s="459">
        <f t="shared" si="114"/>
        <v>0</v>
      </c>
      <c r="AV217" s="462">
        <f t="shared" si="115"/>
        <v>0</v>
      </c>
      <c r="AY217" s="462">
        <f t="shared" si="116"/>
        <v>0</v>
      </c>
      <c r="BB217" s="462">
        <f t="shared" si="117"/>
        <v>0</v>
      </c>
      <c r="BC217" s="447" t="s">
        <v>2204</v>
      </c>
      <c r="BE217" s="462">
        <f t="shared" si="118"/>
        <v>0</v>
      </c>
      <c r="BH217" s="462">
        <f t="shared" si="119"/>
        <v>0</v>
      </c>
      <c r="BK217" s="462">
        <f t="shared" si="120"/>
        <v>0</v>
      </c>
      <c r="BN217" s="462">
        <f t="shared" si="121"/>
        <v>0</v>
      </c>
      <c r="BQ217" s="462">
        <f t="shared" si="122"/>
        <v>0</v>
      </c>
      <c r="BT217" s="462">
        <f t="shared" si="123"/>
        <v>0</v>
      </c>
      <c r="BW217" s="462">
        <f t="shared" si="124"/>
        <v>0</v>
      </c>
      <c r="BZ217" s="462">
        <f t="shared" si="125"/>
        <v>0</v>
      </c>
      <c r="CD217" s="418" t="str">
        <f t="shared" si="126"/>
        <v>CU0904001</v>
      </c>
      <c r="CE217" s="442" t="str">
        <f t="shared" si="127"/>
        <v>2019年3月</v>
      </c>
      <c r="CF217" s="418" t="str">
        <f t="shared" si="128"/>
        <v>紫光电子商clife服务费暂估</v>
      </c>
      <c r="CG217" s="418" t="str">
        <f t="shared" si="129"/>
        <v>2019年3月紫光电子商clife服务费暂估</v>
      </c>
    </row>
    <row r="218" spans="2:85" s="447" customFormat="1" ht="17.25" customHeight="1">
      <c r="B218" s="447" t="str">
        <f t="shared" si="104"/>
        <v>CU0914</v>
      </c>
      <c r="C218" s="431" t="s">
        <v>755</v>
      </c>
      <c r="D218" s="367" t="s">
        <v>1556</v>
      </c>
      <c r="E218" s="367" t="s">
        <v>1535</v>
      </c>
      <c r="F218" s="439">
        <v>43525</v>
      </c>
      <c r="G218" s="430">
        <v>614785.35</v>
      </c>
      <c r="H218" s="440"/>
      <c r="I218" s="440">
        <f t="shared" si="132"/>
        <v>614785.35</v>
      </c>
      <c r="J218" s="440"/>
      <c r="L218" s="462">
        <f t="shared" si="133"/>
        <v>614785.35</v>
      </c>
      <c r="M218" s="462"/>
      <c r="N218" s="444"/>
      <c r="O218" s="462">
        <f t="shared" si="134"/>
        <v>614785.35</v>
      </c>
      <c r="P218" s="447" t="s">
        <v>1559</v>
      </c>
      <c r="Q218" s="447">
        <v>614785.35</v>
      </c>
      <c r="R218" s="462">
        <f t="shared" si="135"/>
        <v>0</v>
      </c>
      <c r="S218" s="447" t="s">
        <v>1577</v>
      </c>
      <c r="U218" s="462">
        <f t="shared" si="107"/>
        <v>0</v>
      </c>
      <c r="V218" s="447" t="s">
        <v>1629</v>
      </c>
      <c r="X218" s="462">
        <f t="shared" si="108"/>
        <v>0</v>
      </c>
      <c r="Y218" s="447" t="s">
        <v>1664</v>
      </c>
      <c r="AA218" s="462">
        <f t="shared" si="131"/>
        <v>0</v>
      </c>
      <c r="AB218" s="447" t="s">
        <v>1719</v>
      </c>
      <c r="AD218" s="462">
        <f t="shared" si="109"/>
        <v>0</v>
      </c>
      <c r="AE218" s="447" t="s">
        <v>1748</v>
      </c>
      <c r="AG218" s="462">
        <f t="shared" si="110"/>
        <v>0</v>
      </c>
      <c r="AH218" s="447" t="s">
        <v>1822</v>
      </c>
      <c r="AJ218" s="462">
        <f t="shared" si="111"/>
        <v>0</v>
      </c>
      <c r="AM218" s="462">
        <f t="shared" si="112"/>
        <v>0</v>
      </c>
      <c r="AN218" s="447" t="s">
        <v>1970</v>
      </c>
      <c r="AP218" s="462">
        <f t="shared" si="113"/>
        <v>0</v>
      </c>
      <c r="AQ218" s="447" t="s">
        <v>1998</v>
      </c>
      <c r="AS218" s="459">
        <f t="shared" si="114"/>
        <v>0</v>
      </c>
      <c r="AV218" s="462">
        <f t="shared" si="115"/>
        <v>0</v>
      </c>
      <c r="AY218" s="462">
        <f t="shared" si="116"/>
        <v>0</v>
      </c>
      <c r="BB218" s="462">
        <f t="shared" si="117"/>
        <v>0</v>
      </c>
      <c r="BC218" s="447" t="s">
        <v>2204</v>
      </c>
      <c r="BE218" s="462">
        <f t="shared" si="118"/>
        <v>0</v>
      </c>
      <c r="BH218" s="462">
        <f t="shared" si="119"/>
        <v>0</v>
      </c>
      <c r="BK218" s="462">
        <f t="shared" si="120"/>
        <v>0</v>
      </c>
      <c r="BN218" s="462">
        <f t="shared" si="121"/>
        <v>0</v>
      </c>
      <c r="BQ218" s="462">
        <f t="shared" si="122"/>
        <v>0</v>
      </c>
      <c r="BT218" s="462">
        <f t="shared" si="123"/>
        <v>0</v>
      </c>
      <c r="BW218" s="462">
        <f t="shared" si="124"/>
        <v>0</v>
      </c>
      <c r="BZ218" s="462">
        <f t="shared" si="125"/>
        <v>0</v>
      </c>
      <c r="CD218" s="418" t="str">
        <f t="shared" si="126"/>
        <v>CU0914001</v>
      </c>
      <c r="CE218" s="442" t="str">
        <f t="shared" si="127"/>
        <v>2019年3月</v>
      </c>
      <c r="CF218" s="418" t="str">
        <f t="shared" si="128"/>
        <v>鑫车投资（clife服务费暂估</v>
      </c>
      <c r="CG218" s="418" t="str">
        <f t="shared" si="129"/>
        <v>2019年3月鑫车投资（clife服务费暂估</v>
      </c>
    </row>
    <row r="219" spans="2:85" s="447" customFormat="1" ht="17.25" customHeight="1">
      <c r="B219" s="447" t="str">
        <f t="shared" si="104"/>
        <v>CU1016</v>
      </c>
      <c r="C219" s="431" t="s">
        <v>755</v>
      </c>
      <c r="D219" s="367" t="s">
        <v>1548</v>
      </c>
      <c r="E219" s="367" t="s">
        <v>1536</v>
      </c>
      <c r="F219" s="439">
        <v>43525</v>
      </c>
      <c r="G219" s="430">
        <v>2727.42</v>
      </c>
      <c r="H219" s="440"/>
      <c r="I219" s="440">
        <f t="shared" si="132"/>
        <v>2727.42</v>
      </c>
      <c r="J219" s="440"/>
      <c r="L219" s="462">
        <f t="shared" si="133"/>
        <v>2727.42</v>
      </c>
      <c r="M219" s="462"/>
      <c r="N219" s="444"/>
      <c r="O219" s="462">
        <f t="shared" si="134"/>
        <v>2727.42</v>
      </c>
      <c r="P219" s="447" t="s">
        <v>1559</v>
      </c>
      <c r="R219" s="462">
        <f t="shared" si="135"/>
        <v>2727.42</v>
      </c>
      <c r="S219" s="447" t="s">
        <v>1577</v>
      </c>
      <c r="U219" s="462">
        <f t="shared" si="107"/>
        <v>2727.42</v>
      </c>
      <c r="V219" s="447" t="s">
        <v>1629</v>
      </c>
      <c r="X219" s="462">
        <f t="shared" si="108"/>
        <v>2727.42</v>
      </c>
      <c r="Y219" s="447" t="s">
        <v>1664</v>
      </c>
      <c r="AA219" s="462">
        <f t="shared" si="131"/>
        <v>2727.42</v>
      </c>
      <c r="AB219" s="447" t="s">
        <v>1719</v>
      </c>
      <c r="AC219" s="462">
        <f>AA219</f>
        <v>2727.42</v>
      </c>
      <c r="AD219" s="462">
        <f t="shared" si="109"/>
        <v>0</v>
      </c>
      <c r="AE219" s="447" t="s">
        <v>1748</v>
      </c>
      <c r="AG219" s="462">
        <f t="shared" si="110"/>
        <v>0</v>
      </c>
      <c r="AH219" s="447" t="s">
        <v>1822</v>
      </c>
      <c r="AJ219" s="462">
        <f t="shared" si="111"/>
        <v>0</v>
      </c>
      <c r="AM219" s="462">
        <f t="shared" si="112"/>
        <v>0</v>
      </c>
      <c r="AN219" s="447" t="s">
        <v>1970</v>
      </c>
      <c r="AP219" s="462">
        <f t="shared" si="113"/>
        <v>0</v>
      </c>
      <c r="AQ219" s="447" t="s">
        <v>1998</v>
      </c>
      <c r="AS219" s="459">
        <f t="shared" si="114"/>
        <v>0</v>
      </c>
      <c r="AV219" s="462">
        <f t="shared" si="115"/>
        <v>0</v>
      </c>
      <c r="AY219" s="462">
        <f t="shared" si="116"/>
        <v>0</v>
      </c>
      <c r="BB219" s="462">
        <f t="shared" si="117"/>
        <v>0</v>
      </c>
      <c r="BC219" s="447" t="s">
        <v>2204</v>
      </c>
      <c r="BE219" s="462">
        <f t="shared" si="118"/>
        <v>0</v>
      </c>
      <c r="BH219" s="462">
        <f t="shared" si="119"/>
        <v>0</v>
      </c>
      <c r="BK219" s="462">
        <f t="shared" si="120"/>
        <v>0</v>
      </c>
      <c r="BN219" s="462">
        <f t="shared" si="121"/>
        <v>0</v>
      </c>
      <c r="BQ219" s="462">
        <f t="shared" si="122"/>
        <v>0</v>
      </c>
      <c r="BT219" s="462">
        <f t="shared" si="123"/>
        <v>0</v>
      </c>
      <c r="BW219" s="462">
        <f t="shared" si="124"/>
        <v>0</v>
      </c>
      <c r="BZ219" s="462">
        <f t="shared" si="125"/>
        <v>0</v>
      </c>
      <c r="CD219" s="418" t="str">
        <f t="shared" si="126"/>
        <v>CU1016001</v>
      </c>
      <c r="CE219" s="442" t="str">
        <f t="shared" si="127"/>
        <v>2019年3月</v>
      </c>
      <c r="CF219" s="418" t="str">
        <f t="shared" si="128"/>
        <v>乔治阿玛尼clife服务费暂估</v>
      </c>
      <c r="CG219" s="418" t="str">
        <f t="shared" si="129"/>
        <v>2019年3月乔治阿玛尼clife服务费暂估</v>
      </c>
    </row>
    <row r="220" spans="2:85" s="447" customFormat="1" ht="17.25" customHeight="1">
      <c r="B220" s="447" t="str">
        <f t="shared" si="104"/>
        <v>CU1054</v>
      </c>
      <c r="C220" s="431" t="s">
        <v>755</v>
      </c>
      <c r="D220" s="367" t="s">
        <v>1558</v>
      </c>
      <c r="E220" s="367" t="s">
        <v>1508</v>
      </c>
      <c r="F220" s="439">
        <v>43525</v>
      </c>
      <c r="G220" s="430">
        <v>21509.43</v>
      </c>
      <c r="H220" s="440"/>
      <c r="I220" s="440">
        <f t="shared" si="132"/>
        <v>21509.43</v>
      </c>
      <c r="J220" s="440"/>
      <c r="L220" s="462">
        <f t="shared" si="133"/>
        <v>21509.43</v>
      </c>
      <c r="M220" s="462"/>
      <c r="N220" s="444"/>
      <c r="O220" s="462">
        <f t="shared" si="134"/>
        <v>21509.43</v>
      </c>
      <c r="P220" s="447" t="s">
        <v>1559</v>
      </c>
      <c r="Q220" s="447">
        <v>21509.43</v>
      </c>
      <c r="R220" s="462">
        <f t="shared" si="135"/>
        <v>0</v>
      </c>
      <c r="S220" s="447" t="s">
        <v>1577</v>
      </c>
      <c r="U220" s="462">
        <f t="shared" si="107"/>
        <v>0</v>
      </c>
      <c r="V220" s="447" t="s">
        <v>1629</v>
      </c>
      <c r="X220" s="462">
        <f t="shared" si="108"/>
        <v>0</v>
      </c>
      <c r="Y220" s="447" t="s">
        <v>1664</v>
      </c>
      <c r="AA220" s="462">
        <f t="shared" si="131"/>
        <v>0</v>
      </c>
      <c r="AB220" s="447" t="s">
        <v>1719</v>
      </c>
      <c r="AD220" s="462">
        <f t="shared" si="109"/>
        <v>0</v>
      </c>
      <c r="AE220" s="447" t="s">
        <v>1748</v>
      </c>
      <c r="AG220" s="462">
        <f t="shared" si="110"/>
        <v>0</v>
      </c>
      <c r="AH220" s="447" t="s">
        <v>1822</v>
      </c>
      <c r="AJ220" s="462">
        <f t="shared" si="111"/>
        <v>0</v>
      </c>
      <c r="AM220" s="462">
        <f t="shared" si="112"/>
        <v>0</v>
      </c>
      <c r="AN220" s="447" t="s">
        <v>1970</v>
      </c>
      <c r="AP220" s="462">
        <f t="shared" si="113"/>
        <v>0</v>
      </c>
      <c r="AQ220" s="447" t="s">
        <v>1998</v>
      </c>
      <c r="AS220" s="459">
        <f t="shared" si="114"/>
        <v>0</v>
      </c>
      <c r="AV220" s="462">
        <f t="shared" si="115"/>
        <v>0</v>
      </c>
      <c r="AY220" s="462">
        <f t="shared" si="116"/>
        <v>0</v>
      </c>
      <c r="BB220" s="462">
        <f t="shared" si="117"/>
        <v>0</v>
      </c>
      <c r="BC220" s="447" t="s">
        <v>2204</v>
      </c>
      <c r="BE220" s="462">
        <f t="shared" si="118"/>
        <v>0</v>
      </c>
      <c r="BH220" s="462">
        <f t="shared" si="119"/>
        <v>0</v>
      </c>
      <c r="BK220" s="462">
        <f t="shared" si="120"/>
        <v>0</v>
      </c>
      <c r="BN220" s="462">
        <f t="shared" si="121"/>
        <v>0</v>
      </c>
      <c r="BQ220" s="462">
        <f t="shared" si="122"/>
        <v>0</v>
      </c>
      <c r="BT220" s="462">
        <f t="shared" si="123"/>
        <v>0</v>
      </c>
      <c r="BW220" s="462">
        <f t="shared" si="124"/>
        <v>0</v>
      </c>
      <c r="BZ220" s="462">
        <f t="shared" si="125"/>
        <v>0</v>
      </c>
      <c r="CD220" s="418" t="str">
        <f t="shared" si="126"/>
        <v>CU1054001</v>
      </c>
      <c r="CE220" s="442" t="str">
        <f t="shared" si="127"/>
        <v>2019年3月</v>
      </c>
      <c r="CF220" s="418" t="str">
        <f t="shared" si="128"/>
        <v>北京金未来clife服务费暂估</v>
      </c>
      <c r="CG220" s="418" t="str">
        <f t="shared" si="129"/>
        <v>2019年3月北京金未来clife服务费暂估</v>
      </c>
    </row>
    <row r="221" spans="2:85" s="447" customFormat="1" ht="17.25" customHeight="1">
      <c r="B221" s="447" t="str">
        <f t="shared" si="104"/>
        <v>CU1065</v>
      </c>
      <c r="C221" s="431" t="s">
        <v>755</v>
      </c>
      <c r="D221" s="367" t="s">
        <v>1557</v>
      </c>
      <c r="E221" s="367" t="s">
        <v>1332</v>
      </c>
      <c r="F221" s="439">
        <v>43525</v>
      </c>
      <c r="G221" s="430">
        <v>423426.98</v>
      </c>
      <c r="H221" s="440"/>
      <c r="I221" s="440">
        <f t="shared" si="132"/>
        <v>423426.98</v>
      </c>
      <c r="J221" s="440"/>
      <c r="L221" s="462">
        <f t="shared" si="133"/>
        <v>423426.98</v>
      </c>
      <c r="M221" s="462"/>
      <c r="N221" s="444"/>
      <c r="O221" s="462">
        <f t="shared" si="134"/>
        <v>423426.98</v>
      </c>
      <c r="P221" s="447" t="s">
        <v>1559</v>
      </c>
      <c r="R221" s="462">
        <f t="shared" si="135"/>
        <v>423426.98</v>
      </c>
      <c r="S221" s="447" t="s">
        <v>1577</v>
      </c>
      <c r="T221" s="444">
        <f>371665/1.06+72799.62</f>
        <v>423426.97849056602</v>
      </c>
      <c r="U221" s="462">
        <f t="shared" si="107"/>
        <v>1.5094339614734054E-3</v>
      </c>
      <c r="V221" s="447" t="s">
        <v>1629</v>
      </c>
      <c r="X221" s="462">
        <f t="shared" si="108"/>
        <v>1.5094339614734054E-3</v>
      </c>
      <c r="Y221" s="447" t="s">
        <v>1664</v>
      </c>
      <c r="AA221" s="462">
        <f t="shared" si="131"/>
        <v>1.5094339614734054E-3</v>
      </c>
      <c r="AB221" s="447" t="s">
        <v>1719</v>
      </c>
      <c r="AD221" s="462">
        <f t="shared" si="109"/>
        <v>1.5094339614734054E-3</v>
      </c>
      <c r="AE221" s="447" t="s">
        <v>1748</v>
      </c>
      <c r="AG221" s="462">
        <f t="shared" si="110"/>
        <v>1.5094339614734054E-3</v>
      </c>
      <c r="AH221" s="447" t="s">
        <v>1822</v>
      </c>
      <c r="AJ221" s="462">
        <f t="shared" si="111"/>
        <v>1.5094339614734054E-3</v>
      </c>
      <c r="AM221" s="462">
        <f t="shared" si="112"/>
        <v>1.5094339614734054E-3</v>
      </c>
      <c r="AN221" s="447" t="s">
        <v>1970</v>
      </c>
      <c r="AP221" s="462">
        <f t="shared" si="113"/>
        <v>1.5094339614734054E-3</v>
      </c>
      <c r="AQ221" s="447" t="s">
        <v>1998</v>
      </c>
      <c r="AS221" s="459">
        <f t="shared" si="114"/>
        <v>1.5094339614734054E-3</v>
      </c>
      <c r="AV221" s="462">
        <f t="shared" si="115"/>
        <v>1.5094339614734054E-3</v>
      </c>
      <c r="AY221" s="462">
        <f t="shared" si="116"/>
        <v>1.5094339614734054E-3</v>
      </c>
      <c r="BB221" s="462">
        <f t="shared" si="117"/>
        <v>1.5094339614734054E-3</v>
      </c>
      <c r="BC221" s="447" t="s">
        <v>2204</v>
      </c>
      <c r="BE221" s="462">
        <f t="shared" si="118"/>
        <v>1.5094339614734054E-3</v>
      </c>
      <c r="BH221" s="462">
        <f t="shared" si="119"/>
        <v>1.5094339614734054E-3</v>
      </c>
      <c r="BK221" s="462">
        <f t="shared" si="120"/>
        <v>1.5094339614734054E-3</v>
      </c>
      <c r="BN221" s="462">
        <f t="shared" si="121"/>
        <v>1.5094339614734054E-3</v>
      </c>
      <c r="BQ221" s="462">
        <f t="shared" si="122"/>
        <v>0</v>
      </c>
      <c r="BT221" s="462">
        <f t="shared" si="123"/>
        <v>0</v>
      </c>
      <c r="BW221" s="462">
        <f t="shared" si="124"/>
        <v>0</v>
      </c>
      <c r="BZ221" s="462">
        <f t="shared" si="125"/>
        <v>0</v>
      </c>
      <c r="CD221" s="418" t="str">
        <f t="shared" si="126"/>
        <v>CU1065001</v>
      </c>
      <c r="CE221" s="442" t="str">
        <f t="shared" si="127"/>
        <v>2019年3月</v>
      </c>
      <c r="CF221" s="418" t="str">
        <f t="shared" si="128"/>
        <v>湖北长江蔚clife服务费暂估</v>
      </c>
      <c r="CG221" s="418" t="str">
        <f t="shared" si="129"/>
        <v>2019年3月湖北长江蔚clife服务费暂估</v>
      </c>
    </row>
    <row r="222" spans="2:85" s="447" customFormat="1" ht="17.25" customHeight="1">
      <c r="B222" s="447" t="str">
        <f t="shared" si="104"/>
        <v>CU1149</v>
      </c>
      <c r="C222" s="431" t="s">
        <v>755</v>
      </c>
      <c r="D222" s="367" t="s">
        <v>1969</v>
      </c>
      <c r="E222" s="367" t="s">
        <v>1510</v>
      </c>
      <c r="F222" s="439">
        <v>43525</v>
      </c>
      <c r="G222" s="430">
        <v>19397.75</v>
      </c>
      <c r="H222" s="440"/>
      <c r="I222" s="440">
        <f t="shared" si="132"/>
        <v>19397.75</v>
      </c>
      <c r="J222" s="440"/>
      <c r="L222" s="462">
        <f t="shared" si="133"/>
        <v>19397.75</v>
      </c>
      <c r="M222" s="462"/>
      <c r="N222" s="444"/>
      <c r="O222" s="462">
        <f t="shared" si="134"/>
        <v>19397.75</v>
      </c>
      <c r="P222" s="447" t="s">
        <v>1559</v>
      </c>
      <c r="R222" s="462">
        <f t="shared" si="135"/>
        <v>19397.75</v>
      </c>
      <c r="S222" s="447" t="s">
        <v>1577</v>
      </c>
      <c r="U222" s="462">
        <f t="shared" si="107"/>
        <v>19397.75</v>
      </c>
      <c r="V222" s="447" t="s">
        <v>1629</v>
      </c>
      <c r="X222" s="462">
        <f t="shared" si="108"/>
        <v>19397.75</v>
      </c>
      <c r="Y222" s="447" t="s">
        <v>1664</v>
      </c>
      <c r="AA222" s="462">
        <f t="shared" si="131"/>
        <v>19397.75</v>
      </c>
      <c r="AB222" s="447" t="s">
        <v>1719</v>
      </c>
      <c r="AD222" s="462">
        <f t="shared" si="109"/>
        <v>19397.75</v>
      </c>
      <c r="AE222" s="447" t="s">
        <v>1748</v>
      </c>
      <c r="AG222" s="462">
        <f t="shared" si="110"/>
        <v>19397.75</v>
      </c>
      <c r="AH222" s="447" t="s">
        <v>1822</v>
      </c>
      <c r="AJ222" s="462">
        <f t="shared" si="111"/>
        <v>19397.75</v>
      </c>
      <c r="AK222" s="447" t="s">
        <v>1865</v>
      </c>
      <c r="AM222" s="462">
        <f t="shared" si="112"/>
        <v>19397.75</v>
      </c>
      <c r="AN222" s="447" t="s">
        <v>1970</v>
      </c>
      <c r="AP222" s="462">
        <f t="shared" si="113"/>
        <v>19397.75</v>
      </c>
      <c r="AQ222" s="447" t="s">
        <v>1998</v>
      </c>
      <c r="AS222" s="459">
        <f t="shared" si="114"/>
        <v>19397.75</v>
      </c>
      <c r="AV222" s="462">
        <f t="shared" si="115"/>
        <v>19397.75</v>
      </c>
      <c r="AW222" s="447" t="s">
        <v>2107</v>
      </c>
      <c r="AY222" s="462">
        <f t="shared" si="116"/>
        <v>19397.75</v>
      </c>
      <c r="AZ222" s="447" t="s">
        <v>2131</v>
      </c>
      <c r="BB222" s="462">
        <f t="shared" si="117"/>
        <v>19397.75</v>
      </c>
      <c r="BC222" s="447" t="s">
        <v>2204</v>
      </c>
      <c r="BE222" s="462">
        <f t="shared" si="118"/>
        <v>19397.75</v>
      </c>
      <c r="BF222" s="447" t="s">
        <v>2237</v>
      </c>
      <c r="BH222" s="462">
        <f t="shared" si="119"/>
        <v>19397.75</v>
      </c>
      <c r="BI222" s="447" t="s">
        <v>2292</v>
      </c>
      <c r="BK222" s="462">
        <f t="shared" si="120"/>
        <v>19397.75</v>
      </c>
      <c r="BL222" s="447" t="s">
        <v>2339</v>
      </c>
      <c r="BN222" s="462">
        <f t="shared" si="121"/>
        <v>19397.75</v>
      </c>
      <c r="BO222" s="447" t="s">
        <v>2365</v>
      </c>
      <c r="BQ222" s="462">
        <f t="shared" si="122"/>
        <v>19397.75</v>
      </c>
      <c r="BR222" s="447" t="s">
        <v>2374</v>
      </c>
      <c r="BT222" s="462">
        <f t="shared" si="123"/>
        <v>19397.75</v>
      </c>
      <c r="BU222" s="447" t="s">
        <v>2134</v>
      </c>
      <c r="BW222" s="462">
        <f t="shared" si="124"/>
        <v>19397.75</v>
      </c>
      <c r="BZ222" s="462">
        <f t="shared" si="125"/>
        <v>19397.75</v>
      </c>
      <c r="CD222" s="418" t="str">
        <f t="shared" si="126"/>
        <v>CU1149001</v>
      </c>
      <c r="CE222" s="442" t="str">
        <f t="shared" si="127"/>
        <v>2019年3月</v>
      </c>
      <c r="CF222" s="418" t="str">
        <f t="shared" si="128"/>
        <v>好车酷酷二clife服务费暂估</v>
      </c>
      <c r="CG222" s="418" t="str">
        <f t="shared" si="129"/>
        <v>2019年3月好车酷酷二clife服务费暂估</v>
      </c>
    </row>
    <row r="223" spans="2:85" s="447" customFormat="1" ht="17.25" customHeight="1">
      <c r="B223" s="447" t="str">
        <f t="shared" si="104"/>
        <v>CU1198</v>
      </c>
      <c r="C223" s="431" t="s">
        <v>755</v>
      </c>
      <c r="D223" s="367" t="s">
        <v>1538</v>
      </c>
      <c r="E223" s="367" t="s">
        <v>1537</v>
      </c>
      <c r="F223" s="439">
        <v>43525</v>
      </c>
      <c r="G223" s="430">
        <v>47623.48</v>
      </c>
      <c r="H223" s="440"/>
      <c r="I223" s="440">
        <f t="shared" si="132"/>
        <v>47623.48</v>
      </c>
      <c r="J223" s="440"/>
      <c r="L223" s="462">
        <f t="shared" si="133"/>
        <v>47623.48</v>
      </c>
      <c r="M223" s="462"/>
      <c r="N223" s="444"/>
      <c r="O223" s="462">
        <f t="shared" si="134"/>
        <v>47623.48</v>
      </c>
      <c r="P223" s="447" t="s">
        <v>1559</v>
      </c>
      <c r="Q223" s="447">
        <v>47623.48</v>
      </c>
      <c r="R223" s="462">
        <f t="shared" si="135"/>
        <v>0</v>
      </c>
      <c r="S223" s="447" t="s">
        <v>1577</v>
      </c>
      <c r="U223" s="462">
        <f t="shared" si="107"/>
        <v>0</v>
      </c>
      <c r="V223" s="447" t="s">
        <v>1629</v>
      </c>
      <c r="X223" s="462">
        <f t="shared" si="108"/>
        <v>0</v>
      </c>
      <c r="Y223" s="447" t="s">
        <v>1664</v>
      </c>
      <c r="AA223" s="462">
        <f t="shared" si="131"/>
        <v>0</v>
      </c>
      <c r="AB223" s="447" t="s">
        <v>1719</v>
      </c>
      <c r="AD223" s="462">
        <f t="shared" si="109"/>
        <v>0</v>
      </c>
      <c r="AE223" s="447" t="s">
        <v>1748</v>
      </c>
      <c r="AG223" s="462">
        <f t="shared" si="110"/>
        <v>0</v>
      </c>
      <c r="AH223" s="447" t="s">
        <v>1822</v>
      </c>
      <c r="AJ223" s="462">
        <f t="shared" si="111"/>
        <v>0</v>
      </c>
      <c r="AM223" s="462">
        <f t="shared" si="112"/>
        <v>0</v>
      </c>
      <c r="AN223" s="447" t="s">
        <v>1970</v>
      </c>
      <c r="AP223" s="462">
        <f t="shared" si="113"/>
        <v>0</v>
      </c>
      <c r="AQ223" s="447" t="s">
        <v>1998</v>
      </c>
      <c r="AS223" s="459">
        <f t="shared" si="114"/>
        <v>0</v>
      </c>
      <c r="AV223" s="462">
        <f t="shared" si="115"/>
        <v>0</v>
      </c>
      <c r="AY223" s="462">
        <f t="shared" si="116"/>
        <v>0</v>
      </c>
      <c r="BB223" s="462">
        <f t="shared" si="117"/>
        <v>0</v>
      </c>
      <c r="BC223" s="447" t="s">
        <v>2204</v>
      </c>
      <c r="BE223" s="462">
        <f t="shared" si="118"/>
        <v>0</v>
      </c>
      <c r="BH223" s="462">
        <f t="shared" si="119"/>
        <v>0</v>
      </c>
      <c r="BK223" s="462">
        <f t="shared" si="120"/>
        <v>0</v>
      </c>
      <c r="BN223" s="462">
        <f t="shared" si="121"/>
        <v>0</v>
      </c>
      <c r="BQ223" s="462">
        <f t="shared" si="122"/>
        <v>0</v>
      </c>
      <c r="BT223" s="462">
        <f t="shared" si="123"/>
        <v>0</v>
      </c>
      <c r="BW223" s="462">
        <f t="shared" si="124"/>
        <v>0</v>
      </c>
      <c r="BZ223" s="462">
        <f t="shared" si="125"/>
        <v>0</v>
      </c>
      <c r="CD223" s="418" t="str">
        <f t="shared" si="126"/>
        <v>CU1198001</v>
      </c>
      <c r="CE223" s="442" t="str">
        <f t="shared" si="127"/>
        <v>2019年3月</v>
      </c>
      <c r="CF223" s="418" t="str">
        <f t="shared" si="128"/>
        <v>通用公正技clife服务费暂估</v>
      </c>
      <c r="CG223" s="418" t="str">
        <f t="shared" si="129"/>
        <v>2019年3月通用公正技clife服务费暂估</v>
      </c>
    </row>
    <row r="224" spans="2:85" s="447" customFormat="1" ht="17.25" customHeight="1">
      <c r="B224" s="447" t="str">
        <f t="shared" si="104"/>
        <v>CU0145</v>
      </c>
      <c r="C224" s="431" t="s">
        <v>755</v>
      </c>
      <c r="D224" s="367" t="s">
        <v>1451</v>
      </c>
      <c r="E224" s="367" t="s">
        <v>1323</v>
      </c>
      <c r="F224" s="439">
        <v>43556</v>
      </c>
      <c r="G224" s="430">
        <v>613534.78</v>
      </c>
      <c r="H224" s="440"/>
      <c r="I224" s="440">
        <f t="shared" si="132"/>
        <v>613534.78</v>
      </c>
      <c r="J224" s="440"/>
      <c r="L224" s="462">
        <f t="shared" si="133"/>
        <v>613534.78</v>
      </c>
      <c r="M224" s="462"/>
      <c r="N224" s="444"/>
      <c r="O224" s="462">
        <f t="shared" si="134"/>
        <v>613534.78</v>
      </c>
      <c r="R224" s="462">
        <f t="shared" si="135"/>
        <v>613534.78</v>
      </c>
      <c r="S224" s="447" t="s">
        <v>1605</v>
      </c>
      <c r="T224" s="462">
        <f>ROUND((161400/1.06),2)-T193-T202</f>
        <v>78797.177924528267</v>
      </c>
      <c r="U224" s="462">
        <f t="shared" si="107"/>
        <v>534737.60207547178</v>
      </c>
      <c r="V224" s="447" t="s">
        <v>1630</v>
      </c>
      <c r="X224" s="462">
        <f>ROUND(U224-W224,2)</f>
        <v>534737.6</v>
      </c>
      <c r="Y224" s="447" t="s">
        <v>1666</v>
      </c>
      <c r="Z224" s="444">
        <f>ROUND((217352+217352)/1.06,2)+124639.49</f>
        <v>534737.6</v>
      </c>
      <c r="AA224" s="462">
        <f t="shared" si="131"/>
        <v>0</v>
      </c>
      <c r="AB224" s="447" t="s">
        <v>1720</v>
      </c>
      <c r="AD224" s="462">
        <f t="shared" si="109"/>
        <v>0</v>
      </c>
      <c r="AE224" s="447" t="s">
        <v>1749</v>
      </c>
      <c r="AG224" s="462">
        <f t="shared" si="110"/>
        <v>0</v>
      </c>
      <c r="AH224" s="447" t="s">
        <v>1823</v>
      </c>
      <c r="AJ224" s="462">
        <f t="shared" si="111"/>
        <v>0</v>
      </c>
      <c r="AM224" s="462">
        <f t="shared" si="112"/>
        <v>0</v>
      </c>
      <c r="AN224" s="447" t="s">
        <v>1971</v>
      </c>
      <c r="AP224" s="462">
        <f t="shared" si="113"/>
        <v>0</v>
      </c>
      <c r="AQ224" s="447" t="s">
        <v>1999</v>
      </c>
      <c r="AS224" s="459">
        <f t="shared" si="114"/>
        <v>0</v>
      </c>
      <c r="AV224" s="462">
        <f t="shared" si="115"/>
        <v>0</v>
      </c>
      <c r="AY224" s="462">
        <f t="shared" si="116"/>
        <v>0</v>
      </c>
      <c r="BB224" s="462">
        <f t="shared" si="117"/>
        <v>0</v>
      </c>
      <c r="BC224" s="447" t="s">
        <v>2204</v>
      </c>
      <c r="BE224" s="462">
        <f t="shared" si="118"/>
        <v>0</v>
      </c>
      <c r="BH224" s="462">
        <f t="shared" si="119"/>
        <v>0</v>
      </c>
      <c r="BK224" s="462">
        <f t="shared" si="120"/>
        <v>0</v>
      </c>
      <c r="BN224" s="462">
        <f t="shared" si="121"/>
        <v>0</v>
      </c>
      <c r="BQ224" s="462">
        <f t="shared" si="122"/>
        <v>0</v>
      </c>
      <c r="BT224" s="462">
        <f t="shared" si="123"/>
        <v>0</v>
      </c>
      <c r="BW224" s="462">
        <f t="shared" si="124"/>
        <v>0</v>
      </c>
      <c r="BZ224" s="462">
        <f t="shared" si="125"/>
        <v>0</v>
      </c>
      <c r="CD224" s="418" t="str">
        <f t="shared" si="126"/>
        <v>CU0145001</v>
      </c>
      <c r="CE224" s="442" t="str">
        <f t="shared" si="127"/>
        <v>2019年4月</v>
      </c>
      <c r="CF224" s="418" t="str">
        <f t="shared" si="128"/>
        <v>锐珂亚太投clife服务费暂估</v>
      </c>
      <c r="CG224" s="418" t="str">
        <f t="shared" si="129"/>
        <v>2019年4月锐珂亚太投clife服务费暂估</v>
      </c>
    </row>
    <row r="225" spans="2:85" s="447" customFormat="1" ht="17.25" customHeight="1">
      <c r="B225" s="447" t="str">
        <f t="shared" si="104"/>
        <v>CU0182</v>
      </c>
      <c r="C225" s="431" t="s">
        <v>755</v>
      </c>
      <c r="D225" s="367" t="s">
        <v>1584</v>
      </c>
      <c r="E225" s="367" t="s">
        <v>821</v>
      </c>
      <c r="F225" s="439">
        <v>43556</v>
      </c>
      <c r="G225" s="430">
        <v>1242.92</v>
      </c>
      <c r="H225" s="440"/>
      <c r="I225" s="440">
        <f t="shared" si="132"/>
        <v>1242.92</v>
      </c>
      <c r="J225" s="440"/>
      <c r="L225" s="462">
        <f t="shared" si="133"/>
        <v>1242.92</v>
      </c>
      <c r="M225" s="462"/>
      <c r="N225" s="444"/>
      <c r="O225" s="462">
        <f t="shared" si="134"/>
        <v>1242.92</v>
      </c>
      <c r="R225" s="462">
        <f t="shared" si="135"/>
        <v>1242.92</v>
      </c>
      <c r="S225" s="447" t="s">
        <v>1605</v>
      </c>
      <c r="U225" s="462">
        <f t="shared" si="107"/>
        <v>1242.92</v>
      </c>
      <c r="V225" s="447" t="s">
        <v>1630</v>
      </c>
      <c r="X225" s="462">
        <f t="shared" si="108"/>
        <v>1242.92</v>
      </c>
      <c r="Y225" s="447" t="s">
        <v>1666</v>
      </c>
      <c r="Z225" s="444"/>
      <c r="AA225" s="462">
        <f t="shared" si="131"/>
        <v>1242.92</v>
      </c>
      <c r="AB225" s="447" t="s">
        <v>1720</v>
      </c>
      <c r="AD225" s="462">
        <f t="shared" si="109"/>
        <v>1242.92</v>
      </c>
      <c r="AE225" s="447" t="s">
        <v>1749</v>
      </c>
      <c r="AG225" s="462">
        <f t="shared" si="110"/>
        <v>1242.92</v>
      </c>
      <c r="AH225" s="447" t="s">
        <v>1823</v>
      </c>
      <c r="AJ225" s="462">
        <f t="shared" si="111"/>
        <v>1242.92</v>
      </c>
      <c r="AK225" s="447" t="s">
        <v>1856</v>
      </c>
      <c r="AM225" s="462">
        <f t="shared" si="112"/>
        <v>1242.92</v>
      </c>
      <c r="AN225" s="447" t="s">
        <v>1971</v>
      </c>
      <c r="AP225" s="462">
        <f t="shared" si="113"/>
        <v>1242.92</v>
      </c>
      <c r="AQ225" s="447" t="s">
        <v>1999</v>
      </c>
      <c r="AS225" s="459">
        <f t="shared" si="114"/>
        <v>1242.92</v>
      </c>
      <c r="AV225" s="462">
        <f t="shared" si="115"/>
        <v>1242.92</v>
      </c>
      <c r="AW225" s="447" t="s">
        <v>2107</v>
      </c>
      <c r="AY225" s="462">
        <f t="shared" si="116"/>
        <v>1242.92</v>
      </c>
      <c r="AZ225" s="447" t="s">
        <v>2131</v>
      </c>
      <c r="BB225" s="462">
        <f t="shared" si="117"/>
        <v>1242.92</v>
      </c>
      <c r="BC225" s="447" t="s">
        <v>2204</v>
      </c>
      <c r="BE225" s="462">
        <f t="shared" si="118"/>
        <v>1242.92</v>
      </c>
      <c r="BF225" s="447" t="s">
        <v>2237</v>
      </c>
      <c r="BH225" s="462">
        <f t="shared" si="119"/>
        <v>1242.92</v>
      </c>
      <c r="BI225" s="447" t="s">
        <v>2292</v>
      </c>
      <c r="BK225" s="462">
        <f t="shared" si="120"/>
        <v>1242.92</v>
      </c>
      <c r="BL225" s="447" t="s">
        <v>2339</v>
      </c>
      <c r="BN225" s="462">
        <f t="shared" si="121"/>
        <v>1242.92</v>
      </c>
      <c r="BO225" s="447" t="s">
        <v>2365</v>
      </c>
      <c r="BQ225" s="462">
        <f t="shared" si="122"/>
        <v>1242.92</v>
      </c>
      <c r="BR225" s="447" t="s">
        <v>2374</v>
      </c>
      <c r="BT225" s="462">
        <f t="shared" si="123"/>
        <v>1242.92</v>
      </c>
      <c r="BU225" s="447" t="s">
        <v>2134</v>
      </c>
      <c r="BW225" s="462">
        <f t="shared" si="124"/>
        <v>1242.92</v>
      </c>
      <c r="BZ225" s="462">
        <f t="shared" si="125"/>
        <v>1242.92</v>
      </c>
      <c r="CD225" s="418" t="str">
        <f t="shared" si="126"/>
        <v>CU0182001</v>
      </c>
      <c r="CE225" s="442" t="str">
        <f t="shared" si="127"/>
        <v>2019年4月</v>
      </c>
      <c r="CF225" s="418" t="str">
        <f t="shared" si="128"/>
        <v>阿姆斯壮（clife服务费暂估</v>
      </c>
      <c r="CG225" s="418" t="str">
        <f t="shared" si="129"/>
        <v>2019年4月阿姆斯壮（clife服务费暂估</v>
      </c>
    </row>
    <row r="226" spans="2:85" s="447" customFormat="1" ht="17.25" customHeight="1">
      <c r="B226" s="447" t="str">
        <f t="shared" si="104"/>
        <v>CU0238</v>
      </c>
      <c r="C226" s="431" t="s">
        <v>755</v>
      </c>
      <c r="D226" s="367" t="s">
        <v>1585</v>
      </c>
      <c r="E226" s="367" t="s">
        <v>54</v>
      </c>
      <c r="F226" s="439">
        <v>43556</v>
      </c>
      <c r="G226" s="430">
        <v>279.62</v>
      </c>
      <c r="H226" s="440"/>
      <c r="I226" s="440">
        <f t="shared" si="132"/>
        <v>279.62</v>
      </c>
      <c r="J226" s="440"/>
      <c r="L226" s="462">
        <f t="shared" si="133"/>
        <v>279.62</v>
      </c>
      <c r="M226" s="462"/>
      <c r="N226" s="444"/>
      <c r="O226" s="462">
        <f t="shared" si="134"/>
        <v>279.62</v>
      </c>
      <c r="R226" s="462">
        <f t="shared" si="135"/>
        <v>279.62</v>
      </c>
      <c r="S226" s="447" t="s">
        <v>1605</v>
      </c>
      <c r="U226" s="462">
        <f t="shared" si="107"/>
        <v>279.62</v>
      </c>
      <c r="V226" s="447" t="s">
        <v>1630</v>
      </c>
      <c r="X226" s="462">
        <f t="shared" si="108"/>
        <v>279.62</v>
      </c>
      <c r="Y226" s="447" t="s">
        <v>1666</v>
      </c>
      <c r="Z226" s="444">
        <f>5000-Z205</f>
        <v>339.61999999999989</v>
      </c>
      <c r="AA226" s="462">
        <v>0</v>
      </c>
      <c r="AB226" s="447" t="s">
        <v>1720</v>
      </c>
      <c r="AD226" s="462">
        <f t="shared" si="109"/>
        <v>0</v>
      </c>
      <c r="AE226" s="447" t="s">
        <v>1749</v>
      </c>
      <c r="AG226" s="462">
        <f t="shared" si="110"/>
        <v>0</v>
      </c>
      <c r="AH226" s="447" t="s">
        <v>1823</v>
      </c>
      <c r="AJ226" s="462">
        <f t="shared" si="111"/>
        <v>0</v>
      </c>
      <c r="AM226" s="462">
        <f t="shared" si="112"/>
        <v>0</v>
      </c>
      <c r="AN226" s="447" t="s">
        <v>1971</v>
      </c>
      <c r="AP226" s="462">
        <f t="shared" si="113"/>
        <v>0</v>
      </c>
      <c r="AQ226" s="447" t="s">
        <v>1999</v>
      </c>
      <c r="AS226" s="459">
        <f t="shared" si="114"/>
        <v>0</v>
      </c>
      <c r="AV226" s="462">
        <f t="shared" si="115"/>
        <v>0</v>
      </c>
      <c r="AY226" s="462">
        <f>AV226-AX226</f>
        <v>0</v>
      </c>
      <c r="BB226" s="462">
        <f t="shared" si="117"/>
        <v>0</v>
      </c>
      <c r="BC226" s="447" t="s">
        <v>2204</v>
      </c>
      <c r="BE226" s="462">
        <f t="shared" si="118"/>
        <v>0</v>
      </c>
      <c r="BH226" s="462">
        <f t="shared" si="119"/>
        <v>0</v>
      </c>
      <c r="BK226" s="462">
        <f t="shared" si="120"/>
        <v>0</v>
      </c>
      <c r="BN226" s="462">
        <f t="shared" si="121"/>
        <v>0</v>
      </c>
      <c r="BQ226" s="462">
        <f t="shared" si="122"/>
        <v>0</v>
      </c>
      <c r="BT226" s="462">
        <f t="shared" si="123"/>
        <v>0</v>
      </c>
      <c r="BW226" s="462">
        <f t="shared" si="124"/>
        <v>0</v>
      </c>
      <c r="BZ226" s="462">
        <f t="shared" si="125"/>
        <v>0</v>
      </c>
      <c r="CD226" s="418" t="str">
        <f t="shared" si="126"/>
        <v>CU0238001</v>
      </c>
      <c r="CE226" s="442" t="str">
        <f t="shared" si="127"/>
        <v>2019年4月</v>
      </c>
      <c r="CF226" s="418" t="str">
        <f t="shared" si="128"/>
        <v>丘奇鞋业（clife服务费暂估</v>
      </c>
      <c r="CG226" s="418" t="str">
        <f t="shared" si="129"/>
        <v>2019年4月丘奇鞋业（clife服务费暂估</v>
      </c>
    </row>
    <row r="227" spans="2:85" s="447" customFormat="1" ht="17.25" customHeight="1">
      <c r="B227" s="447" t="str">
        <f t="shared" si="104"/>
        <v>CU0285</v>
      </c>
      <c r="C227" s="431" t="s">
        <v>755</v>
      </c>
      <c r="D227" s="367" t="s">
        <v>1586</v>
      </c>
      <c r="E227" s="367" t="s">
        <v>1313</v>
      </c>
      <c r="F227" s="439">
        <v>43556</v>
      </c>
      <c r="G227" s="430">
        <v>771443.7</v>
      </c>
      <c r="H227" s="440"/>
      <c r="I227" s="440">
        <f t="shared" ref="I227:I251" si="136">G227-H227</f>
        <v>771443.7</v>
      </c>
      <c r="J227" s="440"/>
      <c r="L227" s="462">
        <f t="shared" ref="L227:L251" si="137">I227-K227</f>
        <v>771443.7</v>
      </c>
      <c r="M227" s="462"/>
      <c r="N227" s="444"/>
      <c r="O227" s="462">
        <f t="shared" ref="O227:O251" si="138">L227-N227</f>
        <v>771443.7</v>
      </c>
      <c r="R227" s="462">
        <f t="shared" ref="R227:R251" si="139">O227-Q227</f>
        <v>771443.7</v>
      </c>
      <c r="S227" s="447" t="s">
        <v>1605</v>
      </c>
      <c r="U227" s="462">
        <f t="shared" ref="U227:U251" si="140">R227-T227</f>
        <v>771443.7</v>
      </c>
      <c r="V227" s="447" t="s">
        <v>1630</v>
      </c>
      <c r="W227" s="462">
        <f>ROUND((29782.2+296842)/1.06,2)-W143+36525</f>
        <v>329754.36867924524</v>
      </c>
      <c r="X227" s="462">
        <f t="shared" si="108"/>
        <v>441689.33132075472</v>
      </c>
      <c r="Y227" s="447" t="s">
        <v>1666</v>
      </c>
      <c r="Z227" s="444"/>
      <c r="AA227" s="462">
        <f t="shared" si="131"/>
        <v>441689.33132075472</v>
      </c>
      <c r="AB227" s="447" t="s">
        <v>1720</v>
      </c>
      <c r="AC227" s="447">
        <f>ROUND(161794/1.06,2)+100000</f>
        <v>252635.85</v>
      </c>
      <c r="AD227" s="462">
        <f t="shared" si="109"/>
        <v>189053.48132075471</v>
      </c>
      <c r="AE227" s="447" t="s">
        <v>1749</v>
      </c>
      <c r="AF227" s="447">
        <f>100000+89053.48</f>
        <v>189053.47999999998</v>
      </c>
      <c r="AG227" s="462">
        <f t="shared" si="110"/>
        <v>1.3207547308411449E-3</v>
      </c>
      <c r="AH227" s="447" t="s">
        <v>1823</v>
      </c>
      <c r="AJ227" s="462">
        <f t="shared" si="111"/>
        <v>1.3207547308411449E-3</v>
      </c>
      <c r="AM227" s="462">
        <f t="shared" si="112"/>
        <v>1.3207547308411449E-3</v>
      </c>
      <c r="AN227" s="447" t="s">
        <v>1971</v>
      </c>
      <c r="AP227" s="462">
        <f t="shared" si="113"/>
        <v>1.3207547308411449E-3</v>
      </c>
      <c r="AQ227" s="447" t="s">
        <v>1999</v>
      </c>
      <c r="AS227" s="459">
        <f t="shared" si="114"/>
        <v>1.3207547308411449E-3</v>
      </c>
      <c r="AV227" s="462">
        <f t="shared" si="115"/>
        <v>1.3207547308411449E-3</v>
      </c>
      <c r="AY227" s="462">
        <f t="shared" si="116"/>
        <v>1.3207547308411449E-3</v>
      </c>
      <c r="BB227" s="462">
        <f t="shared" si="117"/>
        <v>1.3207547308411449E-3</v>
      </c>
      <c r="BC227" s="447" t="s">
        <v>2204</v>
      </c>
      <c r="BE227" s="462">
        <f t="shared" si="118"/>
        <v>1.3207547308411449E-3</v>
      </c>
      <c r="BH227" s="462">
        <f t="shared" si="119"/>
        <v>1.3207547308411449E-3</v>
      </c>
      <c r="BK227" s="462">
        <f t="shared" si="120"/>
        <v>1.3207547308411449E-3</v>
      </c>
      <c r="BN227" s="462">
        <f t="shared" si="121"/>
        <v>1.3207547308411449E-3</v>
      </c>
      <c r="BQ227" s="462">
        <f t="shared" si="122"/>
        <v>0</v>
      </c>
      <c r="BT227" s="462">
        <f t="shared" si="123"/>
        <v>0</v>
      </c>
      <c r="BW227" s="462">
        <f t="shared" si="124"/>
        <v>0</v>
      </c>
      <c r="BZ227" s="462">
        <f t="shared" si="125"/>
        <v>0</v>
      </c>
      <c r="CD227" s="418" t="str">
        <f t="shared" si="126"/>
        <v>CU0285001</v>
      </c>
      <c r="CE227" s="442" t="str">
        <f t="shared" si="127"/>
        <v>2019年4月</v>
      </c>
      <c r="CF227" s="418" t="str">
        <f t="shared" si="128"/>
        <v>文思海辉clife服务费暂估</v>
      </c>
      <c r="CG227" s="418" t="str">
        <f t="shared" si="129"/>
        <v>2019年4月文思海辉clife服务费暂估</v>
      </c>
    </row>
    <row r="228" spans="2:85" s="447" customFormat="1" ht="17.25" customHeight="1">
      <c r="B228" s="447" t="str">
        <f t="shared" si="104"/>
        <v>CU0531</v>
      </c>
      <c r="C228" s="431" t="s">
        <v>755</v>
      </c>
      <c r="D228" s="367" t="s">
        <v>1587</v>
      </c>
      <c r="E228" s="367" t="s">
        <v>134</v>
      </c>
      <c r="F228" s="439">
        <v>43556</v>
      </c>
      <c r="G228" s="430">
        <v>21346.67</v>
      </c>
      <c r="H228" s="440"/>
      <c r="I228" s="440">
        <f t="shared" si="136"/>
        <v>21346.67</v>
      </c>
      <c r="J228" s="440"/>
      <c r="L228" s="462">
        <f t="shared" si="137"/>
        <v>21346.67</v>
      </c>
      <c r="M228" s="462"/>
      <c r="N228" s="444"/>
      <c r="O228" s="462">
        <f t="shared" si="138"/>
        <v>21346.67</v>
      </c>
      <c r="R228" s="462">
        <f t="shared" si="139"/>
        <v>21346.67</v>
      </c>
      <c r="S228" s="447" t="s">
        <v>1605</v>
      </c>
      <c r="U228" s="462">
        <f t="shared" si="140"/>
        <v>21346.67</v>
      </c>
      <c r="V228" s="447" t="s">
        <v>1630</v>
      </c>
      <c r="X228" s="462">
        <f t="shared" si="108"/>
        <v>21346.67</v>
      </c>
      <c r="Y228" s="447" t="s">
        <v>1666</v>
      </c>
      <c r="Z228" s="444"/>
      <c r="AA228" s="462">
        <f t="shared" si="131"/>
        <v>21346.67</v>
      </c>
      <c r="AB228" s="447" t="s">
        <v>1720</v>
      </c>
      <c r="AD228" s="462">
        <f t="shared" si="109"/>
        <v>21346.67</v>
      </c>
      <c r="AE228" s="447" t="s">
        <v>1749</v>
      </c>
      <c r="AG228" s="462">
        <f t="shared" si="110"/>
        <v>21346.67</v>
      </c>
      <c r="AH228" s="447" t="s">
        <v>1823</v>
      </c>
      <c r="AJ228" s="462">
        <f t="shared" si="111"/>
        <v>21346.67</v>
      </c>
      <c r="AK228" s="447" t="s">
        <v>1856</v>
      </c>
      <c r="AM228" s="462">
        <f t="shared" si="112"/>
        <v>21346.67</v>
      </c>
      <c r="AN228" s="447" t="s">
        <v>1971</v>
      </c>
      <c r="AO228" s="462">
        <f>ROUND(54547.1/1.06,2)-AO149-AO190-AO208+11376.79</f>
        <v>21346.670000000006</v>
      </c>
      <c r="AP228" s="462">
        <f t="shared" si="113"/>
        <v>0</v>
      </c>
      <c r="AQ228" s="447" t="s">
        <v>1999</v>
      </c>
      <c r="AS228" s="459">
        <f t="shared" si="114"/>
        <v>0</v>
      </c>
      <c r="AV228" s="462">
        <f t="shared" si="115"/>
        <v>0</v>
      </c>
      <c r="AY228" s="462">
        <f t="shared" si="116"/>
        <v>0</v>
      </c>
      <c r="BB228" s="462">
        <f t="shared" si="117"/>
        <v>0</v>
      </c>
      <c r="BC228" s="447" t="s">
        <v>2204</v>
      </c>
      <c r="BE228" s="462">
        <f t="shared" si="118"/>
        <v>0</v>
      </c>
      <c r="BH228" s="462">
        <f t="shared" si="119"/>
        <v>0</v>
      </c>
      <c r="BK228" s="462">
        <f t="shared" si="120"/>
        <v>0</v>
      </c>
      <c r="BN228" s="462">
        <f t="shared" si="121"/>
        <v>0</v>
      </c>
      <c r="BQ228" s="462">
        <f t="shared" si="122"/>
        <v>0</v>
      </c>
      <c r="BT228" s="462">
        <f t="shared" si="123"/>
        <v>0</v>
      </c>
      <c r="BW228" s="462">
        <f t="shared" si="124"/>
        <v>0</v>
      </c>
      <c r="BZ228" s="462">
        <f t="shared" si="125"/>
        <v>0</v>
      </c>
      <c r="CD228" s="418" t="str">
        <f t="shared" si="126"/>
        <v>CU0531001</v>
      </c>
      <c r="CE228" s="442" t="str">
        <f t="shared" si="127"/>
        <v>2019年4月</v>
      </c>
      <c r="CF228" s="418" t="str">
        <f t="shared" si="128"/>
        <v>恩思恩时尚clife服务费暂估</v>
      </c>
      <c r="CG228" s="418" t="str">
        <f t="shared" si="129"/>
        <v>2019年4月恩思恩时尚clife服务费暂估</v>
      </c>
    </row>
    <row r="229" spans="2:85" s="447" customFormat="1" ht="17.25" customHeight="1">
      <c r="B229" s="447" t="str">
        <f t="shared" si="104"/>
        <v>CU0570</v>
      </c>
      <c r="C229" s="431" t="s">
        <v>755</v>
      </c>
      <c r="D229" s="367" t="s">
        <v>1588</v>
      </c>
      <c r="E229" s="367" t="s">
        <v>1471</v>
      </c>
      <c r="F229" s="439">
        <v>43556</v>
      </c>
      <c r="G229" s="430">
        <v>138848.18</v>
      </c>
      <c r="H229" s="440"/>
      <c r="I229" s="440">
        <f t="shared" si="136"/>
        <v>138848.18</v>
      </c>
      <c r="J229" s="440"/>
      <c r="L229" s="462">
        <f t="shared" si="137"/>
        <v>138848.18</v>
      </c>
      <c r="M229" s="462"/>
      <c r="N229" s="444"/>
      <c r="O229" s="462">
        <f t="shared" si="138"/>
        <v>138848.18</v>
      </c>
      <c r="R229" s="462">
        <f t="shared" si="139"/>
        <v>138848.18</v>
      </c>
      <c r="S229" s="447" t="s">
        <v>1605</v>
      </c>
      <c r="T229" s="447">
        <f>ROUND((139094.52/1.06),2)</f>
        <v>131221.25</v>
      </c>
      <c r="U229" s="462">
        <f t="shared" si="140"/>
        <v>7626.929999999993</v>
      </c>
      <c r="V229" s="447" t="s">
        <v>1630</v>
      </c>
      <c r="X229" s="462">
        <f t="shared" si="108"/>
        <v>7626.929999999993</v>
      </c>
      <c r="Y229" s="447" t="s">
        <v>1666</v>
      </c>
      <c r="Z229" s="444"/>
      <c r="AA229" s="462">
        <f t="shared" si="131"/>
        <v>7626.929999999993</v>
      </c>
      <c r="AB229" s="447" t="s">
        <v>1720</v>
      </c>
      <c r="AD229" s="462">
        <f t="shared" si="109"/>
        <v>7626.929999999993</v>
      </c>
      <c r="AE229" s="447" t="s">
        <v>1749</v>
      </c>
      <c r="AG229" s="462">
        <f t="shared" si="110"/>
        <v>7626.929999999993</v>
      </c>
      <c r="AH229" s="447" t="s">
        <v>1823</v>
      </c>
      <c r="AJ229" s="462">
        <f t="shared" si="111"/>
        <v>7626.929999999993</v>
      </c>
      <c r="AK229" s="447" t="s">
        <v>1856</v>
      </c>
      <c r="AM229" s="462">
        <f t="shared" si="112"/>
        <v>7626.929999999993</v>
      </c>
      <c r="AN229" s="447" t="s">
        <v>1971</v>
      </c>
      <c r="AP229" s="462">
        <f t="shared" si="113"/>
        <v>7626.929999999993</v>
      </c>
      <c r="AQ229" s="447" t="s">
        <v>1999</v>
      </c>
      <c r="AS229" s="459">
        <f t="shared" si="114"/>
        <v>7626.929999999993</v>
      </c>
      <c r="AV229" s="462">
        <f t="shared" si="115"/>
        <v>7626.929999999993</v>
      </c>
      <c r="AW229" s="447" t="s">
        <v>2107</v>
      </c>
      <c r="AY229" s="462">
        <f t="shared" si="116"/>
        <v>7626.929999999993</v>
      </c>
      <c r="AZ229" s="447" t="s">
        <v>2131</v>
      </c>
      <c r="BB229" s="462">
        <f t="shared" si="117"/>
        <v>7626.929999999993</v>
      </c>
      <c r="BC229" s="447" t="s">
        <v>2204</v>
      </c>
      <c r="BE229" s="462">
        <f t="shared" si="118"/>
        <v>7626.929999999993</v>
      </c>
      <c r="BF229" s="447" t="s">
        <v>2237</v>
      </c>
      <c r="BH229" s="462">
        <f t="shared" si="119"/>
        <v>7626.929999999993</v>
      </c>
      <c r="BI229" s="447" t="s">
        <v>2292</v>
      </c>
      <c r="BK229" s="462">
        <f t="shared" si="120"/>
        <v>7626.929999999993</v>
      </c>
      <c r="BL229" s="447" t="s">
        <v>2339</v>
      </c>
      <c r="BN229" s="462">
        <f t="shared" si="121"/>
        <v>7626.929999999993</v>
      </c>
      <c r="BO229" s="447" t="s">
        <v>2365</v>
      </c>
      <c r="BQ229" s="462">
        <f t="shared" si="122"/>
        <v>7626.93</v>
      </c>
      <c r="BR229" s="447" t="s">
        <v>2374</v>
      </c>
      <c r="BS229" s="462">
        <f>BQ229</f>
        <v>7626.93</v>
      </c>
      <c r="BT229" s="462">
        <f t="shared" si="123"/>
        <v>0</v>
      </c>
      <c r="BW229" s="462">
        <f t="shared" si="124"/>
        <v>0</v>
      </c>
      <c r="BZ229" s="462">
        <f t="shared" si="125"/>
        <v>0</v>
      </c>
      <c r="CD229" s="418" t="str">
        <f t="shared" si="126"/>
        <v>CU0570001</v>
      </c>
      <c r="CE229" s="442" t="str">
        <f t="shared" si="127"/>
        <v>2019年4月</v>
      </c>
      <c r="CF229" s="418" t="str">
        <f t="shared" si="128"/>
        <v>华院数据技clife服务费暂估</v>
      </c>
      <c r="CG229" s="418" t="str">
        <f t="shared" si="129"/>
        <v>2019年4月华院数据技clife服务费暂估</v>
      </c>
    </row>
    <row r="230" spans="2:85" s="447" customFormat="1" ht="17.25" customHeight="1">
      <c r="B230" s="447" t="str">
        <f t="shared" si="104"/>
        <v>CU0782</v>
      </c>
      <c r="C230" s="431" t="s">
        <v>755</v>
      </c>
      <c r="D230" s="367" t="s">
        <v>1589</v>
      </c>
      <c r="E230" s="367" t="s">
        <v>196</v>
      </c>
      <c r="F230" s="439">
        <v>43556</v>
      </c>
      <c r="G230" s="430">
        <v>966975.48</v>
      </c>
      <c r="H230" s="440"/>
      <c r="I230" s="440">
        <f t="shared" si="136"/>
        <v>966975.48</v>
      </c>
      <c r="J230" s="440"/>
      <c r="L230" s="462">
        <f t="shared" si="137"/>
        <v>966975.48</v>
      </c>
      <c r="M230" s="462"/>
      <c r="N230" s="444"/>
      <c r="O230" s="462">
        <f t="shared" si="138"/>
        <v>966975.48</v>
      </c>
      <c r="R230" s="462">
        <f t="shared" si="139"/>
        <v>966975.48</v>
      </c>
      <c r="S230" s="447" t="s">
        <v>1605</v>
      </c>
      <c r="U230" s="462">
        <f t="shared" si="140"/>
        <v>966975.48</v>
      </c>
      <c r="V230" s="447" t="s">
        <v>1630</v>
      </c>
      <c r="X230" s="462">
        <f t="shared" si="108"/>
        <v>966975.48</v>
      </c>
      <c r="Y230" s="447" t="s">
        <v>1666</v>
      </c>
      <c r="Z230" s="444">
        <f>ROUND(161400/1.06,2)-Z156+50000+210000</f>
        <v>357086.17792452825</v>
      </c>
      <c r="AA230" s="462">
        <f t="shared" si="131"/>
        <v>609889.30207547173</v>
      </c>
      <c r="AB230" s="447" t="s">
        <v>1720</v>
      </c>
      <c r="AC230" s="447">
        <f>16100+100000</f>
        <v>116100</v>
      </c>
      <c r="AD230" s="462">
        <f t="shared" si="109"/>
        <v>493789.30207547173</v>
      </c>
      <c r="AE230" s="447" t="s">
        <v>1749</v>
      </c>
      <c r="AG230" s="462">
        <f t="shared" si="110"/>
        <v>493789.30207547173</v>
      </c>
      <c r="AH230" s="447" t="s">
        <v>1823</v>
      </c>
      <c r="AI230" s="447">
        <f>ROUND(6667.25/1.13,2)</f>
        <v>5900.22</v>
      </c>
      <c r="AJ230" s="462">
        <f t="shared" si="111"/>
        <v>487889.08207547176</v>
      </c>
      <c r="AK230" s="447" t="s">
        <v>1856</v>
      </c>
      <c r="AL230" s="447">
        <f>ROUND(250328/1.06,2)+235375+16355.59</f>
        <v>487889.08</v>
      </c>
      <c r="AM230" s="462">
        <f t="shared" si="112"/>
        <v>2.0754717406816781E-3</v>
      </c>
      <c r="AN230" s="447" t="s">
        <v>1971</v>
      </c>
      <c r="AP230" s="462">
        <f t="shared" si="113"/>
        <v>2.0754717406816781E-3</v>
      </c>
      <c r="AQ230" s="447" t="s">
        <v>1999</v>
      </c>
      <c r="AS230" s="459">
        <f t="shared" si="114"/>
        <v>2.0754717406816781E-3</v>
      </c>
      <c r="AV230" s="462">
        <f t="shared" si="115"/>
        <v>2.0754717406816781E-3</v>
      </c>
      <c r="AY230" s="462">
        <f t="shared" si="116"/>
        <v>2.0754717406816781E-3</v>
      </c>
      <c r="BB230" s="462">
        <f t="shared" si="117"/>
        <v>2.0754717406816781E-3</v>
      </c>
      <c r="BC230" s="447" t="s">
        <v>2204</v>
      </c>
      <c r="BE230" s="462">
        <f t="shared" si="118"/>
        <v>2.0754717406816781E-3</v>
      </c>
      <c r="BH230" s="462">
        <f t="shared" si="119"/>
        <v>2.0754717406816781E-3</v>
      </c>
      <c r="BK230" s="462">
        <f t="shared" si="120"/>
        <v>2.0754717406816781E-3</v>
      </c>
      <c r="BN230" s="462">
        <f t="shared" si="121"/>
        <v>2.0754717406816781E-3</v>
      </c>
      <c r="BQ230" s="462">
        <f t="shared" si="122"/>
        <v>0</v>
      </c>
      <c r="BT230" s="462">
        <f t="shared" si="123"/>
        <v>0</v>
      </c>
      <c r="BW230" s="462">
        <f t="shared" si="124"/>
        <v>0</v>
      </c>
      <c r="BZ230" s="462">
        <f t="shared" si="125"/>
        <v>0</v>
      </c>
      <c r="CD230" s="418" t="str">
        <f t="shared" si="126"/>
        <v>CU0782001</v>
      </c>
      <c r="CE230" s="442" t="str">
        <f t="shared" si="127"/>
        <v>2019年4月</v>
      </c>
      <c r="CF230" s="418" t="str">
        <f t="shared" si="128"/>
        <v>天职工程咨clife服务费暂估</v>
      </c>
      <c r="CG230" s="418" t="str">
        <f t="shared" si="129"/>
        <v>2019年4月天职工程咨clife服务费暂估</v>
      </c>
    </row>
    <row r="231" spans="2:85" s="447" customFormat="1" ht="17.25" customHeight="1">
      <c r="B231" s="447" t="str">
        <f t="shared" si="104"/>
        <v>CU0812</v>
      </c>
      <c r="C231" s="431" t="s">
        <v>755</v>
      </c>
      <c r="D231" s="367" t="s">
        <v>1590</v>
      </c>
      <c r="E231" s="367" t="s">
        <v>1315</v>
      </c>
      <c r="F231" s="439">
        <v>43556</v>
      </c>
      <c r="G231" s="430">
        <v>3751.39</v>
      </c>
      <c r="H231" s="440"/>
      <c r="I231" s="440">
        <f t="shared" si="136"/>
        <v>3751.39</v>
      </c>
      <c r="J231" s="440"/>
      <c r="L231" s="462">
        <f t="shared" si="137"/>
        <v>3751.39</v>
      </c>
      <c r="M231" s="462"/>
      <c r="N231" s="444"/>
      <c r="O231" s="462">
        <f t="shared" si="138"/>
        <v>3751.39</v>
      </c>
      <c r="R231" s="462">
        <f t="shared" si="139"/>
        <v>3751.39</v>
      </c>
      <c r="S231" s="447" t="s">
        <v>1605</v>
      </c>
      <c r="U231" s="462">
        <f t="shared" si="140"/>
        <v>3751.39</v>
      </c>
      <c r="V231" s="447" t="s">
        <v>1630</v>
      </c>
      <c r="X231" s="462">
        <f t="shared" si="108"/>
        <v>3751.39</v>
      </c>
      <c r="Y231" s="447" t="s">
        <v>1666</v>
      </c>
      <c r="Z231" s="444"/>
      <c r="AA231" s="462">
        <f t="shared" si="131"/>
        <v>3751.39</v>
      </c>
      <c r="AB231" s="447" t="s">
        <v>1720</v>
      </c>
      <c r="AC231" s="462">
        <f>AA231</f>
        <v>3751.39</v>
      </c>
      <c r="AD231" s="462">
        <f t="shared" si="109"/>
        <v>0</v>
      </c>
      <c r="AE231" s="447" t="s">
        <v>1749</v>
      </c>
      <c r="AG231" s="462">
        <f t="shared" si="110"/>
        <v>0</v>
      </c>
      <c r="AH231" s="447" t="s">
        <v>1823</v>
      </c>
      <c r="AJ231" s="462">
        <f t="shared" si="111"/>
        <v>0</v>
      </c>
      <c r="AM231" s="462">
        <f t="shared" si="112"/>
        <v>0</v>
      </c>
      <c r="AN231" s="447" t="s">
        <v>1971</v>
      </c>
      <c r="AP231" s="462">
        <f t="shared" si="113"/>
        <v>0</v>
      </c>
      <c r="AQ231" s="447" t="s">
        <v>1999</v>
      </c>
      <c r="AS231" s="459">
        <f t="shared" si="114"/>
        <v>0</v>
      </c>
      <c r="AV231" s="462">
        <f t="shared" si="115"/>
        <v>0</v>
      </c>
      <c r="AY231" s="462">
        <f t="shared" si="116"/>
        <v>0</v>
      </c>
      <c r="BB231" s="462">
        <f t="shared" si="117"/>
        <v>0</v>
      </c>
      <c r="BC231" s="447" t="s">
        <v>2204</v>
      </c>
      <c r="BE231" s="462">
        <f t="shared" si="118"/>
        <v>0</v>
      </c>
      <c r="BH231" s="462">
        <f t="shared" si="119"/>
        <v>0</v>
      </c>
      <c r="BK231" s="462">
        <f t="shared" si="120"/>
        <v>0</v>
      </c>
      <c r="BN231" s="462">
        <f t="shared" si="121"/>
        <v>0</v>
      </c>
      <c r="BQ231" s="462">
        <f t="shared" si="122"/>
        <v>0</v>
      </c>
      <c r="BT231" s="462">
        <f t="shared" si="123"/>
        <v>0</v>
      </c>
      <c r="BW231" s="462">
        <f t="shared" si="124"/>
        <v>0</v>
      </c>
      <c r="BZ231" s="462">
        <f t="shared" si="125"/>
        <v>0</v>
      </c>
      <c r="CD231" s="418" t="str">
        <f t="shared" si="126"/>
        <v>CU0812001</v>
      </c>
      <c r="CE231" s="442" t="str">
        <f t="shared" si="127"/>
        <v>2019年4月</v>
      </c>
      <c r="CF231" s="418" t="str">
        <f t="shared" si="128"/>
        <v>恩派clife服务费暂估</v>
      </c>
      <c r="CG231" s="418" t="str">
        <f t="shared" si="129"/>
        <v>2019年4月恩派clife服务费暂估</v>
      </c>
    </row>
    <row r="232" spans="2:85" s="447" customFormat="1" ht="17.25" customHeight="1">
      <c r="B232" s="447" t="str">
        <f t="shared" si="104"/>
        <v>CU0813</v>
      </c>
      <c r="C232" s="431" t="s">
        <v>755</v>
      </c>
      <c r="D232" s="367" t="s">
        <v>1591</v>
      </c>
      <c r="E232" s="367" t="s">
        <v>200</v>
      </c>
      <c r="F232" s="439">
        <v>43556</v>
      </c>
      <c r="G232" s="430">
        <v>66320.75</v>
      </c>
      <c r="H232" s="440"/>
      <c r="I232" s="440">
        <f t="shared" si="136"/>
        <v>66320.75</v>
      </c>
      <c r="J232" s="440"/>
      <c r="L232" s="462">
        <f t="shared" si="137"/>
        <v>66320.75</v>
      </c>
      <c r="M232" s="462"/>
      <c r="N232" s="444"/>
      <c r="O232" s="462">
        <f t="shared" si="138"/>
        <v>66320.75</v>
      </c>
      <c r="R232" s="462">
        <f t="shared" si="139"/>
        <v>66320.75</v>
      </c>
      <c r="S232" s="447" t="s">
        <v>1605</v>
      </c>
      <c r="U232" s="462">
        <f t="shared" si="140"/>
        <v>66320.75</v>
      </c>
      <c r="V232" s="447" t="s">
        <v>1630</v>
      </c>
      <c r="X232" s="462">
        <f t="shared" si="108"/>
        <v>66320.75</v>
      </c>
      <c r="Y232" s="447" t="s">
        <v>1666</v>
      </c>
      <c r="Z232" s="444"/>
      <c r="AA232" s="462">
        <f t="shared" si="131"/>
        <v>66320.75</v>
      </c>
      <c r="AB232" s="447" t="s">
        <v>1720</v>
      </c>
      <c r="AC232" s="447">
        <f>ROUND((2665+28950.88+12616+1555+1136+1043+3148.2)/1.06,2)+285+3060+3174+8942</f>
        <v>63681.83</v>
      </c>
      <c r="AD232" s="462">
        <f t="shared" si="109"/>
        <v>2638.9199999999983</v>
      </c>
      <c r="AE232" s="447" t="s">
        <v>1749</v>
      </c>
      <c r="AG232" s="462">
        <f t="shared" si="110"/>
        <v>2638.9199999999983</v>
      </c>
      <c r="AH232" s="447" t="s">
        <v>1823</v>
      </c>
      <c r="AJ232" s="462">
        <f t="shared" si="111"/>
        <v>2638.9199999999983</v>
      </c>
      <c r="AK232" s="447" t="s">
        <v>1856</v>
      </c>
      <c r="AM232" s="462">
        <f t="shared" si="112"/>
        <v>2638.9199999999983</v>
      </c>
      <c r="AN232" s="447" t="s">
        <v>1971</v>
      </c>
      <c r="AP232" s="462">
        <f t="shared" si="113"/>
        <v>2638.9199999999983</v>
      </c>
      <c r="AQ232" s="447" t="s">
        <v>1999</v>
      </c>
      <c r="AS232" s="459">
        <f t="shared" si="114"/>
        <v>2638.9199999999983</v>
      </c>
      <c r="AU232" s="447">
        <f>1662+358</f>
        <v>2020</v>
      </c>
      <c r="AV232" s="462">
        <f t="shared" si="115"/>
        <v>618.91999999999825</v>
      </c>
      <c r="AW232" s="447" t="s">
        <v>2107</v>
      </c>
      <c r="AY232" s="462">
        <f t="shared" si="116"/>
        <v>618.91999999999825</v>
      </c>
      <c r="AZ232" s="447" t="s">
        <v>2131</v>
      </c>
      <c r="BB232" s="462">
        <f t="shared" si="117"/>
        <v>618.91999999999825</v>
      </c>
      <c r="BC232" s="447" t="s">
        <v>2204</v>
      </c>
      <c r="BE232" s="462">
        <f t="shared" si="118"/>
        <v>618.91999999999825</v>
      </c>
      <c r="BF232" s="447" t="s">
        <v>2237</v>
      </c>
      <c r="BH232" s="462">
        <f t="shared" si="119"/>
        <v>618.91999999999825</v>
      </c>
      <c r="BI232" s="447" t="s">
        <v>2292</v>
      </c>
      <c r="BK232" s="462">
        <f t="shared" si="120"/>
        <v>618.91999999999825</v>
      </c>
      <c r="BL232" s="447" t="s">
        <v>2339</v>
      </c>
      <c r="BN232" s="462">
        <f t="shared" si="121"/>
        <v>618.91999999999825</v>
      </c>
      <c r="BO232" s="447" t="s">
        <v>2365</v>
      </c>
      <c r="BQ232" s="462">
        <f t="shared" si="122"/>
        <v>618.91999999999996</v>
      </c>
      <c r="BR232" s="447" t="s">
        <v>2374</v>
      </c>
      <c r="BT232" s="462">
        <f t="shared" si="123"/>
        <v>618.91999999999996</v>
      </c>
      <c r="BU232" s="447" t="s">
        <v>2134</v>
      </c>
      <c r="BV232" s="462">
        <f>BT232</f>
        <v>618.91999999999996</v>
      </c>
      <c r="BW232" s="462">
        <f t="shared" si="124"/>
        <v>0</v>
      </c>
      <c r="BZ232" s="462">
        <f t="shared" si="125"/>
        <v>0</v>
      </c>
      <c r="CD232" s="418" t="str">
        <f t="shared" si="126"/>
        <v>CU0813001</v>
      </c>
      <c r="CE232" s="442" t="str">
        <f t="shared" si="127"/>
        <v>2019年4月</v>
      </c>
      <c r="CF232" s="418" t="str">
        <f t="shared" si="128"/>
        <v>北京陌陌信clife服务费暂估</v>
      </c>
      <c r="CG232" s="418" t="str">
        <f t="shared" si="129"/>
        <v>2019年4月北京陌陌信clife服务费暂估</v>
      </c>
    </row>
    <row r="233" spans="2:85" s="447" customFormat="1" ht="17.25" customHeight="1">
      <c r="B233" s="447" t="str">
        <f t="shared" si="104"/>
        <v>CU0822</v>
      </c>
      <c r="C233" s="431" t="s">
        <v>755</v>
      </c>
      <c r="D233" s="367" t="s">
        <v>1592</v>
      </c>
      <c r="E233" s="367" t="s">
        <v>239</v>
      </c>
      <c r="F233" s="439">
        <v>43556</v>
      </c>
      <c r="G233" s="430">
        <v>2345.13</v>
      </c>
      <c r="H233" s="440"/>
      <c r="I233" s="440">
        <f t="shared" si="136"/>
        <v>2345.13</v>
      </c>
      <c r="J233" s="440"/>
      <c r="L233" s="462">
        <f t="shared" si="137"/>
        <v>2345.13</v>
      </c>
      <c r="M233" s="462"/>
      <c r="N233" s="444"/>
      <c r="O233" s="462">
        <f t="shared" si="138"/>
        <v>2345.13</v>
      </c>
      <c r="R233" s="462">
        <f t="shared" si="139"/>
        <v>2345.13</v>
      </c>
      <c r="S233" s="447" t="s">
        <v>1605</v>
      </c>
      <c r="U233" s="462">
        <f t="shared" si="140"/>
        <v>2345.13</v>
      </c>
      <c r="V233" s="447" t="s">
        <v>1630</v>
      </c>
      <c r="W233" s="462">
        <f>U233</f>
        <v>2345.13</v>
      </c>
      <c r="X233" s="462">
        <f t="shared" si="108"/>
        <v>0</v>
      </c>
      <c r="Y233" s="447" t="s">
        <v>1666</v>
      </c>
      <c r="Z233" s="444"/>
      <c r="AA233" s="462">
        <f t="shared" si="131"/>
        <v>0</v>
      </c>
      <c r="AB233" s="447" t="s">
        <v>1720</v>
      </c>
      <c r="AD233" s="462">
        <f t="shared" si="109"/>
        <v>0</v>
      </c>
      <c r="AE233" s="447" t="s">
        <v>1749</v>
      </c>
      <c r="AG233" s="462">
        <f t="shared" si="110"/>
        <v>0</v>
      </c>
      <c r="AH233" s="447" t="s">
        <v>1823</v>
      </c>
      <c r="AJ233" s="462">
        <f t="shared" si="111"/>
        <v>0</v>
      </c>
      <c r="AM233" s="462">
        <f t="shared" si="112"/>
        <v>0</v>
      </c>
      <c r="AN233" s="447" t="s">
        <v>1971</v>
      </c>
      <c r="AP233" s="462">
        <f t="shared" si="113"/>
        <v>0</v>
      </c>
      <c r="AQ233" s="447" t="s">
        <v>1999</v>
      </c>
      <c r="AS233" s="459">
        <f t="shared" si="114"/>
        <v>0</v>
      </c>
      <c r="AV233" s="462">
        <f t="shared" si="115"/>
        <v>0</v>
      </c>
      <c r="AY233" s="462">
        <f t="shared" si="116"/>
        <v>0</v>
      </c>
      <c r="BB233" s="462">
        <f t="shared" si="117"/>
        <v>0</v>
      </c>
      <c r="BC233" s="447" t="s">
        <v>2204</v>
      </c>
      <c r="BE233" s="462">
        <f t="shared" si="118"/>
        <v>0</v>
      </c>
      <c r="BH233" s="462">
        <f t="shared" si="119"/>
        <v>0</v>
      </c>
      <c r="BK233" s="462">
        <f t="shared" si="120"/>
        <v>0</v>
      </c>
      <c r="BN233" s="462">
        <f t="shared" si="121"/>
        <v>0</v>
      </c>
      <c r="BQ233" s="462">
        <f t="shared" si="122"/>
        <v>0</v>
      </c>
      <c r="BT233" s="462">
        <f t="shared" si="123"/>
        <v>0</v>
      </c>
      <c r="BW233" s="462">
        <f t="shared" si="124"/>
        <v>0</v>
      </c>
      <c r="BZ233" s="462">
        <f t="shared" si="125"/>
        <v>0</v>
      </c>
      <c r="CD233" s="418" t="str">
        <f t="shared" si="126"/>
        <v>CU0822001</v>
      </c>
      <c r="CE233" s="442" t="str">
        <f t="shared" si="127"/>
        <v>2019年4月</v>
      </c>
      <c r="CF233" s="418" t="str">
        <f t="shared" si="128"/>
        <v>美克国际家clife服务费暂估</v>
      </c>
      <c r="CG233" s="418" t="str">
        <f t="shared" si="129"/>
        <v>2019年4月美克国际家clife服务费暂估</v>
      </c>
    </row>
    <row r="234" spans="2:85" s="447" customFormat="1" ht="17.25" customHeight="1">
      <c r="B234" s="447" t="str">
        <f t="shared" si="104"/>
        <v>CU0823</v>
      </c>
      <c r="C234" s="431" t="s">
        <v>755</v>
      </c>
      <c r="D234" s="367" t="s">
        <v>1593</v>
      </c>
      <c r="E234" s="367" t="s">
        <v>581</v>
      </c>
      <c r="F234" s="439">
        <v>43556</v>
      </c>
      <c r="G234" s="430">
        <v>66433.16</v>
      </c>
      <c r="H234" s="440"/>
      <c r="I234" s="440">
        <f t="shared" si="136"/>
        <v>66433.16</v>
      </c>
      <c r="J234" s="440"/>
      <c r="L234" s="462">
        <f t="shared" si="137"/>
        <v>66433.16</v>
      </c>
      <c r="M234" s="462"/>
      <c r="N234" s="444"/>
      <c r="O234" s="462">
        <f t="shared" si="138"/>
        <v>66433.16</v>
      </c>
      <c r="R234" s="462">
        <f t="shared" si="139"/>
        <v>66433.16</v>
      </c>
      <c r="S234" s="447" t="s">
        <v>1605</v>
      </c>
      <c r="U234" s="462">
        <f t="shared" si="140"/>
        <v>66433.16</v>
      </c>
      <c r="V234" s="447" t="s">
        <v>1630</v>
      </c>
      <c r="X234" s="462">
        <f t="shared" si="108"/>
        <v>66433.16</v>
      </c>
      <c r="Y234" s="447" t="s">
        <v>1666</v>
      </c>
      <c r="Z234" s="444"/>
      <c r="AA234" s="462">
        <f t="shared" si="131"/>
        <v>66433.16</v>
      </c>
      <c r="AB234" s="447" t="s">
        <v>1720</v>
      </c>
      <c r="AD234" s="462">
        <f t="shared" si="109"/>
        <v>66433.16</v>
      </c>
      <c r="AE234" s="447" t="s">
        <v>1749</v>
      </c>
      <c r="AG234" s="462">
        <f t="shared" si="110"/>
        <v>66433.16</v>
      </c>
      <c r="AH234" s="447" t="s">
        <v>1823</v>
      </c>
      <c r="AI234" s="462"/>
      <c r="AJ234" s="462">
        <f t="shared" si="111"/>
        <v>66433.16</v>
      </c>
      <c r="AK234" s="447" t="s">
        <v>1856</v>
      </c>
      <c r="AL234" s="447">
        <f>ROUND(45877/1.06,2)-AL184-AL213-13240.79</f>
        <v>13428.55</v>
      </c>
      <c r="AM234" s="462">
        <f t="shared" si="112"/>
        <v>53004.61</v>
      </c>
      <c r="AN234" s="447" t="s">
        <v>1971</v>
      </c>
      <c r="AO234" s="462">
        <f>26756-AO159+12915.9+11932</f>
        <v>51236.750000000007</v>
      </c>
      <c r="AP234" s="462">
        <f t="shared" si="113"/>
        <v>1767.8599999999933</v>
      </c>
      <c r="AQ234" s="447" t="s">
        <v>1999</v>
      </c>
      <c r="AS234" s="459">
        <f t="shared" si="114"/>
        <v>1767.8599999999933</v>
      </c>
      <c r="AV234" s="462">
        <f t="shared" si="115"/>
        <v>1767.8599999999933</v>
      </c>
      <c r="AW234" s="447" t="s">
        <v>2107</v>
      </c>
      <c r="AX234" s="462">
        <f>AV234</f>
        <v>1767.8599999999933</v>
      </c>
      <c r="AY234" s="462">
        <f t="shared" si="116"/>
        <v>0</v>
      </c>
      <c r="BB234" s="462">
        <f t="shared" si="117"/>
        <v>0</v>
      </c>
      <c r="BC234" s="447" t="s">
        <v>2204</v>
      </c>
      <c r="BE234" s="462">
        <f t="shared" si="118"/>
        <v>0</v>
      </c>
      <c r="BH234" s="462">
        <f t="shared" si="119"/>
        <v>0</v>
      </c>
      <c r="BK234" s="462">
        <f t="shared" si="120"/>
        <v>0</v>
      </c>
      <c r="BN234" s="462">
        <f t="shared" si="121"/>
        <v>0</v>
      </c>
      <c r="BQ234" s="462">
        <f t="shared" si="122"/>
        <v>0</v>
      </c>
      <c r="BT234" s="462">
        <f t="shared" si="123"/>
        <v>0</v>
      </c>
      <c r="BW234" s="462">
        <f t="shared" si="124"/>
        <v>0</v>
      </c>
      <c r="BZ234" s="462">
        <f t="shared" si="125"/>
        <v>0</v>
      </c>
      <c r="CD234" s="418" t="str">
        <f t="shared" si="126"/>
        <v>CU0823001</v>
      </c>
      <c r="CE234" s="442" t="str">
        <f t="shared" si="127"/>
        <v>2019年4月</v>
      </c>
      <c r="CF234" s="418" t="str">
        <f t="shared" si="128"/>
        <v>凯杰生物工clife服务费暂估</v>
      </c>
      <c r="CG234" s="418" t="str">
        <f t="shared" si="129"/>
        <v>2019年4月凯杰生物工clife服务费暂估</v>
      </c>
    </row>
    <row r="235" spans="2:85" s="447" customFormat="1" ht="17.25" customHeight="1">
      <c r="B235" s="447" t="str">
        <f t="shared" si="104"/>
        <v>CU0824</v>
      </c>
      <c r="C235" s="431" t="s">
        <v>755</v>
      </c>
      <c r="D235" s="367" t="s">
        <v>1594</v>
      </c>
      <c r="E235" s="367" t="s">
        <v>1292</v>
      </c>
      <c r="F235" s="439">
        <v>43556</v>
      </c>
      <c r="G235" s="430">
        <v>17061.330000000002</v>
      </c>
      <c r="H235" s="440"/>
      <c r="I235" s="440">
        <f t="shared" si="136"/>
        <v>17061.330000000002</v>
      </c>
      <c r="J235" s="440"/>
      <c r="L235" s="462">
        <f t="shared" si="137"/>
        <v>17061.330000000002</v>
      </c>
      <c r="M235" s="462"/>
      <c r="N235" s="444"/>
      <c r="O235" s="462">
        <f t="shared" si="138"/>
        <v>17061.330000000002</v>
      </c>
      <c r="R235" s="462">
        <f t="shared" si="139"/>
        <v>17061.330000000002</v>
      </c>
      <c r="S235" s="447" t="s">
        <v>1605</v>
      </c>
      <c r="U235" s="462">
        <f t="shared" si="140"/>
        <v>17061.330000000002</v>
      </c>
      <c r="V235" s="447" t="s">
        <v>1630</v>
      </c>
      <c r="X235" s="462">
        <f t="shared" si="108"/>
        <v>17061.330000000002</v>
      </c>
      <c r="Y235" s="447" t="s">
        <v>1666</v>
      </c>
      <c r="Z235" s="444"/>
      <c r="AA235" s="462">
        <f t="shared" si="131"/>
        <v>17061.330000000002</v>
      </c>
      <c r="AB235" s="447" t="s">
        <v>1720</v>
      </c>
      <c r="AC235" s="447">
        <f>6815-3558.51+6176</f>
        <v>9432.49</v>
      </c>
      <c r="AD235" s="462">
        <f t="shared" si="109"/>
        <v>7628.840000000002</v>
      </c>
      <c r="AE235" s="447" t="s">
        <v>1749</v>
      </c>
      <c r="AG235" s="462">
        <f t="shared" si="110"/>
        <v>7628.840000000002</v>
      </c>
      <c r="AH235" s="447" t="s">
        <v>1823</v>
      </c>
      <c r="AI235" s="447">
        <v>6073.5</v>
      </c>
      <c r="AJ235" s="462">
        <f t="shared" si="111"/>
        <v>1555.340000000002</v>
      </c>
      <c r="AK235" s="447" t="s">
        <v>1856</v>
      </c>
      <c r="AM235" s="462">
        <f t="shared" si="112"/>
        <v>1555.340000000002</v>
      </c>
      <c r="AN235" s="447" t="s">
        <v>1971</v>
      </c>
      <c r="AO235" s="447">
        <f>1326+229.34</f>
        <v>1555.34</v>
      </c>
      <c r="AP235" s="462">
        <f t="shared" si="113"/>
        <v>2.0463630789890885E-12</v>
      </c>
      <c r="AQ235" s="447" t="s">
        <v>1999</v>
      </c>
      <c r="AS235" s="459">
        <f t="shared" si="114"/>
        <v>2.0463630789890885E-12</v>
      </c>
      <c r="AV235" s="462">
        <f t="shared" si="115"/>
        <v>2.0463630789890885E-12</v>
      </c>
      <c r="AY235" s="462">
        <f t="shared" si="116"/>
        <v>2.0463630789890885E-12</v>
      </c>
      <c r="BB235" s="462">
        <f t="shared" si="117"/>
        <v>2.0463630789890885E-12</v>
      </c>
      <c r="BC235" s="447" t="s">
        <v>2204</v>
      </c>
      <c r="BE235" s="462">
        <f t="shared" si="118"/>
        <v>2.0463630789890885E-12</v>
      </c>
      <c r="BH235" s="462">
        <f t="shared" si="119"/>
        <v>2.0463630789890885E-12</v>
      </c>
      <c r="BK235" s="462">
        <f t="shared" si="120"/>
        <v>2.0463630789890885E-12</v>
      </c>
      <c r="BN235" s="462">
        <f t="shared" si="121"/>
        <v>2.0463630789890885E-12</v>
      </c>
      <c r="BQ235" s="462">
        <f t="shared" si="122"/>
        <v>0</v>
      </c>
      <c r="BT235" s="462">
        <f t="shared" si="123"/>
        <v>0</v>
      </c>
      <c r="BW235" s="462">
        <f t="shared" si="124"/>
        <v>0</v>
      </c>
      <c r="BZ235" s="462">
        <f t="shared" si="125"/>
        <v>0</v>
      </c>
      <c r="CD235" s="418" t="str">
        <f t="shared" si="126"/>
        <v>CU0824001</v>
      </c>
      <c r="CE235" s="442" t="str">
        <f t="shared" si="127"/>
        <v>2019年4月</v>
      </c>
      <c r="CF235" s="418" t="str">
        <f t="shared" si="128"/>
        <v>苏州舒尔贸clife服务费暂估</v>
      </c>
      <c r="CG235" s="418" t="str">
        <f t="shared" si="129"/>
        <v>2019年4月苏州舒尔贸clife服务费暂估</v>
      </c>
    </row>
    <row r="236" spans="2:85" s="447" customFormat="1" ht="17.25" customHeight="1">
      <c r="B236" s="447" t="str">
        <f t="shared" si="104"/>
        <v>CU0848</v>
      </c>
      <c r="C236" s="431" t="s">
        <v>755</v>
      </c>
      <c r="D236" s="367" t="s">
        <v>1595</v>
      </c>
      <c r="E236" s="367" t="s">
        <v>1470</v>
      </c>
      <c r="F236" s="439">
        <v>43556</v>
      </c>
      <c r="G236" s="430">
        <v>3022.07</v>
      </c>
      <c r="H236" s="440"/>
      <c r="I236" s="440">
        <f t="shared" si="136"/>
        <v>3022.07</v>
      </c>
      <c r="J236" s="440"/>
      <c r="L236" s="462">
        <f t="shared" si="137"/>
        <v>3022.07</v>
      </c>
      <c r="M236" s="462"/>
      <c r="N236" s="444"/>
      <c r="O236" s="462">
        <f t="shared" si="138"/>
        <v>3022.07</v>
      </c>
      <c r="R236" s="462">
        <f t="shared" si="139"/>
        <v>3022.07</v>
      </c>
      <c r="S236" s="447" t="s">
        <v>1605</v>
      </c>
      <c r="U236" s="462">
        <f t="shared" si="140"/>
        <v>3022.07</v>
      </c>
      <c r="V236" s="447" t="s">
        <v>1630</v>
      </c>
      <c r="X236" s="462">
        <f t="shared" si="108"/>
        <v>3022.07</v>
      </c>
      <c r="Y236" s="447" t="s">
        <v>1666</v>
      </c>
      <c r="Z236" s="444"/>
      <c r="AA236" s="462">
        <f t="shared" si="131"/>
        <v>3022.07</v>
      </c>
      <c r="AB236" s="447" t="s">
        <v>1720</v>
      </c>
      <c r="AC236" s="462">
        <f>AA236</f>
        <v>3022.07</v>
      </c>
      <c r="AD236" s="462">
        <f t="shared" si="109"/>
        <v>0</v>
      </c>
      <c r="AE236" s="447" t="s">
        <v>1749</v>
      </c>
      <c r="AG236" s="462">
        <f t="shared" si="110"/>
        <v>0</v>
      </c>
      <c r="AH236" s="447" t="s">
        <v>1823</v>
      </c>
      <c r="AJ236" s="462">
        <f t="shared" si="111"/>
        <v>0</v>
      </c>
      <c r="AM236" s="462">
        <f t="shared" si="112"/>
        <v>0</v>
      </c>
      <c r="AN236" s="447" t="s">
        <v>1971</v>
      </c>
      <c r="AP236" s="462">
        <f t="shared" si="113"/>
        <v>0</v>
      </c>
      <c r="AQ236" s="447" t="s">
        <v>1999</v>
      </c>
      <c r="AS236" s="459">
        <f t="shared" si="114"/>
        <v>0</v>
      </c>
      <c r="AV236" s="462">
        <f t="shared" si="115"/>
        <v>0</v>
      </c>
      <c r="AY236" s="462">
        <f t="shared" si="116"/>
        <v>0</v>
      </c>
      <c r="BB236" s="462">
        <f t="shared" si="117"/>
        <v>0</v>
      </c>
      <c r="BC236" s="447" t="s">
        <v>2204</v>
      </c>
      <c r="BE236" s="462">
        <f t="shared" si="118"/>
        <v>0</v>
      </c>
      <c r="BH236" s="462">
        <f t="shared" si="119"/>
        <v>0</v>
      </c>
      <c r="BK236" s="462">
        <f t="shared" si="120"/>
        <v>0</v>
      </c>
      <c r="BN236" s="462">
        <f t="shared" si="121"/>
        <v>0</v>
      </c>
      <c r="BQ236" s="462">
        <f t="shared" si="122"/>
        <v>0</v>
      </c>
      <c r="BT236" s="462">
        <f t="shared" si="123"/>
        <v>0</v>
      </c>
      <c r="BW236" s="462">
        <f t="shared" si="124"/>
        <v>0</v>
      </c>
      <c r="BZ236" s="462">
        <f t="shared" si="125"/>
        <v>0</v>
      </c>
      <c r="CD236" s="418" t="str">
        <f t="shared" si="126"/>
        <v>CU0848001</v>
      </c>
      <c r="CE236" s="442" t="str">
        <f t="shared" si="127"/>
        <v>2019年4月</v>
      </c>
      <c r="CF236" s="418" t="str">
        <f t="shared" si="128"/>
        <v>深圳欧贝特clife服务费暂估</v>
      </c>
      <c r="CG236" s="418" t="str">
        <f t="shared" si="129"/>
        <v>2019年4月深圳欧贝特clife服务费暂估</v>
      </c>
    </row>
    <row r="237" spans="2:85" s="447" customFormat="1" ht="17.25" customHeight="1">
      <c r="B237" s="447" t="str">
        <f t="shared" si="104"/>
        <v>CU0860</v>
      </c>
      <c r="C237" s="431" t="s">
        <v>755</v>
      </c>
      <c r="D237" s="367" t="s">
        <v>1596</v>
      </c>
      <c r="E237" s="367" t="s">
        <v>613</v>
      </c>
      <c r="F237" s="439">
        <v>43556</v>
      </c>
      <c r="G237" s="430">
        <v>768490.56</v>
      </c>
      <c r="H237" s="440"/>
      <c r="I237" s="440">
        <f t="shared" si="136"/>
        <v>768490.56</v>
      </c>
      <c r="J237" s="440"/>
      <c r="L237" s="462">
        <f t="shared" si="137"/>
        <v>768490.56</v>
      </c>
      <c r="M237" s="462"/>
      <c r="N237" s="444"/>
      <c r="O237" s="462">
        <f t="shared" si="138"/>
        <v>768490.56</v>
      </c>
      <c r="R237" s="462">
        <f t="shared" si="139"/>
        <v>768490.56</v>
      </c>
      <c r="S237" s="447" t="s">
        <v>1605</v>
      </c>
      <c r="T237" s="447">
        <f>ROUNDDOWN((312100+312100+190400)/1.06,2)</f>
        <v>768490.56</v>
      </c>
      <c r="U237" s="462">
        <f t="shared" si="140"/>
        <v>0</v>
      </c>
      <c r="V237" s="447" t="s">
        <v>1630</v>
      </c>
      <c r="X237" s="462">
        <f t="shared" si="108"/>
        <v>0</v>
      </c>
      <c r="Y237" s="447" t="s">
        <v>1666</v>
      </c>
      <c r="Z237" s="444"/>
      <c r="AA237" s="462">
        <f t="shared" si="131"/>
        <v>0</v>
      </c>
      <c r="AB237" s="447" t="s">
        <v>1720</v>
      </c>
      <c r="AD237" s="462">
        <f t="shared" si="109"/>
        <v>0</v>
      </c>
      <c r="AE237" s="447" t="s">
        <v>1749</v>
      </c>
      <c r="AG237" s="462">
        <f t="shared" si="110"/>
        <v>0</v>
      </c>
      <c r="AH237" s="447" t="s">
        <v>1823</v>
      </c>
      <c r="AJ237" s="462">
        <f t="shared" si="111"/>
        <v>0</v>
      </c>
      <c r="AM237" s="462">
        <f t="shared" si="112"/>
        <v>0</v>
      </c>
      <c r="AN237" s="447" t="s">
        <v>1971</v>
      </c>
      <c r="AP237" s="462">
        <f t="shared" si="113"/>
        <v>0</v>
      </c>
      <c r="AQ237" s="447" t="s">
        <v>1999</v>
      </c>
      <c r="AS237" s="459">
        <f t="shared" si="114"/>
        <v>0</v>
      </c>
      <c r="AV237" s="462">
        <f t="shared" si="115"/>
        <v>0</v>
      </c>
      <c r="AY237" s="462">
        <f t="shared" si="116"/>
        <v>0</v>
      </c>
      <c r="BB237" s="462">
        <f t="shared" si="117"/>
        <v>0</v>
      </c>
      <c r="BC237" s="447" t="s">
        <v>2204</v>
      </c>
      <c r="BE237" s="462">
        <f t="shared" si="118"/>
        <v>0</v>
      </c>
      <c r="BH237" s="462">
        <f t="shared" si="119"/>
        <v>0</v>
      </c>
      <c r="BK237" s="462">
        <f t="shared" si="120"/>
        <v>0</v>
      </c>
      <c r="BN237" s="462">
        <f t="shared" si="121"/>
        <v>0</v>
      </c>
      <c r="BQ237" s="462">
        <f t="shared" si="122"/>
        <v>0</v>
      </c>
      <c r="BT237" s="462">
        <f t="shared" si="123"/>
        <v>0</v>
      </c>
      <c r="BW237" s="462">
        <f t="shared" si="124"/>
        <v>0</v>
      </c>
      <c r="BZ237" s="462">
        <f t="shared" si="125"/>
        <v>0</v>
      </c>
      <c r="CD237" s="418" t="str">
        <f t="shared" si="126"/>
        <v>CU0860001</v>
      </c>
      <c r="CE237" s="442" t="str">
        <f t="shared" si="127"/>
        <v>2019年4月</v>
      </c>
      <c r="CF237" s="418" t="str">
        <f t="shared" si="128"/>
        <v>光辉（上海clife服务费暂估</v>
      </c>
      <c r="CG237" s="418" t="str">
        <f t="shared" si="129"/>
        <v>2019年4月光辉（上海clife服务费暂估</v>
      </c>
    </row>
    <row r="238" spans="2:85" s="447" customFormat="1" ht="17.25" customHeight="1">
      <c r="B238" s="447" t="str">
        <f t="shared" si="104"/>
        <v>CU0869</v>
      </c>
      <c r="C238" s="431" t="s">
        <v>755</v>
      </c>
      <c r="D238" s="367" t="s">
        <v>1597</v>
      </c>
      <c r="E238" s="367" t="s">
        <v>1469</v>
      </c>
      <c r="F238" s="439">
        <v>43556</v>
      </c>
      <c r="G238" s="430">
        <v>89764.63</v>
      </c>
      <c r="H238" s="440"/>
      <c r="I238" s="440">
        <f t="shared" si="136"/>
        <v>89764.63</v>
      </c>
      <c r="J238" s="440"/>
      <c r="L238" s="462">
        <f t="shared" si="137"/>
        <v>89764.63</v>
      </c>
      <c r="M238" s="462"/>
      <c r="N238" s="444"/>
      <c r="O238" s="462">
        <f t="shared" si="138"/>
        <v>89764.63</v>
      </c>
      <c r="R238" s="462">
        <f t="shared" si="139"/>
        <v>89764.63</v>
      </c>
      <c r="S238" s="447" t="s">
        <v>1605</v>
      </c>
      <c r="U238" s="462">
        <f t="shared" si="140"/>
        <v>89764.63</v>
      </c>
      <c r="V238" s="447" t="s">
        <v>1630</v>
      </c>
      <c r="X238" s="462">
        <f t="shared" si="108"/>
        <v>89764.63</v>
      </c>
      <c r="Y238" s="447" t="s">
        <v>1666</v>
      </c>
      <c r="Z238" s="444"/>
      <c r="AA238" s="462">
        <f t="shared" si="131"/>
        <v>89764.63</v>
      </c>
      <c r="AB238" s="447" t="s">
        <v>1720</v>
      </c>
      <c r="AD238" s="462">
        <f t="shared" si="109"/>
        <v>89764.63</v>
      </c>
      <c r="AE238" s="447" t="s">
        <v>1749</v>
      </c>
      <c r="AG238" s="462">
        <f t="shared" si="110"/>
        <v>89764.63</v>
      </c>
      <c r="AH238" s="447" t="s">
        <v>1823</v>
      </c>
      <c r="AI238" s="462">
        <f>AG238</f>
        <v>89764.63</v>
      </c>
      <c r="AJ238" s="462">
        <f t="shared" si="111"/>
        <v>0</v>
      </c>
      <c r="AM238" s="462">
        <f t="shared" si="112"/>
        <v>0</v>
      </c>
      <c r="AN238" s="447" t="s">
        <v>1971</v>
      </c>
      <c r="AP238" s="462">
        <f t="shared" si="113"/>
        <v>0</v>
      </c>
      <c r="AQ238" s="447" t="s">
        <v>1999</v>
      </c>
      <c r="AS238" s="459">
        <f t="shared" si="114"/>
        <v>0</v>
      </c>
      <c r="AV238" s="462">
        <f t="shared" si="115"/>
        <v>0</v>
      </c>
      <c r="AY238" s="462">
        <f t="shared" si="116"/>
        <v>0</v>
      </c>
      <c r="BB238" s="462">
        <f t="shared" si="117"/>
        <v>0</v>
      </c>
      <c r="BC238" s="447" t="s">
        <v>2204</v>
      </c>
      <c r="BE238" s="462">
        <f t="shared" si="118"/>
        <v>0</v>
      </c>
      <c r="BH238" s="462">
        <f t="shared" si="119"/>
        <v>0</v>
      </c>
      <c r="BK238" s="462">
        <f t="shared" si="120"/>
        <v>0</v>
      </c>
      <c r="BN238" s="462">
        <f t="shared" si="121"/>
        <v>0</v>
      </c>
      <c r="BQ238" s="462">
        <f t="shared" si="122"/>
        <v>0</v>
      </c>
      <c r="BT238" s="462">
        <f t="shared" si="123"/>
        <v>0</v>
      </c>
      <c r="BW238" s="462">
        <f t="shared" si="124"/>
        <v>0</v>
      </c>
      <c r="BZ238" s="462">
        <f t="shared" si="125"/>
        <v>0</v>
      </c>
      <c r="CD238" s="418" t="str">
        <f t="shared" si="126"/>
        <v>CU0869001</v>
      </c>
      <c r="CE238" s="442" t="str">
        <f t="shared" si="127"/>
        <v>2019年4月</v>
      </c>
      <c r="CF238" s="418" t="str">
        <f t="shared" si="128"/>
        <v>智睿clife服务费暂估</v>
      </c>
      <c r="CG238" s="418" t="str">
        <f t="shared" si="129"/>
        <v>2019年4月智睿clife服务费暂估</v>
      </c>
    </row>
    <row r="239" spans="2:85" s="447" customFormat="1" ht="17.25" customHeight="1">
      <c r="B239" s="447" t="str">
        <f t="shared" si="104"/>
        <v>CU0884</v>
      </c>
      <c r="C239" s="431" t="s">
        <v>755</v>
      </c>
      <c r="D239" s="367" t="s">
        <v>1598</v>
      </c>
      <c r="E239" s="367" t="s">
        <v>1528</v>
      </c>
      <c r="F239" s="439">
        <v>43556</v>
      </c>
      <c r="G239" s="430">
        <v>6414.53</v>
      </c>
      <c r="H239" s="440"/>
      <c r="I239" s="440">
        <f t="shared" si="136"/>
        <v>6414.53</v>
      </c>
      <c r="J239" s="440"/>
      <c r="L239" s="462">
        <f t="shared" si="137"/>
        <v>6414.53</v>
      </c>
      <c r="M239" s="462"/>
      <c r="N239" s="444"/>
      <c r="O239" s="462">
        <f t="shared" si="138"/>
        <v>6414.53</v>
      </c>
      <c r="R239" s="462">
        <f t="shared" si="139"/>
        <v>6414.53</v>
      </c>
      <c r="S239" s="447" t="s">
        <v>1605</v>
      </c>
      <c r="U239" s="462">
        <f t="shared" si="140"/>
        <v>6414.53</v>
      </c>
      <c r="V239" s="447" t="s">
        <v>1630</v>
      </c>
      <c r="X239" s="462">
        <f t="shared" si="108"/>
        <v>6414.53</v>
      </c>
      <c r="Y239" s="447" t="s">
        <v>1666</v>
      </c>
      <c r="Z239" s="444"/>
      <c r="AA239" s="462">
        <f t="shared" si="131"/>
        <v>6414.53</v>
      </c>
      <c r="AB239" s="447" t="s">
        <v>1720</v>
      </c>
      <c r="AD239" s="462">
        <f t="shared" si="109"/>
        <v>6414.53</v>
      </c>
      <c r="AE239" s="447" t="s">
        <v>1749</v>
      </c>
      <c r="AG239" s="462">
        <f t="shared" si="110"/>
        <v>6414.53</v>
      </c>
      <c r="AH239" s="447" t="s">
        <v>1823</v>
      </c>
      <c r="AI239" s="462">
        <f>AG239</f>
        <v>6414.53</v>
      </c>
      <c r="AJ239" s="462">
        <f t="shared" si="111"/>
        <v>0</v>
      </c>
      <c r="AM239" s="462">
        <f t="shared" si="112"/>
        <v>0</v>
      </c>
      <c r="AN239" s="447" t="s">
        <v>1971</v>
      </c>
      <c r="AP239" s="462">
        <f t="shared" si="113"/>
        <v>0</v>
      </c>
      <c r="AQ239" s="447" t="s">
        <v>1999</v>
      </c>
      <c r="AS239" s="459">
        <f t="shared" si="114"/>
        <v>0</v>
      </c>
      <c r="AV239" s="462">
        <f t="shared" si="115"/>
        <v>0</v>
      </c>
      <c r="AY239" s="462">
        <f t="shared" si="116"/>
        <v>0</v>
      </c>
      <c r="BB239" s="462">
        <f t="shared" si="117"/>
        <v>0</v>
      </c>
      <c r="BC239" s="447" t="s">
        <v>2204</v>
      </c>
      <c r="BE239" s="462">
        <f t="shared" si="118"/>
        <v>0</v>
      </c>
      <c r="BH239" s="462">
        <f t="shared" si="119"/>
        <v>0</v>
      </c>
      <c r="BK239" s="462">
        <f t="shared" si="120"/>
        <v>0</v>
      </c>
      <c r="BN239" s="462">
        <f t="shared" si="121"/>
        <v>0</v>
      </c>
      <c r="BQ239" s="462">
        <f t="shared" si="122"/>
        <v>0</v>
      </c>
      <c r="BT239" s="462">
        <f t="shared" si="123"/>
        <v>0</v>
      </c>
      <c r="BW239" s="462">
        <f t="shared" si="124"/>
        <v>0</v>
      </c>
      <c r="BZ239" s="462">
        <f t="shared" si="125"/>
        <v>0</v>
      </c>
      <c r="CD239" s="418" t="str">
        <f t="shared" si="126"/>
        <v>CU0884001</v>
      </c>
      <c r="CE239" s="442" t="str">
        <f t="shared" si="127"/>
        <v>2019年4月</v>
      </c>
      <c r="CF239" s="418" t="str">
        <f t="shared" si="128"/>
        <v>恩德斯豪斯clife服务费暂估</v>
      </c>
      <c r="CG239" s="418" t="str">
        <f t="shared" si="129"/>
        <v>2019年4月恩德斯豪斯clife服务费暂估</v>
      </c>
    </row>
    <row r="240" spans="2:85" s="447" customFormat="1" ht="17.25" customHeight="1">
      <c r="B240" s="447" t="str">
        <f t="shared" si="104"/>
        <v>CU0914</v>
      </c>
      <c r="C240" s="431" t="s">
        <v>755</v>
      </c>
      <c r="D240" s="367" t="s">
        <v>1599</v>
      </c>
      <c r="E240" s="367" t="s">
        <v>1535</v>
      </c>
      <c r="F240" s="439">
        <v>43556</v>
      </c>
      <c r="G240" s="430">
        <v>9004.1</v>
      </c>
      <c r="H240" s="440"/>
      <c r="I240" s="440">
        <f t="shared" si="136"/>
        <v>9004.1</v>
      </c>
      <c r="J240" s="440"/>
      <c r="L240" s="462">
        <f t="shared" si="137"/>
        <v>9004.1</v>
      </c>
      <c r="M240" s="462"/>
      <c r="N240" s="444"/>
      <c r="O240" s="462">
        <f t="shared" si="138"/>
        <v>9004.1</v>
      </c>
      <c r="R240" s="462">
        <f t="shared" si="139"/>
        <v>9004.1</v>
      </c>
      <c r="S240" s="447" t="s">
        <v>1605</v>
      </c>
      <c r="U240" s="462">
        <f t="shared" si="140"/>
        <v>9004.1</v>
      </c>
      <c r="V240" s="447" t="s">
        <v>1630</v>
      </c>
      <c r="X240" s="462">
        <f t="shared" si="108"/>
        <v>9004.1</v>
      </c>
      <c r="Y240" s="447" t="s">
        <v>1666</v>
      </c>
      <c r="Z240" s="444"/>
      <c r="AA240" s="462">
        <f t="shared" si="131"/>
        <v>9004.1</v>
      </c>
      <c r="AB240" s="447" t="s">
        <v>1720</v>
      </c>
      <c r="AC240" s="462">
        <f>AA240</f>
        <v>9004.1</v>
      </c>
      <c r="AD240" s="462">
        <f t="shared" si="109"/>
        <v>0</v>
      </c>
      <c r="AE240" s="447" t="s">
        <v>1749</v>
      </c>
      <c r="AG240" s="462">
        <f t="shared" si="110"/>
        <v>0</v>
      </c>
      <c r="AH240" s="447" t="s">
        <v>1823</v>
      </c>
      <c r="AJ240" s="462">
        <f t="shared" si="111"/>
        <v>0</v>
      </c>
      <c r="AM240" s="462">
        <f t="shared" si="112"/>
        <v>0</v>
      </c>
      <c r="AN240" s="447" t="s">
        <v>1971</v>
      </c>
      <c r="AP240" s="462">
        <f t="shared" si="113"/>
        <v>0</v>
      </c>
      <c r="AQ240" s="447" t="s">
        <v>1999</v>
      </c>
      <c r="AS240" s="459">
        <f t="shared" si="114"/>
        <v>0</v>
      </c>
      <c r="AV240" s="462">
        <f t="shared" si="115"/>
        <v>0</v>
      </c>
      <c r="AY240" s="462">
        <f t="shared" si="116"/>
        <v>0</v>
      </c>
      <c r="BB240" s="462">
        <f t="shared" si="117"/>
        <v>0</v>
      </c>
      <c r="BC240" s="447" t="s">
        <v>2204</v>
      </c>
      <c r="BE240" s="462">
        <f t="shared" si="118"/>
        <v>0</v>
      </c>
      <c r="BH240" s="462">
        <f t="shared" si="119"/>
        <v>0</v>
      </c>
      <c r="BK240" s="462">
        <f t="shared" si="120"/>
        <v>0</v>
      </c>
      <c r="BN240" s="462">
        <f t="shared" si="121"/>
        <v>0</v>
      </c>
      <c r="BQ240" s="462">
        <f t="shared" si="122"/>
        <v>0</v>
      </c>
      <c r="BT240" s="462">
        <f t="shared" si="123"/>
        <v>0</v>
      </c>
      <c r="BW240" s="462">
        <f t="shared" si="124"/>
        <v>0</v>
      </c>
      <c r="BZ240" s="462">
        <f t="shared" si="125"/>
        <v>0</v>
      </c>
      <c r="CD240" s="418" t="str">
        <f t="shared" si="126"/>
        <v>CU0914001</v>
      </c>
      <c r="CE240" s="442" t="str">
        <f t="shared" si="127"/>
        <v>2019年4月</v>
      </c>
      <c r="CF240" s="418" t="str">
        <f t="shared" si="128"/>
        <v>鑫车投资（clife服务费暂估</v>
      </c>
      <c r="CG240" s="418" t="str">
        <f t="shared" si="129"/>
        <v>2019年4月鑫车投资（clife服务费暂估</v>
      </c>
    </row>
    <row r="241" spans="2:85" s="447" customFormat="1" ht="17.25" customHeight="1">
      <c r="B241" s="447" t="str">
        <f t="shared" si="104"/>
        <v>CU1016</v>
      </c>
      <c r="C241" s="431" t="s">
        <v>755</v>
      </c>
      <c r="D241" s="367" t="s">
        <v>1600</v>
      </c>
      <c r="E241" s="367" t="s">
        <v>1536</v>
      </c>
      <c r="F241" s="439">
        <v>43556</v>
      </c>
      <c r="G241" s="430">
        <v>8469.36</v>
      </c>
      <c r="H241" s="440"/>
      <c r="I241" s="440">
        <f t="shared" si="136"/>
        <v>8469.36</v>
      </c>
      <c r="J241" s="440"/>
      <c r="L241" s="462">
        <f t="shared" si="137"/>
        <v>8469.36</v>
      </c>
      <c r="M241" s="462"/>
      <c r="N241" s="444"/>
      <c r="O241" s="462">
        <f t="shared" si="138"/>
        <v>8469.36</v>
      </c>
      <c r="R241" s="462">
        <f t="shared" si="139"/>
        <v>8469.36</v>
      </c>
      <c r="S241" s="447" t="s">
        <v>1605</v>
      </c>
      <c r="U241" s="462">
        <f t="shared" si="140"/>
        <v>8469.36</v>
      </c>
      <c r="V241" s="447" t="s">
        <v>1630</v>
      </c>
      <c r="X241" s="462">
        <f t="shared" si="108"/>
        <v>8469.36</v>
      </c>
      <c r="Y241" s="447" t="s">
        <v>1666</v>
      </c>
      <c r="Z241" s="444"/>
      <c r="AA241" s="462">
        <f t="shared" si="131"/>
        <v>8469.36</v>
      </c>
      <c r="AB241" s="447" t="s">
        <v>1720</v>
      </c>
      <c r="AC241" s="462">
        <f>AA241</f>
        <v>8469.36</v>
      </c>
      <c r="AD241" s="462">
        <f t="shared" si="109"/>
        <v>0</v>
      </c>
      <c r="AE241" s="447" t="s">
        <v>1749</v>
      </c>
      <c r="AG241" s="462">
        <f t="shared" si="110"/>
        <v>0</v>
      </c>
      <c r="AH241" s="447" t="s">
        <v>1823</v>
      </c>
      <c r="AJ241" s="462">
        <f t="shared" si="111"/>
        <v>0</v>
      </c>
      <c r="AM241" s="462">
        <f t="shared" si="112"/>
        <v>0</v>
      </c>
      <c r="AN241" s="447" t="s">
        <v>1971</v>
      </c>
      <c r="AP241" s="462">
        <f t="shared" si="113"/>
        <v>0</v>
      </c>
      <c r="AQ241" s="447" t="s">
        <v>1999</v>
      </c>
      <c r="AS241" s="459">
        <f t="shared" si="114"/>
        <v>0</v>
      </c>
      <c r="AV241" s="462">
        <f t="shared" si="115"/>
        <v>0</v>
      </c>
      <c r="AY241" s="462">
        <f t="shared" si="116"/>
        <v>0</v>
      </c>
      <c r="BB241" s="462">
        <f t="shared" si="117"/>
        <v>0</v>
      </c>
      <c r="BC241" s="447" t="s">
        <v>2204</v>
      </c>
      <c r="BE241" s="462">
        <f t="shared" si="118"/>
        <v>0</v>
      </c>
      <c r="BH241" s="462">
        <f t="shared" si="119"/>
        <v>0</v>
      </c>
      <c r="BK241" s="462">
        <f t="shared" si="120"/>
        <v>0</v>
      </c>
      <c r="BN241" s="462">
        <f t="shared" si="121"/>
        <v>0</v>
      </c>
      <c r="BQ241" s="462">
        <f t="shared" si="122"/>
        <v>0</v>
      </c>
      <c r="BT241" s="462">
        <f t="shared" si="123"/>
        <v>0</v>
      </c>
      <c r="BW241" s="462">
        <f t="shared" si="124"/>
        <v>0</v>
      </c>
      <c r="BZ241" s="462">
        <f t="shared" si="125"/>
        <v>0</v>
      </c>
      <c r="CD241" s="418" t="str">
        <f t="shared" si="126"/>
        <v>CU1016001</v>
      </c>
      <c r="CE241" s="442" t="str">
        <f t="shared" si="127"/>
        <v>2019年4月</v>
      </c>
      <c r="CF241" s="418" t="str">
        <f t="shared" si="128"/>
        <v>乔治阿玛尼clife服务费暂估</v>
      </c>
      <c r="CG241" s="418" t="str">
        <f t="shared" si="129"/>
        <v>2019年4月乔治阿玛尼clife服务费暂估</v>
      </c>
    </row>
    <row r="242" spans="2:85" s="447" customFormat="1" ht="17.25" customHeight="1">
      <c r="B242" s="447" t="str">
        <f t="shared" si="104"/>
        <v>CU1075</v>
      </c>
      <c r="C242" s="431" t="s">
        <v>755</v>
      </c>
      <c r="D242" s="367" t="s">
        <v>1601</v>
      </c>
      <c r="E242" s="367" t="s">
        <v>1581</v>
      </c>
      <c r="F242" s="439">
        <v>43556</v>
      </c>
      <c r="G242" s="430">
        <v>13018.87</v>
      </c>
      <c r="H242" s="440"/>
      <c r="I242" s="440">
        <f t="shared" si="136"/>
        <v>13018.87</v>
      </c>
      <c r="J242" s="440"/>
      <c r="L242" s="462">
        <f t="shared" si="137"/>
        <v>13018.87</v>
      </c>
      <c r="M242" s="462"/>
      <c r="N242" s="444"/>
      <c r="O242" s="462">
        <f t="shared" si="138"/>
        <v>13018.87</v>
      </c>
      <c r="R242" s="462">
        <f t="shared" si="139"/>
        <v>13018.87</v>
      </c>
      <c r="S242" s="447" t="s">
        <v>1605</v>
      </c>
      <c r="T242" s="462">
        <f>R242</f>
        <v>13018.87</v>
      </c>
      <c r="U242" s="462">
        <f t="shared" si="140"/>
        <v>0</v>
      </c>
      <c r="V242" s="447" t="s">
        <v>1630</v>
      </c>
      <c r="X242" s="462">
        <f t="shared" si="108"/>
        <v>0</v>
      </c>
      <c r="Y242" s="447" t="s">
        <v>1666</v>
      </c>
      <c r="Z242" s="444"/>
      <c r="AA242" s="462">
        <f t="shared" si="131"/>
        <v>0</v>
      </c>
      <c r="AB242" s="447" t="s">
        <v>1720</v>
      </c>
      <c r="AD242" s="462">
        <f t="shared" si="109"/>
        <v>0</v>
      </c>
      <c r="AE242" s="447" t="s">
        <v>1749</v>
      </c>
      <c r="AG242" s="462">
        <f t="shared" si="110"/>
        <v>0</v>
      </c>
      <c r="AH242" s="447" t="s">
        <v>1823</v>
      </c>
      <c r="AJ242" s="462">
        <f t="shared" si="111"/>
        <v>0</v>
      </c>
      <c r="AM242" s="462">
        <f t="shared" si="112"/>
        <v>0</v>
      </c>
      <c r="AN242" s="447" t="s">
        <v>1971</v>
      </c>
      <c r="AP242" s="462">
        <f t="shared" si="113"/>
        <v>0</v>
      </c>
      <c r="AQ242" s="447" t="s">
        <v>1999</v>
      </c>
      <c r="AS242" s="459">
        <f t="shared" si="114"/>
        <v>0</v>
      </c>
      <c r="AV242" s="462">
        <f t="shared" si="115"/>
        <v>0</v>
      </c>
      <c r="AY242" s="462">
        <f t="shared" si="116"/>
        <v>0</v>
      </c>
      <c r="BB242" s="462">
        <f t="shared" si="117"/>
        <v>0</v>
      </c>
      <c r="BC242" s="447" t="s">
        <v>2204</v>
      </c>
      <c r="BE242" s="462">
        <f t="shared" si="118"/>
        <v>0</v>
      </c>
      <c r="BH242" s="462">
        <f t="shared" si="119"/>
        <v>0</v>
      </c>
      <c r="BK242" s="462">
        <f t="shared" si="120"/>
        <v>0</v>
      </c>
      <c r="BN242" s="462">
        <f t="shared" si="121"/>
        <v>0</v>
      </c>
      <c r="BQ242" s="462">
        <f t="shared" si="122"/>
        <v>0</v>
      </c>
      <c r="BT242" s="462">
        <f t="shared" si="123"/>
        <v>0</v>
      </c>
      <c r="BW242" s="462">
        <f t="shared" si="124"/>
        <v>0</v>
      </c>
      <c r="BZ242" s="462">
        <f t="shared" si="125"/>
        <v>0</v>
      </c>
      <c r="CD242" s="418" t="str">
        <f t="shared" si="126"/>
        <v>CU1075001</v>
      </c>
      <c r="CE242" s="442" t="str">
        <f t="shared" si="127"/>
        <v>2019年4月</v>
      </c>
      <c r="CF242" s="418" t="str">
        <f t="shared" si="128"/>
        <v>上海盈努惠clife服务费暂估</v>
      </c>
      <c r="CG242" s="418" t="str">
        <f t="shared" si="129"/>
        <v>2019年4月上海盈努惠clife服务费暂估</v>
      </c>
    </row>
    <row r="243" spans="2:85" s="447" customFormat="1" ht="17.25" customHeight="1">
      <c r="B243" s="447" t="str">
        <f t="shared" si="104"/>
        <v>CU1198</v>
      </c>
      <c r="C243" s="431" t="s">
        <v>755</v>
      </c>
      <c r="D243" s="367" t="s">
        <v>1602</v>
      </c>
      <c r="E243" s="367" t="s">
        <v>1537</v>
      </c>
      <c r="F243" s="439">
        <v>43556</v>
      </c>
      <c r="G243" s="430">
        <v>15094.34</v>
      </c>
      <c r="H243" s="440"/>
      <c r="I243" s="440">
        <f t="shared" si="136"/>
        <v>15094.34</v>
      </c>
      <c r="J243" s="440"/>
      <c r="L243" s="462">
        <f t="shared" si="137"/>
        <v>15094.34</v>
      </c>
      <c r="M243" s="462"/>
      <c r="N243" s="444"/>
      <c r="O243" s="462">
        <f t="shared" si="138"/>
        <v>15094.34</v>
      </c>
      <c r="R243" s="462">
        <f t="shared" si="139"/>
        <v>15094.34</v>
      </c>
      <c r="S243" s="447" t="s">
        <v>1605</v>
      </c>
      <c r="T243" s="462">
        <f>R243</f>
        <v>15094.34</v>
      </c>
      <c r="U243" s="462">
        <f t="shared" si="140"/>
        <v>0</v>
      </c>
      <c r="V243" s="447" t="s">
        <v>1630</v>
      </c>
      <c r="X243" s="462">
        <f t="shared" si="108"/>
        <v>0</v>
      </c>
      <c r="Y243" s="447" t="s">
        <v>1666</v>
      </c>
      <c r="Z243" s="444"/>
      <c r="AA243" s="462">
        <f t="shared" si="131"/>
        <v>0</v>
      </c>
      <c r="AB243" s="447" t="s">
        <v>1720</v>
      </c>
      <c r="AD243" s="462">
        <f t="shared" si="109"/>
        <v>0</v>
      </c>
      <c r="AE243" s="447" t="s">
        <v>1749</v>
      </c>
      <c r="AG243" s="462">
        <f t="shared" si="110"/>
        <v>0</v>
      </c>
      <c r="AH243" s="447" t="s">
        <v>1823</v>
      </c>
      <c r="AJ243" s="462">
        <f t="shared" si="111"/>
        <v>0</v>
      </c>
      <c r="AM243" s="462">
        <f t="shared" si="112"/>
        <v>0</v>
      </c>
      <c r="AN243" s="447" t="s">
        <v>1971</v>
      </c>
      <c r="AP243" s="462">
        <f t="shared" si="113"/>
        <v>0</v>
      </c>
      <c r="AQ243" s="447" t="s">
        <v>1999</v>
      </c>
      <c r="AS243" s="459">
        <f t="shared" si="114"/>
        <v>0</v>
      </c>
      <c r="AV243" s="462">
        <f t="shared" si="115"/>
        <v>0</v>
      </c>
      <c r="AY243" s="462">
        <f t="shared" si="116"/>
        <v>0</v>
      </c>
      <c r="BB243" s="462">
        <f t="shared" si="117"/>
        <v>0</v>
      </c>
      <c r="BC243" s="447" t="s">
        <v>2204</v>
      </c>
      <c r="BE243" s="462">
        <f t="shared" si="118"/>
        <v>0</v>
      </c>
      <c r="BH243" s="462">
        <f t="shared" si="119"/>
        <v>0</v>
      </c>
      <c r="BK243" s="462">
        <f t="shared" si="120"/>
        <v>0</v>
      </c>
      <c r="BN243" s="462">
        <f t="shared" si="121"/>
        <v>0</v>
      </c>
      <c r="BQ243" s="462">
        <f t="shared" si="122"/>
        <v>0</v>
      </c>
      <c r="BT243" s="462">
        <f t="shared" si="123"/>
        <v>0</v>
      </c>
      <c r="BW243" s="462">
        <f t="shared" si="124"/>
        <v>0</v>
      </c>
      <c r="BZ243" s="462">
        <f t="shared" si="125"/>
        <v>0</v>
      </c>
      <c r="CD243" s="418" t="str">
        <f t="shared" si="126"/>
        <v>CU1198001</v>
      </c>
      <c r="CE243" s="442" t="str">
        <f t="shared" si="127"/>
        <v>2019年4月</v>
      </c>
      <c r="CF243" s="418" t="str">
        <f t="shared" si="128"/>
        <v>通用公正技clife服务费暂估</v>
      </c>
      <c r="CG243" s="418" t="str">
        <f t="shared" si="129"/>
        <v>2019年4月通用公正技clife服务费暂估</v>
      </c>
    </row>
    <row r="244" spans="2:85" s="447" customFormat="1" ht="17.25" customHeight="1">
      <c r="B244" s="447" t="str">
        <f t="shared" si="104"/>
        <v>CU1204</v>
      </c>
      <c r="C244" s="431" t="s">
        <v>755</v>
      </c>
      <c r="D244" s="367" t="s">
        <v>1603</v>
      </c>
      <c r="E244" s="367" t="s">
        <v>1582</v>
      </c>
      <c r="F244" s="439">
        <v>43556</v>
      </c>
      <c r="G244" s="430">
        <v>1028019.81</v>
      </c>
      <c r="H244" s="440"/>
      <c r="I244" s="440">
        <f t="shared" si="136"/>
        <v>1028019.81</v>
      </c>
      <c r="J244" s="440"/>
      <c r="L244" s="462">
        <f t="shared" si="137"/>
        <v>1028019.81</v>
      </c>
      <c r="M244" s="462"/>
      <c r="N244" s="444"/>
      <c r="O244" s="462">
        <f t="shared" si="138"/>
        <v>1028019.81</v>
      </c>
      <c r="R244" s="462">
        <f t="shared" si="139"/>
        <v>1028019.81</v>
      </c>
      <c r="S244" s="447" t="s">
        <v>1605</v>
      </c>
      <c r="T244" s="444">
        <v>200000</v>
      </c>
      <c r="U244" s="462">
        <f t="shared" si="140"/>
        <v>828019.81</v>
      </c>
      <c r="V244" s="447" t="s">
        <v>1630</v>
      </c>
      <c r="X244" s="462">
        <f>U244-W244</f>
        <v>828019.81</v>
      </c>
      <c r="Y244" s="447" t="s">
        <v>1666</v>
      </c>
      <c r="Z244" s="444">
        <f>151520+ROUND(328312.2/1.06,2)</f>
        <v>461248.49</v>
      </c>
      <c r="AA244" s="462">
        <f t="shared" si="131"/>
        <v>366771.32000000007</v>
      </c>
      <c r="AB244" s="447" t="s">
        <v>1720</v>
      </c>
      <c r="AC244" s="447">
        <v>132500</v>
      </c>
      <c r="AD244" s="462">
        <f t="shared" si="109"/>
        <v>234271.32000000007</v>
      </c>
      <c r="AE244" s="447" t="s">
        <v>1749</v>
      </c>
      <c r="AF244" s="447">
        <v>200000</v>
      </c>
      <c r="AG244" s="462">
        <f t="shared" si="110"/>
        <v>34271.320000000065</v>
      </c>
      <c r="AH244" s="447" t="s">
        <v>1823</v>
      </c>
      <c r="AI244" s="447">
        <f>10000+24271.32</f>
        <v>34271.32</v>
      </c>
      <c r="AJ244" s="462">
        <f t="shared" si="111"/>
        <v>6.5483618527650833E-11</v>
      </c>
      <c r="AM244" s="462">
        <f t="shared" si="112"/>
        <v>6.5483618527650833E-11</v>
      </c>
      <c r="AN244" s="447" t="s">
        <v>1971</v>
      </c>
      <c r="AP244" s="462">
        <f t="shared" si="113"/>
        <v>6.5483618527650833E-11</v>
      </c>
      <c r="AQ244" s="447" t="s">
        <v>1999</v>
      </c>
      <c r="AS244" s="459">
        <f t="shared" si="114"/>
        <v>6.5483618527650833E-11</v>
      </c>
      <c r="AV244" s="462">
        <f t="shared" si="115"/>
        <v>6.5483618527650833E-11</v>
      </c>
      <c r="AY244" s="462">
        <f t="shared" si="116"/>
        <v>6.5483618527650833E-11</v>
      </c>
      <c r="BB244" s="462">
        <f t="shared" si="117"/>
        <v>6.5483618527650833E-11</v>
      </c>
      <c r="BC244" s="447" t="s">
        <v>2204</v>
      </c>
      <c r="BE244" s="462">
        <f t="shared" si="118"/>
        <v>6.5483618527650833E-11</v>
      </c>
      <c r="BH244" s="462">
        <f t="shared" si="119"/>
        <v>6.5483618527650833E-11</v>
      </c>
      <c r="BK244" s="462">
        <f t="shared" si="120"/>
        <v>6.5483618527650833E-11</v>
      </c>
      <c r="BN244" s="462">
        <f t="shared" si="121"/>
        <v>6.5483618527650833E-11</v>
      </c>
      <c r="BQ244" s="462">
        <f t="shared" si="122"/>
        <v>0</v>
      </c>
      <c r="BT244" s="462">
        <f t="shared" si="123"/>
        <v>0</v>
      </c>
      <c r="BW244" s="462">
        <f t="shared" si="124"/>
        <v>0</v>
      </c>
      <c r="BZ244" s="462">
        <f t="shared" si="125"/>
        <v>0</v>
      </c>
      <c r="CD244" s="418" t="str">
        <f t="shared" si="126"/>
        <v>CU1204001</v>
      </c>
      <c r="CE244" s="442" t="str">
        <f t="shared" si="127"/>
        <v>2019年4月</v>
      </c>
      <c r="CF244" s="418" t="str">
        <f t="shared" si="128"/>
        <v>固特异轮胎clife服务费暂估</v>
      </c>
      <c r="CG244" s="418" t="str">
        <f t="shared" si="129"/>
        <v>2019年4月固特异轮胎clife服务费暂估</v>
      </c>
    </row>
    <row r="245" spans="2:85" s="447" customFormat="1" ht="17.25" customHeight="1">
      <c r="B245" s="447" t="str">
        <f t="shared" si="104"/>
        <v>CU1211</v>
      </c>
      <c r="C245" s="431" t="s">
        <v>755</v>
      </c>
      <c r="D245" s="367" t="s">
        <v>1604</v>
      </c>
      <c r="E245" s="367" t="s">
        <v>1583</v>
      </c>
      <c r="F245" s="439">
        <v>43556</v>
      </c>
      <c r="G245" s="430">
        <v>278699.86</v>
      </c>
      <c r="H245" s="440"/>
      <c r="I245" s="440">
        <f t="shared" si="136"/>
        <v>278699.86</v>
      </c>
      <c r="J245" s="440"/>
      <c r="L245" s="462">
        <f t="shared" si="137"/>
        <v>278699.86</v>
      </c>
      <c r="M245" s="462"/>
      <c r="N245" s="444"/>
      <c r="O245" s="462">
        <f t="shared" si="138"/>
        <v>278699.86</v>
      </c>
      <c r="R245" s="462">
        <f t="shared" si="139"/>
        <v>278699.86</v>
      </c>
      <c r="S245" s="447" t="s">
        <v>1605</v>
      </c>
      <c r="U245" s="462">
        <f t="shared" si="140"/>
        <v>278699.86</v>
      </c>
      <c r="V245" s="447" t="s">
        <v>1630</v>
      </c>
      <c r="X245" s="462">
        <f t="shared" si="108"/>
        <v>278699.86</v>
      </c>
      <c r="Y245" s="447" t="s">
        <v>1666</v>
      </c>
      <c r="Z245" s="444">
        <f>100000</f>
        <v>100000</v>
      </c>
      <c r="AA245" s="462">
        <f t="shared" si="131"/>
        <v>178699.86</v>
      </c>
      <c r="AB245" s="447" t="s">
        <v>1720</v>
      </c>
      <c r="AC245" s="447">
        <v>100000</v>
      </c>
      <c r="AD245" s="462">
        <f t="shared" si="109"/>
        <v>78699.859999999986</v>
      </c>
      <c r="AE245" s="447" t="s">
        <v>1749</v>
      </c>
      <c r="AG245" s="462">
        <f t="shared" si="110"/>
        <v>78699.859999999986</v>
      </c>
      <c r="AH245" s="447" t="s">
        <v>1823</v>
      </c>
      <c r="AJ245" s="462">
        <f t="shared" si="111"/>
        <v>78699.859999999986</v>
      </c>
      <c r="AK245" s="447" t="s">
        <v>1856</v>
      </c>
      <c r="AM245" s="462">
        <f t="shared" si="112"/>
        <v>78699.859999999986</v>
      </c>
      <c r="AN245" s="447" t="s">
        <v>1971</v>
      </c>
      <c r="AO245" s="447">
        <f>ROUND((10000+2098.8+1460+676)/1.06,2)</f>
        <v>13429.06</v>
      </c>
      <c r="AP245" s="462">
        <f t="shared" si="113"/>
        <v>65270.799999999988</v>
      </c>
      <c r="AQ245" s="447" t="s">
        <v>1999</v>
      </c>
      <c r="AS245" s="459">
        <f t="shared" si="114"/>
        <v>65270.799999999988</v>
      </c>
      <c r="AV245" s="462">
        <f t="shared" si="115"/>
        <v>65270.799999999988</v>
      </c>
      <c r="AW245" s="447" t="s">
        <v>2107</v>
      </c>
      <c r="AY245" s="462">
        <f t="shared" si="116"/>
        <v>65270.799999999988</v>
      </c>
      <c r="AZ245" s="447" t="s">
        <v>2131</v>
      </c>
      <c r="BB245" s="462">
        <f t="shared" si="117"/>
        <v>65270.799999999988</v>
      </c>
      <c r="BC245" s="447" t="s">
        <v>2204</v>
      </c>
      <c r="BE245" s="462">
        <f t="shared" si="118"/>
        <v>65270.799999999988</v>
      </c>
      <c r="BF245" s="447" t="s">
        <v>2237</v>
      </c>
      <c r="BH245" s="462">
        <f t="shared" si="119"/>
        <v>65270.799999999988</v>
      </c>
      <c r="BI245" s="447" t="s">
        <v>2292</v>
      </c>
      <c r="BK245" s="462">
        <f t="shared" si="120"/>
        <v>65270.799999999988</v>
      </c>
      <c r="BL245" s="447" t="s">
        <v>2339</v>
      </c>
      <c r="BN245" s="462">
        <f t="shared" si="121"/>
        <v>65270.799999999988</v>
      </c>
      <c r="BO245" s="447" t="s">
        <v>2365</v>
      </c>
      <c r="BQ245" s="462">
        <f t="shared" si="122"/>
        <v>65270.8</v>
      </c>
      <c r="BR245" s="447" t="s">
        <v>2374</v>
      </c>
      <c r="BT245" s="462">
        <f t="shared" si="123"/>
        <v>65270.8</v>
      </c>
      <c r="BU245" s="447" t="s">
        <v>2134</v>
      </c>
      <c r="BW245" s="462">
        <f t="shared" si="124"/>
        <v>65270.8</v>
      </c>
      <c r="BZ245" s="462">
        <f t="shared" si="125"/>
        <v>65270.8</v>
      </c>
      <c r="CD245" s="418" t="str">
        <f t="shared" si="126"/>
        <v>CU1211001</v>
      </c>
      <c r="CE245" s="442" t="str">
        <f t="shared" si="127"/>
        <v>2019年4月</v>
      </c>
      <c r="CF245" s="418" t="str">
        <f t="shared" si="128"/>
        <v>上海精学锐clife服务费暂估</v>
      </c>
      <c r="CG245" s="418" t="str">
        <f t="shared" si="129"/>
        <v>2019年4月上海精学锐clife服务费暂估</v>
      </c>
    </row>
    <row r="246" spans="2:85" s="447" customFormat="1" ht="17.25" customHeight="1">
      <c r="B246" s="447" t="str">
        <f t="shared" si="104"/>
        <v>CU0093</v>
      </c>
      <c r="C246" s="431" t="s">
        <v>755</v>
      </c>
      <c r="D246" s="367" t="s">
        <v>1613</v>
      </c>
      <c r="E246" s="367" t="s">
        <v>32</v>
      </c>
      <c r="F246" s="439">
        <v>43556</v>
      </c>
      <c r="G246" s="430">
        <v>6273.23</v>
      </c>
      <c r="H246" s="440"/>
      <c r="I246" s="440">
        <f t="shared" si="136"/>
        <v>6273.23</v>
      </c>
      <c r="J246" s="440"/>
      <c r="L246" s="462">
        <f t="shared" si="137"/>
        <v>6273.23</v>
      </c>
      <c r="M246" s="462"/>
      <c r="N246" s="444"/>
      <c r="O246" s="462">
        <f t="shared" si="138"/>
        <v>6273.23</v>
      </c>
      <c r="R246" s="462">
        <f t="shared" si="139"/>
        <v>6273.23</v>
      </c>
      <c r="S246" s="447" t="s">
        <v>1605</v>
      </c>
      <c r="U246" s="462">
        <f t="shared" si="140"/>
        <v>6273.23</v>
      </c>
      <c r="V246" s="447" t="s">
        <v>1630</v>
      </c>
      <c r="X246" s="462">
        <f t="shared" si="108"/>
        <v>6273.23</v>
      </c>
      <c r="Y246" s="447" t="s">
        <v>1666</v>
      </c>
      <c r="Z246" s="444"/>
      <c r="AA246" s="462">
        <f t="shared" si="131"/>
        <v>6273.23</v>
      </c>
      <c r="AB246" s="447" t="s">
        <v>1720</v>
      </c>
      <c r="AC246" s="462">
        <f>ROUND(4943.16/1.06,2)-AC82-AC201</f>
        <v>3844.1699999999996</v>
      </c>
      <c r="AD246" s="462">
        <f t="shared" si="109"/>
        <v>2429.06</v>
      </c>
      <c r="AE246" s="447" t="s">
        <v>1749</v>
      </c>
      <c r="AG246" s="462">
        <f t="shared" si="110"/>
        <v>2429.06</v>
      </c>
      <c r="AH246" s="447" t="s">
        <v>1823</v>
      </c>
      <c r="AJ246" s="462">
        <f t="shared" si="111"/>
        <v>2429.06</v>
      </c>
      <c r="AK246" s="447" t="s">
        <v>1856</v>
      </c>
      <c r="AM246" s="462">
        <f t="shared" si="112"/>
        <v>2429.06</v>
      </c>
      <c r="AN246" s="447" t="s">
        <v>1971</v>
      </c>
      <c r="AO246" s="447">
        <f>ROUND(1671.06/1.06,2)</f>
        <v>1576.47</v>
      </c>
      <c r="AP246" s="462">
        <f t="shared" si="113"/>
        <v>852.58999999999992</v>
      </c>
      <c r="AQ246" s="447" t="s">
        <v>1999</v>
      </c>
      <c r="AS246" s="459">
        <f t="shared" si="114"/>
        <v>852.58999999999992</v>
      </c>
      <c r="AV246" s="462">
        <f t="shared" si="115"/>
        <v>852.58999999999992</v>
      </c>
      <c r="AW246" s="447" t="s">
        <v>2107</v>
      </c>
      <c r="AX246" s="462">
        <f>AV246</f>
        <v>852.58999999999992</v>
      </c>
      <c r="AY246" s="462">
        <f t="shared" si="116"/>
        <v>0</v>
      </c>
      <c r="BB246" s="462">
        <f t="shared" si="117"/>
        <v>0</v>
      </c>
      <c r="BC246" s="447" t="s">
        <v>2204</v>
      </c>
      <c r="BE246" s="462">
        <f t="shared" si="118"/>
        <v>0</v>
      </c>
      <c r="BH246" s="462">
        <f t="shared" si="119"/>
        <v>0</v>
      </c>
      <c r="BK246" s="462">
        <f t="shared" si="120"/>
        <v>0</v>
      </c>
      <c r="BN246" s="462">
        <f t="shared" si="121"/>
        <v>0</v>
      </c>
      <c r="BQ246" s="462">
        <f t="shared" si="122"/>
        <v>0</v>
      </c>
      <c r="BT246" s="462">
        <f t="shared" si="123"/>
        <v>0</v>
      </c>
      <c r="BW246" s="462">
        <f t="shared" si="124"/>
        <v>0</v>
      </c>
      <c r="BZ246" s="462">
        <f t="shared" si="125"/>
        <v>0</v>
      </c>
      <c r="CD246" s="418" t="str">
        <f t="shared" si="126"/>
        <v>CU0093001</v>
      </c>
      <c r="CE246" s="442" t="str">
        <f t="shared" si="127"/>
        <v>2019年4月</v>
      </c>
      <c r="CF246" s="418" t="str">
        <f t="shared" si="128"/>
        <v>日立保险代clife服务费暂估</v>
      </c>
      <c r="CG246" s="418" t="str">
        <f t="shared" si="129"/>
        <v>2019年4月日立保险代clife服务费暂估</v>
      </c>
    </row>
    <row r="247" spans="2:85" s="447" customFormat="1" ht="17.25" customHeight="1">
      <c r="B247" s="447" t="str">
        <f t="shared" si="104"/>
        <v>CU0109</v>
      </c>
      <c r="C247" s="431" t="s">
        <v>755</v>
      </c>
      <c r="D247" s="367" t="s">
        <v>1614</v>
      </c>
      <c r="E247" s="367" t="s">
        <v>34</v>
      </c>
      <c r="F247" s="439">
        <v>43556</v>
      </c>
      <c r="G247" s="430">
        <v>11131.21</v>
      </c>
      <c r="H247" s="440"/>
      <c r="I247" s="440">
        <f t="shared" si="136"/>
        <v>11131.21</v>
      </c>
      <c r="J247" s="440"/>
      <c r="L247" s="462">
        <f t="shared" si="137"/>
        <v>11131.21</v>
      </c>
      <c r="M247" s="462"/>
      <c r="N247" s="444"/>
      <c r="O247" s="462">
        <f t="shared" si="138"/>
        <v>11131.21</v>
      </c>
      <c r="R247" s="462">
        <f t="shared" si="139"/>
        <v>11131.21</v>
      </c>
      <c r="S247" s="447" t="s">
        <v>1605</v>
      </c>
      <c r="U247" s="462">
        <f t="shared" si="140"/>
        <v>11131.21</v>
      </c>
      <c r="V247" s="447" t="s">
        <v>1630</v>
      </c>
      <c r="X247" s="462">
        <f t="shared" si="108"/>
        <v>11131.21</v>
      </c>
      <c r="Y247" s="447" t="s">
        <v>1666</v>
      </c>
      <c r="Z247" s="444"/>
      <c r="AA247" s="462">
        <f t="shared" si="131"/>
        <v>11131.21</v>
      </c>
      <c r="AB247" s="447" t="s">
        <v>1720</v>
      </c>
      <c r="AD247" s="462">
        <f t="shared" si="109"/>
        <v>11131.21</v>
      </c>
      <c r="AE247" s="447" t="s">
        <v>1749</v>
      </c>
      <c r="AG247" s="462">
        <f t="shared" si="110"/>
        <v>11131.21</v>
      </c>
      <c r="AH247" s="447" t="s">
        <v>1823</v>
      </c>
      <c r="AI247" s="462">
        <f>AG247</f>
        <v>11131.21</v>
      </c>
      <c r="AJ247" s="462">
        <f t="shared" si="111"/>
        <v>0</v>
      </c>
      <c r="AM247" s="462">
        <f t="shared" si="112"/>
        <v>0</v>
      </c>
      <c r="AN247" s="447" t="s">
        <v>1971</v>
      </c>
      <c r="AP247" s="462">
        <f t="shared" si="113"/>
        <v>0</v>
      </c>
      <c r="AQ247" s="447" t="s">
        <v>1999</v>
      </c>
      <c r="AS247" s="459">
        <f t="shared" si="114"/>
        <v>0</v>
      </c>
      <c r="AV247" s="462">
        <f t="shared" si="115"/>
        <v>0</v>
      </c>
      <c r="AY247" s="462">
        <f t="shared" si="116"/>
        <v>0</v>
      </c>
      <c r="BB247" s="462">
        <f t="shared" si="117"/>
        <v>0</v>
      </c>
      <c r="BC247" s="447" t="s">
        <v>2204</v>
      </c>
      <c r="BE247" s="462">
        <f t="shared" si="118"/>
        <v>0</v>
      </c>
      <c r="BH247" s="462">
        <f t="shared" si="119"/>
        <v>0</v>
      </c>
      <c r="BK247" s="462">
        <f t="shared" si="120"/>
        <v>0</v>
      </c>
      <c r="BN247" s="462">
        <f t="shared" si="121"/>
        <v>0</v>
      </c>
      <c r="BQ247" s="462">
        <f t="shared" si="122"/>
        <v>0</v>
      </c>
      <c r="BT247" s="462">
        <f t="shared" si="123"/>
        <v>0</v>
      </c>
      <c r="BW247" s="462">
        <f t="shared" si="124"/>
        <v>0</v>
      </c>
      <c r="BZ247" s="462">
        <f t="shared" si="125"/>
        <v>0</v>
      </c>
      <c r="CD247" s="418" t="str">
        <f t="shared" si="126"/>
        <v>CU0109001</v>
      </c>
      <c r="CE247" s="442" t="str">
        <f t="shared" si="127"/>
        <v>2019年4月</v>
      </c>
      <c r="CF247" s="418" t="str">
        <f t="shared" si="128"/>
        <v>普拉达时装clife服务费暂估</v>
      </c>
      <c r="CG247" s="418" t="str">
        <f t="shared" si="129"/>
        <v>2019年4月普拉达时装clife服务费暂估</v>
      </c>
    </row>
    <row r="248" spans="2:85" s="447" customFormat="1" ht="17.25" customHeight="1">
      <c r="B248" s="447" t="str">
        <f t="shared" si="104"/>
        <v>CU0667</v>
      </c>
      <c r="C248" s="431" t="s">
        <v>755</v>
      </c>
      <c r="D248" s="367" t="s">
        <v>1615</v>
      </c>
      <c r="E248" s="367" t="s">
        <v>168</v>
      </c>
      <c r="F248" s="439">
        <v>43556</v>
      </c>
      <c r="G248" s="430">
        <v>570.65</v>
      </c>
      <c r="H248" s="440"/>
      <c r="I248" s="440">
        <f t="shared" si="136"/>
        <v>570.65</v>
      </c>
      <c r="J248" s="440"/>
      <c r="L248" s="462">
        <f t="shared" si="137"/>
        <v>570.65</v>
      </c>
      <c r="M248" s="462"/>
      <c r="N248" s="444"/>
      <c r="O248" s="462">
        <f t="shared" si="138"/>
        <v>570.65</v>
      </c>
      <c r="R248" s="462">
        <f t="shared" si="139"/>
        <v>570.65</v>
      </c>
      <c r="S248" s="447" t="s">
        <v>1605</v>
      </c>
      <c r="U248" s="462">
        <f t="shared" si="140"/>
        <v>570.65</v>
      </c>
      <c r="V248" s="447" t="s">
        <v>1630</v>
      </c>
      <c r="X248" s="462">
        <f t="shared" si="108"/>
        <v>570.65</v>
      </c>
      <c r="Y248" s="447" t="s">
        <v>1666</v>
      </c>
      <c r="Z248" s="444"/>
      <c r="AA248" s="462">
        <f t="shared" si="131"/>
        <v>570.65</v>
      </c>
      <c r="AB248" s="447" t="s">
        <v>1720</v>
      </c>
      <c r="AC248" s="462">
        <f>AA248</f>
        <v>570.65</v>
      </c>
      <c r="AD248" s="462">
        <f t="shared" si="109"/>
        <v>0</v>
      </c>
      <c r="AE248" s="447" t="s">
        <v>1749</v>
      </c>
      <c r="AG248" s="462">
        <f t="shared" si="110"/>
        <v>0</v>
      </c>
      <c r="AH248" s="447" t="s">
        <v>1823</v>
      </c>
      <c r="AJ248" s="462">
        <f t="shared" si="111"/>
        <v>0</v>
      </c>
      <c r="AM248" s="462">
        <f t="shared" si="112"/>
        <v>0</v>
      </c>
      <c r="AN248" s="447" t="s">
        <v>1971</v>
      </c>
      <c r="AP248" s="462">
        <f t="shared" si="113"/>
        <v>0</v>
      </c>
      <c r="AQ248" s="447" t="s">
        <v>1999</v>
      </c>
      <c r="AS248" s="459">
        <f t="shared" si="114"/>
        <v>0</v>
      </c>
      <c r="AV248" s="462">
        <f t="shared" si="115"/>
        <v>0</v>
      </c>
      <c r="AY248" s="462">
        <f t="shared" si="116"/>
        <v>0</v>
      </c>
      <c r="BB248" s="462">
        <f t="shared" si="117"/>
        <v>0</v>
      </c>
      <c r="BC248" s="447" t="s">
        <v>2204</v>
      </c>
      <c r="BE248" s="462">
        <f t="shared" si="118"/>
        <v>0</v>
      </c>
      <c r="BH248" s="462">
        <f t="shared" si="119"/>
        <v>0</v>
      </c>
      <c r="BK248" s="462">
        <f t="shared" si="120"/>
        <v>0</v>
      </c>
      <c r="BN248" s="462">
        <f t="shared" si="121"/>
        <v>0</v>
      </c>
      <c r="BQ248" s="462">
        <f t="shared" si="122"/>
        <v>0</v>
      </c>
      <c r="BT248" s="462">
        <f t="shared" si="123"/>
        <v>0</v>
      </c>
      <c r="BW248" s="462">
        <f t="shared" si="124"/>
        <v>0</v>
      </c>
      <c r="BZ248" s="462">
        <f t="shared" si="125"/>
        <v>0</v>
      </c>
      <c r="CD248" s="418" t="str">
        <f t="shared" si="126"/>
        <v>CU0667001</v>
      </c>
      <c r="CE248" s="442" t="str">
        <f t="shared" si="127"/>
        <v>2019年4月</v>
      </c>
      <c r="CF248" s="418" t="str">
        <f t="shared" si="128"/>
        <v>北京杰迪安clife服务费暂估</v>
      </c>
      <c r="CG248" s="418" t="str">
        <f t="shared" si="129"/>
        <v>2019年4月北京杰迪安clife服务费暂估</v>
      </c>
    </row>
    <row r="249" spans="2:85" s="447" customFormat="1" ht="17.25" customHeight="1">
      <c r="B249" s="447" t="str">
        <f t="shared" si="104"/>
        <v>CU0109</v>
      </c>
      <c r="C249" s="431" t="s">
        <v>755</v>
      </c>
      <c r="D249" s="367" t="s">
        <v>1642</v>
      </c>
      <c r="E249" s="367" t="s">
        <v>34</v>
      </c>
      <c r="F249" s="439">
        <v>43586</v>
      </c>
      <c r="G249" s="430">
        <v>2143.15</v>
      </c>
      <c r="H249" s="440"/>
      <c r="I249" s="440">
        <f t="shared" si="136"/>
        <v>2143.15</v>
      </c>
      <c r="J249" s="440"/>
      <c r="L249" s="462">
        <f t="shared" si="137"/>
        <v>2143.15</v>
      </c>
      <c r="M249" s="462"/>
      <c r="N249" s="444"/>
      <c r="O249" s="462">
        <f t="shared" si="138"/>
        <v>2143.15</v>
      </c>
      <c r="R249" s="462">
        <f t="shared" si="139"/>
        <v>2143.15</v>
      </c>
      <c r="U249" s="462">
        <f t="shared" si="140"/>
        <v>2143.15</v>
      </c>
      <c r="X249" s="462">
        <f t="shared" si="108"/>
        <v>2143.15</v>
      </c>
      <c r="Y249" s="447" t="s">
        <v>1665</v>
      </c>
      <c r="AA249" s="462">
        <f t="shared" si="131"/>
        <v>2143.15</v>
      </c>
      <c r="AB249" s="447" t="s">
        <v>1704</v>
      </c>
      <c r="AD249" s="462">
        <f t="shared" si="109"/>
        <v>2143.15</v>
      </c>
      <c r="AE249" s="447" t="s">
        <v>1754</v>
      </c>
      <c r="AG249" s="462">
        <f t="shared" si="110"/>
        <v>2143.15</v>
      </c>
      <c r="AH249" s="447" t="s">
        <v>1824</v>
      </c>
      <c r="AI249" s="462">
        <f>AG249</f>
        <v>2143.15</v>
      </c>
      <c r="AJ249" s="462">
        <f t="shared" si="111"/>
        <v>0</v>
      </c>
      <c r="AM249" s="462">
        <f t="shared" si="112"/>
        <v>0</v>
      </c>
      <c r="AN249" s="447" t="s">
        <v>1972</v>
      </c>
      <c r="AP249" s="462">
        <f t="shared" si="113"/>
        <v>0</v>
      </c>
      <c r="AQ249" s="447" t="s">
        <v>2000</v>
      </c>
      <c r="AS249" s="459">
        <f t="shared" si="114"/>
        <v>0</v>
      </c>
      <c r="AV249" s="462">
        <f t="shared" si="115"/>
        <v>0</v>
      </c>
      <c r="AY249" s="462">
        <f t="shared" si="116"/>
        <v>0</v>
      </c>
      <c r="BB249" s="462">
        <f t="shared" si="117"/>
        <v>0</v>
      </c>
      <c r="BC249" s="447" t="s">
        <v>2204</v>
      </c>
      <c r="BE249" s="462">
        <f t="shared" si="118"/>
        <v>0</v>
      </c>
      <c r="BH249" s="462">
        <f t="shared" si="119"/>
        <v>0</v>
      </c>
      <c r="BK249" s="462">
        <f t="shared" si="120"/>
        <v>0</v>
      </c>
      <c r="BN249" s="462">
        <f t="shared" si="121"/>
        <v>0</v>
      </c>
      <c r="BQ249" s="462">
        <f t="shared" si="122"/>
        <v>0</v>
      </c>
      <c r="BT249" s="462">
        <f t="shared" si="123"/>
        <v>0</v>
      </c>
      <c r="BW249" s="462">
        <f t="shared" si="124"/>
        <v>0</v>
      </c>
      <c r="BZ249" s="462">
        <f t="shared" si="125"/>
        <v>0</v>
      </c>
      <c r="CD249" s="418" t="str">
        <f t="shared" si="126"/>
        <v>CU0109001</v>
      </c>
      <c r="CE249" s="442" t="str">
        <f t="shared" si="127"/>
        <v>2019年5月</v>
      </c>
      <c r="CF249" s="418" t="str">
        <f t="shared" si="128"/>
        <v>普拉达时装clife服务费暂估</v>
      </c>
      <c r="CG249" s="418" t="str">
        <f t="shared" si="129"/>
        <v>2019年5月普拉达时装clife服务费暂估</v>
      </c>
    </row>
    <row r="250" spans="2:85" s="447" customFormat="1" ht="17.25" customHeight="1">
      <c r="B250" s="447" t="str">
        <f t="shared" si="104"/>
        <v>CU0145</v>
      </c>
      <c r="C250" s="431" t="s">
        <v>755</v>
      </c>
      <c r="D250" s="367" t="s">
        <v>1451</v>
      </c>
      <c r="E250" s="367" t="s">
        <v>1323</v>
      </c>
      <c r="F250" s="439">
        <v>43586</v>
      </c>
      <c r="G250" s="430">
        <v>282409.40999999997</v>
      </c>
      <c r="H250" s="440"/>
      <c r="I250" s="440">
        <f t="shared" si="136"/>
        <v>282409.40999999997</v>
      </c>
      <c r="J250" s="440"/>
      <c r="L250" s="462">
        <f t="shared" si="137"/>
        <v>282409.40999999997</v>
      </c>
      <c r="M250" s="462"/>
      <c r="N250" s="444"/>
      <c r="O250" s="462">
        <f t="shared" si="138"/>
        <v>282409.40999999997</v>
      </c>
      <c r="R250" s="462">
        <f t="shared" si="139"/>
        <v>282409.40999999997</v>
      </c>
      <c r="U250" s="462">
        <f t="shared" si="140"/>
        <v>282409.40999999997</v>
      </c>
      <c r="X250" s="462">
        <f t="shared" si="108"/>
        <v>282409.40999999997</v>
      </c>
      <c r="Y250" s="447" t="s">
        <v>1665</v>
      </c>
      <c r="Z250" s="447">
        <f>ROUND((232416/1.06),2)-124639.49</f>
        <v>94620.89</v>
      </c>
      <c r="AA250" s="462">
        <f t="shared" si="131"/>
        <v>187788.51999999996</v>
      </c>
      <c r="AB250" s="447" t="s">
        <v>1704</v>
      </c>
      <c r="AD250" s="462">
        <f t="shared" si="109"/>
        <v>187788.51999999996</v>
      </c>
      <c r="AE250" s="447" t="s">
        <v>1754</v>
      </c>
      <c r="AG250" s="462">
        <f t="shared" si="110"/>
        <v>187788.51999999996</v>
      </c>
      <c r="AH250" s="447" t="s">
        <v>1824</v>
      </c>
      <c r="AJ250" s="462">
        <f t="shared" si="111"/>
        <v>187788.51999999996</v>
      </c>
      <c r="AK250" s="447" t="s">
        <v>1857</v>
      </c>
      <c r="AM250" s="462">
        <f t="shared" si="112"/>
        <v>187788.51999999996</v>
      </c>
      <c r="AN250" s="447" t="s">
        <v>1972</v>
      </c>
      <c r="AO250" s="447">
        <f>100000+11230.5+3243+73315.02</f>
        <v>187788.52000000002</v>
      </c>
      <c r="AP250" s="462">
        <f t="shared" si="113"/>
        <v>0</v>
      </c>
      <c r="AQ250" s="447" t="s">
        <v>2000</v>
      </c>
      <c r="AS250" s="459">
        <f t="shared" si="114"/>
        <v>0</v>
      </c>
      <c r="AV250" s="462">
        <f t="shared" si="115"/>
        <v>0</v>
      </c>
      <c r="AY250" s="462">
        <f t="shared" si="116"/>
        <v>0</v>
      </c>
      <c r="BB250" s="462">
        <f t="shared" si="117"/>
        <v>0</v>
      </c>
      <c r="BC250" s="447" t="s">
        <v>2204</v>
      </c>
      <c r="BE250" s="462">
        <f t="shared" si="118"/>
        <v>0</v>
      </c>
      <c r="BH250" s="462">
        <f t="shared" si="119"/>
        <v>0</v>
      </c>
      <c r="BK250" s="462">
        <f t="shared" si="120"/>
        <v>0</v>
      </c>
      <c r="BN250" s="462">
        <f t="shared" si="121"/>
        <v>0</v>
      </c>
      <c r="BQ250" s="462">
        <f t="shared" si="122"/>
        <v>0</v>
      </c>
      <c r="BT250" s="462">
        <f t="shared" si="123"/>
        <v>0</v>
      </c>
      <c r="BW250" s="462">
        <f t="shared" si="124"/>
        <v>0</v>
      </c>
      <c r="BZ250" s="462">
        <f t="shared" si="125"/>
        <v>0</v>
      </c>
      <c r="CD250" s="418" t="str">
        <f t="shared" si="126"/>
        <v>CU0145001</v>
      </c>
      <c r="CE250" s="442" t="str">
        <f t="shared" si="127"/>
        <v>2019年5月</v>
      </c>
      <c r="CF250" s="418" t="str">
        <f t="shared" si="128"/>
        <v>锐珂亚太投clife服务费暂估</v>
      </c>
      <c r="CG250" s="418" t="str">
        <f t="shared" si="129"/>
        <v>2019年5月锐珂亚太投clife服务费暂估</v>
      </c>
    </row>
    <row r="251" spans="2:85" s="447" customFormat="1" ht="17.25" customHeight="1">
      <c r="B251" s="447" t="str">
        <f t="shared" si="104"/>
        <v>CU0148</v>
      </c>
      <c r="C251" s="431" t="s">
        <v>755</v>
      </c>
      <c r="D251" s="367" t="s">
        <v>1574</v>
      </c>
      <c r="E251" s="367" t="s">
        <v>1636</v>
      </c>
      <c r="F251" s="439">
        <v>43586</v>
      </c>
      <c r="G251" s="430">
        <v>232.43</v>
      </c>
      <c r="H251" s="440"/>
      <c r="I251" s="440">
        <f t="shared" si="136"/>
        <v>232.43</v>
      </c>
      <c r="J251" s="440"/>
      <c r="L251" s="462">
        <f t="shared" si="137"/>
        <v>232.43</v>
      </c>
      <c r="M251" s="462"/>
      <c r="N251" s="444"/>
      <c r="O251" s="462">
        <f t="shared" si="138"/>
        <v>232.43</v>
      </c>
      <c r="R251" s="462">
        <f t="shared" si="139"/>
        <v>232.43</v>
      </c>
      <c r="U251" s="462">
        <f t="shared" si="140"/>
        <v>232.43</v>
      </c>
      <c r="X251" s="462">
        <f t="shared" si="108"/>
        <v>232.43</v>
      </c>
      <c r="Y251" s="447" t="s">
        <v>1665</v>
      </c>
      <c r="AA251" s="462">
        <f t="shared" si="131"/>
        <v>232.43</v>
      </c>
      <c r="AB251" s="447" t="s">
        <v>1704</v>
      </c>
      <c r="AD251" s="462">
        <f t="shared" si="109"/>
        <v>232.43</v>
      </c>
      <c r="AE251" s="447" t="s">
        <v>1754</v>
      </c>
      <c r="AF251" s="462">
        <f>AD251</f>
        <v>232.43</v>
      </c>
      <c r="AG251" s="462">
        <f t="shared" si="110"/>
        <v>0</v>
      </c>
      <c r="AH251" s="447" t="s">
        <v>1824</v>
      </c>
      <c r="AJ251" s="462">
        <f t="shared" si="111"/>
        <v>0</v>
      </c>
      <c r="AM251" s="462">
        <f t="shared" si="112"/>
        <v>0</v>
      </c>
      <c r="AN251" s="447" t="s">
        <v>1972</v>
      </c>
      <c r="AP251" s="462">
        <f t="shared" si="113"/>
        <v>0</v>
      </c>
      <c r="AQ251" s="447" t="s">
        <v>2000</v>
      </c>
      <c r="AS251" s="459">
        <f t="shared" si="114"/>
        <v>0</v>
      </c>
      <c r="AV251" s="462">
        <f t="shared" si="115"/>
        <v>0</v>
      </c>
      <c r="AY251" s="462">
        <f t="shared" si="116"/>
        <v>0</v>
      </c>
      <c r="BB251" s="462">
        <f t="shared" si="117"/>
        <v>0</v>
      </c>
      <c r="BC251" s="447" t="s">
        <v>2204</v>
      </c>
      <c r="BE251" s="462">
        <f t="shared" si="118"/>
        <v>0</v>
      </c>
      <c r="BH251" s="462">
        <f t="shared" si="119"/>
        <v>0</v>
      </c>
      <c r="BK251" s="462">
        <f t="shared" si="120"/>
        <v>0</v>
      </c>
      <c r="BN251" s="462">
        <f t="shared" si="121"/>
        <v>0</v>
      </c>
      <c r="BQ251" s="462">
        <f t="shared" si="122"/>
        <v>0</v>
      </c>
      <c r="BT251" s="462">
        <f t="shared" si="123"/>
        <v>0</v>
      </c>
      <c r="BW251" s="462">
        <f t="shared" si="124"/>
        <v>0</v>
      </c>
      <c r="BZ251" s="462">
        <f t="shared" si="125"/>
        <v>0</v>
      </c>
      <c r="CD251" s="418" t="str">
        <f t="shared" si="126"/>
        <v>CU0148001</v>
      </c>
      <c r="CE251" s="442" t="str">
        <f t="shared" si="127"/>
        <v>2019年5月</v>
      </c>
      <c r="CF251" s="418" t="str">
        <f t="shared" si="128"/>
        <v>贝雅投资咨clife服务费暂估</v>
      </c>
      <c r="CG251" s="418" t="str">
        <f t="shared" si="129"/>
        <v>2019年5月贝雅投资咨clife服务费暂估</v>
      </c>
    </row>
    <row r="252" spans="2:85" s="447" customFormat="1" ht="17.25" customHeight="1">
      <c r="B252" s="447" t="str">
        <f t="shared" si="104"/>
        <v>CU0182</v>
      </c>
      <c r="C252" s="431" t="s">
        <v>755</v>
      </c>
      <c r="D252" s="367" t="s">
        <v>1452</v>
      </c>
      <c r="E252" s="367" t="s">
        <v>821</v>
      </c>
      <c r="F252" s="439">
        <v>43586</v>
      </c>
      <c r="G252" s="430">
        <v>10309.42</v>
      </c>
      <c r="H252" s="440"/>
      <c r="I252" s="440">
        <f t="shared" ref="I252:I282" si="141">G252-H252</f>
        <v>10309.42</v>
      </c>
      <c r="J252" s="440"/>
      <c r="L252" s="462">
        <f t="shared" ref="L252:L282" si="142">I252-K252</f>
        <v>10309.42</v>
      </c>
      <c r="M252" s="462"/>
      <c r="N252" s="444"/>
      <c r="O252" s="462">
        <f t="shared" ref="O252:O282" si="143">L252-N252</f>
        <v>10309.42</v>
      </c>
      <c r="R252" s="462">
        <f t="shared" ref="R252:R282" si="144">O252-Q252</f>
        <v>10309.42</v>
      </c>
      <c r="U252" s="462">
        <f t="shared" ref="U252:U282" si="145">R252-T252</f>
        <v>10309.42</v>
      </c>
      <c r="X252" s="462">
        <f t="shared" ref="X252:X282" si="146">U252-W252</f>
        <v>10309.42</v>
      </c>
      <c r="Y252" s="447" t="s">
        <v>1665</v>
      </c>
      <c r="AA252" s="462">
        <f t="shared" si="131"/>
        <v>10309.42</v>
      </c>
      <c r="AB252" s="447" t="s">
        <v>1704</v>
      </c>
      <c r="AD252" s="462">
        <f t="shared" si="109"/>
        <v>10309.42</v>
      </c>
      <c r="AE252" s="447" t="s">
        <v>1754</v>
      </c>
      <c r="AG252" s="462">
        <f t="shared" si="110"/>
        <v>10309.42</v>
      </c>
      <c r="AH252" s="447" t="s">
        <v>1824</v>
      </c>
      <c r="AJ252" s="462">
        <f t="shared" si="111"/>
        <v>10309.42</v>
      </c>
      <c r="AK252" s="447" t="s">
        <v>1857</v>
      </c>
      <c r="AM252" s="462">
        <f t="shared" si="112"/>
        <v>10309.42</v>
      </c>
      <c r="AN252" s="447" t="s">
        <v>1972</v>
      </c>
      <c r="AP252" s="462">
        <f t="shared" si="113"/>
        <v>10309.42</v>
      </c>
      <c r="AQ252" s="447" t="s">
        <v>2000</v>
      </c>
      <c r="AS252" s="459">
        <f t="shared" si="114"/>
        <v>10309.42</v>
      </c>
      <c r="AV252" s="462">
        <f t="shared" si="115"/>
        <v>10309.42</v>
      </c>
      <c r="AW252" s="447" t="s">
        <v>2107</v>
      </c>
      <c r="AY252" s="462">
        <f t="shared" si="116"/>
        <v>10309.42</v>
      </c>
      <c r="AZ252" s="447" t="s">
        <v>2131</v>
      </c>
      <c r="BB252" s="462">
        <f t="shared" si="117"/>
        <v>10309.42</v>
      </c>
      <c r="BC252" s="447" t="s">
        <v>2204</v>
      </c>
      <c r="BE252" s="462">
        <f t="shared" si="118"/>
        <v>10309.42</v>
      </c>
      <c r="BF252" s="447" t="s">
        <v>2237</v>
      </c>
      <c r="BH252" s="462">
        <f t="shared" si="119"/>
        <v>10309.42</v>
      </c>
      <c r="BI252" s="447" t="s">
        <v>2292</v>
      </c>
      <c r="BK252" s="462">
        <f t="shared" si="120"/>
        <v>10309.42</v>
      </c>
      <c r="BL252" s="447" t="s">
        <v>2339</v>
      </c>
      <c r="BN252" s="462">
        <f t="shared" si="121"/>
        <v>10309.42</v>
      </c>
      <c r="BO252" s="447" t="s">
        <v>2365</v>
      </c>
      <c r="BQ252" s="462">
        <f t="shared" si="122"/>
        <v>10309.42</v>
      </c>
      <c r="BR252" s="447" t="s">
        <v>2374</v>
      </c>
      <c r="BT252" s="462">
        <f t="shared" si="123"/>
        <v>10309.42</v>
      </c>
      <c r="BU252" s="447" t="s">
        <v>2134</v>
      </c>
      <c r="BW252" s="462">
        <f t="shared" si="124"/>
        <v>10309.42</v>
      </c>
      <c r="BZ252" s="462">
        <f t="shared" si="125"/>
        <v>10309.42</v>
      </c>
      <c r="CD252" s="418" t="str">
        <f t="shared" si="126"/>
        <v>CU0182001</v>
      </c>
      <c r="CE252" s="442" t="str">
        <f t="shared" si="127"/>
        <v>2019年5月</v>
      </c>
      <c r="CF252" s="418" t="str">
        <f t="shared" si="128"/>
        <v>阿姆斯壮（clife服务费暂估</v>
      </c>
      <c r="CG252" s="418" t="str">
        <f t="shared" si="129"/>
        <v>2019年5月阿姆斯壮（clife服务费暂估</v>
      </c>
    </row>
    <row r="253" spans="2:85" s="447" customFormat="1" ht="17.25" customHeight="1">
      <c r="B253" s="447" t="str">
        <f t="shared" si="104"/>
        <v>CU0285</v>
      </c>
      <c r="C253" s="431" t="s">
        <v>755</v>
      </c>
      <c r="D253" s="367" t="s">
        <v>1643</v>
      </c>
      <c r="E253" s="367" t="s">
        <v>1313</v>
      </c>
      <c r="F253" s="439">
        <v>43586</v>
      </c>
      <c r="G253" s="430">
        <v>23089.19</v>
      </c>
      <c r="H253" s="440"/>
      <c r="I253" s="440">
        <f t="shared" si="141"/>
        <v>23089.19</v>
      </c>
      <c r="J253" s="440"/>
      <c r="L253" s="462">
        <f t="shared" si="142"/>
        <v>23089.19</v>
      </c>
      <c r="M253" s="462"/>
      <c r="N253" s="444"/>
      <c r="O253" s="462">
        <f t="shared" si="143"/>
        <v>23089.19</v>
      </c>
      <c r="R253" s="462">
        <f t="shared" si="144"/>
        <v>23089.19</v>
      </c>
      <c r="U253" s="462">
        <f t="shared" si="145"/>
        <v>23089.19</v>
      </c>
      <c r="X253" s="462">
        <f t="shared" si="146"/>
        <v>23089.19</v>
      </c>
      <c r="Y253" s="447" t="s">
        <v>1665</v>
      </c>
      <c r="AA253" s="462">
        <f t="shared" si="131"/>
        <v>23089.19</v>
      </c>
      <c r="AB253" s="447" t="s">
        <v>1704</v>
      </c>
      <c r="AD253" s="462">
        <f t="shared" si="109"/>
        <v>23089.19</v>
      </c>
      <c r="AE253" s="447" t="s">
        <v>1754</v>
      </c>
      <c r="AF253" s="447">
        <f>100722-89053.48+11420.67</f>
        <v>23089.190000000002</v>
      </c>
      <c r="AG253" s="462">
        <f t="shared" si="110"/>
        <v>0</v>
      </c>
      <c r="AH253" s="447" t="s">
        <v>1824</v>
      </c>
      <c r="AJ253" s="462">
        <f t="shared" si="111"/>
        <v>0</v>
      </c>
      <c r="AM253" s="462">
        <f t="shared" si="112"/>
        <v>0</v>
      </c>
      <c r="AN253" s="447" t="s">
        <v>1972</v>
      </c>
      <c r="AP253" s="462">
        <f t="shared" si="113"/>
        <v>0</v>
      </c>
      <c r="AQ253" s="447" t="s">
        <v>2000</v>
      </c>
      <c r="AS253" s="459">
        <f t="shared" si="114"/>
        <v>0</v>
      </c>
      <c r="AV253" s="462">
        <f t="shared" si="115"/>
        <v>0</v>
      </c>
      <c r="AY253" s="462">
        <f t="shared" si="116"/>
        <v>0</v>
      </c>
      <c r="BB253" s="462">
        <f t="shared" si="117"/>
        <v>0</v>
      </c>
      <c r="BC253" s="447" t="s">
        <v>2204</v>
      </c>
      <c r="BE253" s="462">
        <f t="shared" si="118"/>
        <v>0</v>
      </c>
      <c r="BH253" s="462">
        <f t="shared" si="119"/>
        <v>0</v>
      </c>
      <c r="BK253" s="462">
        <f t="shared" si="120"/>
        <v>0</v>
      </c>
      <c r="BN253" s="462">
        <f t="shared" si="121"/>
        <v>0</v>
      </c>
      <c r="BQ253" s="462">
        <f t="shared" si="122"/>
        <v>0</v>
      </c>
      <c r="BT253" s="462">
        <f t="shared" si="123"/>
        <v>0</v>
      </c>
      <c r="BW253" s="462">
        <f t="shared" si="124"/>
        <v>0</v>
      </c>
      <c r="BZ253" s="462">
        <f t="shared" si="125"/>
        <v>0</v>
      </c>
      <c r="CD253" s="418" t="str">
        <f t="shared" si="126"/>
        <v>CU0285001</v>
      </c>
      <c r="CE253" s="442" t="str">
        <f t="shared" si="127"/>
        <v>2019年5月</v>
      </c>
      <c r="CF253" s="418" t="str">
        <f t="shared" si="128"/>
        <v>文思海辉clife服务费暂估</v>
      </c>
      <c r="CG253" s="418" t="str">
        <f t="shared" si="129"/>
        <v>2019年5月文思海辉clife服务费暂估</v>
      </c>
    </row>
    <row r="254" spans="2:85" s="447" customFormat="1" ht="17.25" customHeight="1">
      <c r="B254" s="447" t="str">
        <f t="shared" si="104"/>
        <v>CU0289</v>
      </c>
      <c r="C254" s="431" t="s">
        <v>755</v>
      </c>
      <c r="D254" s="367" t="s">
        <v>1644</v>
      </c>
      <c r="E254" s="367" t="s">
        <v>19</v>
      </c>
      <c r="F254" s="439">
        <v>43586</v>
      </c>
      <c r="G254" s="430">
        <v>926.43</v>
      </c>
      <c r="H254" s="440"/>
      <c r="I254" s="440">
        <f t="shared" si="141"/>
        <v>926.43</v>
      </c>
      <c r="J254" s="440"/>
      <c r="L254" s="462">
        <f t="shared" si="142"/>
        <v>926.43</v>
      </c>
      <c r="M254" s="462"/>
      <c r="N254" s="444"/>
      <c r="O254" s="462">
        <f t="shared" si="143"/>
        <v>926.43</v>
      </c>
      <c r="R254" s="462">
        <f t="shared" si="144"/>
        <v>926.43</v>
      </c>
      <c r="U254" s="462">
        <f t="shared" si="145"/>
        <v>926.43</v>
      </c>
      <c r="X254" s="462">
        <f t="shared" si="146"/>
        <v>926.43</v>
      </c>
      <c r="Y254" s="447" t="s">
        <v>1665</v>
      </c>
      <c r="AA254" s="462">
        <f t="shared" si="131"/>
        <v>926.43</v>
      </c>
      <c r="AB254" s="447" t="s">
        <v>1704</v>
      </c>
      <c r="AD254" s="462">
        <f t="shared" si="109"/>
        <v>926.43</v>
      </c>
      <c r="AE254" s="447" t="s">
        <v>1754</v>
      </c>
      <c r="AG254" s="462">
        <f t="shared" si="110"/>
        <v>926.43</v>
      </c>
      <c r="AH254" s="447" t="s">
        <v>1824</v>
      </c>
      <c r="AJ254" s="462">
        <f t="shared" si="111"/>
        <v>926.43</v>
      </c>
      <c r="AK254" s="447" t="s">
        <v>1857</v>
      </c>
      <c r="AL254" s="462">
        <f>AJ254</f>
        <v>926.43</v>
      </c>
      <c r="AM254" s="462">
        <f t="shared" si="112"/>
        <v>0</v>
      </c>
      <c r="AN254" s="447" t="s">
        <v>1972</v>
      </c>
      <c r="AP254" s="462">
        <f t="shared" si="113"/>
        <v>0</v>
      </c>
      <c r="AQ254" s="447" t="s">
        <v>2000</v>
      </c>
      <c r="AS254" s="459">
        <f t="shared" si="114"/>
        <v>0</v>
      </c>
      <c r="AV254" s="462">
        <f t="shared" si="115"/>
        <v>0</v>
      </c>
      <c r="AY254" s="462">
        <f t="shared" si="116"/>
        <v>0</v>
      </c>
      <c r="BB254" s="462">
        <f t="shared" si="117"/>
        <v>0</v>
      </c>
      <c r="BC254" s="447" t="s">
        <v>2204</v>
      </c>
      <c r="BE254" s="462">
        <f t="shared" si="118"/>
        <v>0</v>
      </c>
      <c r="BH254" s="462">
        <f t="shared" si="119"/>
        <v>0</v>
      </c>
      <c r="BK254" s="462">
        <f t="shared" si="120"/>
        <v>0</v>
      </c>
      <c r="BN254" s="462">
        <f t="shared" si="121"/>
        <v>0</v>
      </c>
      <c r="BQ254" s="462">
        <f t="shared" si="122"/>
        <v>0</v>
      </c>
      <c r="BT254" s="462">
        <f t="shared" si="123"/>
        <v>0</v>
      </c>
      <c r="BW254" s="462">
        <f t="shared" si="124"/>
        <v>0</v>
      </c>
      <c r="BZ254" s="462">
        <f t="shared" si="125"/>
        <v>0</v>
      </c>
      <c r="CD254" s="418" t="str">
        <f t="shared" si="126"/>
        <v>CU0289001</v>
      </c>
      <c r="CE254" s="442" t="str">
        <f t="shared" si="127"/>
        <v>2019年5月</v>
      </c>
      <c r="CF254" s="418" t="str">
        <f t="shared" si="128"/>
        <v>拉格代尔商clife服务费暂估</v>
      </c>
      <c r="CG254" s="418" t="str">
        <f t="shared" si="129"/>
        <v>2019年5月拉格代尔商clife服务费暂估</v>
      </c>
    </row>
    <row r="255" spans="2:85" s="447" customFormat="1" ht="17.25" customHeight="1">
      <c r="B255" s="447" t="str">
        <f t="shared" si="104"/>
        <v>CU0411</v>
      </c>
      <c r="C255" s="431" t="s">
        <v>755</v>
      </c>
      <c r="D255" s="367" t="s">
        <v>1645</v>
      </c>
      <c r="E255" s="367" t="s">
        <v>118</v>
      </c>
      <c r="F255" s="439">
        <v>43586</v>
      </c>
      <c r="G255" s="430">
        <v>111.14</v>
      </c>
      <c r="H255" s="440"/>
      <c r="I255" s="440">
        <f t="shared" si="141"/>
        <v>111.14</v>
      </c>
      <c r="J255" s="440"/>
      <c r="L255" s="462">
        <f t="shared" si="142"/>
        <v>111.14</v>
      </c>
      <c r="M255" s="462"/>
      <c r="N255" s="444"/>
      <c r="O255" s="462">
        <f t="shared" si="143"/>
        <v>111.14</v>
      </c>
      <c r="R255" s="462">
        <f t="shared" si="144"/>
        <v>111.14</v>
      </c>
      <c r="U255" s="462">
        <f t="shared" si="145"/>
        <v>111.14</v>
      </c>
      <c r="X255" s="462">
        <f t="shared" si="146"/>
        <v>111.14</v>
      </c>
      <c r="Y255" s="447" t="s">
        <v>1665</v>
      </c>
      <c r="AA255" s="462">
        <v>0</v>
      </c>
      <c r="AB255" s="447" t="s">
        <v>1704</v>
      </c>
      <c r="AD255" s="462">
        <f t="shared" si="109"/>
        <v>0</v>
      </c>
      <c r="AE255" s="447" t="s">
        <v>1754</v>
      </c>
      <c r="AG255" s="462">
        <f t="shared" si="110"/>
        <v>0</v>
      </c>
      <c r="AH255" s="447" t="s">
        <v>1824</v>
      </c>
      <c r="AJ255" s="462">
        <f t="shared" si="111"/>
        <v>0</v>
      </c>
      <c r="AM255" s="462">
        <f t="shared" si="112"/>
        <v>0</v>
      </c>
      <c r="AN255" s="447" t="s">
        <v>1972</v>
      </c>
      <c r="AP255" s="462">
        <f t="shared" si="113"/>
        <v>0</v>
      </c>
      <c r="AQ255" s="447" t="s">
        <v>2000</v>
      </c>
      <c r="AS255" s="459">
        <f t="shared" si="114"/>
        <v>0</v>
      </c>
      <c r="AV255" s="462">
        <f t="shared" si="115"/>
        <v>0</v>
      </c>
      <c r="AY255" s="462">
        <f t="shared" si="116"/>
        <v>0</v>
      </c>
      <c r="BB255" s="462">
        <f t="shared" si="117"/>
        <v>0</v>
      </c>
      <c r="BC255" s="447" t="s">
        <v>2204</v>
      </c>
      <c r="BE255" s="462">
        <f t="shared" si="118"/>
        <v>0</v>
      </c>
      <c r="BH255" s="462">
        <f t="shared" si="119"/>
        <v>0</v>
      </c>
      <c r="BK255" s="462">
        <f t="shared" si="120"/>
        <v>0</v>
      </c>
      <c r="BN255" s="462">
        <f t="shared" si="121"/>
        <v>0</v>
      </c>
      <c r="BQ255" s="462">
        <f t="shared" si="122"/>
        <v>0</v>
      </c>
      <c r="BT255" s="462">
        <f t="shared" si="123"/>
        <v>0</v>
      </c>
      <c r="BW255" s="462">
        <f t="shared" si="124"/>
        <v>0</v>
      </c>
      <c r="BZ255" s="462">
        <f t="shared" si="125"/>
        <v>0</v>
      </c>
      <c r="CD255" s="418" t="str">
        <f t="shared" si="126"/>
        <v>CU0411001</v>
      </c>
      <c r="CE255" s="442" t="str">
        <f t="shared" si="127"/>
        <v>2019年5月</v>
      </c>
      <c r="CF255" s="418" t="str">
        <f t="shared" si="128"/>
        <v>上海德达医clife服务费暂估</v>
      </c>
      <c r="CG255" s="418" t="str">
        <f t="shared" si="129"/>
        <v>2019年5月上海德达医clife服务费暂估</v>
      </c>
    </row>
    <row r="256" spans="2:85" s="447" customFormat="1" ht="17.25" customHeight="1">
      <c r="B256" s="447" t="str">
        <f t="shared" si="104"/>
        <v>CU0460</v>
      </c>
      <c r="C256" s="431" t="s">
        <v>755</v>
      </c>
      <c r="D256" s="367" t="s">
        <v>1646</v>
      </c>
      <c r="E256" s="367" t="s">
        <v>1637</v>
      </c>
      <c r="F256" s="439">
        <v>43586</v>
      </c>
      <c r="G256" s="430">
        <v>101254.27</v>
      </c>
      <c r="H256" s="440"/>
      <c r="I256" s="440">
        <f t="shared" si="141"/>
        <v>101254.27</v>
      </c>
      <c r="J256" s="440"/>
      <c r="L256" s="462">
        <f t="shared" si="142"/>
        <v>101254.27</v>
      </c>
      <c r="M256" s="462"/>
      <c r="N256" s="444"/>
      <c r="O256" s="462">
        <f t="shared" si="143"/>
        <v>101254.27</v>
      </c>
      <c r="R256" s="462">
        <f t="shared" si="144"/>
        <v>101254.27</v>
      </c>
      <c r="U256" s="462">
        <f t="shared" si="145"/>
        <v>101254.27</v>
      </c>
      <c r="X256" s="462">
        <f t="shared" si="146"/>
        <v>101254.27</v>
      </c>
      <c r="Y256" s="447" t="s">
        <v>1665</v>
      </c>
      <c r="AA256" s="462">
        <f t="shared" si="131"/>
        <v>101254.27</v>
      </c>
      <c r="AB256" s="447" t="s">
        <v>1704</v>
      </c>
      <c r="AD256" s="462">
        <f t="shared" si="109"/>
        <v>101254.27</v>
      </c>
      <c r="AE256" s="447" t="s">
        <v>1754</v>
      </c>
      <c r="AG256" s="462">
        <f t="shared" si="110"/>
        <v>101254.27</v>
      </c>
      <c r="AH256" s="447" t="s">
        <v>1824</v>
      </c>
      <c r="AJ256" s="462">
        <f t="shared" si="111"/>
        <v>101254.27</v>
      </c>
      <c r="AK256" s="447" t="s">
        <v>1857</v>
      </c>
      <c r="AM256" s="462">
        <f t="shared" si="112"/>
        <v>101254.27</v>
      </c>
      <c r="AN256" s="447" t="s">
        <v>1972</v>
      </c>
      <c r="AP256" s="462">
        <f t="shared" si="113"/>
        <v>101254.27</v>
      </c>
      <c r="AQ256" s="447" t="s">
        <v>2000</v>
      </c>
      <c r="AS256" s="459">
        <f t="shared" si="114"/>
        <v>101254.27</v>
      </c>
      <c r="AV256" s="462">
        <f t="shared" si="115"/>
        <v>101254.27</v>
      </c>
      <c r="AW256" s="447" t="s">
        <v>2107</v>
      </c>
      <c r="AX256" s="447">
        <v>100000</v>
      </c>
      <c r="AY256" s="462">
        <f t="shared" si="116"/>
        <v>1254.2700000000041</v>
      </c>
      <c r="AZ256" s="447" t="s">
        <v>2131</v>
      </c>
      <c r="BB256" s="462">
        <f t="shared" si="117"/>
        <v>1254.2700000000041</v>
      </c>
      <c r="BC256" s="447" t="s">
        <v>2204</v>
      </c>
      <c r="BE256" s="462">
        <f t="shared" si="118"/>
        <v>1254.2700000000041</v>
      </c>
      <c r="BF256" s="447" t="s">
        <v>2237</v>
      </c>
      <c r="BH256" s="462">
        <f t="shared" si="119"/>
        <v>1254.2700000000041</v>
      </c>
      <c r="BI256" s="447" t="s">
        <v>2292</v>
      </c>
      <c r="BK256" s="462">
        <f t="shared" si="120"/>
        <v>1254.2700000000041</v>
      </c>
      <c r="BL256" s="447" t="s">
        <v>2339</v>
      </c>
      <c r="BN256" s="462">
        <f t="shared" si="121"/>
        <v>1254.2700000000041</v>
      </c>
      <c r="BO256" s="447" t="s">
        <v>2365</v>
      </c>
      <c r="BQ256" s="462">
        <f t="shared" si="122"/>
        <v>1254.27</v>
      </c>
      <c r="BR256" s="447" t="s">
        <v>2374</v>
      </c>
      <c r="BS256" s="462">
        <f>BQ256</f>
        <v>1254.27</v>
      </c>
      <c r="BT256" s="462">
        <f t="shared" si="123"/>
        <v>0</v>
      </c>
      <c r="BW256" s="462">
        <f t="shared" si="124"/>
        <v>0</v>
      </c>
      <c r="BZ256" s="462">
        <f t="shared" si="125"/>
        <v>0</v>
      </c>
      <c r="CD256" s="418" t="str">
        <f t="shared" si="126"/>
        <v>CU0460001</v>
      </c>
      <c r="CE256" s="442" t="str">
        <f t="shared" si="127"/>
        <v>2019年5月</v>
      </c>
      <c r="CF256" s="418" t="str">
        <f t="shared" si="128"/>
        <v>新疆金风科clife服务费暂估</v>
      </c>
      <c r="CG256" s="418" t="str">
        <f t="shared" si="129"/>
        <v>2019年5月新疆金风科clife服务费暂估</v>
      </c>
    </row>
    <row r="257" spans="2:85" s="447" customFormat="1" ht="17.25" customHeight="1">
      <c r="B257" s="447" t="str">
        <f t="shared" si="104"/>
        <v>CU0468</v>
      </c>
      <c r="C257" s="431" t="s">
        <v>755</v>
      </c>
      <c r="D257" s="367" t="s">
        <v>1572</v>
      </c>
      <c r="E257" s="367" t="s">
        <v>128</v>
      </c>
      <c r="F257" s="439">
        <v>43586</v>
      </c>
      <c r="G257" s="430">
        <v>3120.77</v>
      </c>
      <c r="H257" s="440"/>
      <c r="I257" s="440">
        <f t="shared" si="141"/>
        <v>3120.77</v>
      </c>
      <c r="J257" s="440"/>
      <c r="L257" s="462">
        <f t="shared" si="142"/>
        <v>3120.77</v>
      </c>
      <c r="M257" s="462"/>
      <c r="N257" s="444"/>
      <c r="O257" s="462">
        <f t="shared" si="143"/>
        <v>3120.77</v>
      </c>
      <c r="R257" s="462">
        <f t="shared" si="144"/>
        <v>3120.77</v>
      </c>
      <c r="U257" s="462">
        <f t="shared" si="145"/>
        <v>3120.77</v>
      </c>
      <c r="X257" s="462">
        <f t="shared" si="146"/>
        <v>3120.77</v>
      </c>
      <c r="Y257" s="447" t="s">
        <v>1665</v>
      </c>
      <c r="AA257" s="462">
        <f t="shared" si="131"/>
        <v>3120.77</v>
      </c>
      <c r="AB257" s="447" t="s">
        <v>1704</v>
      </c>
      <c r="AD257" s="462">
        <f t="shared" si="109"/>
        <v>3120.77</v>
      </c>
      <c r="AE257" s="447" t="s">
        <v>1754</v>
      </c>
      <c r="AF257" s="462">
        <f>8236-AF148</f>
        <v>2317.13</v>
      </c>
      <c r="AG257" s="462">
        <f t="shared" si="110"/>
        <v>803.63999999999987</v>
      </c>
      <c r="AH257" s="447" t="s">
        <v>1824</v>
      </c>
      <c r="AJ257" s="462">
        <f t="shared" si="111"/>
        <v>803.63999999999987</v>
      </c>
      <c r="AK257" s="447" t="s">
        <v>1857</v>
      </c>
      <c r="AM257" s="462">
        <f t="shared" si="112"/>
        <v>803.63999999999987</v>
      </c>
      <c r="AN257" s="447" t="s">
        <v>1972</v>
      </c>
      <c r="AP257" s="462">
        <f t="shared" si="113"/>
        <v>803.63999999999987</v>
      </c>
      <c r="AQ257" s="447" t="s">
        <v>2000</v>
      </c>
      <c r="AS257" s="459">
        <f t="shared" si="114"/>
        <v>803.63999999999987</v>
      </c>
      <c r="AV257" s="462">
        <f t="shared" si="115"/>
        <v>803.63999999999987</v>
      </c>
      <c r="AW257" s="447" t="s">
        <v>2107</v>
      </c>
      <c r="AY257" s="462">
        <f t="shared" si="116"/>
        <v>803.63999999999987</v>
      </c>
      <c r="AZ257" s="447" t="s">
        <v>2131</v>
      </c>
      <c r="BB257" s="462">
        <f t="shared" si="117"/>
        <v>803.63999999999987</v>
      </c>
      <c r="BC257" s="447" t="s">
        <v>2204</v>
      </c>
      <c r="BE257" s="462">
        <f t="shared" si="118"/>
        <v>803.63999999999987</v>
      </c>
      <c r="BF257" s="447" t="s">
        <v>2237</v>
      </c>
      <c r="BH257" s="462">
        <f t="shared" si="119"/>
        <v>803.63999999999987</v>
      </c>
      <c r="BI257" s="447" t="s">
        <v>2292</v>
      </c>
      <c r="BK257" s="462">
        <f t="shared" si="120"/>
        <v>803.63999999999987</v>
      </c>
      <c r="BL257" s="447" t="s">
        <v>2339</v>
      </c>
      <c r="BN257" s="462">
        <f t="shared" si="121"/>
        <v>803.63999999999987</v>
      </c>
      <c r="BO257" s="447" t="s">
        <v>2365</v>
      </c>
      <c r="BQ257" s="462">
        <f t="shared" si="122"/>
        <v>803.64</v>
      </c>
      <c r="BR257" s="447" t="s">
        <v>2374</v>
      </c>
      <c r="BS257" s="462">
        <f>BQ257</f>
        <v>803.64</v>
      </c>
      <c r="BT257" s="462">
        <f t="shared" si="123"/>
        <v>0</v>
      </c>
      <c r="BW257" s="462">
        <f t="shared" si="124"/>
        <v>0</v>
      </c>
      <c r="BZ257" s="462">
        <f t="shared" si="125"/>
        <v>0</v>
      </c>
      <c r="CD257" s="418" t="str">
        <f t="shared" si="126"/>
        <v>CU0468001</v>
      </c>
      <c r="CE257" s="442" t="str">
        <f t="shared" si="127"/>
        <v>2019年5月</v>
      </c>
      <c r="CF257" s="418" t="str">
        <f t="shared" si="128"/>
        <v>包商银行股clife服务费暂估</v>
      </c>
      <c r="CG257" s="418" t="str">
        <f t="shared" si="129"/>
        <v>2019年5月包商银行股clife服务费暂估</v>
      </c>
    </row>
    <row r="258" spans="2:85" s="447" customFormat="1" ht="17.25" customHeight="1">
      <c r="B258" s="447" t="str">
        <f t="shared" si="104"/>
        <v>CU0531</v>
      </c>
      <c r="C258" s="431" t="s">
        <v>755</v>
      </c>
      <c r="D258" s="367" t="s">
        <v>1453</v>
      </c>
      <c r="E258" s="367" t="s">
        <v>134</v>
      </c>
      <c r="F258" s="439">
        <v>43586</v>
      </c>
      <c r="G258" s="430">
        <v>23167.35</v>
      </c>
      <c r="H258" s="440"/>
      <c r="I258" s="440">
        <f t="shared" si="141"/>
        <v>23167.35</v>
      </c>
      <c r="J258" s="440"/>
      <c r="L258" s="462">
        <f t="shared" si="142"/>
        <v>23167.35</v>
      </c>
      <c r="M258" s="462"/>
      <c r="N258" s="444"/>
      <c r="O258" s="462">
        <f t="shared" si="143"/>
        <v>23167.35</v>
      </c>
      <c r="R258" s="462">
        <f t="shared" si="144"/>
        <v>23167.35</v>
      </c>
      <c r="U258" s="462">
        <f t="shared" si="145"/>
        <v>23167.35</v>
      </c>
      <c r="X258" s="462">
        <f t="shared" si="146"/>
        <v>23167.35</v>
      </c>
      <c r="Y258" s="447" t="s">
        <v>1665</v>
      </c>
      <c r="AA258" s="462">
        <f t="shared" si="131"/>
        <v>23167.35</v>
      </c>
      <c r="AB258" s="447" t="s">
        <v>1704</v>
      </c>
      <c r="AD258" s="462">
        <f t="shared" si="109"/>
        <v>23167.35</v>
      </c>
      <c r="AE258" s="447" t="s">
        <v>1754</v>
      </c>
      <c r="AG258" s="462">
        <f t="shared" si="110"/>
        <v>23167.35</v>
      </c>
      <c r="AH258" s="447" t="s">
        <v>1824</v>
      </c>
      <c r="AJ258" s="462">
        <f t="shared" si="111"/>
        <v>23167.35</v>
      </c>
      <c r="AK258" s="447" t="s">
        <v>1857</v>
      </c>
      <c r="AM258" s="462">
        <f t="shared" si="112"/>
        <v>23167.35</v>
      </c>
      <c r="AN258" s="447" t="s">
        <v>1972</v>
      </c>
      <c r="AO258" s="462">
        <f>AM258</f>
        <v>23167.35</v>
      </c>
      <c r="AP258" s="462">
        <f t="shared" si="113"/>
        <v>0</v>
      </c>
      <c r="AQ258" s="447" t="s">
        <v>2000</v>
      </c>
      <c r="AS258" s="459">
        <f t="shared" si="114"/>
        <v>0</v>
      </c>
      <c r="AV258" s="462">
        <f t="shared" si="115"/>
        <v>0</v>
      </c>
      <c r="AY258" s="462">
        <f t="shared" si="116"/>
        <v>0</v>
      </c>
      <c r="BB258" s="462">
        <f t="shared" si="117"/>
        <v>0</v>
      </c>
      <c r="BC258" s="447" t="s">
        <v>2204</v>
      </c>
      <c r="BE258" s="462">
        <f t="shared" si="118"/>
        <v>0</v>
      </c>
      <c r="BH258" s="462">
        <f t="shared" si="119"/>
        <v>0</v>
      </c>
      <c r="BK258" s="462">
        <f t="shared" si="120"/>
        <v>0</v>
      </c>
      <c r="BN258" s="462">
        <f t="shared" si="121"/>
        <v>0</v>
      </c>
      <c r="BQ258" s="462">
        <f t="shared" si="122"/>
        <v>0</v>
      </c>
      <c r="BT258" s="462">
        <f t="shared" si="123"/>
        <v>0</v>
      </c>
      <c r="BW258" s="462">
        <f t="shared" si="124"/>
        <v>0</v>
      </c>
      <c r="BZ258" s="462">
        <f t="shared" si="125"/>
        <v>0</v>
      </c>
      <c r="CD258" s="418" t="str">
        <f t="shared" si="126"/>
        <v>CU0531001</v>
      </c>
      <c r="CE258" s="442" t="str">
        <f t="shared" si="127"/>
        <v>2019年5月</v>
      </c>
      <c r="CF258" s="418" t="str">
        <f t="shared" si="128"/>
        <v>恩思恩时尚clife服务费暂估</v>
      </c>
      <c r="CG258" s="418" t="str">
        <f t="shared" si="129"/>
        <v>2019年5月恩思恩时尚clife服务费暂估</v>
      </c>
    </row>
    <row r="259" spans="2:85" s="447" customFormat="1" ht="17.25" customHeight="1">
      <c r="B259" s="447" t="str">
        <f t="shared" ref="B259:B322" si="147">LEFT(D259,6)</f>
        <v>CU0558</v>
      </c>
      <c r="C259" s="431" t="s">
        <v>755</v>
      </c>
      <c r="D259" s="367" t="s">
        <v>1647</v>
      </c>
      <c r="E259" s="367" t="s">
        <v>1638</v>
      </c>
      <c r="F259" s="439">
        <v>43586</v>
      </c>
      <c r="G259" s="430">
        <v>3466.99</v>
      </c>
      <c r="H259" s="440"/>
      <c r="I259" s="440">
        <f t="shared" si="141"/>
        <v>3466.99</v>
      </c>
      <c r="J259" s="440"/>
      <c r="L259" s="462">
        <f t="shared" si="142"/>
        <v>3466.99</v>
      </c>
      <c r="M259" s="462"/>
      <c r="N259" s="444"/>
      <c r="O259" s="462">
        <f t="shared" si="143"/>
        <v>3466.99</v>
      </c>
      <c r="R259" s="462">
        <f t="shared" si="144"/>
        <v>3466.99</v>
      </c>
      <c r="U259" s="462">
        <f t="shared" si="145"/>
        <v>3466.99</v>
      </c>
      <c r="X259" s="462">
        <f t="shared" si="146"/>
        <v>3466.99</v>
      </c>
      <c r="Y259" s="447" t="s">
        <v>1665</v>
      </c>
      <c r="AA259" s="462">
        <f t="shared" si="131"/>
        <v>3466.99</v>
      </c>
      <c r="AB259" s="447" t="s">
        <v>1704</v>
      </c>
      <c r="AD259" s="462">
        <f t="shared" si="109"/>
        <v>3466.99</v>
      </c>
      <c r="AE259" s="447" t="s">
        <v>1754</v>
      </c>
      <c r="AG259" s="462">
        <f t="shared" si="110"/>
        <v>3466.99</v>
      </c>
      <c r="AH259" s="447" t="s">
        <v>1824</v>
      </c>
      <c r="AJ259" s="462">
        <f t="shared" si="111"/>
        <v>3466.99</v>
      </c>
      <c r="AK259" s="447" t="s">
        <v>1857</v>
      </c>
      <c r="AM259" s="462">
        <f t="shared" si="112"/>
        <v>3466.99</v>
      </c>
      <c r="AN259" s="447" t="s">
        <v>1972</v>
      </c>
      <c r="AP259" s="462">
        <f t="shared" si="113"/>
        <v>3466.99</v>
      </c>
      <c r="AQ259" s="447" t="s">
        <v>2000</v>
      </c>
      <c r="AS259" s="459">
        <f t="shared" si="114"/>
        <v>3466.99</v>
      </c>
      <c r="AV259" s="462">
        <f t="shared" si="115"/>
        <v>3466.99</v>
      </c>
      <c r="AW259" s="447" t="s">
        <v>2107</v>
      </c>
      <c r="AX259" s="462">
        <f>AV259</f>
        <v>3466.99</v>
      </c>
      <c r="AY259" s="462">
        <f t="shared" si="116"/>
        <v>0</v>
      </c>
      <c r="AZ259" s="447" t="s">
        <v>2131</v>
      </c>
      <c r="BB259" s="462">
        <f t="shared" si="117"/>
        <v>0</v>
      </c>
      <c r="BC259" s="447" t="s">
        <v>2204</v>
      </c>
      <c r="BE259" s="462">
        <f t="shared" si="118"/>
        <v>0</v>
      </c>
      <c r="BH259" s="462">
        <f t="shared" si="119"/>
        <v>0</v>
      </c>
      <c r="BK259" s="462">
        <f t="shared" si="120"/>
        <v>0</v>
      </c>
      <c r="BN259" s="462">
        <f t="shared" si="121"/>
        <v>0</v>
      </c>
      <c r="BQ259" s="462">
        <f t="shared" si="122"/>
        <v>0</v>
      </c>
      <c r="BT259" s="462">
        <f t="shared" si="123"/>
        <v>0</v>
      </c>
      <c r="BW259" s="462">
        <f t="shared" si="124"/>
        <v>0</v>
      </c>
      <c r="BZ259" s="462">
        <f t="shared" si="125"/>
        <v>0</v>
      </c>
      <c r="CD259" s="418" t="str">
        <f t="shared" si="126"/>
        <v>CU0558001</v>
      </c>
      <c r="CE259" s="442" t="str">
        <f t="shared" si="127"/>
        <v>2019年5月</v>
      </c>
      <c r="CF259" s="418" t="str">
        <f t="shared" si="128"/>
        <v>聚思鸿信息clife服务费暂估</v>
      </c>
      <c r="CG259" s="418" t="str">
        <f t="shared" si="129"/>
        <v>2019年5月聚思鸿信息clife服务费暂估</v>
      </c>
    </row>
    <row r="260" spans="2:85" s="447" customFormat="1" ht="17.25" customHeight="1">
      <c r="B260" s="447" t="str">
        <f t="shared" si="147"/>
        <v>CU0667</v>
      </c>
      <c r="C260" s="431" t="s">
        <v>755</v>
      </c>
      <c r="D260" s="367" t="s">
        <v>1454</v>
      </c>
      <c r="E260" s="367" t="s">
        <v>168</v>
      </c>
      <c r="F260" s="439">
        <v>43586</v>
      </c>
      <c r="G260" s="430">
        <v>576.53</v>
      </c>
      <c r="H260" s="440"/>
      <c r="I260" s="440">
        <f t="shared" si="141"/>
        <v>576.53</v>
      </c>
      <c r="J260" s="440"/>
      <c r="L260" s="462">
        <f t="shared" si="142"/>
        <v>576.53</v>
      </c>
      <c r="M260" s="462"/>
      <c r="N260" s="444"/>
      <c r="O260" s="462">
        <f t="shared" si="143"/>
        <v>576.53</v>
      </c>
      <c r="R260" s="462">
        <f t="shared" si="144"/>
        <v>576.53</v>
      </c>
      <c r="U260" s="462">
        <f t="shared" si="145"/>
        <v>576.53</v>
      </c>
      <c r="X260" s="462">
        <f t="shared" si="146"/>
        <v>576.53</v>
      </c>
      <c r="Y260" s="447" t="s">
        <v>1665</v>
      </c>
      <c r="AA260" s="462">
        <f t="shared" si="131"/>
        <v>576.53</v>
      </c>
      <c r="AB260" s="447" t="s">
        <v>1704</v>
      </c>
      <c r="AC260" s="462">
        <f>AA260</f>
        <v>576.53</v>
      </c>
      <c r="AD260" s="462">
        <f t="shared" ref="AD260:AD322" si="148">AA260-AC260</f>
        <v>0</v>
      </c>
      <c r="AE260" s="447" t="s">
        <v>1754</v>
      </c>
      <c r="AG260" s="462">
        <f t="shared" ref="AG260:AG323" si="149">AD260-AF260</f>
        <v>0</v>
      </c>
      <c r="AH260" s="447" t="s">
        <v>1824</v>
      </c>
      <c r="AJ260" s="462">
        <f t="shared" ref="AJ260:AJ323" si="150">AG260-AI260</f>
        <v>0</v>
      </c>
      <c r="AM260" s="462">
        <f t="shared" ref="AM260:AM323" si="151">AJ260-AL260</f>
        <v>0</v>
      </c>
      <c r="AN260" s="447" t="s">
        <v>1972</v>
      </c>
      <c r="AP260" s="462">
        <f t="shared" ref="AP260:AP323" si="152">AM260-AO260</f>
        <v>0</v>
      </c>
      <c r="AQ260" s="447" t="s">
        <v>2000</v>
      </c>
      <c r="AS260" s="459">
        <f t="shared" ref="AS260:AS323" si="153">AP260-AR260</f>
        <v>0</v>
      </c>
      <c r="AV260" s="462">
        <f t="shared" ref="AV260:AV323" si="154">AS260-AU260</f>
        <v>0</v>
      </c>
      <c r="AY260" s="462">
        <f t="shared" ref="AY260:AY323" si="155">AV260-AX260</f>
        <v>0</v>
      </c>
      <c r="BB260" s="462">
        <f t="shared" ref="BB260:BB323" si="156">AY260-BA260</f>
        <v>0</v>
      </c>
      <c r="BC260" s="447" t="s">
        <v>2204</v>
      </c>
      <c r="BE260" s="462">
        <f t="shared" ref="BE260:BE323" si="157">BB260-BD260</f>
        <v>0</v>
      </c>
      <c r="BH260" s="462">
        <f t="shared" ref="BH260:BH323" si="158">BE260-BG260</f>
        <v>0</v>
      </c>
      <c r="BK260" s="462">
        <f t="shared" ref="BK260:BK323" si="159">BH260-BJ260</f>
        <v>0</v>
      </c>
      <c r="BN260" s="462">
        <f t="shared" ref="BN260:BN323" si="160">BK260-BM260</f>
        <v>0</v>
      </c>
      <c r="BQ260" s="462">
        <f t="shared" ref="BQ260:BQ323" si="161">ROUND((BN260-BP260),2)</f>
        <v>0</v>
      </c>
      <c r="BT260" s="462">
        <f t="shared" ref="BT260:BT323" si="162">ROUND((BQ260-BS260),2)</f>
        <v>0</v>
      </c>
      <c r="BW260" s="462">
        <f t="shared" ref="BW260:BW323" si="163">ROUND((BT260-BV260),2)</f>
        <v>0</v>
      </c>
      <c r="BZ260" s="462">
        <f t="shared" ref="BZ260:BZ323" si="164">ROUND((BW260-BY260),2)</f>
        <v>0</v>
      </c>
      <c r="CD260" s="418" t="str">
        <f t="shared" ref="CD260:CD323" si="165">B260&amp;$B$1</f>
        <v>CU0667001</v>
      </c>
      <c r="CE260" s="442" t="str">
        <f t="shared" ref="CE260:CE323" si="166">YEAR(F260)&amp;"年"&amp;MONTH(F260)&amp;"月"</f>
        <v>2019年5月</v>
      </c>
      <c r="CF260" s="418" t="str">
        <f t="shared" ref="CF260:CF323" si="167">LEFT(E260,5)&amp;$E$1</f>
        <v>北京杰迪安clife服务费暂估</v>
      </c>
      <c r="CG260" s="418" t="str">
        <f t="shared" ref="CG260:CG323" si="168">CE260&amp;CF260</f>
        <v>2019年5月北京杰迪安clife服务费暂估</v>
      </c>
    </row>
    <row r="261" spans="2:85" s="447" customFormat="1" ht="17.25" customHeight="1">
      <c r="B261" s="447" t="str">
        <f t="shared" si="147"/>
        <v>CU0692</v>
      </c>
      <c r="C261" s="431" t="s">
        <v>755</v>
      </c>
      <c r="D261" s="367" t="s">
        <v>1648</v>
      </c>
      <c r="E261" s="367" t="s">
        <v>172</v>
      </c>
      <c r="F261" s="439">
        <v>43586</v>
      </c>
      <c r="G261" s="430">
        <v>600.29999999999995</v>
      </c>
      <c r="H261" s="440"/>
      <c r="I261" s="440">
        <f t="shared" si="141"/>
        <v>600.29999999999995</v>
      </c>
      <c r="J261" s="440"/>
      <c r="L261" s="462">
        <f t="shared" si="142"/>
        <v>600.29999999999995</v>
      </c>
      <c r="M261" s="462"/>
      <c r="N261" s="444"/>
      <c r="O261" s="462">
        <f t="shared" si="143"/>
        <v>600.29999999999995</v>
      </c>
      <c r="R261" s="462">
        <f t="shared" si="144"/>
        <v>600.29999999999995</v>
      </c>
      <c r="U261" s="462">
        <f t="shared" si="145"/>
        <v>600.29999999999995</v>
      </c>
      <c r="X261" s="462">
        <f t="shared" si="146"/>
        <v>600.29999999999995</v>
      </c>
      <c r="Y261" s="447" t="s">
        <v>1665</v>
      </c>
      <c r="AA261" s="462">
        <f t="shared" si="131"/>
        <v>600.29999999999995</v>
      </c>
      <c r="AB261" s="447" t="s">
        <v>1704</v>
      </c>
      <c r="AD261" s="462">
        <f t="shared" si="148"/>
        <v>600.29999999999995</v>
      </c>
      <c r="AE261" s="447" t="s">
        <v>1754</v>
      </c>
      <c r="AG261" s="462">
        <f t="shared" si="149"/>
        <v>600.29999999999995</v>
      </c>
      <c r="AH261" s="447" t="s">
        <v>1824</v>
      </c>
      <c r="AI261" s="447">
        <v>408</v>
      </c>
      <c r="AJ261" s="462">
        <f t="shared" si="150"/>
        <v>192.29999999999995</v>
      </c>
      <c r="AK261" s="447" t="s">
        <v>1857</v>
      </c>
      <c r="AM261" s="462">
        <f t="shared" si="151"/>
        <v>192.29999999999995</v>
      </c>
      <c r="AN261" s="447" t="s">
        <v>1972</v>
      </c>
      <c r="AO261" s="447">
        <v>187.74</v>
      </c>
      <c r="AP261" s="462">
        <f t="shared" si="152"/>
        <v>4.5599999999999454</v>
      </c>
      <c r="AQ261" s="447" t="s">
        <v>2000</v>
      </c>
      <c r="AS261" s="459">
        <f t="shared" si="153"/>
        <v>4.5599999999999454</v>
      </c>
      <c r="AV261" s="462">
        <f t="shared" si="154"/>
        <v>4.5599999999999454</v>
      </c>
      <c r="AW261" s="447" t="s">
        <v>2107</v>
      </c>
      <c r="AX261" s="462">
        <f>AV261</f>
        <v>4.5599999999999454</v>
      </c>
      <c r="AY261" s="462">
        <f t="shared" si="155"/>
        <v>0</v>
      </c>
      <c r="BB261" s="462">
        <f t="shared" si="156"/>
        <v>0</v>
      </c>
      <c r="BC261" s="447" t="s">
        <v>2204</v>
      </c>
      <c r="BE261" s="462">
        <f t="shared" si="157"/>
        <v>0</v>
      </c>
      <c r="BH261" s="462">
        <f t="shared" si="158"/>
        <v>0</v>
      </c>
      <c r="BK261" s="462">
        <f t="shared" si="159"/>
        <v>0</v>
      </c>
      <c r="BN261" s="462">
        <f t="shared" si="160"/>
        <v>0</v>
      </c>
      <c r="BQ261" s="462">
        <f t="shared" si="161"/>
        <v>0</v>
      </c>
      <c r="BT261" s="462">
        <f t="shared" si="162"/>
        <v>0</v>
      </c>
      <c r="BW261" s="462">
        <f t="shared" si="163"/>
        <v>0</v>
      </c>
      <c r="BZ261" s="462">
        <f t="shared" si="164"/>
        <v>0</v>
      </c>
      <c r="CD261" s="418" t="str">
        <f t="shared" si="165"/>
        <v>CU0692001</v>
      </c>
      <c r="CE261" s="442" t="str">
        <f t="shared" si="166"/>
        <v>2019年5月</v>
      </c>
      <c r="CF261" s="418" t="str">
        <f t="shared" si="167"/>
        <v>欧尚（中国clife服务费暂估</v>
      </c>
      <c r="CG261" s="418" t="str">
        <f t="shared" si="168"/>
        <v>2019年5月欧尚（中国clife服务费暂估</v>
      </c>
    </row>
    <row r="262" spans="2:85" s="447" customFormat="1" ht="17.25" customHeight="1">
      <c r="B262" s="447" t="str">
        <f t="shared" si="147"/>
        <v>CU0734</v>
      </c>
      <c r="C262" s="431" t="s">
        <v>755</v>
      </c>
      <c r="D262" s="367" t="s">
        <v>1649</v>
      </c>
      <c r="E262" s="367" t="s">
        <v>1639</v>
      </c>
      <c r="F262" s="439">
        <v>43586</v>
      </c>
      <c r="G262" s="430">
        <v>52.16</v>
      </c>
      <c r="H262" s="440"/>
      <c r="I262" s="440">
        <f t="shared" si="141"/>
        <v>52.16</v>
      </c>
      <c r="J262" s="440"/>
      <c r="L262" s="462">
        <f t="shared" si="142"/>
        <v>52.16</v>
      </c>
      <c r="M262" s="462"/>
      <c r="N262" s="444"/>
      <c r="O262" s="462">
        <f t="shared" si="143"/>
        <v>52.16</v>
      </c>
      <c r="R262" s="462">
        <f t="shared" si="144"/>
        <v>52.16</v>
      </c>
      <c r="U262" s="462">
        <f t="shared" si="145"/>
        <v>52.16</v>
      </c>
      <c r="X262" s="462">
        <f t="shared" si="146"/>
        <v>52.16</v>
      </c>
      <c r="Y262" s="447" t="s">
        <v>1665</v>
      </c>
      <c r="AA262" s="462">
        <v>0</v>
      </c>
      <c r="AB262" s="447" t="s">
        <v>1704</v>
      </c>
      <c r="AC262" s="462"/>
      <c r="AD262" s="462">
        <f t="shared" si="148"/>
        <v>0</v>
      </c>
      <c r="AE262" s="447" t="s">
        <v>1754</v>
      </c>
      <c r="AG262" s="462">
        <f t="shared" si="149"/>
        <v>0</v>
      </c>
      <c r="AH262" s="447" t="s">
        <v>1824</v>
      </c>
      <c r="AJ262" s="462">
        <f t="shared" si="150"/>
        <v>0</v>
      </c>
      <c r="AM262" s="462">
        <f t="shared" si="151"/>
        <v>0</v>
      </c>
      <c r="AN262" s="447" t="s">
        <v>1972</v>
      </c>
      <c r="AP262" s="462">
        <f t="shared" si="152"/>
        <v>0</v>
      </c>
      <c r="AQ262" s="447" t="s">
        <v>2000</v>
      </c>
      <c r="AS262" s="459">
        <f t="shared" si="153"/>
        <v>0</v>
      </c>
      <c r="AV262" s="462">
        <f t="shared" si="154"/>
        <v>0</v>
      </c>
      <c r="AY262" s="462">
        <f t="shared" si="155"/>
        <v>0</v>
      </c>
      <c r="BB262" s="462">
        <f t="shared" si="156"/>
        <v>0</v>
      </c>
      <c r="BC262" s="447" t="s">
        <v>2204</v>
      </c>
      <c r="BE262" s="462">
        <f t="shared" si="157"/>
        <v>0</v>
      </c>
      <c r="BH262" s="462">
        <f t="shared" si="158"/>
        <v>0</v>
      </c>
      <c r="BK262" s="462">
        <f t="shared" si="159"/>
        <v>0</v>
      </c>
      <c r="BN262" s="462">
        <f t="shared" si="160"/>
        <v>0</v>
      </c>
      <c r="BQ262" s="462">
        <f t="shared" si="161"/>
        <v>0</v>
      </c>
      <c r="BT262" s="462">
        <f t="shared" si="162"/>
        <v>0</v>
      </c>
      <c r="BW262" s="462">
        <f t="shared" si="163"/>
        <v>0</v>
      </c>
      <c r="BZ262" s="462">
        <f t="shared" si="164"/>
        <v>0</v>
      </c>
      <c r="CD262" s="418" t="str">
        <f t="shared" si="165"/>
        <v>CU0734001</v>
      </c>
      <c r="CE262" s="442" t="str">
        <f t="shared" si="166"/>
        <v>2019年5月</v>
      </c>
      <c r="CF262" s="418" t="str">
        <f t="shared" si="167"/>
        <v>蒂森克虏伯clife服务费暂估</v>
      </c>
      <c r="CG262" s="418" t="str">
        <f t="shared" si="168"/>
        <v>2019年5月蒂森克虏伯clife服务费暂估</v>
      </c>
    </row>
    <row r="263" spans="2:85" s="447" customFormat="1" ht="17.25" customHeight="1">
      <c r="B263" s="447" t="str">
        <f t="shared" si="147"/>
        <v>CU0735</v>
      </c>
      <c r="C263" s="431" t="s">
        <v>755</v>
      </c>
      <c r="D263" s="367" t="s">
        <v>1650</v>
      </c>
      <c r="E263" s="367" t="s">
        <v>609</v>
      </c>
      <c r="F263" s="439">
        <v>43586</v>
      </c>
      <c r="G263" s="430">
        <v>8120.75</v>
      </c>
      <c r="H263" s="440"/>
      <c r="I263" s="440">
        <f t="shared" si="141"/>
        <v>8120.75</v>
      </c>
      <c r="J263" s="440"/>
      <c r="L263" s="462">
        <f t="shared" si="142"/>
        <v>8120.75</v>
      </c>
      <c r="M263" s="462"/>
      <c r="N263" s="444"/>
      <c r="O263" s="462">
        <f t="shared" si="143"/>
        <v>8120.75</v>
      </c>
      <c r="R263" s="462">
        <f t="shared" si="144"/>
        <v>8120.75</v>
      </c>
      <c r="U263" s="462">
        <f t="shared" si="145"/>
        <v>8120.75</v>
      </c>
      <c r="W263" s="447">
        <v>8120.75</v>
      </c>
      <c r="X263" s="462">
        <f t="shared" si="146"/>
        <v>0</v>
      </c>
      <c r="Y263" s="447" t="s">
        <v>1665</v>
      </c>
      <c r="AA263" s="462">
        <f t="shared" si="131"/>
        <v>0</v>
      </c>
      <c r="AB263" s="447" t="s">
        <v>1704</v>
      </c>
      <c r="AD263" s="462">
        <f t="shared" si="148"/>
        <v>0</v>
      </c>
      <c r="AE263" s="447" t="s">
        <v>1754</v>
      </c>
      <c r="AG263" s="462">
        <f t="shared" si="149"/>
        <v>0</v>
      </c>
      <c r="AH263" s="447" t="s">
        <v>1824</v>
      </c>
      <c r="AJ263" s="462">
        <f t="shared" si="150"/>
        <v>0</v>
      </c>
      <c r="AM263" s="462">
        <f t="shared" si="151"/>
        <v>0</v>
      </c>
      <c r="AN263" s="447" t="s">
        <v>1972</v>
      </c>
      <c r="AP263" s="462">
        <f t="shared" si="152"/>
        <v>0</v>
      </c>
      <c r="AQ263" s="447" t="s">
        <v>2000</v>
      </c>
      <c r="AS263" s="459">
        <f t="shared" si="153"/>
        <v>0</v>
      </c>
      <c r="AV263" s="462">
        <f t="shared" si="154"/>
        <v>0</v>
      </c>
      <c r="AY263" s="462">
        <f t="shared" si="155"/>
        <v>0</v>
      </c>
      <c r="BB263" s="462">
        <f t="shared" si="156"/>
        <v>0</v>
      </c>
      <c r="BC263" s="447" t="s">
        <v>2204</v>
      </c>
      <c r="BE263" s="462">
        <f t="shared" si="157"/>
        <v>0</v>
      </c>
      <c r="BH263" s="462">
        <f t="shared" si="158"/>
        <v>0</v>
      </c>
      <c r="BK263" s="462">
        <f t="shared" si="159"/>
        <v>0</v>
      </c>
      <c r="BN263" s="462">
        <f t="shared" si="160"/>
        <v>0</v>
      </c>
      <c r="BQ263" s="462">
        <f t="shared" si="161"/>
        <v>0</v>
      </c>
      <c r="BT263" s="462">
        <f t="shared" si="162"/>
        <v>0</v>
      </c>
      <c r="BW263" s="462">
        <f t="shared" si="163"/>
        <v>0</v>
      </c>
      <c r="BZ263" s="462">
        <f t="shared" si="164"/>
        <v>0</v>
      </c>
      <c r="CD263" s="418" t="str">
        <f t="shared" si="165"/>
        <v>CU0735001</v>
      </c>
      <c r="CE263" s="442" t="str">
        <f t="shared" si="166"/>
        <v>2019年5月</v>
      </c>
      <c r="CF263" s="418" t="str">
        <f t="shared" si="167"/>
        <v>北京华点云clife服务费暂估</v>
      </c>
      <c r="CG263" s="418" t="str">
        <f t="shared" si="168"/>
        <v>2019年5月北京华点云clife服务费暂估</v>
      </c>
    </row>
    <row r="264" spans="2:85" s="447" customFormat="1" ht="17.25" customHeight="1">
      <c r="B264" s="447" t="str">
        <f t="shared" si="147"/>
        <v>CU0736</v>
      </c>
      <c r="C264" s="431" t="s">
        <v>755</v>
      </c>
      <c r="D264" s="367" t="s">
        <v>1651</v>
      </c>
      <c r="E264" s="367" t="s">
        <v>1640</v>
      </c>
      <c r="F264" s="439">
        <v>43586</v>
      </c>
      <c r="G264" s="430">
        <v>93018.87</v>
      </c>
      <c r="H264" s="440"/>
      <c r="I264" s="440">
        <f t="shared" si="141"/>
        <v>93018.87</v>
      </c>
      <c r="J264" s="440"/>
      <c r="L264" s="462">
        <f t="shared" si="142"/>
        <v>93018.87</v>
      </c>
      <c r="M264" s="462"/>
      <c r="N264" s="444"/>
      <c r="O264" s="462">
        <f t="shared" si="143"/>
        <v>93018.87</v>
      </c>
      <c r="R264" s="462">
        <f t="shared" si="144"/>
        <v>93018.87</v>
      </c>
      <c r="U264" s="462">
        <f t="shared" si="145"/>
        <v>93018.87</v>
      </c>
      <c r="W264" s="447">
        <v>93018.87</v>
      </c>
      <c r="X264" s="462">
        <f t="shared" si="146"/>
        <v>0</v>
      </c>
      <c r="Y264" s="447" t="s">
        <v>1665</v>
      </c>
      <c r="AA264" s="462">
        <f t="shared" si="131"/>
        <v>0</v>
      </c>
      <c r="AB264" s="447" t="s">
        <v>1704</v>
      </c>
      <c r="AD264" s="462">
        <f t="shared" si="148"/>
        <v>0</v>
      </c>
      <c r="AE264" s="447" t="s">
        <v>1754</v>
      </c>
      <c r="AG264" s="462">
        <f t="shared" si="149"/>
        <v>0</v>
      </c>
      <c r="AH264" s="447" t="s">
        <v>1824</v>
      </c>
      <c r="AJ264" s="462">
        <f t="shared" si="150"/>
        <v>0</v>
      </c>
      <c r="AM264" s="462">
        <f t="shared" si="151"/>
        <v>0</v>
      </c>
      <c r="AN264" s="447" t="s">
        <v>1972</v>
      </c>
      <c r="AP264" s="462">
        <f t="shared" si="152"/>
        <v>0</v>
      </c>
      <c r="AQ264" s="447" t="s">
        <v>2000</v>
      </c>
      <c r="AS264" s="459">
        <f t="shared" si="153"/>
        <v>0</v>
      </c>
      <c r="AV264" s="462">
        <f t="shared" si="154"/>
        <v>0</v>
      </c>
      <c r="AY264" s="462">
        <f t="shared" si="155"/>
        <v>0</v>
      </c>
      <c r="BB264" s="462">
        <f t="shared" si="156"/>
        <v>0</v>
      </c>
      <c r="BC264" s="447" t="s">
        <v>2204</v>
      </c>
      <c r="BE264" s="462">
        <f t="shared" si="157"/>
        <v>0</v>
      </c>
      <c r="BH264" s="462">
        <f t="shared" si="158"/>
        <v>0</v>
      </c>
      <c r="BK264" s="462">
        <f t="shared" si="159"/>
        <v>0</v>
      </c>
      <c r="BN264" s="462">
        <f t="shared" si="160"/>
        <v>0</v>
      </c>
      <c r="BQ264" s="462">
        <f t="shared" si="161"/>
        <v>0</v>
      </c>
      <c r="BT264" s="462">
        <f t="shared" si="162"/>
        <v>0</v>
      </c>
      <c r="BW264" s="462">
        <f t="shared" si="163"/>
        <v>0</v>
      </c>
      <c r="BZ264" s="462">
        <f t="shared" si="164"/>
        <v>0</v>
      </c>
      <c r="CD264" s="418" t="str">
        <f t="shared" si="165"/>
        <v>CU0736001</v>
      </c>
      <c r="CE264" s="442" t="str">
        <f t="shared" si="166"/>
        <v>2019年5月</v>
      </c>
      <c r="CF264" s="418" t="str">
        <f t="shared" si="167"/>
        <v>深圳市前海clife服务费暂估</v>
      </c>
      <c r="CG264" s="418" t="str">
        <f t="shared" si="168"/>
        <v>2019年5月深圳市前海clife服务费暂估</v>
      </c>
    </row>
    <row r="265" spans="2:85" s="447" customFormat="1" ht="17.25" customHeight="1">
      <c r="B265" s="447" t="str">
        <f t="shared" si="147"/>
        <v>CU0782</v>
      </c>
      <c r="C265" s="431" t="s">
        <v>755</v>
      </c>
      <c r="D265" s="367" t="s">
        <v>1652</v>
      </c>
      <c r="E265" s="367" t="s">
        <v>196</v>
      </c>
      <c r="F265" s="439">
        <v>43586</v>
      </c>
      <c r="G265" s="430">
        <v>14052.18</v>
      </c>
      <c r="H265" s="440"/>
      <c r="I265" s="440">
        <f t="shared" si="141"/>
        <v>14052.18</v>
      </c>
      <c r="J265" s="440"/>
      <c r="L265" s="462">
        <f t="shared" si="142"/>
        <v>14052.18</v>
      </c>
      <c r="M265" s="462"/>
      <c r="N265" s="444"/>
      <c r="O265" s="462">
        <f t="shared" si="143"/>
        <v>14052.18</v>
      </c>
      <c r="R265" s="462">
        <f t="shared" si="144"/>
        <v>14052.18</v>
      </c>
      <c r="U265" s="462">
        <f t="shared" si="145"/>
        <v>14052.18</v>
      </c>
      <c r="X265" s="462">
        <f t="shared" si="146"/>
        <v>14052.18</v>
      </c>
      <c r="Y265" s="447" t="s">
        <v>1665</v>
      </c>
      <c r="AA265" s="462">
        <f t="shared" si="131"/>
        <v>14052.18</v>
      </c>
      <c r="AB265" s="447" t="s">
        <v>1704</v>
      </c>
      <c r="AD265" s="462">
        <f t="shared" si="148"/>
        <v>14052.18</v>
      </c>
      <c r="AE265" s="447" t="s">
        <v>1754</v>
      </c>
      <c r="AG265" s="462">
        <f t="shared" si="149"/>
        <v>14052.18</v>
      </c>
      <c r="AH265" s="447" t="s">
        <v>1824</v>
      </c>
      <c r="AJ265" s="462">
        <f t="shared" si="150"/>
        <v>14052.18</v>
      </c>
      <c r="AK265" s="447" t="s">
        <v>1857</v>
      </c>
      <c r="AL265" s="462">
        <f>AJ265</f>
        <v>14052.18</v>
      </c>
      <c r="AM265" s="462">
        <f t="shared" si="151"/>
        <v>0</v>
      </c>
      <c r="AN265" s="447" t="s">
        <v>1972</v>
      </c>
      <c r="AP265" s="462">
        <f t="shared" si="152"/>
        <v>0</v>
      </c>
      <c r="AQ265" s="447" t="s">
        <v>2000</v>
      </c>
      <c r="AS265" s="459">
        <f t="shared" si="153"/>
        <v>0</v>
      </c>
      <c r="AV265" s="462">
        <f t="shared" si="154"/>
        <v>0</v>
      </c>
      <c r="AY265" s="462">
        <f t="shared" si="155"/>
        <v>0</v>
      </c>
      <c r="BB265" s="462">
        <f t="shared" si="156"/>
        <v>0</v>
      </c>
      <c r="BC265" s="447" t="s">
        <v>2204</v>
      </c>
      <c r="BE265" s="462">
        <f t="shared" si="157"/>
        <v>0</v>
      </c>
      <c r="BH265" s="462">
        <f t="shared" si="158"/>
        <v>0</v>
      </c>
      <c r="BK265" s="462">
        <f t="shared" si="159"/>
        <v>0</v>
      </c>
      <c r="BN265" s="462">
        <f t="shared" si="160"/>
        <v>0</v>
      </c>
      <c r="BQ265" s="462">
        <f t="shared" si="161"/>
        <v>0</v>
      </c>
      <c r="BT265" s="462">
        <f t="shared" si="162"/>
        <v>0</v>
      </c>
      <c r="BW265" s="462">
        <f t="shared" si="163"/>
        <v>0</v>
      </c>
      <c r="BZ265" s="462">
        <f t="shared" si="164"/>
        <v>0</v>
      </c>
      <c r="CD265" s="418" t="str">
        <f t="shared" si="165"/>
        <v>CU0782001</v>
      </c>
      <c r="CE265" s="442" t="str">
        <f t="shared" si="166"/>
        <v>2019年5月</v>
      </c>
      <c r="CF265" s="418" t="str">
        <f t="shared" si="167"/>
        <v>天职工程咨clife服务费暂估</v>
      </c>
      <c r="CG265" s="418" t="str">
        <f t="shared" si="168"/>
        <v>2019年5月天职工程咨clife服务费暂估</v>
      </c>
    </row>
    <row r="266" spans="2:85" s="447" customFormat="1" ht="17.25" customHeight="1">
      <c r="B266" s="447" t="str">
        <f t="shared" si="147"/>
        <v>CU0812</v>
      </c>
      <c r="C266" s="431" t="s">
        <v>755</v>
      </c>
      <c r="D266" s="367" t="s">
        <v>1455</v>
      </c>
      <c r="E266" s="367" t="s">
        <v>1315</v>
      </c>
      <c r="F266" s="439">
        <v>43586</v>
      </c>
      <c r="G266" s="430">
        <v>7045.29</v>
      </c>
      <c r="H266" s="440"/>
      <c r="I266" s="440">
        <f t="shared" si="141"/>
        <v>7045.29</v>
      </c>
      <c r="J266" s="440"/>
      <c r="L266" s="462">
        <f t="shared" si="142"/>
        <v>7045.29</v>
      </c>
      <c r="M266" s="462"/>
      <c r="N266" s="444"/>
      <c r="O266" s="462">
        <f t="shared" si="143"/>
        <v>7045.29</v>
      </c>
      <c r="R266" s="462">
        <f t="shared" si="144"/>
        <v>7045.29</v>
      </c>
      <c r="U266" s="462">
        <f t="shared" si="145"/>
        <v>7045.29</v>
      </c>
      <c r="X266" s="462">
        <f t="shared" si="146"/>
        <v>7045.29</v>
      </c>
      <c r="Y266" s="447" t="s">
        <v>1665</v>
      </c>
      <c r="AA266" s="462">
        <f t="shared" si="131"/>
        <v>7045.29</v>
      </c>
      <c r="AB266" s="447" t="s">
        <v>1704</v>
      </c>
      <c r="AC266" s="462">
        <f>AA266</f>
        <v>7045.29</v>
      </c>
      <c r="AD266" s="462">
        <f t="shared" si="148"/>
        <v>0</v>
      </c>
      <c r="AE266" s="447" t="s">
        <v>1754</v>
      </c>
      <c r="AG266" s="462">
        <f t="shared" si="149"/>
        <v>0</v>
      </c>
      <c r="AH266" s="447" t="s">
        <v>1824</v>
      </c>
      <c r="AJ266" s="462">
        <f t="shared" si="150"/>
        <v>0</v>
      </c>
      <c r="AM266" s="462">
        <f t="shared" si="151"/>
        <v>0</v>
      </c>
      <c r="AN266" s="447" t="s">
        <v>1972</v>
      </c>
      <c r="AP266" s="462">
        <f t="shared" si="152"/>
        <v>0</v>
      </c>
      <c r="AQ266" s="447" t="s">
        <v>2000</v>
      </c>
      <c r="AS266" s="459">
        <f t="shared" si="153"/>
        <v>0</v>
      </c>
      <c r="AV266" s="462">
        <f t="shared" si="154"/>
        <v>0</v>
      </c>
      <c r="AY266" s="462">
        <f t="shared" si="155"/>
        <v>0</v>
      </c>
      <c r="BB266" s="462">
        <f t="shared" si="156"/>
        <v>0</v>
      </c>
      <c r="BC266" s="447" t="s">
        <v>2204</v>
      </c>
      <c r="BE266" s="462">
        <f t="shared" si="157"/>
        <v>0</v>
      </c>
      <c r="BH266" s="462">
        <f t="shared" si="158"/>
        <v>0</v>
      </c>
      <c r="BK266" s="462">
        <f t="shared" si="159"/>
        <v>0</v>
      </c>
      <c r="BN266" s="462">
        <f t="shared" si="160"/>
        <v>0</v>
      </c>
      <c r="BQ266" s="462">
        <f t="shared" si="161"/>
        <v>0</v>
      </c>
      <c r="BT266" s="462">
        <f t="shared" si="162"/>
        <v>0</v>
      </c>
      <c r="BW266" s="462">
        <f t="shared" si="163"/>
        <v>0</v>
      </c>
      <c r="BZ266" s="462">
        <f t="shared" si="164"/>
        <v>0</v>
      </c>
      <c r="CD266" s="418" t="str">
        <f t="shared" si="165"/>
        <v>CU0812001</v>
      </c>
      <c r="CE266" s="442" t="str">
        <f t="shared" si="166"/>
        <v>2019年5月</v>
      </c>
      <c r="CF266" s="418" t="str">
        <f t="shared" si="167"/>
        <v>恩派clife服务费暂估</v>
      </c>
      <c r="CG266" s="418" t="str">
        <f t="shared" si="168"/>
        <v>2019年5月恩派clife服务费暂估</v>
      </c>
    </row>
    <row r="267" spans="2:85" s="447" customFormat="1" ht="17.25" customHeight="1">
      <c r="B267" s="447" t="str">
        <f t="shared" si="147"/>
        <v>CU0822</v>
      </c>
      <c r="C267" s="431" t="s">
        <v>755</v>
      </c>
      <c r="D267" s="367" t="s">
        <v>1456</v>
      </c>
      <c r="E267" s="367" t="s">
        <v>239</v>
      </c>
      <c r="F267" s="439">
        <v>43586</v>
      </c>
      <c r="G267" s="430">
        <v>326973.64</v>
      </c>
      <c r="H267" s="440"/>
      <c r="I267" s="440">
        <f t="shared" si="141"/>
        <v>326973.64</v>
      </c>
      <c r="J267" s="440"/>
      <c r="L267" s="462">
        <f t="shared" si="142"/>
        <v>326973.64</v>
      </c>
      <c r="M267" s="462"/>
      <c r="N267" s="444"/>
      <c r="O267" s="462">
        <f t="shared" si="143"/>
        <v>326973.64</v>
      </c>
      <c r="R267" s="462">
        <f t="shared" si="144"/>
        <v>326973.64</v>
      </c>
      <c r="U267" s="462">
        <f t="shared" si="145"/>
        <v>326973.64</v>
      </c>
      <c r="W267" s="462">
        <f>200000-W185-W212-W233-14340.71+82500</f>
        <v>99375.12</v>
      </c>
      <c r="X267" s="462">
        <f t="shared" si="146"/>
        <v>227598.52000000002</v>
      </c>
      <c r="Y267" s="447" t="s">
        <v>1665</v>
      </c>
      <c r="AA267" s="462">
        <f t="shared" si="131"/>
        <v>227598.52000000002</v>
      </c>
      <c r="AB267" s="447" t="s">
        <v>1704</v>
      </c>
      <c r="AC267" s="447">
        <f>ROUND(163677.6/1.06,2)+ROUND(2671.2/1.06,2)-AC93</f>
        <v>156231.74</v>
      </c>
      <c r="AD267" s="462">
        <f t="shared" si="148"/>
        <v>71366.780000000028</v>
      </c>
      <c r="AE267" s="447" t="s">
        <v>1754</v>
      </c>
      <c r="AF267" s="462">
        <f>AD267</f>
        <v>71366.780000000028</v>
      </c>
      <c r="AG267" s="462">
        <f t="shared" si="149"/>
        <v>0</v>
      </c>
      <c r="AH267" s="447" t="s">
        <v>1824</v>
      </c>
      <c r="AJ267" s="462">
        <f t="shared" si="150"/>
        <v>0</v>
      </c>
      <c r="AM267" s="462">
        <f t="shared" si="151"/>
        <v>0</v>
      </c>
      <c r="AN267" s="447" t="s">
        <v>1972</v>
      </c>
      <c r="AP267" s="462">
        <f t="shared" si="152"/>
        <v>0</v>
      </c>
      <c r="AQ267" s="447" t="s">
        <v>2000</v>
      </c>
      <c r="AS267" s="459">
        <f t="shared" si="153"/>
        <v>0</v>
      </c>
      <c r="AV267" s="462">
        <f t="shared" si="154"/>
        <v>0</v>
      </c>
      <c r="AY267" s="462">
        <f t="shared" si="155"/>
        <v>0</v>
      </c>
      <c r="BB267" s="462">
        <f t="shared" si="156"/>
        <v>0</v>
      </c>
      <c r="BC267" s="447" t="s">
        <v>2204</v>
      </c>
      <c r="BE267" s="462">
        <f t="shared" si="157"/>
        <v>0</v>
      </c>
      <c r="BH267" s="462">
        <f t="shared" si="158"/>
        <v>0</v>
      </c>
      <c r="BK267" s="462">
        <f t="shared" si="159"/>
        <v>0</v>
      </c>
      <c r="BN267" s="462">
        <f t="shared" si="160"/>
        <v>0</v>
      </c>
      <c r="BQ267" s="462">
        <f t="shared" si="161"/>
        <v>0</v>
      </c>
      <c r="BT267" s="462">
        <f t="shared" si="162"/>
        <v>0</v>
      </c>
      <c r="BW267" s="462">
        <f t="shared" si="163"/>
        <v>0</v>
      </c>
      <c r="BZ267" s="462">
        <f t="shared" si="164"/>
        <v>0</v>
      </c>
      <c r="CD267" s="418" t="str">
        <f t="shared" si="165"/>
        <v>CU0822001</v>
      </c>
      <c r="CE267" s="442" t="str">
        <f t="shared" si="166"/>
        <v>2019年5月</v>
      </c>
      <c r="CF267" s="418" t="str">
        <f t="shared" si="167"/>
        <v>美克国际家clife服务费暂估</v>
      </c>
      <c r="CG267" s="418" t="str">
        <f t="shared" si="168"/>
        <v>2019年5月美克国际家clife服务费暂估</v>
      </c>
    </row>
    <row r="268" spans="2:85" s="447" customFormat="1" ht="17.25" customHeight="1">
      <c r="B268" s="447" t="str">
        <f t="shared" si="147"/>
        <v>CU0823</v>
      </c>
      <c r="C268" s="431" t="s">
        <v>755</v>
      </c>
      <c r="D268" s="367" t="s">
        <v>1457</v>
      </c>
      <c r="E268" s="367" t="s">
        <v>581</v>
      </c>
      <c r="F268" s="439">
        <v>43586</v>
      </c>
      <c r="G268" s="430">
        <v>39066.550000000003</v>
      </c>
      <c r="H268" s="440"/>
      <c r="I268" s="440">
        <f t="shared" si="141"/>
        <v>39066.550000000003</v>
      </c>
      <c r="J268" s="440"/>
      <c r="L268" s="462">
        <f t="shared" si="142"/>
        <v>39066.550000000003</v>
      </c>
      <c r="M268" s="462"/>
      <c r="N268" s="444"/>
      <c r="O268" s="462">
        <f t="shared" si="143"/>
        <v>39066.550000000003</v>
      </c>
      <c r="R268" s="462">
        <f t="shared" si="144"/>
        <v>39066.550000000003</v>
      </c>
      <c r="U268" s="462">
        <f t="shared" si="145"/>
        <v>39066.550000000003</v>
      </c>
      <c r="X268" s="462">
        <f t="shared" si="146"/>
        <v>39066.550000000003</v>
      </c>
      <c r="Y268" s="447" t="s">
        <v>1665</v>
      </c>
      <c r="AA268" s="462">
        <f t="shared" si="131"/>
        <v>39066.550000000003</v>
      </c>
      <c r="AB268" s="447" t="s">
        <v>1704</v>
      </c>
      <c r="AD268" s="462">
        <f t="shared" si="148"/>
        <v>39066.550000000003</v>
      </c>
      <c r="AE268" s="447" t="s">
        <v>1754</v>
      </c>
      <c r="AG268" s="462">
        <f t="shared" si="149"/>
        <v>39066.550000000003</v>
      </c>
      <c r="AH268" s="447" t="s">
        <v>1824</v>
      </c>
      <c r="AJ268" s="462">
        <f t="shared" si="150"/>
        <v>39066.550000000003</v>
      </c>
      <c r="AK268" s="447" t="s">
        <v>1857</v>
      </c>
      <c r="AM268" s="462">
        <f t="shared" si="151"/>
        <v>39066.550000000003</v>
      </c>
      <c r="AN268" s="447" t="s">
        <v>1972</v>
      </c>
      <c r="AP268" s="462">
        <f t="shared" si="152"/>
        <v>39066.550000000003</v>
      </c>
      <c r="AQ268" s="447" t="s">
        <v>2000</v>
      </c>
      <c r="AS268" s="459">
        <f t="shared" si="153"/>
        <v>39066.550000000003</v>
      </c>
      <c r="AV268" s="462">
        <f t="shared" si="154"/>
        <v>39066.550000000003</v>
      </c>
      <c r="AW268" s="447" t="s">
        <v>2107</v>
      </c>
      <c r="AX268" s="462">
        <f>AV268</f>
        <v>39066.550000000003</v>
      </c>
      <c r="AY268" s="462">
        <f t="shared" si="155"/>
        <v>0</v>
      </c>
      <c r="BB268" s="462">
        <f t="shared" si="156"/>
        <v>0</v>
      </c>
      <c r="BC268" s="447" t="s">
        <v>2204</v>
      </c>
      <c r="BE268" s="462">
        <f t="shared" si="157"/>
        <v>0</v>
      </c>
      <c r="BH268" s="462">
        <f t="shared" si="158"/>
        <v>0</v>
      </c>
      <c r="BK268" s="462">
        <f t="shared" si="159"/>
        <v>0</v>
      </c>
      <c r="BN268" s="462">
        <f t="shared" si="160"/>
        <v>0</v>
      </c>
      <c r="BQ268" s="462">
        <f t="shared" si="161"/>
        <v>0</v>
      </c>
      <c r="BT268" s="462">
        <f t="shared" si="162"/>
        <v>0</v>
      </c>
      <c r="BW268" s="462">
        <f t="shared" si="163"/>
        <v>0</v>
      </c>
      <c r="BZ268" s="462">
        <f t="shared" si="164"/>
        <v>0</v>
      </c>
      <c r="CD268" s="418" t="str">
        <f t="shared" si="165"/>
        <v>CU0823001</v>
      </c>
      <c r="CE268" s="442" t="str">
        <f t="shared" si="166"/>
        <v>2019年5月</v>
      </c>
      <c r="CF268" s="418" t="str">
        <f t="shared" si="167"/>
        <v>凯杰生物工clife服务费暂估</v>
      </c>
      <c r="CG268" s="418" t="str">
        <f t="shared" si="168"/>
        <v>2019年5月凯杰生物工clife服务费暂估</v>
      </c>
    </row>
    <row r="269" spans="2:85" s="447" customFormat="1" ht="17.25" customHeight="1">
      <c r="B269" s="447" t="str">
        <f t="shared" si="147"/>
        <v>CU0824</v>
      </c>
      <c r="C269" s="431" t="s">
        <v>755</v>
      </c>
      <c r="D269" s="367" t="s">
        <v>1458</v>
      </c>
      <c r="E269" s="367" t="s">
        <v>1292</v>
      </c>
      <c r="F269" s="439">
        <v>43586</v>
      </c>
      <c r="G269" s="430">
        <v>16854.53</v>
      </c>
      <c r="H269" s="440"/>
      <c r="I269" s="440">
        <f t="shared" si="141"/>
        <v>16854.53</v>
      </c>
      <c r="J269" s="440"/>
      <c r="L269" s="462">
        <f t="shared" si="142"/>
        <v>16854.53</v>
      </c>
      <c r="M269" s="462"/>
      <c r="N269" s="444"/>
      <c r="O269" s="462">
        <f t="shared" si="143"/>
        <v>16854.53</v>
      </c>
      <c r="R269" s="462">
        <f t="shared" si="144"/>
        <v>16854.53</v>
      </c>
      <c r="U269" s="462">
        <f t="shared" si="145"/>
        <v>16854.53</v>
      </c>
      <c r="X269" s="462">
        <f t="shared" si="146"/>
        <v>16854.53</v>
      </c>
      <c r="Y269" s="447" t="s">
        <v>1665</v>
      </c>
      <c r="AA269" s="462">
        <f t="shared" ref="AA269:AA282" si="169">X269-Z269</f>
        <v>16854.53</v>
      </c>
      <c r="AB269" s="447" t="s">
        <v>1704</v>
      </c>
      <c r="AD269" s="462">
        <f t="shared" si="148"/>
        <v>16854.53</v>
      </c>
      <c r="AE269" s="447" t="s">
        <v>1754</v>
      </c>
      <c r="AG269" s="462">
        <f t="shared" si="149"/>
        <v>16854.53</v>
      </c>
      <c r="AH269" s="447" t="s">
        <v>1824</v>
      </c>
      <c r="AJ269" s="462">
        <f t="shared" si="150"/>
        <v>16854.53</v>
      </c>
      <c r="AK269" s="447" t="s">
        <v>1857</v>
      </c>
      <c r="AM269" s="462">
        <f t="shared" si="151"/>
        <v>16854.53</v>
      </c>
      <c r="AN269" s="447" t="s">
        <v>1972</v>
      </c>
      <c r="AO269" s="447">
        <f>7508-229.34</f>
        <v>7278.66</v>
      </c>
      <c r="AP269" s="462">
        <f t="shared" si="152"/>
        <v>9575.869999999999</v>
      </c>
      <c r="AQ269" s="447" t="s">
        <v>2000</v>
      </c>
      <c r="AS269" s="459">
        <f t="shared" si="153"/>
        <v>9575.869999999999</v>
      </c>
      <c r="AU269" s="462">
        <f>AS269</f>
        <v>9575.869999999999</v>
      </c>
      <c r="AV269" s="462">
        <f t="shared" si="154"/>
        <v>0</v>
      </c>
      <c r="AY269" s="462">
        <f t="shared" si="155"/>
        <v>0</v>
      </c>
      <c r="BB269" s="462">
        <f t="shared" si="156"/>
        <v>0</v>
      </c>
      <c r="BC269" s="447" t="s">
        <v>2204</v>
      </c>
      <c r="BE269" s="462">
        <f t="shared" si="157"/>
        <v>0</v>
      </c>
      <c r="BH269" s="462">
        <f t="shared" si="158"/>
        <v>0</v>
      </c>
      <c r="BK269" s="462">
        <f t="shared" si="159"/>
        <v>0</v>
      </c>
      <c r="BN269" s="462">
        <f t="shared" si="160"/>
        <v>0</v>
      </c>
      <c r="BQ269" s="462">
        <f t="shared" si="161"/>
        <v>0</v>
      </c>
      <c r="BT269" s="462">
        <f t="shared" si="162"/>
        <v>0</v>
      </c>
      <c r="BW269" s="462">
        <f t="shared" si="163"/>
        <v>0</v>
      </c>
      <c r="BZ269" s="462">
        <f t="shared" si="164"/>
        <v>0</v>
      </c>
      <c r="CD269" s="418" t="str">
        <f t="shared" si="165"/>
        <v>CU0824001</v>
      </c>
      <c r="CE269" s="442" t="str">
        <f t="shared" si="166"/>
        <v>2019年5月</v>
      </c>
      <c r="CF269" s="418" t="str">
        <f t="shared" si="167"/>
        <v>苏州舒尔贸clife服务费暂估</v>
      </c>
      <c r="CG269" s="418" t="str">
        <f t="shared" si="168"/>
        <v>2019年5月苏州舒尔贸clife服务费暂估</v>
      </c>
    </row>
    <row r="270" spans="2:85" s="447" customFormat="1" ht="17.25" customHeight="1">
      <c r="B270" s="447" t="str">
        <f t="shared" si="147"/>
        <v>CU0848</v>
      </c>
      <c r="C270" s="431" t="s">
        <v>755</v>
      </c>
      <c r="D270" s="367" t="s">
        <v>1462</v>
      </c>
      <c r="E270" s="367" t="s">
        <v>1470</v>
      </c>
      <c r="F270" s="439">
        <v>43586</v>
      </c>
      <c r="G270" s="430">
        <v>432.84</v>
      </c>
      <c r="H270" s="440"/>
      <c r="I270" s="440">
        <f t="shared" si="141"/>
        <v>432.84</v>
      </c>
      <c r="J270" s="440"/>
      <c r="L270" s="462">
        <f t="shared" si="142"/>
        <v>432.84</v>
      </c>
      <c r="M270" s="462"/>
      <c r="N270" s="444"/>
      <c r="O270" s="462">
        <f t="shared" si="143"/>
        <v>432.84</v>
      </c>
      <c r="R270" s="462">
        <f t="shared" si="144"/>
        <v>432.84</v>
      </c>
      <c r="U270" s="462">
        <f t="shared" si="145"/>
        <v>432.84</v>
      </c>
      <c r="X270" s="462">
        <f t="shared" si="146"/>
        <v>432.84</v>
      </c>
      <c r="Y270" s="447" t="s">
        <v>1665</v>
      </c>
      <c r="AA270" s="462">
        <f t="shared" si="169"/>
        <v>432.84</v>
      </c>
      <c r="AB270" s="447" t="s">
        <v>1704</v>
      </c>
      <c r="AC270" s="462">
        <f>AA270</f>
        <v>432.84</v>
      </c>
      <c r="AD270" s="462">
        <f t="shared" si="148"/>
        <v>0</v>
      </c>
      <c r="AE270" s="447" t="s">
        <v>1754</v>
      </c>
      <c r="AG270" s="462">
        <f t="shared" si="149"/>
        <v>0</v>
      </c>
      <c r="AH270" s="447" t="s">
        <v>1824</v>
      </c>
      <c r="AJ270" s="462">
        <f t="shared" si="150"/>
        <v>0</v>
      </c>
      <c r="AM270" s="462">
        <f t="shared" si="151"/>
        <v>0</v>
      </c>
      <c r="AN270" s="447" t="s">
        <v>1972</v>
      </c>
      <c r="AP270" s="462">
        <f t="shared" si="152"/>
        <v>0</v>
      </c>
      <c r="AQ270" s="447" t="s">
        <v>2000</v>
      </c>
      <c r="AS270" s="459">
        <f t="shared" si="153"/>
        <v>0</v>
      </c>
      <c r="AV270" s="462">
        <f t="shared" si="154"/>
        <v>0</v>
      </c>
      <c r="AY270" s="462">
        <f t="shared" si="155"/>
        <v>0</v>
      </c>
      <c r="BB270" s="462">
        <f t="shared" si="156"/>
        <v>0</v>
      </c>
      <c r="BC270" s="447" t="s">
        <v>2204</v>
      </c>
      <c r="BE270" s="462">
        <f t="shared" si="157"/>
        <v>0</v>
      </c>
      <c r="BH270" s="462">
        <f t="shared" si="158"/>
        <v>0</v>
      </c>
      <c r="BK270" s="462">
        <f t="shared" si="159"/>
        <v>0</v>
      </c>
      <c r="BN270" s="462">
        <f t="shared" si="160"/>
        <v>0</v>
      </c>
      <c r="BQ270" s="462">
        <f t="shared" si="161"/>
        <v>0</v>
      </c>
      <c r="BT270" s="462">
        <f t="shared" si="162"/>
        <v>0</v>
      </c>
      <c r="BW270" s="462">
        <f t="shared" si="163"/>
        <v>0</v>
      </c>
      <c r="BZ270" s="462">
        <f t="shared" si="164"/>
        <v>0</v>
      </c>
      <c r="CD270" s="418" t="str">
        <f t="shared" si="165"/>
        <v>CU0848001</v>
      </c>
      <c r="CE270" s="442" t="str">
        <f t="shared" si="166"/>
        <v>2019年5月</v>
      </c>
      <c r="CF270" s="418" t="str">
        <f t="shared" si="167"/>
        <v>深圳欧贝特clife服务费暂估</v>
      </c>
      <c r="CG270" s="418" t="str">
        <f t="shared" si="168"/>
        <v>2019年5月深圳欧贝特clife服务费暂估</v>
      </c>
    </row>
    <row r="271" spans="2:85" s="447" customFormat="1" ht="17.25" customHeight="1">
      <c r="B271" s="447" t="str">
        <f t="shared" si="147"/>
        <v>CU0869</v>
      </c>
      <c r="C271" s="431" t="s">
        <v>755</v>
      </c>
      <c r="D271" s="367" t="s">
        <v>1459</v>
      </c>
      <c r="E271" s="367" t="s">
        <v>1469</v>
      </c>
      <c r="F271" s="439">
        <v>43586</v>
      </c>
      <c r="G271" s="430">
        <v>76123.039999999994</v>
      </c>
      <c r="H271" s="440"/>
      <c r="I271" s="440">
        <f t="shared" si="141"/>
        <v>76123.039999999994</v>
      </c>
      <c r="J271" s="440"/>
      <c r="L271" s="462">
        <f t="shared" si="142"/>
        <v>76123.039999999994</v>
      </c>
      <c r="M271" s="462"/>
      <c r="N271" s="444"/>
      <c r="O271" s="462">
        <f t="shared" si="143"/>
        <v>76123.039999999994</v>
      </c>
      <c r="R271" s="462">
        <f t="shared" si="144"/>
        <v>76123.039999999994</v>
      </c>
      <c r="U271" s="462">
        <f t="shared" si="145"/>
        <v>76123.039999999994</v>
      </c>
      <c r="X271" s="462">
        <f t="shared" si="146"/>
        <v>76123.039999999994</v>
      </c>
      <c r="Y271" s="447" t="s">
        <v>1665</v>
      </c>
      <c r="AA271" s="462">
        <f t="shared" si="169"/>
        <v>76123.039999999994</v>
      </c>
      <c r="AB271" s="447" t="s">
        <v>1704</v>
      </c>
      <c r="AD271" s="462">
        <f t="shared" si="148"/>
        <v>76123.039999999994</v>
      </c>
      <c r="AE271" s="447" t="s">
        <v>1754</v>
      </c>
      <c r="AG271" s="462">
        <f t="shared" si="149"/>
        <v>76123.039999999994</v>
      </c>
      <c r="AH271" s="447" t="s">
        <v>1824</v>
      </c>
      <c r="AI271" s="462">
        <f>AG271</f>
        <v>76123.039999999994</v>
      </c>
      <c r="AJ271" s="462">
        <f t="shared" si="150"/>
        <v>0</v>
      </c>
      <c r="AM271" s="462">
        <f t="shared" si="151"/>
        <v>0</v>
      </c>
      <c r="AN271" s="447" t="s">
        <v>1972</v>
      </c>
      <c r="AP271" s="462">
        <f t="shared" si="152"/>
        <v>0</v>
      </c>
      <c r="AQ271" s="447" t="s">
        <v>2000</v>
      </c>
      <c r="AS271" s="459">
        <f t="shared" si="153"/>
        <v>0</v>
      </c>
      <c r="AV271" s="462">
        <f t="shared" si="154"/>
        <v>0</v>
      </c>
      <c r="AY271" s="462">
        <f t="shared" si="155"/>
        <v>0</v>
      </c>
      <c r="BB271" s="462">
        <f t="shared" si="156"/>
        <v>0</v>
      </c>
      <c r="BC271" s="447" t="s">
        <v>2204</v>
      </c>
      <c r="BE271" s="462">
        <f t="shared" si="157"/>
        <v>0</v>
      </c>
      <c r="BH271" s="462">
        <f t="shared" si="158"/>
        <v>0</v>
      </c>
      <c r="BK271" s="462">
        <f t="shared" si="159"/>
        <v>0</v>
      </c>
      <c r="BN271" s="462">
        <f t="shared" si="160"/>
        <v>0</v>
      </c>
      <c r="BQ271" s="462">
        <f t="shared" si="161"/>
        <v>0</v>
      </c>
      <c r="BT271" s="462">
        <f t="shared" si="162"/>
        <v>0</v>
      </c>
      <c r="BW271" s="462">
        <f t="shared" si="163"/>
        <v>0</v>
      </c>
      <c r="BZ271" s="462">
        <f t="shared" si="164"/>
        <v>0</v>
      </c>
      <c r="CD271" s="418" t="str">
        <f t="shared" si="165"/>
        <v>CU0869001</v>
      </c>
      <c r="CE271" s="442" t="str">
        <f t="shared" si="166"/>
        <v>2019年5月</v>
      </c>
      <c r="CF271" s="418" t="str">
        <f t="shared" si="167"/>
        <v>智睿clife服务费暂估</v>
      </c>
      <c r="CG271" s="418" t="str">
        <f t="shared" si="168"/>
        <v>2019年5月智睿clife服务费暂估</v>
      </c>
    </row>
    <row r="272" spans="2:85" s="447" customFormat="1" ht="17.25" customHeight="1">
      <c r="B272" s="447" t="str">
        <f t="shared" si="147"/>
        <v>CU0884</v>
      </c>
      <c r="C272" s="431" t="s">
        <v>755</v>
      </c>
      <c r="D272" s="367" t="s">
        <v>1575</v>
      </c>
      <c r="E272" s="367" t="s">
        <v>1528</v>
      </c>
      <c r="F272" s="439">
        <v>43586</v>
      </c>
      <c r="G272" s="430">
        <v>265233.09000000003</v>
      </c>
      <c r="H272" s="440"/>
      <c r="I272" s="440">
        <f t="shared" si="141"/>
        <v>265233.09000000003</v>
      </c>
      <c r="J272" s="440"/>
      <c r="L272" s="462">
        <f t="shared" si="142"/>
        <v>265233.09000000003</v>
      </c>
      <c r="M272" s="462"/>
      <c r="N272" s="444"/>
      <c r="O272" s="462">
        <f t="shared" si="143"/>
        <v>265233.09000000003</v>
      </c>
      <c r="R272" s="462">
        <f t="shared" si="144"/>
        <v>265233.09000000003</v>
      </c>
      <c r="U272" s="462">
        <f t="shared" si="145"/>
        <v>265233.09000000003</v>
      </c>
      <c r="W272" s="447">
        <f>ROUND(281000/1.06,2)</f>
        <v>265094.34000000003</v>
      </c>
      <c r="X272" s="462">
        <f t="shared" si="146"/>
        <v>138.75</v>
      </c>
      <c r="Y272" s="447" t="s">
        <v>1665</v>
      </c>
      <c r="AA272" s="462">
        <v>0</v>
      </c>
      <c r="AB272" s="447" t="s">
        <v>1704</v>
      </c>
      <c r="AD272" s="462">
        <f t="shared" si="148"/>
        <v>0</v>
      </c>
      <c r="AE272" s="447" t="s">
        <v>1754</v>
      </c>
      <c r="AG272" s="462">
        <f t="shared" si="149"/>
        <v>0</v>
      </c>
      <c r="AH272" s="447" t="s">
        <v>1824</v>
      </c>
      <c r="AJ272" s="462">
        <f t="shared" si="150"/>
        <v>0</v>
      </c>
      <c r="AM272" s="462">
        <f t="shared" si="151"/>
        <v>0</v>
      </c>
      <c r="AN272" s="447" t="s">
        <v>1972</v>
      </c>
      <c r="AP272" s="462">
        <f t="shared" si="152"/>
        <v>0</v>
      </c>
      <c r="AQ272" s="447" t="s">
        <v>2000</v>
      </c>
      <c r="AS272" s="459">
        <f t="shared" si="153"/>
        <v>0</v>
      </c>
      <c r="AV272" s="462">
        <f t="shared" si="154"/>
        <v>0</v>
      </c>
      <c r="AY272" s="462">
        <f t="shared" si="155"/>
        <v>0</v>
      </c>
      <c r="BB272" s="462">
        <f t="shared" si="156"/>
        <v>0</v>
      </c>
      <c r="BC272" s="447" t="s">
        <v>2204</v>
      </c>
      <c r="BE272" s="462">
        <f t="shared" si="157"/>
        <v>0</v>
      </c>
      <c r="BH272" s="462">
        <f t="shared" si="158"/>
        <v>0</v>
      </c>
      <c r="BK272" s="462">
        <f t="shared" si="159"/>
        <v>0</v>
      </c>
      <c r="BN272" s="462">
        <f t="shared" si="160"/>
        <v>0</v>
      </c>
      <c r="BQ272" s="462">
        <f t="shared" si="161"/>
        <v>0</v>
      </c>
      <c r="BT272" s="462">
        <f t="shared" si="162"/>
        <v>0</v>
      </c>
      <c r="BW272" s="462">
        <f t="shared" si="163"/>
        <v>0</v>
      </c>
      <c r="BZ272" s="462">
        <f t="shared" si="164"/>
        <v>0</v>
      </c>
      <c r="CD272" s="418" t="str">
        <f t="shared" si="165"/>
        <v>CU0884001</v>
      </c>
      <c r="CE272" s="442" t="str">
        <f t="shared" si="166"/>
        <v>2019年5月</v>
      </c>
      <c r="CF272" s="418" t="str">
        <f t="shared" si="167"/>
        <v>恩德斯豪斯clife服务费暂估</v>
      </c>
      <c r="CG272" s="418" t="str">
        <f t="shared" si="168"/>
        <v>2019年5月恩德斯豪斯clife服务费暂估</v>
      </c>
    </row>
    <row r="273" spans="2:85" s="447" customFormat="1" ht="17.25" customHeight="1">
      <c r="B273" s="447" t="str">
        <f t="shared" si="147"/>
        <v>CU0904</v>
      </c>
      <c r="C273" s="431" t="s">
        <v>755</v>
      </c>
      <c r="D273" s="367" t="s">
        <v>1460</v>
      </c>
      <c r="E273" s="367" t="s">
        <v>955</v>
      </c>
      <c r="F273" s="439">
        <v>43586</v>
      </c>
      <c r="G273" s="430">
        <v>128906.38</v>
      </c>
      <c r="H273" s="440"/>
      <c r="I273" s="440">
        <f t="shared" si="141"/>
        <v>128906.38</v>
      </c>
      <c r="J273" s="440"/>
      <c r="L273" s="462">
        <f t="shared" si="142"/>
        <v>128906.38</v>
      </c>
      <c r="M273" s="462"/>
      <c r="N273" s="444"/>
      <c r="O273" s="462">
        <f t="shared" si="143"/>
        <v>128906.38</v>
      </c>
      <c r="R273" s="462">
        <f t="shared" si="144"/>
        <v>128906.38</v>
      </c>
      <c r="U273" s="462">
        <f t="shared" si="145"/>
        <v>128906.38</v>
      </c>
      <c r="W273" s="462">
        <f>ROUND(107600/1.06,2)-W180-W217-36829.52</f>
        <v>39072.689999999995</v>
      </c>
      <c r="X273" s="462">
        <f t="shared" si="146"/>
        <v>89833.69</v>
      </c>
      <c r="Y273" s="447" t="s">
        <v>1665</v>
      </c>
      <c r="AA273" s="462">
        <f t="shared" si="169"/>
        <v>89833.69</v>
      </c>
      <c r="AB273" s="447" t="s">
        <v>1704</v>
      </c>
      <c r="AC273" s="447">
        <v>10833</v>
      </c>
      <c r="AD273" s="462">
        <f t="shared" si="148"/>
        <v>79000.69</v>
      </c>
      <c r="AE273" s="447" t="s">
        <v>1754</v>
      </c>
      <c r="AG273" s="462">
        <f t="shared" si="149"/>
        <v>79000.69</v>
      </c>
      <c r="AH273" s="447" t="s">
        <v>1824</v>
      </c>
      <c r="AI273" s="462">
        <f>AG273</f>
        <v>79000.69</v>
      </c>
      <c r="AJ273" s="462">
        <f t="shared" si="150"/>
        <v>0</v>
      </c>
      <c r="AK273" s="447" t="s">
        <v>1857</v>
      </c>
      <c r="AM273" s="462">
        <f t="shared" si="151"/>
        <v>0</v>
      </c>
      <c r="AN273" s="447" t="s">
        <v>1972</v>
      </c>
      <c r="AP273" s="462">
        <f t="shared" si="152"/>
        <v>0</v>
      </c>
      <c r="AQ273" s="447" t="s">
        <v>2000</v>
      </c>
      <c r="AS273" s="459">
        <f t="shared" si="153"/>
        <v>0</v>
      </c>
      <c r="AV273" s="462">
        <f t="shared" si="154"/>
        <v>0</v>
      </c>
      <c r="AY273" s="462">
        <f t="shared" si="155"/>
        <v>0</v>
      </c>
      <c r="BB273" s="462">
        <f t="shared" si="156"/>
        <v>0</v>
      </c>
      <c r="BC273" s="447" t="s">
        <v>2204</v>
      </c>
      <c r="BE273" s="462">
        <f t="shared" si="157"/>
        <v>0</v>
      </c>
      <c r="BH273" s="462">
        <f t="shared" si="158"/>
        <v>0</v>
      </c>
      <c r="BK273" s="462">
        <f t="shared" si="159"/>
        <v>0</v>
      </c>
      <c r="BN273" s="462">
        <f t="shared" si="160"/>
        <v>0</v>
      </c>
      <c r="BQ273" s="462">
        <f t="shared" si="161"/>
        <v>0</v>
      </c>
      <c r="BT273" s="462">
        <f t="shared" si="162"/>
        <v>0</v>
      </c>
      <c r="BW273" s="462">
        <f t="shared" si="163"/>
        <v>0</v>
      </c>
      <c r="BZ273" s="462">
        <f t="shared" si="164"/>
        <v>0</v>
      </c>
      <c r="CD273" s="418" t="str">
        <f t="shared" si="165"/>
        <v>CU0904001</v>
      </c>
      <c r="CE273" s="442" t="str">
        <f t="shared" si="166"/>
        <v>2019年5月</v>
      </c>
      <c r="CF273" s="418" t="str">
        <f t="shared" si="167"/>
        <v>紫光电子商clife服务费暂估</v>
      </c>
      <c r="CG273" s="418" t="str">
        <f t="shared" si="168"/>
        <v>2019年5月紫光电子商clife服务费暂估</v>
      </c>
    </row>
    <row r="274" spans="2:85" s="447" customFormat="1" ht="17.25" customHeight="1">
      <c r="B274" s="447" t="str">
        <f t="shared" si="147"/>
        <v>CU1013</v>
      </c>
      <c r="C274" s="431" t="s">
        <v>755</v>
      </c>
      <c r="D274" s="367" t="s">
        <v>1653</v>
      </c>
      <c r="E274" s="367" t="s">
        <v>1468</v>
      </c>
      <c r="F274" s="439">
        <v>43586</v>
      </c>
      <c r="G274" s="430">
        <v>49.92</v>
      </c>
      <c r="H274" s="440"/>
      <c r="I274" s="440">
        <f t="shared" si="141"/>
        <v>49.92</v>
      </c>
      <c r="J274" s="440"/>
      <c r="L274" s="462">
        <f t="shared" si="142"/>
        <v>49.92</v>
      </c>
      <c r="M274" s="462"/>
      <c r="N274" s="444"/>
      <c r="O274" s="462">
        <f t="shared" si="143"/>
        <v>49.92</v>
      </c>
      <c r="R274" s="462">
        <f t="shared" si="144"/>
        <v>49.92</v>
      </c>
      <c r="U274" s="462">
        <f t="shared" si="145"/>
        <v>49.92</v>
      </c>
      <c r="X274" s="462">
        <f t="shared" si="146"/>
        <v>49.92</v>
      </c>
      <c r="Y274" s="447" t="s">
        <v>1665</v>
      </c>
      <c r="AA274" s="462">
        <v>0</v>
      </c>
      <c r="AB274" s="447" t="s">
        <v>1704</v>
      </c>
      <c r="AC274" s="447">
        <f>ROUND(52131.49/1.06,2)-AC166-AC178</f>
        <v>49.92000000000553</v>
      </c>
      <c r="AD274" s="462">
        <v>0</v>
      </c>
      <c r="AE274" s="447" t="s">
        <v>1754</v>
      </c>
      <c r="AG274" s="462">
        <f t="shared" si="149"/>
        <v>0</v>
      </c>
      <c r="AH274" s="447" t="s">
        <v>1824</v>
      </c>
      <c r="AJ274" s="462">
        <f t="shared" si="150"/>
        <v>0</v>
      </c>
      <c r="AM274" s="462">
        <f t="shared" si="151"/>
        <v>0</v>
      </c>
      <c r="AN274" s="447" t="s">
        <v>1972</v>
      </c>
      <c r="AP274" s="462">
        <f t="shared" si="152"/>
        <v>0</v>
      </c>
      <c r="AQ274" s="447" t="s">
        <v>2000</v>
      </c>
      <c r="AS274" s="459">
        <f t="shared" si="153"/>
        <v>0</v>
      </c>
      <c r="AV274" s="462">
        <f t="shared" si="154"/>
        <v>0</v>
      </c>
      <c r="AY274" s="462">
        <f t="shared" si="155"/>
        <v>0</v>
      </c>
      <c r="BB274" s="462">
        <f t="shared" si="156"/>
        <v>0</v>
      </c>
      <c r="BC274" s="447" t="s">
        <v>2204</v>
      </c>
      <c r="BE274" s="462">
        <f t="shared" si="157"/>
        <v>0</v>
      </c>
      <c r="BH274" s="462">
        <f t="shared" si="158"/>
        <v>0</v>
      </c>
      <c r="BK274" s="462">
        <f t="shared" si="159"/>
        <v>0</v>
      </c>
      <c r="BN274" s="462">
        <f t="shared" si="160"/>
        <v>0</v>
      </c>
      <c r="BQ274" s="462">
        <f t="shared" si="161"/>
        <v>0</v>
      </c>
      <c r="BT274" s="462">
        <f t="shared" si="162"/>
        <v>0</v>
      </c>
      <c r="BW274" s="462">
        <f t="shared" si="163"/>
        <v>0</v>
      </c>
      <c r="BZ274" s="462">
        <f t="shared" si="164"/>
        <v>0</v>
      </c>
      <c r="CD274" s="418" t="str">
        <f t="shared" si="165"/>
        <v>CU1013001</v>
      </c>
      <c r="CE274" s="442" t="str">
        <f t="shared" si="166"/>
        <v>2019年5月</v>
      </c>
      <c r="CF274" s="418" t="str">
        <f t="shared" si="167"/>
        <v>喜利得（中clife服务费暂估</v>
      </c>
      <c r="CG274" s="418" t="str">
        <f t="shared" si="168"/>
        <v>2019年5月喜利得（中clife服务费暂估</v>
      </c>
    </row>
    <row r="275" spans="2:85" s="447" customFormat="1" ht="17.25" customHeight="1">
      <c r="B275" s="447" t="str">
        <f t="shared" si="147"/>
        <v>CU1016</v>
      </c>
      <c r="C275" s="431" t="s">
        <v>755</v>
      </c>
      <c r="D275" s="367" t="s">
        <v>1524</v>
      </c>
      <c r="E275" s="367" t="s">
        <v>1536</v>
      </c>
      <c r="F275" s="439">
        <v>43586</v>
      </c>
      <c r="G275" s="430">
        <v>18951.349999999999</v>
      </c>
      <c r="H275" s="440"/>
      <c r="I275" s="440">
        <f t="shared" si="141"/>
        <v>18951.349999999999</v>
      </c>
      <c r="J275" s="440"/>
      <c r="L275" s="462">
        <f t="shared" si="142"/>
        <v>18951.349999999999</v>
      </c>
      <c r="M275" s="462"/>
      <c r="N275" s="444"/>
      <c r="O275" s="462">
        <f t="shared" si="143"/>
        <v>18951.349999999999</v>
      </c>
      <c r="R275" s="462">
        <f t="shared" si="144"/>
        <v>18951.349999999999</v>
      </c>
      <c r="U275" s="462">
        <f t="shared" si="145"/>
        <v>18951.349999999999</v>
      </c>
      <c r="X275" s="462">
        <f t="shared" si="146"/>
        <v>18951.349999999999</v>
      </c>
      <c r="Y275" s="447" t="s">
        <v>1665</v>
      </c>
      <c r="AA275" s="462">
        <f t="shared" si="169"/>
        <v>18951.349999999999</v>
      </c>
      <c r="AB275" s="447" t="s">
        <v>1704</v>
      </c>
      <c r="AC275" s="462">
        <f>AA275</f>
        <v>18951.349999999999</v>
      </c>
      <c r="AD275" s="462">
        <f t="shared" si="148"/>
        <v>0</v>
      </c>
      <c r="AE275" s="447" t="s">
        <v>1754</v>
      </c>
      <c r="AG275" s="462">
        <f t="shared" si="149"/>
        <v>0</v>
      </c>
      <c r="AH275" s="447" t="s">
        <v>1824</v>
      </c>
      <c r="AJ275" s="462">
        <f t="shared" si="150"/>
        <v>0</v>
      </c>
      <c r="AM275" s="462">
        <f t="shared" si="151"/>
        <v>0</v>
      </c>
      <c r="AN275" s="447" t="s">
        <v>1972</v>
      </c>
      <c r="AP275" s="462">
        <f t="shared" si="152"/>
        <v>0</v>
      </c>
      <c r="AQ275" s="447" t="s">
        <v>2000</v>
      </c>
      <c r="AS275" s="459">
        <f t="shared" si="153"/>
        <v>0</v>
      </c>
      <c r="AV275" s="462">
        <f t="shared" si="154"/>
        <v>0</v>
      </c>
      <c r="AY275" s="462">
        <f t="shared" si="155"/>
        <v>0</v>
      </c>
      <c r="BB275" s="462">
        <f t="shared" si="156"/>
        <v>0</v>
      </c>
      <c r="BC275" s="447" t="s">
        <v>2204</v>
      </c>
      <c r="BE275" s="462">
        <f t="shared" si="157"/>
        <v>0</v>
      </c>
      <c r="BH275" s="462">
        <f t="shared" si="158"/>
        <v>0</v>
      </c>
      <c r="BK275" s="462">
        <f t="shared" si="159"/>
        <v>0</v>
      </c>
      <c r="BN275" s="462">
        <f t="shared" si="160"/>
        <v>0</v>
      </c>
      <c r="BQ275" s="462">
        <f t="shared" si="161"/>
        <v>0</v>
      </c>
      <c r="BT275" s="462">
        <f t="shared" si="162"/>
        <v>0</v>
      </c>
      <c r="BW275" s="462">
        <f t="shared" si="163"/>
        <v>0</v>
      </c>
      <c r="BZ275" s="462">
        <f t="shared" si="164"/>
        <v>0</v>
      </c>
      <c r="CD275" s="418" t="str">
        <f t="shared" si="165"/>
        <v>CU1016001</v>
      </c>
      <c r="CE275" s="442" t="str">
        <f t="shared" si="166"/>
        <v>2019年5月</v>
      </c>
      <c r="CF275" s="418" t="str">
        <f t="shared" si="167"/>
        <v>乔治阿玛尼clife服务费暂估</v>
      </c>
      <c r="CG275" s="418" t="str">
        <f t="shared" si="168"/>
        <v>2019年5月乔治阿玛尼clife服务费暂估</v>
      </c>
    </row>
    <row r="276" spans="2:85" s="447" customFormat="1" ht="17.25" customHeight="1">
      <c r="B276" s="447" t="str">
        <f t="shared" si="147"/>
        <v>CU1048</v>
      </c>
      <c r="C276" s="431" t="s">
        <v>755</v>
      </c>
      <c r="D276" s="367" t="s">
        <v>1654</v>
      </c>
      <c r="E276" s="367" t="s">
        <v>1317</v>
      </c>
      <c r="F276" s="439">
        <v>43586</v>
      </c>
      <c r="G276" s="430">
        <v>1477.4</v>
      </c>
      <c r="H276" s="440"/>
      <c r="I276" s="440">
        <f t="shared" si="141"/>
        <v>1477.4</v>
      </c>
      <c r="J276" s="440"/>
      <c r="L276" s="462">
        <f t="shared" si="142"/>
        <v>1477.4</v>
      </c>
      <c r="M276" s="462"/>
      <c r="N276" s="444"/>
      <c r="O276" s="462">
        <f t="shared" si="143"/>
        <v>1477.4</v>
      </c>
      <c r="R276" s="462">
        <f t="shared" si="144"/>
        <v>1477.4</v>
      </c>
      <c r="U276" s="462">
        <f t="shared" si="145"/>
        <v>1477.4</v>
      </c>
      <c r="X276" s="462">
        <f t="shared" si="146"/>
        <v>1477.4</v>
      </c>
      <c r="Y276" s="447" t="s">
        <v>1665</v>
      </c>
      <c r="AA276" s="462">
        <f t="shared" si="169"/>
        <v>1477.4</v>
      </c>
      <c r="AB276" s="447" t="s">
        <v>1704</v>
      </c>
      <c r="AD276" s="462">
        <f t="shared" si="148"/>
        <v>1477.4</v>
      </c>
      <c r="AE276" s="447" t="s">
        <v>1754</v>
      </c>
      <c r="AF276" s="447">
        <f>1210-AF169</f>
        <v>279.91999999999996</v>
      </c>
      <c r="AG276" s="462">
        <f t="shared" si="149"/>
        <v>1197.48</v>
      </c>
      <c r="AH276" s="447" t="s">
        <v>1824</v>
      </c>
      <c r="AJ276" s="462">
        <f t="shared" si="150"/>
        <v>1197.48</v>
      </c>
      <c r="AK276" s="447" t="s">
        <v>1857</v>
      </c>
      <c r="AM276" s="462">
        <f t="shared" si="151"/>
        <v>1197.48</v>
      </c>
      <c r="AN276" s="447" t="s">
        <v>1972</v>
      </c>
      <c r="AP276" s="462">
        <f t="shared" si="152"/>
        <v>1197.48</v>
      </c>
      <c r="AQ276" s="447" t="s">
        <v>2000</v>
      </c>
      <c r="AS276" s="459">
        <f t="shared" si="153"/>
        <v>1197.48</v>
      </c>
      <c r="AV276" s="462">
        <f t="shared" si="154"/>
        <v>1197.48</v>
      </c>
      <c r="AW276" s="447" t="s">
        <v>2107</v>
      </c>
      <c r="AY276" s="462">
        <f t="shared" si="155"/>
        <v>1197.48</v>
      </c>
      <c r="AZ276" s="447" t="s">
        <v>2131</v>
      </c>
      <c r="BA276" s="447">
        <f>139+ROUND(1102/1.06,2)+18.86</f>
        <v>1197.4799999999998</v>
      </c>
      <c r="BB276" s="462">
        <f t="shared" si="156"/>
        <v>0</v>
      </c>
      <c r="BC276" s="447" t="s">
        <v>2204</v>
      </c>
      <c r="BE276" s="462">
        <f t="shared" si="157"/>
        <v>0</v>
      </c>
      <c r="BH276" s="462">
        <f t="shared" si="158"/>
        <v>0</v>
      </c>
      <c r="BK276" s="462">
        <f t="shared" si="159"/>
        <v>0</v>
      </c>
      <c r="BN276" s="462">
        <f t="shared" si="160"/>
        <v>0</v>
      </c>
      <c r="BQ276" s="462">
        <f t="shared" si="161"/>
        <v>0</v>
      </c>
      <c r="BT276" s="462">
        <f t="shared" si="162"/>
        <v>0</v>
      </c>
      <c r="BW276" s="462">
        <f t="shared" si="163"/>
        <v>0</v>
      </c>
      <c r="BZ276" s="462">
        <f t="shared" si="164"/>
        <v>0</v>
      </c>
      <c r="CD276" s="418" t="str">
        <f t="shared" si="165"/>
        <v>CU1048001</v>
      </c>
      <c r="CE276" s="442" t="str">
        <f t="shared" si="166"/>
        <v>2019年5月</v>
      </c>
      <c r="CF276" s="418" t="str">
        <f t="shared" si="167"/>
        <v>奥托博克（clife服务费暂估</v>
      </c>
      <c r="CG276" s="418" t="str">
        <f t="shared" si="168"/>
        <v>2019年5月奥托博克（clife服务费暂估</v>
      </c>
    </row>
    <row r="277" spans="2:85" s="447" customFormat="1" ht="17.25" customHeight="1">
      <c r="B277" s="447" t="str">
        <f t="shared" si="147"/>
        <v>CU1065</v>
      </c>
      <c r="C277" s="431" t="s">
        <v>755</v>
      </c>
      <c r="D277" s="367" t="s">
        <v>1573</v>
      </c>
      <c r="E277" s="367" t="s">
        <v>1332</v>
      </c>
      <c r="F277" s="439">
        <v>43586</v>
      </c>
      <c r="G277" s="430">
        <v>193882.1</v>
      </c>
      <c r="H277" s="440"/>
      <c r="I277" s="440">
        <f t="shared" si="141"/>
        <v>193882.1</v>
      </c>
      <c r="J277" s="440"/>
      <c r="L277" s="462">
        <f t="shared" si="142"/>
        <v>193882.1</v>
      </c>
      <c r="M277" s="462"/>
      <c r="N277" s="444"/>
      <c r="O277" s="462">
        <f t="shared" si="143"/>
        <v>193882.1</v>
      </c>
      <c r="R277" s="462">
        <f t="shared" si="144"/>
        <v>193882.1</v>
      </c>
      <c r="U277" s="462">
        <f t="shared" si="145"/>
        <v>193882.1</v>
      </c>
      <c r="X277" s="462">
        <f t="shared" si="146"/>
        <v>193882.1</v>
      </c>
      <c r="Y277" s="447" t="s">
        <v>1665</v>
      </c>
      <c r="Z277" s="447">
        <f>ROUND(129120/1.06,2)</f>
        <v>121811.32</v>
      </c>
      <c r="AA277" s="462">
        <f t="shared" si="169"/>
        <v>72070.78</v>
      </c>
      <c r="AB277" s="447" t="s">
        <v>1704</v>
      </c>
      <c r="AD277" s="462">
        <f t="shared" si="148"/>
        <v>72070.78</v>
      </c>
      <c r="AE277" s="447" t="s">
        <v>1754</v>
      </c>
      <c r="AG277" s="462">
        <f t="shared" si="149"/>
        <v>72070.78</v>
      </c>
      <c r="AH277" s="447" t="s">
        <v>1824</v>
      </c>
      <c r="AJ277" s="462">
        <f t="shared" si="150"/>
        <v>72070.78</v>
      </c>
      <c r="AK277" s="447" t="s">
        <v>1857</v>
      </c>
      <c r="AM277" s="462">
        <f t="shared" si="151"/>
        <v>72070.78</v>
      </c>
      <c r="AN277" s="447" t="s">
        <v>1972</v>
      </c>
      <c r="AP277" s="462">
        <f t="shared" si="152"/>
        <v>72070.78</v>
      </c>
      <c r="AQ277" s="447" t="s">
        <v>2000</v>
      </c>
      <c r="AS277" s="459">
        <f t="shared" si="153"/>
        <v>72070.78</v>
      </c>
      <c r="AV277" s="462">
        <f t="shared" si="154"/>
        <v>72070.78</v>
      </c>
      <c r="AW277" s="447" t="s">
        <v>2107</v>
      </c>
      <c r="AY277" s="462">
        <f t="shared" si="155"/>
        <v>72070.78</v>
      </c>
      <c r="AZ277" s="447" t="s">
        <v>2131</v>
      </c>
      <c r="BB277" s="462">
        <f t="shared" si="156"/>
        <v>72070.78</v>
      </c>
      <c r="BC277" s="447" t="s">
        <v>2204</v>
      </c>
      <c r="BE277" s="462">
        <f t="shared" si="157"/>
        <v>72070.78</v>
      </c>
      <c r="BF277" s="447" t="s">
        <v>2237</v>
      </c>
      <c r="BG277" s="462">
        <f>BE277</f>
        <v>72070.78</v>
      </c>
      <c r="BH277" s="462">
        <f t="shared" si="158"/>
        <v>0</v>
      </c>
      <c r="BK277" s="462">
        <f t="shared" si="159"/>
        <v>0</v>
      </c>
      <c r="BN277" s="462">
        <f t="shared" si="160"/>
        <v>0</v>
      </c>
      <c r="BQ277" s="462">
        <f t="shared" si="161"/>
        <v>0</v>
      </c>
      <c r="BT277" s="462">
        <f t="shared" si="162"/>
        <v>0</v>
      </c>
      <c r="BW277" s="462">
        <f t="shared" si="163"/>
        <v>0</v>
      </c>
      <c r="BZ277" s="462">
        <f t="shared" si="164"/>
        <v>0</v>
      </c>
      <c r="CD277" s="418" t="str">
        <f t="shared" si="165"/>
        <v>CU1065001</v>
      </c>
      <c r="CE277" s="442" t="str">
        <f t="shared" si="166"/>
        <v>2019年5月</v>
      </c>
      <c r="CF277" s="418" t="str">
        <f t="shared" si="167"/>
        <v>湖北长江蔚clife服务费暂估</v>
      </c>
      <c r="CG277" s="418" t="str">
        <f t="shared" si="168"/>
        <v>2019年5月湖北长江蔚clife服务费暂估</v>
      </c>
    </row>
    <row r="278" spans="2:85" s="447" customFormat="1" ht="17.25" customHeight="1">
      <c r="B278" s="447" t="str">
        <f t="shared" si="147"/>
        <v>CU1152</v>
      </c>
      <c r="C278" s="431" t="s">
        <v>755</v>
      </c>
      <c r="D278" s="367" t="s">
        <v>1655</v>
      </c>
      <c r="E278" s="367" t="s">
        <v>1641</v>
      </c>
      <c r="F278" s="439">
        <v>43586</v>
      </c>
      <c r="G278" s="430">
        <v>15985.78</v>
      </c>
      <c r="H278" s="440"/>
      <c r="I278" s="440">
        <f t="shared" si="141"/>
        <v>15985.78</v>
      </c>
      <c r="J278" s="440"/>
      <c r="L278" s="462">
        <f t="shared" si="142"/>
        <v>15985.78</v>
      </c>
      <c r="M278" s="462"/>
      <c r="N278" s="444"/>
      <c r="O278" s="462">
        <f t="shared" si="143"/>
        <v>15985.78</v>
      </c>
      <c r="R278" s="462">
        <f t="shared" si="144"/>
        <v>15985.78</v>
      </c>
      <c r="U278" s="462">
        <f t="shared" si="145"/>
        <v>15985.78</v>
      </c>
      <c r="X278" s="462">
        <f t="shared" si="146"/>
        <v>15985.78</v>
      </c>
      <c r="Y278" s="447" t="s">
        <v>1665</v>
      </c>
      <c r="AA278" s="462">
        <f t="shared" si="169"/>
        <v>15985.78</v>
      </c>
      <c r="AB278" s="447" t="s">
        <v>1704</v>
      </c>
      <c r="AD278" s="462">
        <f t="shared" si="148"/>
        <v>15985.78</v>
      </c>
      <c r="AE278" s="447" t="s">
        <v>1754</v>
      </c>
      <c r="AG278" s="462">
        <f t="shared" si="149"/>
        <v>15985.78</v>
      </c>
      <c r="AH278" s="447" t="s">
        <v>1824</v>
      </c>
      <c r="AJ278" s="462">
        <f t="shared" si="150"/>
        <v>15985.78</v>
      </c>
      <c r="AK278" s="447" t="s">
        <v>1857</v>
      </c>
      <c r="AM278" s="462">
        <f t="shared" si="151"/>
        <v>15985.78</v>
      </c>
      <c r="AN278" s="447" t="s">
        <v>1972</v>
      </c>
      <c r="AO278" s="462">
        <f>ROUND(26981.5/1.06,2)-AO172</f>
        <v>14561.280000000028</v>
      </c>
      <c r="AP278" s="462">
        <f t="shared" si="152"/>
        <v>1424.4999999999727</v>
      </c>
      <c r="AQ278" s="447" t="s">
        <v>2000</v>
      </c>
      <c r="AS278" s="459">
        <f t="shared" si="153"/>
        <v>1424.4999999999727</v>
      </c>
      <c r="AV278" s="462">
        <f t="shared" si="154"/>
        <v>1424.4999999999727</v>
      </c>
      <c r="AW278" s="447" t="s">
        <v>2107</v>
      </c>
      <c r="AY278" s="462">
        <f t="shared" si="155"/>
        <v>1424.4999999999727</v>
      </c>
      <c r="AZ278" s="447" t="s">
        <v>2131</v>
      </c>
      <c r="BB278" s="462">
        <f t="shared" si="156"/>
        <v>1424.4999999999727</v>
      </c>
      <c r="BC278" s="447" t="s">
        <v>2204</v>
      </c>
      <c r="BD278" s="447">
        <f>ROUND(727/1.06,2)+656</f>
        <v>1341.85</v>
      </c>
      <c r="BE278" s="462">
        <f t="shared" si="157"/>
        <v>82.649999999972806</v>
      </c>
      <c r="BF278" s="447" t="s">
        <v>2237</v>
      </c>
      <c r="BH278" s="462">
        <f t="shared" si="158"/>
        <v>82.649999999972806</v>
      </c>
      <c r="BI278" s="447" t="s">
        <v>2292</v>
      </c>
      <c r="BK278" s="462">
        <f t="shared" si="159"/>
        <v>82.649999999972806</v>
      </c>
      <c r="BL278" s="447" t="s">
        <v>2339</v>
      </c>
      <c r="BM278" s="447">
        <f>ROUND(7.53/1.06,2)+38</f>
        <v>45.1</v>
      </c>
      <c r="BN278" s="462">
        <f t="shared" si="160"/>
        <v>37.549999999972805</v>
      </c>
      <c r="BO278" s="447" t="s">
        <v>2365</v>
      </c>
      <c r="BQ278" s="462">
        <f t="shared" si="161"/>
        <v>37.549999999999997</v>
      </c>
      <c r="BR278" s="447" t="s">
        <v>2374</v>
      </c>
      <c r="BT278" s="462">
        <f t="shared" si="162"/>
        <v>37.549999999999997</v>
      </c>
      <c r="BU278" s="447" t="s">
        <v>2134</v>
      </c>
      <c r="BV278" s="462">
        <f>BT278</f>
        <v>37.549999999999997</v>
      </c>
      <c r="BW278" s="462">
        <f t="shared" si="163"/>
        <v>0</v>
      </c>
      <c r="BZ278" s="462">
        <f t="shared" si="164"/>
        <v>0</v>
      </c>
      <c r="CD278" s="418" t="str">
        <f t="shared" si="165"/>
        <v>CU1152001</v>
      </c>
      <c r="CE278" s="442" t="str">
        <f t="shared" si="166"/>
        <v>2019年5月</v>
      </c>
      <c r="CF278" s="418" t="str">
        <f t="shared" si="167"/>
        <v>昆明贝泰妮clife服务费暂估</v>
      </c>
      <c r="CG278" s="418" t="str">
        <f t="shared" si="168"/>
        <v>2019年5月昆明贝泰妮clife服务费暂估</v>
      </c>
    </row>
    <row r="279" spans="2:85" s="447" customFormat="1" ht="17.25" customHeight="1">
      <c r="B279" s="447" t="str">
        <f t="shared" si="147"/>
        <v>CU1198</v>
      </c>
      <c r="C279" s="431" t="s">
        <v>755</v>
      </c>
      <c r="D279" s="367" t="s">
        <v>1538</v>
      </c>
      <c r="E279" s="367" t="s">
        <v>1537</v>
      </c>
      <c r="F279" s="439">
        <v>43586</v>
      </c>
      <c r="G279" s="430">
        <v>4716.9799999999996</v>
      </c>
      <c r="H279" s="440"/>
      <c r="I279" s="440">
        <f t="shared" si="141"/>
        <v>4716.9799999999996</v>
      </c>
      <c r="J279" s="440"/>
      <c r="L279" s="462">
        <f t="shared" si="142"/>
        <v>4716.9799999999996</v>
      </c>
      <c r="M279" s="462"/>
      <c r="N279" s="444"/>
      <c r="O279" s="462">
        <f t="shared" si="143"/>
        <v>4716.9799999999996</v>
      </c>
      <c r="R279" s="462">
        <f t="shared" si="144"/>
        <v>4716.9799999999996</v>
      </c>
      <c r="U279" s="462">
        <f t="shared" si="145"/>
        <v>4716.9799999999996</v>
      </c>
      <c r="W279" s="447">
        <v>4716.9799999999996</v>
      </c>
      <c r="X279" s="462">
        <f t="shared" si="146"/>
        <v>0</v>
      </c>
      <c r="Y279" s="447" t="s">
        <v>1665</v>
      </c>
      <c r="AA279" s="462">
        <f t="shared" si="169"/>
        <v>0</v>
      </c>
      <c r="AB279" s="447" t="s">
        <v>1704</v>
      </c>
      <c r="AD279" s="462">
        <f t="shared" si="148"/>
        <v>0</v>
      </c>
      <c r="AE279" s="447" t="s">
        <v>1754</v>
      </c>
      <c r="AG279" s="462">
        <f t="shared" si="149"/>
        <v>0</v>
      </c>
      <c r="AH279" s="447" t="s">
        <v>1824</v>
      </c>
      <c r="AJ279" s="462">
        <f t="shared" si="150"/>
        <v>0</v>
      </c>
      <c r="AM279" s="462">
        <f t="shared" si="151"/>
        <v>0</v>
      </c>
      <c r="AN279" s="447" t="s">
        <v>1972</v>
      </c>
      <c r="AP279" s="462">
        <f t="shared" si="152"/>
        <v>0</v>
      </c>
      <c r="AQ279" s="447" t="s">
        <v>2000</v>
      </c>
      <c r="AS279" s="459">
        <f t="shared" si="153"/>
        <v>0</v>
      </c>
      <c r="AV279" s="462">
        <f t="shared" si="154"/>
        <v>0</v>
      </c>
      <c r="AY279" s="462">
        <f t="shared" si="155"/>
        <v>0</v>
      </c>
      <c r="BB279" s="462">
        <f t="shared" si="156"/>
        <v>0</v>
      </c>
      <c r="BC279" s="447" t="s">
        <v>2204</v>
      </c>
      <c r="BE279" s="462">
        <f t="shared" si="157"/>
        <v>0</v>
      </c>
      <c r="BH279" s="462">
        <f t="shared" si="158"/>
        <v>0</v>
      </c>
      <c r="BK279" s="462">
        <f t="shared" si="159"/>
        <v>0</v>
      </c>
      <c r="BN279" s="462">
        <f t="shared" si="160"/>
        <v>0</v>
      </c>
      <c r="BQ279" s="462">
        <f t="shared" si="161"/>
        <v>0</v>
      </c>
      <c r="BT279" s="462">
        <f t="shared" si="162"/>
        <v>0</v>
      </c>
      <c r="BW279" s="462">
        <f t="shared" si="163"/>
        <v>0</v>
      </c>
      <c r="BZ279" s="462">
        <f t="shared" si="164"/>
        <v>0</v>
      </c>
      <c r="CD279" s="418" t="str">
        <f t="shared" si="165"/>
        <v>CU1198001</v>
      </c>
      <c r="CE279" s="442" t="str">
        <f t="shared" si="166"/>
        <v>2019年5月</v>
      </c>
      <c r="CF279" s="418" t="str">
        <f t="shared" si="167"/>
        <v>通用公正技clife服务费暂估</v>
      </c>
      <c r="CG279" s="418" t="str">
        <f t="shared" si="168"/>
        <v>2019年5月通用公正技clife服务费暂估</v>
      </c>
    </row>
    <row r="280" spans="2:85" s="447" customFormat="1" ht="17.25" customHeight="1">
      <c r="B280" s="447" t="str">
        <f t="shared" si="147"/>
        <v>CU1204</v>
      </c>
      <c r="C280" s="431" t="s">
        <v>755</v>
      </c>
      <c r="D280" s="367" t="s">
        <v>1656</v>
      </c>
      <c r="E280" s="367" t="s">
        <v>1582</v>
      </c>
      <c r="F280" s="439">
        <v>43586</v>
      </c>
      <c r="G280" s="430">
        <v>20001.22</v>
      </c>
      <c r="H280" s="440"/>
      <c r="I280" s="440">
        <f t="shared" si="141"/>
        <v>20001.22</v>
      </c>
      <c r="J280" s="440"/>
      <c r="L280" s="462">
        <f t="shared" si="142"/>
        <v>20001.22</v>
      </c>
      <c r="M280" s="462"/>
      <c r="N280" s="444"/>
      <c r="O280" s="462">
        <f t="shared" si="143"/>
        <v>20001.22</v>
      </c>
      <c r="R280" s="462">
        <f t="shared" si="144"/>
        <v>20001.22</v>
      </c>
      <c r="U280" s="462">
        <f t="shared" si="145"/>
        <v>20001.22</v>
      </c>
      <c r="X280" s="462">
        <f t="shared" si="146"/>
        <v>20001.22</v>
      </c>
      <c r="Y280" s="447" t="s">
        <v>1665</v>
      </c>
      <c r="AA280" s="462">
        <f t="shared" si="169"/>
        <v>20001.22</v>
      </c>
      <c r="AB280" s="447" t="s">
        <v>1704</v>
      </c>
      <c r="AD280" s="462">
        <f t="shared" si="148"/>
        <v>20001.22</v>
      </c>
      <c r="AE280" s="447" t="s">
        <v>1754</v>
      </c>
      <c r="AG280" s="462">
        <f t="shared" si="149"/>
        <v>20001.22</v>
      </c>
      <c r="AH280" s="447" t="s">
        <v>1824</v>
      </c>
      <c r="AI280" s="462">
        <f>AG280</f>
        <v>20001.22</v>
      </c>
      <c r="AJ280" s="462">
        <f t="shared" si="150"/>
        <v>0</v>
      </c>
      <c r="AM280" s="462">
        <f t="shared" si="151"/>
        <v>0</v>
      </c>
      <c r="AN280" s="447" t="s">
        <v>1972</v>
      </c>
      <c r="AP280" s="462">
        <f t="shared" si="152"/>
        <v>0</v>
      </c>
      <c r="AQ280" s="447" t="s">
        <v>2000</v>
      </c>
      <c r="AS280" s="459">
        <f t="shared" si="153"/>
        <v>0</v>
      </c>
      <c r="AV280" s="462">
        <f t="shared" si="154"/>
        <v>0</v>
      </c>
      <c r="AY280" s="462">
        <f t="shared" si="155"/>
        <v>0</v>
      </c>
      <c r="BB280" s="462">
        <f t="shared" si="156"/>
        <v>0</v>
      </c>
      <c r="BC280" s="447" t="s">
        <v>2204</v>
      </c>
      <c r="BE280" s="462">
        <f t="shared" si="157"/>
        <v>0</v>
      </c>
      <c r="BH280" s="462">
        <f t="shared" si="158"/>
        <v>0</v>
      </c>
      <c r="BK280" s="462">
        <f t="shared" si="159"/>
        <v>0</v>
      </c>
      <c r="BN280" s="462">
        <f t="shared" si="160"/>
        <v>0</v>
      </c>
      <c r="BQ280" s="462">
        <f t="shared" si="161"/>
        <v>0</v>
      </c>
      <c r="BT280" s="462">
        <f t="shared" si="162"/>
        <v>0</v>
      </c>
      <c r="BW280" s="462">
        <f t="shared" si="163"/>
        <v>0</v>
      </c>
      <c r="BZ280" s="462">
        <f t="shared" si="164"/>
        <v>0</v>
      </c>
      <c r="CD280" s="418" t="str">
        <f t="shared" si="165"/>
        <v>CU1204001</v>
      </c>
      <c r="CE280" s="442" t="str">
        <f t="shared" si="166"/>
        <v>2019年5月</v>
      </c>
      <c r="CF280" s="418" t="str">
        <f t="shared" si="167"/>
        <v>固特异轮胎clife服务费暂估</v>
      </c>
      <c r="CG280" s="418" t="str">
        <f t="shared" si="168"/>
        <v>2019年5月固特异轮胎clife服务费暂估</v>
      </c>
    </row>
    <row r="281" spans="2:85" s="447" customFormat="1" ht="17.25" customHeight="1">
      <c r="B281" s="447" t="str">
        <f t="shared" si="147"/>
        <v>CU0145</v>
      </c>
      <c r="C281" s="431" t="s">
        <v>755</v>
      </c>
      <c r="D281" s="367" t="s">
        <v>1451</v>
      </c>
      <c r="E281" s="367" t="s">
        <v>1323</v>
      </c>
      <c r="F281" s="439">
        <v>43617</v>
      </c>
      <c r="G281" s="430">
        <v>16388.240000000002</v>
      </c>
      <c r="H281" s="440"/>
      <c r="I281" s="440">
        <f t="shared" si="141"/>
        <v>16388.240000000002</v>
      </c>
      <c r="J281" s="440"/>
      <c r="L281" s="462">
        <f t="shared" si="142"/>
        <v>16388.240000000002</v>
      </c>
      <c r="M281" s="462"/>
      <c r="N281" s="444"/>
      <c r="O281" s="462">
        <f t="shared" si="143"/>
        <v>16388.240000000002</v>
      </c>
      <c r="R281" s="462">
        <f t="shared" si="144"/>
        <v>16388.240000000002</v>
      </c>
      <c r="U281" s="462">
        <f t="shared" si="145"/>
        <v>16388.240000000002</v>
      </c>
      <c r="X281" s="462">
        <f t="shared" si="146"/>
        <v>16388.240000000002</v>
      </c>
      <c r="Y281" s="447" t="s">
        <v>1680</v>
      </c>
      <c r="AA281" s="462">
        <f t="shared" si="169"/>
        <v>16388.240000000002</v>
      </c>
      <c r="AB281" s="447" t="s">
        <v>1705</v>
      </c>
      <c r="AD281" s="462">
        <f t="shared" si="148"/>
        <v>16388.240000000002</v>
      </c>
      <c r="AE281" s="447" t="s">
        <v>1755</v>
      </c>
      <c r="AG281" s="462">
        <f t="shared" si="149"/>
        <v>16388.240000000002</v>
      </c>
      <c r="AH281" s="447" t="s">
        <v>1825</v>
      </c>
      <c r="AJ281" s="462">
        <f t="shared" si="150"/>
        <v>16388.240000000002</v>
      </c>
      <c r="AK281" s="447" t="s">
        <v>1858</v>
      </c>
      <c r="AM281" s="462">
        <f t="shared" si="151"/>
        <v>16388.240000000002</v>
      </c>
      <c r="AN281" s="447" t="s">
        <v>1973</v>
      </c>
      <c r="AO281" s="462">
        <f>AM281</f>
        <v>16388.240000000002</v>
      </c>
      <c r="AP281" s="462">
        <f t="shared" si="152"/>
        <v>0</v>
      </c>
      <c r="AQ281" s="447" t="s">
        <v>2001</v>
      </c>
      <c r="AS281" s="459">
        <f t="shared" si="153"/>
        <v>0</v>
      </c>
      <c r="AV281" s="462">
        <f t="shared" si="154"/>
        <v>0</v>
      </c>
      <c r="AY281" s="462">
        <f t="shared" si="155"/>
        <v>0</v>
      </c>
      <c r="BB281" s="462">
        <f t="shared" si="156"/>
        <v>0</v>
      </c>
      <c r="BC281" s="447" t="s">
        <v>2204</v>
      </c>
      <c r="BE281" s="462">
        <f t="shared" si="157"/>
        <v>0</v>
      </c>
      <c r="BH281" s="462">
        <f t="shared" si="158"/>
        <v>0</v>
      </c>
      <c r="BK281" s="462">
        <f t="shared" si="159"/>
        <v>0</v>
      </c>
      <c r="BN281" s="462">
        <f t="shared" si="160"/>
        <v>0</v>
      </c>
      <c r="BQ281" s="462">
        <f t="shared" si="161"/>
        <v>0</v>
      </c>
      <c r="BT281" s="462">
        <f t="shared" si="162"/>
        <v>0</v>
      </c>
      <c r="BW281" s="462">
        <f t="shared" si="163"/>
        <v>0</v>
      </c>
      <c r="BZ281" s="462">
        <f t="shared" si="164"/>
        <v>0</v>
      </c>
      <c r="CD281" s="418" t="str">
        <f t="shared" si="165"/>
        <v>CU0145001</v>
      </c>
      <c r="CE281" s="442" t="str">
        <f t="shared" si="166"/>
        <v>2019年6月</v>
      </c>
      <c r="CF281" s="418" t="str">
        <f t="shared" si="167"/>
        <v>锐珂亚太投clife服务费暂估</v>
      </c>
      <c r="CG281" s="418" t="str">
        <f t="shared" si="168"/>
        <v>2019年6月锐珂亚太投clife服务费暂估</v>
      </c>
    </row>
    <row r="282" spans="2:85" s="447" customFormat="1" ht="17.25" customHeight="1">
      <c r="B282" s="447" t="str">
        <f t="shared" si="147"/>
        <v>CU0148</v>
      </c>
      <c r="C282" s="431" t="s">
        <v>755</v>
      </c>
      <c r="D282" s="367" t="s">
        <v>1574</v>
      </c>
      <c r="E282" s="367" t="s">
        <v>1636</v>
      </c>
      <c r="F282" s="439">
        <v>43617</v>
      </c>
      <c r="G282" s="430">
        <v>10484.719999999999</v>
      </c>
      <c r="H282" s="440"/>
      <c r="I282" s="440">
        <f t="shared" si="141"/>
        <v>10484.719999999999</v>
      </c>
      <c r="J282" s="440"/>
      <c r="L282" s="462">
        <f t="shared" si="142"/>
        <v>10484.719999999999</v>
      </c>
      <c r="M282" s="462"/>
      <c r="N282" s="444"/>
      <c r="O282" s="462">
        <f t="shared" si="143"/>
        <v>10484.719999999999</v>
      </c>
      <c r="R282" s="462">
        <f t="shared" si="144"/>
        <v>10484.719999999999</v>
      </c>
      <c r="U282" s="462">
        <f t="shared" si="145"/>
        <v>10484.719999999999</v>
      </c>
      <c r="X282" s="462">
        <f t="shared" si="146"/>
        <v>10484.719999999999</v>
      </c>
      <c r="Y282" s="447" t="s">
        <v>1680</v>
      </c>
      <c r="Z282" s="447">
        <v>656</v>
      </c>
      <c r="AA282" s="462">
        <f t="shared" si="169"/>
        <v>9828.7199999999993</v>
      </c>
      <c r="AB282" s="447" t="s">
        <v>1705</v>
      </c>
      <c r="AD282" s="462">
        <f t="shared" si="148"/>
        <v>9828.7199999999993</v>
      </c>
      <c r="AE282" s="447" t="s">
        <v>1755</v>
      </c>
      <c r="AF282" s="462">
        <f>825+403-AF203-AF251+2061+7084</f>
        <v>9270.3100000000013</v>
      </c>
      <c r="AG282" s="462">
        <f t="shared" si="149"/>
        <v>558.40999999999804</v>
      </c>
      <c r="AH282" s="447" t="s">
        <v>1825</v>
      </c>
      <c r="AJ282" s="462">
        <f t="shared" si="150"/>
        <v>558.40999999999804</v>
      </c>
      <c r="AK282" s="447" t="s">
        <v>1858</v>
      </c>
      <c r="AM282" s="462">
        <f t="shared" si="151"/>
        <v>558.40999999999804</v>
      </c>
      <c r="AN282" s="447" t="s">
        <v>1973</v>
      </c>
      <c r="AP282" s="462">
        <f t="shared" si="152"/>
        <v>558.40999999999804</v>
      </c>
      <c r="AQ282" s="447" t="s">
        <v>2001</v>
      </c>
      <c r="AS282" s="459">
        <f t="shared" si="153"/>
        <v>558.40999999999804</v>
      </c>
      <c r="AU282" s="462">
        <f>AS282</f>
        <v>558.40999999999804</v>
      </c>
      <c r="AV282" s="462">
        <f t="shared" si="154"/>
        <v>0</v>
      </c>
      <c r="AY282" s="462">
        <f t="shared" si="155"/>
        <v>0</v>
      </c>
      <c r="BB282" s="462">
        <f t="shared" si="156"/>
        <v>0</v>
      </c>
      <c r="BC282" s="447" t="s">
        <v>2204</v>
      </c>
      <c r="BE282" s="462">
        <f t="shared" si="157"/>
        <v>0</v>
      </c>
      <c r="BH282" s="462">
        <f t="shared" si="158"/>
        <v>0</v>
      </c>
      <c r="BK282" s="462">
        <f t="shared" si="159"/>
        <v>0</v>
      </c>
      <c r="BN282" s="462">
        <f t="shared" si="160"/>
        <v>0</v>
      </c>
      <c r="BQ282" s="462">
        <f t="shared" si="161"/>
        <v>0</v>
      </c>
      <c r="BT282" s="462">
        <f t="shared" si="162"/>
        <v>0</v>
      </c>
      <c r="BW282" s="462">
        <f t="shared" si="163"/>
        <v>0</v>
      </c>
      <c r="BZ282" s="462">
        <f t="shared" si="164"/>
        <v>0</v>
      </c>
      <c r="CD282" s="418" t="str">
        <f t="shared" si="165"/>
        <v>CU0148001</v>
      </c>
      <c r="CE282" s="442" t="str">
        <f t="shared" si="166"/>
        <v>2019年6月</v>
      </c>
      <c r="CF282" s="418" t="str">
        <f t="shared" si="167"/>
        <v>贝雅投资咨clife服务费暂估</v>
      </c>
      <c r="CG282" s="418" t="str">
        <f t="shared" si="168"/>
        <v>2019年6月贝雅投资咨clife服务费暂估</v>
      </c>
    </row>
    <row r="283" spans="2:85" s="447" customFormat="1" ht="17.25" customHeight="1">
      <c r="B283" s="447" t="str">
        <f t="shared" si="147"/>
        <v>CU0182</v>
      </c>
      <c r="C283" s="431" t="s">
        <v>755</v>
      </c>
      <c r="D283" s="367" t="s">
        <v>1452</v>
      </c>
      <c r="E283" s="367" t="s">
        <v>821</v>
      </c>
      <c r="F283" s="439">
        <v>43617</v>
      </c>
      <c r="G283" s="430">
        <v>2019.74</v>
      </c>
      <c r="H283" s="440"/>
      <c r="I283" s="440">
        <f t="shared" ref="I283:I322" si="170">G283-H283</f>
        <v>2019.74</v>
      </c>
      <c r="J283" s="440"/>
      <c r="L283" s="462">
        <f t="shared" ref="L283:L322" si="171">I283-K283</f>
        <v>2019.74</v>
      </c>
      <c r="M283" s="462"/>
      <c r="N283" s="444"/>
      <c r="O283" s="462">
        <f t="shared" ref="O283:O322" si="172">L283-N283</f>
        <v>2019.74</v>
      </c>
      <c r="R283" s="462">
        <f t="shared" ref="R283:R322" si="173">O283-Q283</f>
        <v>2019.74</v>
      </c>
      <c r="U283" s="462">
        <f t="shared" ref="U283:U322" si="174">R283-T283</f>
        <v>2019.74</v>
      </c>
      <c r="X283" s="462">
        <f t="shared" ref="X283:X322" si="175">U283-W283</f>
        <v>2019.74</v>
      </c>
      <c r="Y283" s="447" t="s">
        <v>1680</v>
      </c>
      <c r="AA283" s="462">
        <f t="shared" ref="AA283:AA320" si="176">X283-Z283</f>
        <v>2019.74</v>
      </c>
      <c r="AB283" s="447" t="s">
        <v>1705</v>
      </c>
      <c r="AD283" s="462">
        <f t="shared" si="148"/>
        <v>2019.74</v>
      </c>
      <c r="AE283" s="447" t="s">
        <v>1755</v>
      </c>
      <c r="AG283" s="462">
        <f t="shared" si="149"/>
        <v>2019.74</v>
      </c>
      <c r="AH283" s="447" t="s">
        <v>1825</v>
      </c>
      <c r="AJ283" s="462">
        <f t="shared" si="150"/>
        <v>2019.74</v>
      </c>
      <c r="AK283" s="447" t="s">
        <v>1858</v>
      </c>
      <c r="AM283" s="462">
        <f t="shared" si="151"/>
        <v>2019.74</v>
      </c>
      <c r="AN283" s="447" t="s">
        <v>1973</v>
      </c>
      <c r="AP283" s="462">
        <f t="shared" si="152"/>
        <v>2019.74</v>
      </c>
      <c r="AQ283" s="447" t="s">
        <v>2001</v>
      </c>
      <c r="AS283" s="459">
        <f t="shared" si="153"/>
        <v>2019.74</v>
      </c>
      <c r="AV283" s="462">
        <f t="shared" si="154"/>
        <v>2019.74</v>
      </c>
      <c r="AW283" s="447" t="s">
        <v>2107</v>
      </c>
      <c r="AY283" s="462">
        <f t="shared" si="155"/>
        <v>2019.74</v>
      </c>
      <c r="AZ283" s="447" t="s">
        <v>2131</v>
      </c>
      <c r="BB283" s="462">
        <f t="shared" si="156"/>
        <v>2019.74</v>
      </c>
      <c r="BC283" s="447" t="s">
        <v>2204</v>
      </c>
      <c r="BE283" s="462">
        <f t="shared" si="157"/>
        <v>2019.74</v>
      </c>
      <c r="BF283" s="447" t="s">
        <v>2237</v>
      </c>
      <c r="BH283" s="462">
        <f t="shared" si="158"/>
        <v>2019.74</v>
      </c>
      <c r="BI283" s="447" t="s">
        <v>2292</v>
      </c>
      <c r="BK283" s="462">
        <f t="shared" si="159"/>
        <v>2019.74</v>
      </c>
      <c r="BL283" s="447" t="s">
        <v>2339</v>
      </c>
      <c r="BN283" s="462">
        <f t="shared" si="160"/>
        <v>2019.74</v>
      </c>
      <c r="BO283" s="447" t="s">
        <v>2365</v>
      </c>
      <c r="BQ283" s="462">
        <f t="shared" si="161"/>
        <v>2019.74</v>
      </c>
      <c r="BR283" s="447" t="s">
        <v>2374</v>
      </c>
      <c r="BT283" s="462">
        <f t="shared" si="162"/>
        <v>2019.74</v>
      </c>
      <c r="BU283" s="447" t="s">
        <v>2134</v>
      </c>
      <c r="BW283" s="462">
        <f t="shared" si="163"/>
        <v>2019.74</v>
      </c>
      <c r="BZ283" s="462">
        <f t="shared" si="164"/>
        <v>2019.74</v>
      </c>
      <c r="CD283" s="418" t="str">
        <f t="shared" si="165"/>
        <v>CU0182001</v>
      </c>
      <c r="CE283" s="442" t="str">
        <f t="shared" si="166"/>
        <v>2019年6月</v>
      </c>
      <c r="CF283" s="418" t="str">
        <f t="shared" si="167"/>
        <v>阿姆斯壮（clife服务费暂估</v>
      </c>
      <c r="CG283" s="418" t="str">
        <f t="shared" si="168"/>
        <v>2019年6月阿姆斯壮（clife服务费暂估</v>
      </c>
    </row>
    <row r="284" spans="2:85" s="447" customFormat="1" ht="17.25" customHeight="1">
      <c r="B284" s="447" t="str">
        <f t="shared" si="147"/>
        <v>CU0285</v>
      </c>
      <c r="C284" s="431" t="s">
        <v>755</v>
      </c>
      <c r="D284" s="367" t="s">
        <v>1643</v>
      </c>
      <c r="E284" s="367" t="s">
        <v>1313</v>
      </c>
      <c r="F284" s="439">
        <v>43617</v>
      </c>
      <c r="G284" s="430">
        <v>3698.11</v>
      </c>
      <c r="H284" s="440"/>
      <c r="I284" s="440">
        <f t="shared" si="170"/>
        <v>3698.11</v>
      </c>
      <c r="J284" s="440"/>
      <c r="L284" s="462">
        <f t="shared" si="171"/>
        <v>3698.11</v>
      </c>
      <c r="M284" s="462"/>
      <c r="N284" s="444"/>
      <c r="O284" s="462">
        <f t="shared" si="172"/>
        <v>3698.11</v>
      </c>
      <c r="R284" s="462">
        <f t="shared" si="173"/>
        <v>3698.11</v>
      </c>
      <c r="U284" s="462">
        <f t="shared" si="174"/>
        <v>3698.11</v>
      </c>
      <c r="X284" s="462">
        <f t="shared" si="175"/>
        <v>3698.11</v>
      </c>
      <c r="Y284" s="447" t="s">
        <v>1680</v>
      </c>
      <c r="AA284" s="462">
        <f t="shared" si="176"/>
        <v>3698.11</v>
      </c>
      <c r="AB284" s="447" t="s">
        <v>1705</v>
      </c>
      <c r="AD284" s="462">
        <f t="shared" si="148"/>
        <v>3698.11</v>
      </c>
      <c r="AE284" s="447" t="s">
        <v>1755</v>
      </c>
      <c r="AF284" s="462">
        <f>AD284</f>
        <v>3698.11</v>
      </c>
      <c r="AG284" s="462">
        <f t="shared" si="149"/>
        <v>0</v>
      </c>
      <c r="AH284" s="447" t="s">
        <v>1825</v>
      </c>
      <c r="AJ284" s="462">
        <f t="shared" si="150"/>
        <v>0</v>
      </c>
      <c r="AM284" s="462">
        <f t="shared" si="151"/>
        <v>0</v>
      </c>
      <c r="AN284" s="447" t="s">
        <v>1973</v>
      </c>
      <c r="AP284" s="462">
        <f t="shared" si="152"/>
        <v>0</v>
      </c>
      <c r="AQ284" s="447" t="s">
        <v>2001</v>
      </c>
      <c r="AS284" s="459">
        <f t="shared" si="153"/>
        <v>0</v>
      </c>
      <c r="AV284" s="462">
        <f t="shared" si="154"/>
        <v>0</v>
      </c>
      <c r="AY284" s="462">
        <f t="shared" si="155"/>
        <v>0</v>
      </c>
      <c r="BB284" s="462">
        <f t="shared" si="156"/>
        <v>0</v>
      </c>
      <c r="BC284" s="447" t="s">
        <v>2204</v>
      </c>
      <c r="BE284" s="462">
        <f t="shared" si="157"/>
        <v>0</v>
      </c>
      <c r="BH284" s="462">
        <f t="shared" si="158"/>
        <v>0</v>
      </c>
      <c r="BK284" s="462">
        <f t="shared" si="159"/>
        <v>0</v>
      </c>
      <c r="BN284" s="462">
        <f t="shared" si="160"/>
        <v>0</v>
      </c>
      <c r="BQ284" s="462">
        <f t="shared" si="161"/>
        <v>0</v>
      </c>
      <c r="BT284" s="462">
        <f t="shared" si="162"/>
        <v>0</v>
      </c>
      <c r="BW284" s="462">
        <f t="shared" si="163"/>
        <v>0</v>
      </c>
      <c r="BZ284" s="462">
        <f t="shared" si="164"/>
        <v>0</v>
      </c>
      <c r="CD284" s="418" t="str">
        <f t="shared" si="165"/>
        <v>CU0285001</v>
      </c>
      <c r="CE284" s="442" t="str">
        <f t="shared" si="166"/>
        <v>2019年6月</v>
      </c>
      <c r="CF284" s="418" t="str">
        <f t="shared" si="167"/>
        <v>文思海辉clife服务费暂估</v>
      </c>
      <c r="CG284" s="418" t="str">
        <f t="shared" si="168"/>
        <v>2019年6月文思海辉clife服务费暂估</v>
      </c>
    </row>
    <row r="285" spans="2:85" s="447" customFormat="1" ht="17.25" customHeight="1">
      <c r="B285" s="447" t="str">
        <f t="shared" si="147"/>
        <v>CU0351</v>
      </c>
      <c r="C285" s="431" t="s">
        <v>755</v>
      </c>
      <c r="D285" s="367" t="s">
        <v>1678</v>
      </c>
      <c r="E285" s="367" t="s">
        <v>80</v>
      </c>
      <c r="F285" s="439">
        <v>43617</v>
      </c>
      <c r="G285" s="430">
        <v>28229.25</v>
      </c>
      <c r="H285" s="440"/>
      <c r="I285" s="440">
        <f t="shared" si="170"/>
        <v>28229.25</v>
      </c>
      <c r="J285" s="440"/>
      <c r="L285" s="462">
        <f t="shared" si="171"/>
        <v>28229.25</v>
      </c>
      <c r="M285" s="462"/>
      <c r="N285" s="444"/>
      <c r="O285" s="462">
        <f t="shared" si="172"/>
        <v>28229.25</v>
      </c>
      <c r="R285" s="462">
        <f t="shared" si="173"/>
        <v>28229.25</v>
      </c>
      <c r="U285" s="462">
        <f t="shared" si="174"/>
        <v>28229.25</v>
      </c>
      <c r="X285" s="462">
        <f t="shared" si="175"/>
        <v>28229.25</v>
      </c>
      <c r="Y285" s="447" t="s">
        <v>1680</v>
      </c>
      <c r="AA285" s="462">
        <f t="shared" si="176"/>
        <v>28229.25</v>
      </c>
      <c r="AB285" s="447" t="s">
        <v>1705</v>
      </c>
      <c r="AC285" s="462">
        <f>ROUND(56839.14/1.06,2)-AC206</f>
        <v>24307.93</v>
      </c>
      <c r="AD285" s="462">
        <f t="shared" si="148"/>
        <v>3921.3199999999997</v>
      </c>
      <c r="AE285" s="447" t="s">
        <v>1755</v>
      </c>
      <c r="AG285" s="462">
        <f t="shared" si="149"/>
        <v>3921.3199999999997</v>
      </c>
      <c r="AH285" s="447" t="s">
        <v>1825</v>
      </c>
      <c r="AJ285" s="462">
        <f t="shared" si="150"/>
        <v>3921.3199999999997</v>
      </c>
      <c r="AK285" s="447" t="s">
        <v>1858</v>
      </c>
      <c r="AM285" s="462">
        <f t="shared" si="151"/>
        <v>3921.3199999999997</v>
      </c>
      <c r="AN285" s="447" t="s">
        <v>1973</v>
      </c>
      <c r="AO285" s="462">
        <f>AM285</f>
        <v>3921.3199999999997</v>
      </c>
      <c r="AP285" s="462">
        <f t="shared" si="152"/>
        <v>0</v>
      </c>
      <c r="AQ285" s="447" t="s">
        <v>2001</v>
      </c>
      <c r="AS285" s="459">
        <f t="shared" si="153"/>
        <v>0</v>
      </c>
      <c r="AV285" s="462">
        <f t="shared" si="154"/>
        <v>0</v>
      </c>
      <c r="AY285" s="462">
        <f t="shared" si="155"/>
        <v>0</v>
      </c>
      <c r="BB285" s="462">
        <f t="shared" si="156"/>
        <v>0</v>
      </c>
      <c r="BC285" s="447" t="s">
        <v>2204</v>
      </c>
      <c r="BE285" s="462">
        <f t="shared" si="157"/>
        <v>0</v>
      </c>
      <c r="BH285" s="462">
        <f t="shared" si="158"/>
        <v>0</v>
      </c>
      <c r="BK285" s="462">
        <f t="shared" si="159"/>
        <v>0</v>
      </c>
      <c r="BN285" s="462">
        <f t="shared" si="160"/>
        <v>0</v>
      </c>
      <c r="BQ285" s="462">
        <f t="shared" si="161"/>
        <v>0</v>
      </c>
      <c r="BT285" s="462">
        <f t="shared" si="162"/>
        <v>0</v>
      </c>
      <c r="BW285" s="462">
        <f t="shared" si="163"/>
        <v>0</v>
      </c>
      <c r="BZ285" s="462">
        <f t="shared" si="164"/>
        <v>0</v>
      </c>
      <c r="CD285" s="418" t="str">
        <f t="shared" si="165"/>
        <v>CU0351001</v>
      </c>
      <c r="CE285" s="442" t="str">
        <f t="shared" si="166"/>
        <v>2019年6月</v>
      </c>
      <c r="CF285" s="418" t="str">
        <f t="shared" si="167"/>
        <v>克鲁勃clife服务费暂估</v>
      </c>
      <c r="CG285" s="418" t="str">
        <f t="shared" si="168"/>
        <v>2019年6月克鲁勃clife服务费暂估</v>
      </c>
    </row>
    <row r="286" spans="2:85" s="447" customFormat="1" ht="17.25" customHeight="1">
      <c r="B286" s="447" t="str">
        <f t="shared" si="147"/>
        <v>CU0460</v>
      </c>
      <c r="C286" s="431" t="s">
        <v>755</v>
      </c>
      <c r="D286" s="367" t="s">
        <v>1646</v>
      </c>
      <c r="E286" s="367" t="s">
        <v>1637</v>
      </c>
      <c r="F286" s="439">
        <v>43617</v>
      </c>
      <c r="G286" s="430">
        <v>17558.830000000002</v>
      </c>
      <c r="H286" s="440"/>
      <c r="I286" s="440">
        <f t="shared" si="170"/>
        <v>17558.830000000002</v>
      </c>
      <c r="J286" s="440"/>
      <c r="L286" s="462">
        <f t="shared" si="171"/>
        <v>17558.830000000002</v>
      </c>
      <c r="M286" s="462"/>
      <c r="N286" s="444"/>
      <c r="O286" s="462">
        <f t="shared" si="172"/>
        <v>17558.830000000002</v>
      </c>
      <c r="R286" s="462">
        <f t="shared" si="173"/>
        <v>17558.830000000002</v>
      </c>
      <c r="U286" s="462">
        <f t="shared" si="174"/>
        <v>17558.830000000002</v>
      </c>
      <c r="X286" s="462">
        <f t="shared" si="175"/>
        <v>17558.830000000002</v>
      </c>
      <c r="Y286" s="447" t="s">
        <v>1680</v>
      </c>
      <c r="AA286" s="462">
        <f t="shared" si="176"/>
        <v>17558.830000000002</v>
      </c>
      <c r="AB286" s="447" t="s">
        <v>1705</v>
      </c>
      <c r="AD286" s="462">
        <f t="shared" si="148"/>
        <v>17558.830000000002</v>
      </c>
      <c r="AE286" s="447" t="s">
        <v>1755</v>
      </c>
      <c r="AG286" s="462">
        <f t="shared" si="149"/>
        <v>17558.830000000002</v>
      </c>
      <c r="AH286" s="447" t="s">
        <v>1825</v>
      </c>
      <c r="AJ286" s="462">
        <f t="shared" si="150"/>
        <v>17558.830000000002</v>
      </c>
      <c r="AK286" s="447" t="s">
        <v>1858</v>
      </c>
      <c r="AM286" s="462">
        <f t="shared" si="151"/>
        <v>17558.830000000002</v>
      </c>
      <c r="AN286" s="447" t="s">
        <v>1973</v>
      </c>
      <c r="AP286" s="462">
        <f t="shared" si="152"/>
        <v>17558.830000000002</v>
      </c>
      <c r="AQ286" s="447" t="s">
        <v>2001</v>
      </c>
      <c r="AS286" s="459">
        <f t="shared" si="153"/>
        <v>17558.830000000002</v>
      </c>
      <c r="AV286" s="462">
        <f t="shared" si="154"/>
        <v>17558.830000000002</v>
      </c>
      <c r="AW286" s="447" t="s">
        <v>2107</v>
      </c>
      <c r="AY286" s="462">
        <f t="shared" si="155"/>
        <v>17558.830000000002</v>
      </c>
      <c r="AZ286" s="447" t="s">
        <v>2131</v>
      </c>
      <c r="BB286" s="462">
        <f t="shared" si="156"/>
        <v>17558.830000000002</v>
      </c>
      <c r="BC286" s="447" t="s">
        <v>2204</v>
      </c>
      <c r="BE286" s="462">
        <f t="shared" si="157"/>
        <v>17558.830000000002</v>
      </c>
      <c r="BF286" s="447" t="s">
        <v>2237</v>
      </c>
      <c r="BH286" s="462">
        <f t="shared" si="158"/>
        <v>17558.830000000002</v>
      </c>
      <c r="BI286" s="447" t="s">
        <v>2292</v>
      </c>
      <c r="BK286" s="462">
        <f t="shared" si="159"/>
        <v>17558.830000000002</v>
      </c>
      <c r="BL286" s="447" t="s">
        <v>2339</v>
      </c>
      <c r="BN286" s="462">
        <f t="shared" si="160"/>
        <v>17558.830000000002</v>
      </c>
      <c r="BO286" s="447" t="s">
        <v>2365</v>
      </c>
      <c r="BQ286" s="462">
        <f t="shared" si="161"/>
        <v>17558.830000000002</v>
      </c>
      <c r="BR286" s="447" t="s">
        <v>2374</v>
      </c>
      <c r="BS286" s="462">
        <f>BQ286</f>
        <v>17558.830000000002</v>
      </c>
      <c r="BT286" s="462">
        <f t="shared" si="162"/>
        <v>0</v>
      </c>
      <c r="BW286" s="462">
        <f t="shared" si="163"/>
        <v>0</v>
      </c>
      <c r="BZ286" s="462">
        <f t="shared" si="164"/>
        <v>0</v>
      </c>
      <c r="CD286" s="418" t="str">
        <f t="shared" si="165"/>
        <v>CU0460001</v>
      </c>
      <c r="CE286" s="442" t="str">
        <f t="shared" si="166"/>
        <v>2019年6月</v>
      </c>
      <c r="CF286" s="418" t="str">
        <f t="shared" si="167"/>
        <v>新疆金风科clife服务费暂估</v>
      </c>
      <c r="CG286" s="418" t="str">
        <f t="shared" si="168"/>
        <v>2019年6月新疆金风科clife服务费暂估</v>
      </c>
    </row>
    <row r="287" spans="2:85" s="447" customFormat="1" ht="17.25" customHeight="1">
      <c r="B287" s="447" t="str">
        <f t="shared" si="147"/>
        <v>CU0531</v>
      </c>
      <c r="C287" s="431" t="s">
        <v>755</v>
      </c>
      <c r="D287" s="367" t="s">
        <v>1453</v>
      </c>
      <c r="E287" s="367" t="s">
        <v>134</v>
      </c>
      <c r="F287" s="439">
        <v>43617</v>
      </c>
      <c r="G287" s="430">
        <v>23516.83</v>
      </c>
      <c r="H287" s="440"/>
      <c r="I287" s="440">
        <f t="shared" si="170"/>
        <v>23516.83</v>
      </c>
      <c r="J287" s="440"/>
      <c r="L287" s="462">
        <f t="shared" si="171"/>
        <v>23516.83</v>
      </c>
      <c r="M287" s="462"/>
      <c r="N287" s="444"/>
      <c r="O287" s="462">
        <f t="shared" si="172"/>
        <v>23516.83</v>
      </c>
      <c r="R287" s="462">
        <f t="shared" si="173"/>
        <v>23516.83</v>
      </c>
      <c r="U287" s="462">
        <f t="shared" si="174"/>
        <v>23516.83</v>
      </c>
      <c r="X287" s="462">
        <f t="shared" si="175"/>
        <v>23516.83</v>
      </c>
      <c r="Y287" s="447" t="s">
        <v>1680</v>
      </c>
      <c r="AA287" s="462">
        <f t="shared" si="176"/>
        <v>23516.83</v>
      </c>
      <c r="AB287" s="447" t="s">
        <v>1705</v>
      </c>
      <c r="AD287" s="462">
        <f t="shared" si="148"/>
        <v>23516.83</v>
      </c>
      <c r="AE287" s="447" t="s">
        <v>1755</v>
      </c>
      <c r="AG287" s="462">
        <f t="shared" si="149"/>
        <v>23516.83</v>
      </c>
      <c r="AH287" s="447" t="s">
        <v>1825</v>
      </c>
      <c r="AJ287" s="462">
        <f t="shared" si="150"/>
        <v>23516.83</v>
      </c>
      <c r="AK287" s="447" t="s">
        <v>1858</v>
      </c>
      <c r="AM287" s="462">
        <f t="shared" si="151"/>
        <v>23516.83</v>
      </c>
      <c r="AN287" s="447" t="s">
        <v>1973</v>
      </c>
      <c r="AO287" s="462">
        <f>AM287</f>
        <v>23516.83</v>
      </c>
      <c r="AP287" s="462">
        <f t="shared" si="152"/>
        <v>0</v>
      </c>
      <c r="AQ287" s="447" t="s">
        <v>2001</v>
      </c>
      <c r="AS287" s="459">
        <f t="shared" si="153"/>
        <v>0</v>
      </c>
      <c r="AV287" s="462">
        <f t="shared" si="154"/>
        <v>0</v>
      </c>
      <c r="AY287" s="462">
        <f t="shared" si="155"/>
        <v>0</v>
      </c>
      <c r="BB287" s="462">
        <f t="shared" si="156"/>
        <v>0</v>
      </c>
      <c r="BC287" s="447" t="s">
        <v>2204</v>
      </c>
      <c r="BE287" s="462">
        <f t="shared" si="157"/>
        <v>0</v>
      </c>
      <c r="BH287" s="462">
        <f t="shared" si="158"/>
        <v>0</v>
      </c>
      <c r="BK287" s="462">
        <f t="shared" si="159"/>
        <v>0</v>
      </c>
      <c r="BN287" s="462">
        <f t="shared" si="160"/>
        <v>0</v>
      </c>
      <c r="BQ287" s="462">
        <f t="shared" si="161"/>
        <v>0</v>
      </c>
      <c r="BT287" s="462">
        <f t="shared" si="162"/>
        <v>0</v>
      </c>
      <c r="BW287" s="462">
        <f t="shared" si="163"/>
        <v>0</v>
      </c>
      <c r="BZ287" s="462">
        <f t="shared" si="164"/>
        <v>0</v>
      </c>
      <c r="CD287" s="418" t="str">
        <f t="shared" si="165"/>
        <v>CU0531001</v>
      </c>
      <c r="CE287" s="442" t="str">
        <f t="shared" si="166"/>
        <v>2019年6月</v>
      </c>
      <c r="CF287" s="418" t="str">
        <f t="shared" si="167"/>
        <v>恩思恩时尚clife服务费暂估</v>
      </c>
      <c r="CG287" s="418" t="str">
        <f t="shared" si="168"/>
        <v>2019年6月恩思恩时尚clife服务费暂估</v>
      </c>
    </row>
    <row r="288" spans="2:85" s="447" customFormat="1" ht="17.25" customHeight="1">
      <c r="B288" s="447" t="str">
        <f t="shared" si="147"/>
        <v>CU0667</v>
      </c>
      <c r="C288" s="431" t="s">
        <v>755</v>
      </c>
      <c r="D288" s="367" t="s">
        <v>1454</v>
      </c>
      <c r="E288" s="367" t="s">
        <v>168</v>
      </c>
      <c r="F288" s="439">
        <v>43617</v>
      </c>
      <c r="G288" s="430">
        <v>855.98</v>
      </c>
      <c r="H288" s="440"/>
      <c r="I288" s="440">
        <f t="shared" si="170"/>
        <v>855.98</v>
      </c>
      <c r="J288" s="440"/>
      <c r="L288" s="462">
        <f t="shared" si="171"/>
        <v>855.98</v>
      </c>
      <c r="M288" s="462"/>
      <c r="N288" s="444"/>
      <c r="O288" s="462">
        <f t="shared" si="172"/>
        <v>855.98</v>
      </c>
      <c r="R288" s="462">
        <f t="shared" si="173"/>
        <v>855.98</v>
      </c>
      <c r="U288" s="462">
        <f t="shared" si="174"/>
        <v>855.98</v>
      </c>
      <c r="X288" s="462">
        <f t="shared" si="175"/>
        <v>855.98</v>
      </c>
      <c r="Y288" s="447" t="s">
        <v>1680</v>
      </c>
      <c r="AA288" s="462">
        <f t="shared" si="176"/>
        <v>855.98</v>
      </c>
      <c r="AB288" s="447" t="s">
        <v>1705</v>
      </c>
      <c r="AC288" s="462">
        <f>ROUND(2771.78/1.06,2)-AC187-AC210-AC248-AC260+ROUND(165/1.06,2)+62.12</f>
        <v>855.98</v>
      </c>
      <c r="AD288" s="462">
        <f t="shared" si="148"/>
        <v>0</v>
      </c>
      <c r="AE288" s="447" t="s">
        <v>1755</v>
      </c>
      <c r="AG288" s="462">
        <f t="shared" si="149"/>
        <v>0</v>
      </c>
      <c r="AH288" s="447" t="s">
        <v>1825</v>
      </c>
      <c r="AJ288" s="462">
        <f t="shared" si="150"/>
        <v>0</v>
      </c>
      <c r="AM288" s="462">
        <f t="shared" si="151"/>
        <v>0</v>
      </c>
      <c r="AN288" s="447" t="s">
        <v>1973</v>
      </c>
      <c r="AP288" s="462">
        <f t="shared" si="152"/>
        <v>0</v>
      </c>
      <c r="AQ288" s="447" t="s">
        <v>2001</v>
      </c>
      <c r="AS288" s="459">
        <f t="shared" si="153"/>
        <v>0</v>
      </c>
      <c r="AV288" s="462">
        <f t="shared" si="154"/>
        <v>0</v>
      </c>
      <c r="AY288" s="462">
        <f t="shared" si="155"/>
        <v>0</v>
      </c>
      <c r="BB288" s="462">
        <f t="shared" si="156"/>
        <v>0</v>
      </c>
      <c r="BC288" s="447" t="s">
        <v>2204</v>
      </c>
      <c r="BE288" s="462">
        <f t="shared" si="157"/>
        <v>0</v>
      </c>
      <c r="BH288" s="462">
        <f t="shared" si="158"/>
        <v>0</v>
      </c>
      <c r="BK288" s="462">
        <f t="shared" si="159"/>
        <v>0</v>
      </c>
      <c r="BN288" s="462">
        <f t="shared" si="160"/>
        <v>0</v>
      </c>
      <c r="BQ288" s="462">
        <f t="shared" si="161"/>
        <v>0</v>
      </c>
      <c r="BT288" s="462">
        <f t="shared" si="162"/>
        <v>0</v>
      </c>
      <c r="BW288" s="462">
        <f t="shared" si="163"/>
        <v>0</v>
      </c>
      <c r="BZ288" s="462">
        <f t="shared" si="164"/>
        <v>0</v>
      </c>
      <c r="CD288" s="418" t="str">
        <f t="shared" si="165"/>
        <v>CU0667001</v>
      </c>
      <c r="CE288" s="442" t="str">
        <f t="shared" si="166"/>
        <v>2019年6月</v>
      </c>
      <c r="CF288" s="418" t="str">
        <f t="shared" si="167"/>
        <v>北京杰迪安clife服务费暂估</v>
      </c>
      <c r="CG288" s="418" t="str">
        <f t="shared" si="168"/>
        <v>2019年6月北京杰迪安clife服务费暂估</v>
      </c>
    </row>
    <row r="289" spans="2:85" s="447" customFormat="1" ht="17.25" customHeight="1">
      <c r="B289" s="447" t="str">
        <f t="shared" si="147"/>
        <v>CU0735</v>
      </c>
      <c r="C289" s="431" t="s">
        <v>755</v>
      </c>
      <c r="D289" s="367" t="s">
        <v>1650</v>
      </c>
      <c r="E289" s="367" t="s">
        <v>609</v>
      </c>
      <c r="F289" s="439">
        <v>43617</v>
      </c>
      <c r="G289" s="430">
        <v>8120.75</v>
      </c>
      <c r="H289" s="440"/>
      <c r="I289" s="440">
        <f t="shared" si="170"/>
        <v>8120.75</v>
      </c>
      <c r="J289" s="440"/>
      <c r="L289" s="462">
        <f t="shared" si="171"/>
        <v>8120.75</v>
      </c>
      <c r="M289" s="462"/>
      <c r="N289" s="444"/>
      <c r="O289" s="462">
        <f t="shared" si="172"/>
        <v>8120.75</v>
      </c>
      <c r="R289" s="462">
        <f t="shared" si="173"/>
        <v>8120.75</v>
      </c>
      <c r="U289" s="462">
        <f t="shared" si="174"/>
        <v>8120.75</v>
      </c>
      <c r="X289" s="462">
        <f t="shared" si="175"/>
        <v>8120.75</v>
      </c>
      <c r="Y289" s="447" t="s">
        <v>1680</v>
      </c>
      <c r="AA289" s="462">
        <f t="shared" si="176"/>
        <v>8120.75</v>
      </c>
      <c r="AB289" s="447" t="s">
        <v>1705</v>
      </c>
      <c r="AD289" s="462">
        <f t="shared" si="148"/>
        <v>8120.75</v>
      </c>
      <c r="AE289" s="447" t="s">
        <v>1755</v>
      </c>
      <c r="AG289" s="462">
        <f t="shared" si="149"/>
        <v>8120.75</v>
      </c>
      <c r="AH289" s="447" t="s">
        <v>1825</v>
      </c>
      <c r="AJ289" s="462">
        <f t="shared" si="150"/>
        <v>8120.75</v>
      </c>
      <c r="AK289" s="447" t="s">
        <v>1858</v>
      </c>
      <c r="AM289" s="462">
        <f t="shared" si="151"/>
        <v>8120.75</v>
      </c>
      <c r="AN289" s="447" t="s">
        <v>1973</v>
      </c>
      <c r="AP289" s="462">
        <f t="shared" si="152"/>
        <v>8120.75</v>
      </c>
      <c r="AQ289" s="447" t="s">
        <v>2001</v>
      </c>
      <c r="AS289" s="459">
        <f t="shared" si="153"/>
        <v>8120.75</v>
      </c>
      <c r="AV289" s="462">
        <f t="shared" si="154"/>
        <v>8120.75</v>
      </c>
      <c r="AW289" s="447" t="s">
        <v>2107</v>
      </c>
      <c r="AY289" s="462">
        <f t="shared" si="155"/>
        <v>8120.75</v>
      </c>
      <c r="AZ289" s="447" t="s">
        <v>2131</v>
      </c>
      <c r="BB289" s="462">
        <f t="shared" si="156"/>
        <v>8120.75</v>
      </c>
      <c r="BC289" s="447" t="s">
        <v>2204</v>
      </c>
      <c r="BE289" s="462">
        <f t="shared" si="157"/>
        <v>8120.75</v>
      </c>
      <c r="BF289" s="447" t="s">
        <v>2237</v>
      </c>
      <c r="BH289" s="462">
        <f t="shared" si="158"/>
        <v>8120.75</v>
      </c>
      <c r="BI289" s="447" t="s">
        <v>2292</v>
      </c>
      <c r="BK289" s="462">
        <f t="shared" si="159"/>
        <v>8120.75</v>
      </c>
      <c r="BL289" s="447" t="s">
        <v>2339</v>
      </c>
      <c r="BN289" s="462">
        <f t="shared" si="160"/>
        <v>8120.75</v>
      </c>
      <c r="BO289" s="447" t="s">
        <v>2365</v>
      </c>
      <c r="BQ289" s="462">
        <f t="shared" si="161"/>
        <v>8120.75</v>
      </c>
      <c r="BR289" s="447" t="s">
        <v>2374</v>
      </c>
      <c r="BT289" s="462">
        <f t="shared" si="162"/>
        <v>8120.75</v>
      </c>
      <c r="BU289" s="447" t="s">
        <v>2134</v>
      </c>
      <c r="BW289" s="462">
        <f t="shared" si="163"/>
        <v>8120.75</v>
      </c>
      <c r="BZ289" s="462">
        <f t="shared" si="164"/>
        <v>8120.75</v>
      </c>
      <c r="CD289" s="418" t="str">
        <f t="shared" si="165"/>
        <v>CU0735001</v>
      </c>
      <c r="CE289" s="442" t="str">
        <f t="shared" si="166"/>
        <v>2019年6月</v>
      </c>
      <c r="CF289" s="418" t="str">
        <f t="shared" si="167"/>
        <v>北京华点云clife服务费暂估</v>
      </c>
      <c r="CG289" s="418" t="str">
        <f t="shared" si="168"/>
        <v>2019年6月北京华点云clife服务费暂估</v>
      </c>
    </row>
    <row r="290" spans="2:85" s="447" customFormat="1" ht="17.25" customHeight="1">
      <c r="B290" s="447" t="str">
        <f t="shared" si="147"/>
        <v>CU0769</v>
      </c>
      <c r="C290" s="431" t="s">
        <v>755</v>
      </c>
      <c r="D290" s="367" t="s">
        <v>1679</v>
      </c>
      <c r="E290" s="367" t="s">
        <v>188</v>
      </c>
      <c r="F290" s="439">
        <v>43617</v>
      </c>
      <c r="G290" s="430">
        <v>5490.57</v>
      </c>
      <c r="H290" s="440"/>
      <c r="I290" s="440">
        <f t="shared" si="170"/>
        <v>5490.57</v>
      </c>
      <c r="J290" s="440"/>
      <c r="L290" s="462">
        <f t="shared" si="171"/>
        <v>5490.57</v>
      </c>
      <c r="M290" s="462"/>
      <c r="N290" s="444"/>
      <c r="O290" s="462">
        <f t="shared" si="172"/>
        <v>5490.57</v>
      </c>
      <c r="R290" s="462">
        <f t="shared" si="173"/>
        <v>5490.57</v>
      </c>
      <c r="U290" s="462">
        <f t="shared" si="174"/>
        <v>5490.57</v>
      </c>
      <c r="X290" s="462">
        <f t="shared" si="175"/>
        <v>5490.57</v>
      </c>
      <c r="Y290" s="447" t="s">
        <v>1680</v>
      </c>
      <c r="AA290" s="462">
        <f t="shared" si="176"/>
        <v>5490.57</v>
      </c>
      <c r="AB290" s="447" t="s">
        <v>1705</v>
      </c>
      <c r="AD290" s="462">
        <f t="shared" si="148"/>
        <v>5490.57</v>
      </c>
      <c r="AE290" s="447" t="s">
        <v>1755</v>
      </c>
      <c r="AG290" s="462">
        <f t="shared" si="149"/>
        <v>5490.57</v>
      </c>
      <c r="AH290" s="447" t="s">
        <v>1825</v>
      </c>
      <c r="AJ290" s="462">
        <f t="shared" si="150"/>
        <v>5490.57</v>
      </c>
      <c r="AK290" s="447" t="s">
        <v>1858</v>
      </c>
      <c r="AM290" s="462">
        <f t="shared" si="151"/>
        <v>5490.57</v>
      </c>
      <c r="AN290" s="447" t="s">
        <v>1973</v>
      </c>
      <c r="AP290" s="462">
        <f t="shared" si="152"/>
        <v>5490.57</v>
      </c>
      <c r="AQ290" s="447" t="s">
        <v>2001</v>
      </c>
      <c r="AS290" s="459">
        <f t="shared" si="153"/>
        <v>5490.57</v>
      </c>
      <c r="AV290" s="462">
        <f t="shared" si="154"/>
        <v>5490.57</v>
      </c>
      <c r="AW290" s="447" t="s">
        <v>2107</v>
      </c>
      <c r="AY290" s="462">
        <f t="shared" si="155"/>
        <v>5490.57</v>
      </c>
      <c r="AZ290" s="447" t="s">
        <v>2131</v>
      </c>
      <c r="BB290" s="462">
        <f t="shared" si="156"/>
        <v>5490.57</v>
      </c>
      <c r="BC290" s="447" t="s">
        <v>2204</v>
      </c>
      <c r="BD290" s="462">
        <f>1900-BD155+1680+1719</f>
        <v>5235.24</v>
      </c>
      <c r="BE290" s="462">
        <f t="shared" si="157"/>
        <v>255.32999999999993</v>
      </c>
      <c r="BF290" s="447" t="s">
        <v>2237</v>
      </c>
      <c r="BH290" s="462">
        <f t="shared" si="158"/>
        <v>255.32999999999993</v>
      </c>
      <c r="BI290" s="447" t="s">
        <v>2292</v>
      </c>
      <c r="BK290" s="462">
        <f t="shared" si="159"/>
        <v>255.32999999999993</v>
      </c>
      <c r="BL290" s="447" t="s">
        <v>2339</v>
      </c>
      <c r="BN290" s="462">
        <f t="shared" si="160"/>
        <v>255.32999999999993</v>
      </c>
      <c r="BO290" s="447" t="s">
        <v>2365</v>
      </c>
      <c r="BQ290" s="462">
        <f t="shared" si="161"/>
        <v>255.33</v>
      </c>
      <c r="BR290" s="447" t="s">
        <v>2374</v>
      </c>
      <c r="BT290" s="462">
        <f t="shared" si="162"/>
        <v>255.33</v>
      </c>
      <c r="BU290" s="447" t="s">
        <v>2134</v>
      </c>
      <c r="BV290" s="462">
        <f>BT290</f>
        <v>255.33</v>
      </c>
      <c r="BW290" s="462">
        <f t="shared" si="163"/>
        <v>0</v>
      </c>
      <c r="BZ290" s="462">
        <f t="shared" si="164"/>
        <v>0</v>
      </c>
      <c r="CD290" s="418" t="str">
        <f t="shared" si="165"/>
        <v>CU0769001</v>
      </c>
      <c r="CE290" s="442" t="str">
        <f t="shared" si="166"/>
        <v>2019年6月</v>
      </c>
      <c r="CF290" s="418" t="str">
        <f t="shared" si="167"/>
        <v>思童嘉商贸clife服务费暂估</v>
      </c>
      <c r="CG290" s="418" t="str">
        <f t="shared" si="168"/>
        <v>2019年6月思童嘉商贸clife服务费暂估</v>
      </c>
    </row>
    <row r="291" spans="2:85" s="447" customFormat="1" ht="17.25" customHeight="1">
      <c r="B291" s="447" t="str">
        <f t="shared" si="147"/>
        <v>CU0812</v>
      </c>
      <c r="C291" s="431" t="s">
        <v>755</v>
      </c>
      <c r="D291" s="367" t="s">
        <v>1455</v>
      </c>
      <c r="E291" s="367" t="s">
        <v>1315</v>
      </c>
      <c r="F291" s="439">
        <v>43617</v>
      </c>
      <c r="G291" s="430">
        <v>5471.93</v>
      </c>
      <c r="H291" s="440"/>
      <c r="I291" s="440">
        <f t="shared" si="170"/>
        <v>5471.93</v>
      </c>
      <c r="J291" s="440"/>
      <c r="L291" s="462">
        <f t="shared" si="171"/>
        <v>5471.93</v>
      </c>
      <c r="M291" s="462"/>
      <c r="N291" s="444"/>
      <c r="O291" s="462">
        <f t="shared" si="172"/>
        <v>5471.93</v>
      </c>
      <c r="R291" s="462">
        <f t="shared" si="173"/>
        <v>5471.93</v>
      </c>
      <c r="U291" s="462">
        <f t="shared" si="174"/>
        <v>5471.93</v>
      </c>
      <c r="X291" s="462">
        <f t="shared" si="175"/>
        <v>5471.93</v>
      </c>
      <c r="Y291" s="447" t="s">
        <v>1680</v>
      </c>
      <c r="AA291" s="462">
        <f t="shared" si="176"/>
        <v>5471.93</v>
      </c>
      <c r="AB291" s="447" t="s">
        <v>1705</v>
      </c>
      <c r="AC291" s="462">
        <f>ROUND(36251.82/1.06,2)-AC124-AC157-AC186-AC211-AC231-AC266</f>
        <v>5471.9300000000012</v>
      </c>
      <c r="AD291" s="462">
        <f t="shared" si="148"/>
        <v>0</v>
      </c>
      <c r="AE291" s="447" t="s">
        <v>1755</v>
      </c>
      <c r="AG291" s="462">
        <f t="shared" si="149"/>
        <v>0</v>
      </c>
      <c r="AH291" s="447" t="s">
        <v>1825</v>
      </c>
      <c r="AJ291" s="462">
        <f t="shared" si="150"/>
        <v>0</v>
      </c>
      <c r="AM291" s="462">
        <f t="shared" si="151"/>
        <v>0</v>
      </c>
      <c r="AN291" s="447" t="s">
        <v>1973</v>
      </c>
      <c r="AP291" s="462">
        <f t="shared" si="152"/>
        <v>0</v>
      </c>
      <c r="AQ291" s="447" t="s">
        <v>2001</v>
      </c>
      <c r="AS291" s="459">
        <f t="shared" si="153"/>
        <v>0</v>
      </c>
      <c r="AV291" s="462">
        <f t="shared" si="154"/>
        <v>0</v>
      </c>
      <c r="AY291" s="462">
        <f t="shared" si="155"/>
        <v>0</v>
      </c>
      <c r="BB291" s="462">
        <f t="shared" si="156"/>
        <v>0</v>
      </c>
      <c r="BC291" s="447" t="s">
        <v>2204</v>
      </c>
      <c r="BE291" s="462">
        <f t="shared" si="157"/>
        <v>0</v>
      </c>
      <c r="BH291" s="462">
        <f t="shared" si="158"/>
        <v>0</v>
      </c>
      <c r="BK291" s="462">
        <f t="shared" si="159"/>
        <v>0</v>
      </c>
      <c r="BN291" s="462">
        <f t="shared" si="160"/>
        <v>0</v>
      </c>
      <c r="BQ291" s="462">
        <f t="shared" si="161"/>
        <v>0</v>
      </c>
      <c r="BT291" s="462">
        <f t="shared" si="162"/>
        <v>0</v>
      </c>
      <c r="BW291" s="462">
        <f t="shared" si="163"/>
        <v>0</v>
      </c>
      <c r="BZ291" s="462">
        <f t="shared" si="164"/>
        <v>0</v>
      </c>
      <c r="CD291" s="418" t="str">
        <f t="shared" si="165"/>
        <v>CU0812001</v>
      </c>
      <c r="CE291" s="442" t="str">
        <f t="shared" si="166"/>
        <v>2019年6月</v>
      </c>
      <c r="CF291" s="418" t="str">
        <f t="shared" si="167"/>
        <v>恩派clife服务费暂估</v>
      </c>
      <c r="CG291" s="418" t="str">
        <f t="shared" si="168"/>
        <v>2019年6月恩派clife服务费暂估</v>
      </c>
    </row>
    <row r="292" spans="2:85" s="447" customFormat="1" ht="17.25" customHeight="1">
      <c r="B292" s="447" t="str">
        <f t="shared" si="147"/>
        <v>CU0823</v>
      </c>
      <c r="C292" s="431" t="s">
        <v>755</v>
      </c>
      <c r="D292" s="367" t="s">
        <v>1457</v>
      </c>
      <c r="E292" s="367" t="s">
        <v>581</v>
      </c>
      <c r="F292" s="439">
        <v>43617</v>
      </c>
      <c r="G292" s="430">
        <v>73871.61</v>
      </c>
      <c r="H292" s="440"/>
      <c r="I292" s="440">
        <f t="shared" si="170"/>
        <v>73871.61</v>
      </c>
      <c r="J292" s="440"/>
      <c r="L292" s="462">
        <f t="shared" si="171"/>
        <v>73871.61</v>
      </c>
      <c r="M292" s="462"/>
      <c r="N292" s="444"/>
      <c r="O292" s="462">
        <f t="shared" si="172"/>
        <v>73871.61</v>
      </c>
      <c r="R292" s="462">
        <f t="shared" si="173"/>
        <v>73871.61</v>
      </c>
      <c r="U292" s="462">
        <f t="shared" si="174"/>
        <v>73871.61</v>
      </c>
      <c r="X292" s="462">
        <f t="shared" si="175"/>
        <v>73871.61</v>
      </c>
      <c r="Y292" s="447" t="s">
        <v>1680</v>
      </c>
      <c r="AA292" s="462">
        <f t="shared" si="176"/>
        <v>73871.61</v>
      </c>
      <c r="AB292" s="447" t="s">
        <v>1705</v>
      </c>
      <c r="AD292" s="462">
        <f t="shared" si="148"/>
        <v>73871.61</v>
      </c>
      <c r="AE292" s="447" t="s">
        <v>1755</v>
      </c>
      <c r="AG292" s="462">
        <f t="shared" si="149"/>
        <v>73871.61</v>
      </c>
      <c r="AH292" s="447" t="s">
        <v>1825</v>
      </c>
      <c r="AJ292" s="462">
        <f t="shared" si="150"/>
        <v>73871.61</v>
      </c>
      <c r="AK292" s="447" t="s">
        <v>1858</v>
      </c>
      <c r="AM292" s="462">
        <f t="shared" si="151"/>
        <v>73871.61</v>
      </c>
      <c r="AN292" s="447" t="s">
        <v>1973</v>
      </c>
      <c r="AP292" s="462">
        <f t="shared" si="152"/>
        <v>73871.61</v>
      </c>
      <c r="AQ292" s="447" t="s">
        <v>2001</v>
      </c>
      <c r="AS292" s="459">
        <f t="shared" si="153"/>
        <v>73871.61</v>
      </c>
      <c r="AV292" s="462">
        <f t="shared" si="154"/>
        <v>73871.61</v>
      </c>
      <c r="AW292" s="447" t="s">
        <v>2107</v>
      </c>
      <c r="AX292" s="462">
        <f>100000-AX234-AX268</f>
        <v>59165.590000000011</v>
      </c>
      <c r="AY292" s="462">
        <f t="shared" si="155"/>
        <v>14706.01999999999</v>
      </c>
      <c r="AZ292" s="447" t="s">
        <v>2131</v>
      </c>
      <c r="BA292" s="462">
        <f>AY292</f>
        <v>14706.01999999999</v>
      </c>
      <c r="BB292" s="462">
        <f t="shared" si="156"/>
        <v>0</v>
      </c>
      <c r="BC292" s="447" t="s">
        <v>2204</v>
      </c>
      <c r="BE292" s="462">
        <f t="shared" si="157"/>
        <v>0</v>
      </c>
      <c r="BH292" s="462">
        <f t="shared" si="158"/>
        <v>0</v>
      </c>
      <c r="BK292" s="462">
        <f t="shared" si="159"/>
        <v>0</v>
      </c>
      <c r="BN292" s="462">
        <f t="shared" si="160"/>
        <v>0</v>
      </c>
      <c r="BQ292" s="462">
        <f t="shared" si="161"/>
        <v>0</v>
      </c>
      <c r="BT292" s="462">
        <f t="shared" si="162"/>
        <v>0</v>
      </c>
      <c r="BW292" s="462">
        <f t="shared" si="163"/>
        <v>0</v>
      </c>
      <c r="BZ292" s="462">
        <f t="shared" si="164"/>
        <v>0</v>
      </c>
      <c r="CD292" s="418" t="str">
        <f t="shared" si="165"/>
        <v>CU0823001</v>
      </c>
      <c r="CE292" s="442" t="str">
        <f t="shared" si="166"/>
        <v>2019年6月</v>
      </c>
      <c r="CF292" s="418" t="str">
        <f t="shared" si="167"/>
        <v>凯杰生物工clife服务费暂估</v>
      </c>
      <c r="CG292" s="418" t="str">
        <f t="shared" si="168"/>
        <v>2019年6月凯杰生物工clife服务费暂估</v>
      </c>
    </row>
    <row r="293" spans="2:85" s="447" customFormat="1" ht="17.25" customHeight="1">
      <c r="B293" s="447" t="str">
        <f t="shared" si="147"/>
        <v>CU0869</v>
      </c>
      <c r="C293" s="431" t="s">
        <v>755</v>
      </c>
      <c r="D293" s="367" t="s">
        <v>1459</v>
      </c>
      <c r="E293" s="367" t="s">
        <v>1469</v>
      </c>
      <c r="F293" s="439">
        <v>43617</v>
      </c>
      <c r="G293" s="430">
        <v>104524.23</v>
      </c>
      <c r="H293" s="440"/>
      <c r="I293" s="440">
        <f t="shared" si="170"/>
        <v>104524.23</v>
      </c>
      <c r="J293" s="440"/>
      <c r="L293" s="462">
        <f t="shared" si="171"/>
        <v>104524.23</v>
      </c>
      <c r="M293" s="462"/>
      <c r="N293" s="444"/>
      <c r="O293" s="462">
        <f t="shared" si="172"/>
        <v>104524.23</v>
      </c>
      <c r="R293" s="462">
        <f t="shared" si="173"/>
        <v>104524.23</v>
      </c>
      <c r="U293" s="462">
        <f t="shared" si="174"/>
        <v>104524.23</v>
      </c>
      <c r="X293" s="462">
        <f t="shared" si="175"/>
        <v>104524.23</v>
      </c>
      <c r="Y293" s="447" t="s">
        <v>1680</v>
      </c>
      <c r="AA293" s="462">
        <f t="shared" si="176"/>
        <v>104524.23</v>
      </c>
      <c r="AB293" s="447" t="s">
        <v>1705</v>
      </c>
      <c r="AD293" s="462">
        <f t="shared" si="148"/>
        <v>104524.23</v>
      </c>
      <c r="AE293" s="447" t="s">
        <v>1755</v>
      </c>
      <c r="AG293" s="462">
        <f t="shared" si="149"/>
        <v>104524.23</v>
      </c>
      <c r="AH293" s="447" t="s">
        <v>1825</v>
      </c>
      <c r="AI293" s="462">
        <f>AG293</f>
        <v>104524.23</v>
      </c>
      <c r="AJ293" s="462">
        <f t="shared" si="150"/>
        <v>0</v>
      </c>
      <c r="AM293" s="462">
        <f t="shared" si="151"/>
        <v>0</v>
      </c>
      <c r="AN293" s="447" t="s">
        <v>1973</v>
      </c>
      <c r="AP293" s="462">
        <f t="shared" si="152"/>
        <v>0</v>
      </c>
      <c r="AQ293" s="447" t="s">
        <v>2001</v>
      </c>
      <c r="AS293" s="459">
        <f t="shared" si="153"/>
        <v>0</v>
      </c>
      <c r="AV293" s="462">
        <f t="shared" si="154"/>
        <v>0</v>
      </c>
      <c r="AY293" s="462">
        <f t="shared" si="155"/>
        <v>0</v>
      </c>
      <c r="BB293" s="462">
        <f t="shared" si="156"/>
        <v>0</v>
      </c>
      <c r="BC293" s="447" t="s">
        <v>2204</v>
      </c>
      <c r="BE293" s="462">
        <f t="shared" si="157"/>
        <v>0</v>
      </c>
      <c r="BH293" s="462">
        <f t="shared" si="158"/>
        <v>0</v>
      </c>
      <c r="BK293" s="462">
        <f t="shared" si="159"/>
        <v>0</v>
      </c>
      <c r="BN293" s="462">
        <f t="shared" si="160"/>
        <v>0</v>
      </c>
      <c r="BQ293" s="462">
        <f t="shared" si="161"/>
        <v>0</v>
      </c>
      <c r="BT293" s="462">
        <f t="shared" si="162"/>
        <v>0</v>
      </c>
      <c r="BW293" s="462">
        <f t="shared" si="163"/>
        <v>0</v>
      </c>
      <c r="BZ293" s="462">
        <f t="shared" si="164"/>
        <v>0</v>
      </c>
      <c r="CD293" s="418" t="str">
        <f t="shared" si="165"/>
        <v>CU0869001</v>
      </c>
      <c r="CE293" s="442" t="str">
        <f t="shared" si="166"/>
        <v>2019年6月</v>
      </c>
      <c r="CF293" s="418" t="str">
        <f t="shared" si="167"/>
        <v>智睿clife服务费暂估</v>
      </c>
      <c r="CG293" s="418" t="str">
        <f t="shared" si="168"/>
        <v>2019年6月智睿clife服务费暂估</v>
      </c>
    </row>
    <row r="294" spans="2:85" s="447" customFormat="1" ht="17.25" customHeight="1">
      <c r="B294" s="447" t="str">
        <f t="shared" si="147"/>
        <v>CU0904</v>
      </c>
      <c r="C294" s="431" t="s">
        <v>755</v>
      </c>
      <c r="D294" s="367" t="s">
        <v>1460</v>
      </c>
      <c r="E294" s="367" t="s">
        <v>955</v>
      </c>
      <c r="F294" s="439">
        <v>43617</v>
      </c>
      <c r="G294" s="430">
        <v>12804.41</v>
      </c>
      <c r="H294" s="440"/>
      <c r="I294" s="440">
        <f t="shared" si="170"/>
        <v>12804.41</v>
      </c>
      <c r="J294" s="440"/>
      <c r="L294" s="462">
        <f t="shared" si="171"/>
        <v>12804.41</v>
      </c>
      <c r="M294" s="462"/>
      <c r="N294" s="444"/>
      <c r="O294" s="462">
        <f t="shared" si="172"/>
        <v>12804.41</v>
      </c>
      <c r="R294" s="462">
        <f t="shared" si="173"/>
        <v>12804.41</v>
      </c>
      <c r="U294" s="462">
        <f t="shared" si="174"/>
        <v>12804.41</v>
      </c>
      <c r="X294" s="462">
        <f t="shared" si="175"/>
        <v>12804.41</v>
      </c>
      <c r="Y294" s="447" t="s">
        <v>1680</v>
      </c>
      <c r="AA294" s="462">
        <f t="shared" si="176"/>
        <v>12804.41</v>
      </c>
      <c r="AB294" s="447" t="s">
        <v>1705</v>
      </c>
      <c r="AD294" s="462">
        <f t="shared" si="148"/>
        <v>12804.41</v>
      </c>
      <c r="AE294" s="447" t="s">
        <v>1755</v>
      </c>
      <c r="AG294" s="462">
        <f t="shared" si="149"/>
        <v>12804.41</v>
      </c>
      <c r="AH294" s="447" t="s">
        <v>1825</v>
      </c>
      <c r="AI294" s="462">
        <f>AG294</f>
        <v>12804.41</v>
      </c>
      <c r="AJ294" s="462">
        <f t="shared" si="150"/>
        <v>0</v>
      </c>
      <c r="AK294" s="447" t="s">
        <v>1858</v>
      </c>
      <c r="AM294" s="462">
        <f t="shared" si="151"/>
        <v>0</v>
      </c>
      <c r="AN294" s="447" t="s">
        <v>1973</v>
      </c>
      <c r="AP294" s="462">
        <f t="shared" si="152"/>
        <v>0</v>
      </c>
      <c r="AQ294" s="447" t="s">
        <v>2001</v>
      </c>
      <c r="AS294" s="459">
        <f t="shared" si="153"/>
        <v>0</v>
      </c>
      <c r="AV294" s="462">
        <f t="shared" si="154"/>
        <v>0</v>
      </c>
      <c r="AY294" s="462">
        <f t="shared" si="155"/>
        <v>0</v>
      </c>
      <c r="BB294" s="462">
        <f t="shared" si="156"/>
        <v>0</v>
      </c>
      <c r="BC294" s="447" t="s">
        <v>2204</v>
      </c>
      <c r="BE294" s="462">
        <f t="shared" si="157"/>
        <v>0</v>
      </c>
      <c r="BH294" s="462">
        <f t="shared" si="158"/>
        <v>0</v>
      </c>
      <c r="BK294" s="462">
        <f t="shared" si="159"/>
        <v>0</v>
      </c>
      <c r="BN294" s="462">
        <f t="shared" si="160"/>
        <v>0</v>
      </c>
      <c r="BQ294" s="462">
        <f t="shared" si="161"/>
        <v>0</v>
      </c>
      <c r="BT294" s="462">
        <f t="shared" si="162"/>
        <v>0</v>
      </c>
      <c r="BW294" s="462">
        <f t="shared" si="163"/>
        <v>0</v>
      </c>
      <c r="BZ294" s="462">
        <f t="shared" si="164"/>
        <v>0</v>
      </c>
      <c r="CD294" s="418" t="str">
        <f t="shared" si="165"/>
        <v>CU0904001</v>
      </c>
      <c r="CE294" s="442" t="str">
        <f t="shared" si="166"/>
        <v>2019年6月</v>
      </c>
      <c r="CF294" s="418" t="str">
        <f t="shared" si="167"/>
        <v>紫光电子商clife服务费暂估</v>
      </c>
      <c r="CG294" s="418" t="str">
        <f t="shared" si="168"/>
        <v>2019年6月紫光电子商clife服务费暂估</v>
      </c>
    </row>
    <row r="295" spans="2:85" s="447" customFormat="1" ht="17.25" customHeight="1">
      <c r="B295" s="447" t="str">
        <f t="shared" si="147"/>
        <v>CU1016</v>
      </c>
      <c r="C295" s="431" t="s">
        <v>755</v>
      </c>
      <c r="D295" s="367" t="s">
        <v>1524</v>
      </c>
      <c r="E295" s="367" t="s">
        <v>1536</v>
      </c>
      <c r="F295" s="439">
        <v>43617</v>
      </c>
      <c r="G295" s="430">
        <v>10766.14</v>
      </c>
      <c r="H295" s="440"/>
      <c r="I295" s="440">
        <f t="shared" si="170"/>
        <v>10766.14</v>
      </c>
      <c r="J295" s="440"/>
      <c r="L295" s="462">
        <f t="shared" si="171"/>
        <v>10766.14</v>
      </c>
      <c r="M295" s="462"/>
      <c r="N295" s="444"/>
      <c r="O295" s="462">
        <f t="shared" si="172"/>
        <v>10766.14</v>
      </c>
      <c r="R295" s="462">
        <f t="shared" si="173"/>
        <v>10766.14</v>
      </c>
      <c r="U295" s="462">
        <f t="shared" si="174"/>
        <v>10766.14</v>
      </c>
      <c r="X295" s="462">
        <f t="shared" si="175"/>
        <v>10766.14</v>
      </c>
      <c r="Y295" s="447" t="s">
        <v>1680</v>
      </c>
      <c r="AA295" s="462">
        <f t="shared" si="176"/>
        <v>10766.14</v>
      </c>
      <c r="AB295" s="447" t="s">
        <v>1705</v>
      </c>
      <c r="AC295" s="462">
        <f>AA295</f>
        <v>10766.14</v>
      </c>
      <c r="AD295" s="462">
        <f t="shared" si="148"/>
        <v>0</v>
      </c>
      <c r="AE295" s="447" t="s">
        <v>1755</v>
      </c>
      <c r="AG295" s="462">
        <f t="shared" si="149"/>
        <v>0</v>
      </c>
      <c r="AH295" s="447" t="s">
        <v>1825</v>
      </c>
      <c r="AJ295" s="462">
        <f t="shared" si="150"/>
        <v>0</v>
      </c>
      <c r="AM295" s="462">
        <f t="shared" si="151"/>
        <v>0</v>
      </c>
      <c r="AN295" s="447" t="s">
        <v>1973</v>
      </c>
      <c r="AP295" s="462">
        <f t="shared" si="152"/>
        <v>0</v>
      </c>
      <c r="AQ295" s="447" t="s">
        <v>2001</v>
      </c>
      <c r="AS295" s="459">
        <f t="shared" si="153"/>
        <v>0</v>
      </c>
      <c r="AV295" s="462">
        <f t="shared" si="154"/>
        <v>0</v>
      </c>
      <c r="AY295" s="462">
        <f t="shared" si="155"/>
        <v>0</v>
      </c>
      <c r="BB295" s="462">
        <f t="shared" si="156"/>
        <v>0</v>
      </c>
      <c r="BC295" s="447" t="s">
        <v>2204</v>
      </c>
      <c r="BE295" s="462">
        <f t="shared" si="157"/>
        <v>0</v>
      </c>
      <c r="BH295" s="462">
        <f t="shared" si="158"/>
        <v>0</v>
      </c>
      <c r="BK295" s="462">
        <f t="shared" si="159"/>
        <v>0</v>
      </c>
      <c r="BN295" s="462">
        <f t="shared" si="160"/>
        <v>0</v>
      </c>
      <c r="BQ295" s="462">
        <f t="shared" si="161"/>
        <v>0</v>
      </c>
      <c r="BT295" s="462">
        <f t="shared" si="162"/>
        <v>0</v>
      </c>
      <c r="BW295" s="462">
        <f t="shared" si="163"/>
        <v>0</v>
      </c>
      <c r="BZ295" s="462">
        <f t="shared" si="164"/>
        <v>0</v>
      </c>
      <c r="CD295" s="418" t="str">
        <f t="shared" si="165"/>
        <v>CU1016001</v>
      </c>
      <c r="CE295" s="442" t="str">
        <f t="shared" si="166"/>
        <v>2019年6月</v>
      </c>
      <c r="CF295" s="418" t="str">
        <f t="shared" si="167"/>
        <v>乔治阿玛尼clife服务费暂估</v>
      </c>
      <c r="CG295" s="418" t="str">
        <f t="shared" si="168"/>
        <v>2019年6月乔治阿玛尼clife服务费暂估</v>
      </c>
    </row>
    <row r="296" spans="2:85" s="447" customFormat="1" ht="17.25" customHeight="1">
      <c r="B296" s="447" t="str">
        <f t="shared" si="147"/>
        <v>CU1149</v>
      </c>
      <c r="C296" s="431" t="s">
        <v>755</v>
      </c>
      <c r="D296" s="367" t="s">
        <v>1525</v>
      </c>
      <c r="E296" s="367" t="s">
        <v>1510</v>
      </c>
      <c r="F296" s="439">
        <v>43617</v>
      </c>
      <c r="G296" s="430">
        <v>13760660.380000001</v>
      </c>
      <c r="H296" s="440"/>
      <c r="I296" s="440">
        <f t="shared" si="170"/>
        <v>13760660.380000001</v>
      </c>
      <c r="J296" s="440"/>
      <c r="L296" s="462">
        <f t="shared" si="171"/>
        <v>13760660.380000001</v>
      </c>
      <c r="M296" s="462"/>
      <c r="N296" s="444"/>
      <c r="O296" s="462">
        <f t="shared" si="172"/>
        <v>13760660.380000001</v>
      </c>
      <c r="R296" s="462">
        <f t="shared" si="173"/>
        <v>13760660.380000001</v>
      </c>
      <c r="U296" s="462">
        <f t="shared" si="174"/>
        <v>13760660.380000001</v>
      </c>
      <c r="X296" s="462">
        <f t="shared" si="175"/>
        <v>13760660.380000001</v>
      </c>
      <c r="Y296" s="447" t="s">
        <v>1680</v>
      </c>
      <c r="Z296" s="462">
        <f>X296</f>
        <v>13760660.380000001</v>
      </c>
      <c r="AA296" s="462">
        <f t="shared" si="176"/>
        <v>0</v>
      </c>
      <c r="AB296" s="447" t="s">
        <v>1705</v>
      </c>
      <c r="AD296" s="462">
        <f t="shared" si="148"/>
        <v>0</v>
      </c>
      <c r="AE296" s="447" t="s">
        <v>1755</v>
      </c>
      <c r="AG296" s="462">
        <f t="shared" si="149"/>
        <v>0</v>
      </c>
      <c r="AH296" s="447" t="s">
        <v>1825</v>
      </c>
      <c r="AJ296" s="462">
        <f t="shared" si="150"/>
        <v>0</v>
      </c>
      <c r="AM296" s="462">
        <f t="shared" si="151"/>
        <v>0</v>
      </c>
      <c r="AN296" s="447" t="s">
        <v>1973</v>
      </c>
      <c r="AP296" s="462">
        <f t="shared" si="152"/>
        <v>0</v>
      </c>
      <c r="AQ296" s="447" t="s">
        <v>2001</v>
      </c>
      <c r="AS296" s="459">
        <f t="shared" si="153"/>
        <v>0</v>
      </c>
      <c r="AV296" s="462">
        <f t="shared" si="154"/>
        <v>0</v>
      </c>
      <c r="AY296" s="462">
        <f t="shared" si="155"/>
        <v>0</v>
      </c>
      <c r="BB296" s="462">
        <f t="shared" si="156"/>
        <v>0</v>
      </c>
      <c r="BC296" s="447" t="s">
        <v>2204</v>
      </c>
      <c r="BE296" s="462">
        <f t="shared" si="157"/>
        <v>0</v>
      </c>
      <c r="BH296" s="462">
        <f t="shared" si="158"/>
        <v>0</v>
      </c>
      <c r="BK296" s="462">
        <f t="shared" si="159"/>
        <v>0</v>
      </c>
      <c r="BN296" s="462">
        <f t="shared" si="160"/>
        <v>0</v>
      </c>
      <c r="BQ296" s="462">
        <f t="shared" si="161"/>
        <v>0</v>
      </c>
      <c r="BT296" s="462">
        <f t="shared" si="162"/>
        <v>0</v>
      </c>
      <c r="BW296" s="462">
        <f t="shared" si="163"/>
        <v>0</v>
      </c>
      <c r="BZ296" s="462">
        <f t="shared" si="164"/>
        <v>0</v>
      </c>
      <c r="CD296" s="418" t="str">
        <f t="shared" si="165"/>
        <v>CU1149001</v>
      </c>
      <c r="CE296" s="442" t="str">
        <f t="shared" si="166"/>
        <v>2019年6月</v>
      </c>
      <c r="CF296" s="418" t="str">
        <f t="shared" si="167"/>
        <v>好车酷酷二clife服务费暂估</v>
      </c>
      <c r="CG296" s="418" t="str">
        <f t="shared" si="168"/>
        <v>2019年6月好车酷酷二clife服务费暂估</v>
      </c>
    </row>
    <row r="297" spans="2:85" s="447" customFormat="1" ht="17.25" customHeight="1">
      <c r="B297" s="447" t="str">
        <f t="shared" si="147"/>
        <v>CU1155</v>
      </c>
      <c r="C297" s="431" t="s">
        <v>755</v>
      </c>
      <c r="D297" s="367" t="s">
        <v>1682</v>
      </c>
      <c r="E297" s="367" t="s">
        <v>1681</v>
      </c>
      <c r="F297" s="439">
        <v>43617</v>
      </c>
      <c r="G297" s="430">
        <v>6018.88</v>
      </c>
      <c r="H297" s="440"/>
      <c r="I297" s="440">
        <f t="shared" si="170"/>
        <v>6018.88</v>
      </c>
      <c r="J297" s="440"/>
      <c r="L297" s="462">
        <f t="shared" si="171"/>
        <v>6018.88</v>
      </c>
      <c r="M297" s="462"/>
      <c r="N297" s="444"/>
      <c r="O297" s="462">
        <f t="shared" si="172"/>
        <v>6018.88</v>
      </c>
      <c r="R297" s="462">
        <f t="shared" si="173"/>
        <v>6018.88</v>
      </c>
      <c r="U297" s="462">
        <f t="shared" si="174"/>
        <v>6018.88</v>
      </c>
      <c r="X297" s="462">
        <f t="shared" si="175"/>
        <v>6018.88</v>
      </c>
      <c r="Y297" s="447" t="s">
        <v>1680</v>
      </c>
      <c r="AA297" s="462">
        <f t="shared" si="176"/>
        <v>6018.88</v>
      </c>
      <c r="AB297" s="447" t="s">
        <v>1705</v>
      </c>
      <c r="AC297" s="447">
        <f>ROUND(6380.01/1.06,2)</f>
        <v>6018.88</v>
      </c>
      <c r="AD297" s="462">
        <f t="shared" si="148"/>
        <v>0</v>
      </c>
      <c r="AE297" s="447" t="s">
        <v>1755</v>
      </c>
      <c r="AG297" s="462">
        <f t="shared" si="149"/>
        <v>0</v>
      </c>
      <c r="AH297" s="447" t="s">
        <v>1825</v>
      </c>
      <c r="AJ297" s="462">
        <f t="shared" si="150"/>
        <v>0</v>
      </c>
      <c r="AM297" s="462">
        <f t="shared" si="151"/>
        <v>0</v>
      </c>
      <c r="AN297" s="447" t="s">
        <v>1973</v>
      </c>
      <c r="AP297" s="462">
        <f t="shared" si="152"/>
        <v>0</v>
      </c>
      <c r="AQ297" s="447" t="s">
        <v>2001</v>
      </c>
      <c r="AS297" s="459">
        <f t="shared" si="153"/>
        <v>0</v>
      </c>
      <c r="AV297" s="462">
        <f t="shared" si="154"/>
        <v>0</v>
      </c>
      <c r="AY297" s="462">
        <f t="shared" si="155"/>
        <v>0</v>
      </c>
      <c r="BB297" s="462">
        <f t="shared" si="156"/>
        <v>0</v>
      </c>
      <c r="BC297" s="447" t="s">
        <v>2204</v>
      </c>
      <c r="BE297" s="462">
        <f t="shared" si="157"/>
        <v>0</v>
      </c>
      <c r="BH297" s="462">
        <f t="shared" si="158"/>
        <v>0</v>
      </c>
      <c r="BK297" s="462">
        <f t="shared" si="159"/>
        <v>0</v>
      </c>
      <c r="BN297" s="462">
        <f t="shared" si="160"/>
        <v>0</v>
      </c>
      <c r="BQ297" s="462">
        <f t="shared" si="161"/>
        <v>0</v>
      </c>
      <c r="BT297" s="462">
        <f t="shared" si="162"/>
        <v>0</v>
      </c>
      <c r="BW297" s="462">
        <f t="shared" si="163"/>
        <v>0</v>
      </c>
      <c r="BZ297" s="462">
        <f t="shared" si="164"/>
        <v>0</v>
      </c>
      <c r="CD297" s="418" t="str">
        <f t="shared" si="165"/>
        <v>CU1155001</v>
      </c>
      <c r="CE297" s="442" t="str">
        <f t="shared" si="166"/>
        <v>2019年6月</v>
      </c>
      <c r="CF297" s="418" t="str">
        <f t="shared" si="167"/>
        <v>艾蒙斯特朗clife服务费暂估</v>
      </c>
      <c r="CG297" s="418" t="str">
        <f t="shared" si="168"/>
        <v>2019年6月艾蒙斯特朗clife服务费暂估</v>
      </c>
    </row>
    <row r="298" spans="2:85" s="447" customFormat="1" ht="17.25" customHeight="1">
      <c r="B298" s="447" t="str">
        <f t="shared" si="147"/>
        <v>CU1198</v>
      </c>
      <c r="C298" s="431" t="s">
        <v>755</v>
      </c>
      <c r="D298" s="367" t="s">
        <v>1538</v>
      </c>
      <c r="E298" s="367" t="s">
        <v>1537</v>
      </c>
      <c r="F298" s="439">
        <v>43617</v>
      </c>
      <c r="G298" s="430">
        <v>269871.2</v>
      </c>
      <c r="H298" s="440"/>
      <c r="I298" s="440">
        <f t="shared" si="170"/>
        <v>269871.2</v>
      </c>
      <c r="J298" s="440"/>
      <c r="L298" s="462">
        <f t="shared" si="171"/>
        <v>269871.2</v>
      </c>
      <c r="M298" s="462"/>
      <c r="N298" s="444"/>
      <c r="O298" s="462">
        <f t="shared" si="172"/>
        <v>269871.2</v>
      </c>
      <c r="R298" s="462">
        <f t="shared" si="173"/>
        <v>269871.2</v>
      </c>
      <c r="U298" s="462">
        <f t="shared" si="174"/>
        <v>269871.2</v>
      </c>
      <c r="X298" s="462">
        <f t="shared" si="175"/>
        <v>269871.2</v>
      </c>
      <c r="Y298" s="447" t="s">
        <v>1680</v>
      </c>
      <c r="Z298" s="462">
        <f>X298</f>
        <v>269871.2</v>
      </c>
      <c r="AA298" s="462">
        <f t="shared" si="176"/>
        <v>0</v>
      </c>
      <c r="AB298" s="447" t="s">
        <v>1705</v>
      </c>
      <c r="AD298" s="462">
        <f t="shared" si="148"/>
        <v>0</v>
      </c>
      <c r="AE298" s="447" t="s">
        <v>1755</v>
      </c>
      <c r="AG298" s="462">
        <f t="shared" si="149"/>
        <v>0</v>
      </c>
      <c r="AH298" s="447" t="s">
        <v>1825</v>
      </c>
      <c r="AJ298" s="462">
        <f t="shared" si="150"/>
        <v>0</v>
      </c>
      <c r="AM298" s="462">
        <f t="shared" si="151"/>
        <v>0</v>
      </c>
      <c r="AN298" s="447" t="s">
        <v>1973</v>
      </c>
      <c r="AP298" s="462">
        <f t="shared" si="152"/>
        <v>0</v>
      </c>
      <c r="AQ298" s="447" t="s">
        <v>2001</v>
      </c>
      <c r="AS298" s="459">
        <f t="shared" si="153"/>
        <v>0</v>
      </c>
      <c r="AV298" s="462">
        <f t="shared" si="154"/>
        <v>0</v>
      </c>
      <c r="AY298" s="462">
        <f t="shared" si="155"/>
        <v>0</v>
      </c>
      <c r="BB298" s="462">
        <f t="shared" si="156"/>
        <v>0</v>
      </c>
      <c r="BC298" s="447" t="s">
        <v>2204</v>
      </c>
      <c r="BE298" s="462">
        <f t="shared" si="157"/>
        <v>0</v>
      </c>
      <c r="BH298" s="462">
        <f t="shared" si="158"/>
        <v>0</v>
      </c>
      <c r="BK298" s="462">
        <f t="shared" si="159"/>
        <v>0</v>
      </c>
      <c r="BN298" s="462">
        <f t="shared" si="160"/>
        <v>0</v>
      </c>
      <c r="BQ298" s="462">
        <f t="shared" si="161"/>
        <v>0</v>
      </c>
      <c r="BT298" s="462">
        <f t="shared" si="162"/>
        <v>0</v>
      </c>
      <c r="BW298" s="462">
        <f t="shared" si="163"/>
        <v>0</v>
      </c>
      <c r="BZ298" s="462">
        <f t="shared" si="164"/>
        <v>0</v>
      </c>
      <c r="CD298" s="418" t="str">
        <f t="shared" si="165"/>
        <v>CU1198001</v>
      </c>
      <c r="CE298" s="442" t="str">
        <f t="shared" si="166"/>
        <v>2019年6月</v>
      </c>
      <c r="CF298" s="418" t="str">
        <f t="shared" si="167"/>
        <v>通用公正技clife服务费暂估</v>
      </c>
      <c r="CG298" s="418" t="str">
        <f t="shared" si="168"/>
        <v>2019年6月通用公正技clife服务费暂估</v>
      </c>
    </row>
    <row r="299" spans="2:85" s="447" customFormat="1" ht="17.25" customHeight="1">
      <c r="B299" s="447" t="str">
        <f t="shared" si="147"/>
        <v>CU1204</v>
      </c>
      <c r="C299" s="431" t="s">
        <v>755</v>
      </c>
      <c r="D299" s="367" t="s">
        <v>1656</v>
      </c>
      <c r="E299" s="367" t="s">
        <v>1582</v>
      </c>
      <c r="F299" s="439">
        <v>43617</v>
      </c>
      <c r="G299" s="430">
        <v>262174.76</v>
      </c>
      <c r="H299" s="440"/>
      <c r="I299" s="440">
        <f t="shared" si="170"/>
        <v>262174.76</v>
      </c>
      <c r="J299" s="440"/>
      <c r="L299" s="462">
        <f t="shared" si="171"/>
        <v>262174.76</v>
      </c>
      <c r="M299" s="462"/>
      <c r="N299" s="444"/>
      <c r="O299" s="462">
        <f t="shared" si="172"/>
        <v>262174.76</v>
      </c>
      <c r="R299" s="462">
        <f t="shared" si="173"/>
        <v>262174.76</v>
      </c>
      <c r="U299" s="462">
        <f t="shared" si="174"/>
        <v>262174.76</v>
      </c>
      <c r="X299" s="462">
        <f t="shared" si="175"/>
        <v>262174.76</v>
      </c>
      <c r="Y299" s="447" t="s">
        <v>1680</v>
      </c>
      <c r="AA299" s="462">
        <f t="shared" si="176"/>
        <v>262174.76</v>
      </c>
      <c r="AB299" s="447" t="s">
        <v>1705</v>
      </c>
      <c r="AD299" s="462">
        <f t="shared" si="148"/>
        <v>262174.76</v>
      </c>
      <c r="AE299" s="447" t="s">
        <v>1755</v>
      </c>
      <c r="AG299" s="462">
        <f t="shared" si="149"/>
        <v>262174.76</v>
      </c>
      <c r="AH299" s="447" t="s">
        <v>1825</v>
      </c>
      <c r="AI299" s="462">
        <f>100000-AI280-24271.32</f>
        <v>55727.46</v>
      </c>
      <c r="AJ299" s="462">
        <f t="shared" si="150"/>
        <v>206447.30000000002</v>
      </c>
      <c r="AK299" s="447" t="s">
        <v>1858</v>
      </c>
      <c r="AM299" s="462">
        <f t="shared" si="151"/>
        <v>206447.30000000002</v>
      </c>
      <c r="AN299" s="447" t="s">
        <v>1973</v>
      </c>
      <c r="AO299" s="447">
        <f>4172+244+720+5470</f>
        <v>10606</v>
      </c>
      <c r="AP299" s="462">
        <f t="shared" si="152"/>
        <v>195841.30000000002</v>
      </c>
      <c r="AQ299" s="447" t="s">
        <v>2001</v>
      </c>
      <c r="AS299" s="459">
        <f t="shared" si="153"/>
        <v>195841.30000000002</v>
      </c>
      <c r="AV299" s="462">
        <f t="shared" si="154"/>
        <v>195841.30000000002</v>
      </c>
      <c r="AW299" s="447" t="s">
        <v>2107</v>
      </c>
      <c r="AX299" s="462">
        <f>AV299</f>
        <v>195841.30000000002</v>
      </c>
      <c r="AY299" s="462">
        <f t="shared" si="155"/>
        <v>0</v>
      </c>
      <c r="BB299" s="462">
        <f t="shared" si="156"/>
        <v>0</v>
      </c>
      <c r="BC299" s="447" t="s">
        <v>2204</v>
      </c>
      <c r="BE299" s="462">
        <f t="shared" si="157"/>
        <v>0</v>
      </c>
      <c r="BH299" s="462">
        <f t="shared" si="158"/>
        <v>0</v>
      </c>
      <c r="BK299" s="462">
        <f t="shared" si="159"/>
        <v>0</v>
      </c>
      <c r="BN299" s="462">
        <f t="shared" si="160"/>
        <v>0</v>
      </c>
      <c r="BQ299" s="462">
        <f t="shared" si="161"/>
        <v>0</v>
      </c>
      <c r="BT299" s="462">
        <f t="shared" si="162"/>
        <v>0</v>
      </c>
      <c r="BW299" s="462">
        <f t="shared" si="163"/>
        <v>0</v>
      </c>
      <c r="BZ299" s="462">
        <f t="shared" si="164"/>
        <v>0</v>
      </c>
      <c r="CD299" s="418" t="str">
        <f t="shared" si="165"/>
        <v>CU1204001</v>
      </c>
      <c r="CE299" s="442" t="str">
        <f t="shared" si="166"/>
        <v>2019年6月</v>
      </c>
      <c r="CF299" s="418" t="str">
        <f t="shared" si="167"/>
        <v>固特异轮胎clife服务费暂估</v>
      </c>
      <c r="CG299" s="418" t="str">
        <f t="shared" si="168"/>
        <v>2019年6月固特异轮胎clife服务费暂估</v>
      </c>
    </row>
    <row r="300" spans="2:85" s="447" customFormat="1" ht="17.25" customHeight="1">
      <c r="B300" s="447" t="str">
        <f t="shared" si="147"/>
        <v>CU1375</v>
      </c>
      <c r="C300" s="431" t="s">
        <v>755</v>
      </c>
      <c r="D300" s="367" t="s">
        <v>1677</v>
      </c>
      <c r="E300" s="367" t="s">
        <v>1676</v>
      </c>
      <c r="F300" s="439">
        <v>43617</v>
      </c>
      <c r="G300" s="430">
        <v>127350.02</v>
      </c>
      <c r="H300" s="440"/>
      <c r="I300" s="440">
        <f t="shared" si="170"/>
        <v>127350.02</v>
      </c>
      <c r="J300" s="440"/>
      <c r="L300" s="462">
        <f t="shared" si="171"/>
        <v>127350.02</v>
      </c>
      <c r="M300" s="462"/>
      <c r="N300" s="444"/>
      <c r="O300" s="462">
        <f t="shared" si="172"/>
        <v>127350.02</v>
      </c>
      <c r="R300" s="462">
        <f t="shared" si="173"/>
        <v>127350.02</v>
      </c>
      <c r="U300" s="462">
        <f t="shared" si="174"/>
        <v>127350.02</v>
      </c>
      <c r="X300" s="462">
        <f t="shared" si="175"/>
        <v>127350.02</v>
      </c>
      <c r="Y300" s="447" t="s">
        <v>858</v>
      </c>
      <c r="Z300" s="447">
        <v>123711.46</v>
      </c>
      <c r="AA300" s="462">
        <f t="shared" si="176"/>
        <v>3638.5599999999977</v>
      </c>
      <c r="AB300" s="447" t="s">
        <v>1705</v>
      </c>
      <c r="AD300" s="462">
        <f t="shared" si="148"/>
        <v>3638.5599999999977</v>
      </c>
      <c r="AE300" s="447" t="s">
        <v>1755</v>
      </c>
      <c r="AG300" s="462">
        <f t="shared" si="149"/>
        <v>3638.5599999999977</v>
      </c>
      <c r="AH300" s="447" t="s">
        <v>1825</v>
      </c>
      <c r="AJ300" s="462">
        <f t="shared" si="150"/>
        <v>3638.5599999999977</v>
      </c>
      <c r="AK300" s="447" t="s">
        <v>1858</v>
      </c>
      <c r="AM300" s="462">
        <f t="shared" si="151"/>
        <v>3638.5599999999977</v>
      </c>
      <c r="AN300" s="447" t="s">
        <v>1973</v>
      </c>
      <c r="AP300" s="462">
        <f t="shared" si="152"/>
        <v>3638.5599999999977</v>
      </c>
      <c r="AQ300" s="447" t="s">
        <v>2001</v>
      </c>
      <c r="AS300" s="459">
        <f t="shared" si="153"/>
        <v>3638.5599999999977</v>
      </c>
      <c r="AV300" s="462">
        <f t="shared" si="154"/>
        <v>3638.5599999999977</v>
      </c>
      <c r="AW300" s="447" t="s">
        <v>2107</v>
      </c>
      <c r="AY300" s="462">
        <f t="shared" si="155"/>
        <v>3638.5599999999977</v>
      </c>
      <c r="AZ300" s="447" t="s">
        <v>2131</v>
      </c>
      <c r="BB300" s="462">
        <f t="shared" si="156"/>
        <v>3638.5599999999977</v>
      </c>
      <c r="BC300" s="447" t="s">
        <v>2204</v>
      </c>
      <c r="BE300" s="462">
        <f t="shared" si="157"/>
        <v>3638.5599999999977</v>
      </c>
      <c r="BF300" s="447" t="s">
        <v>2237</v>
      </c>
      <c r="BH300" s="462">
        <f t="shared" si="158"/>
        <v>3638.5599999999977</v>
      </c>
      <c r="BI300" s="447" t="s">
        <v>2292</v>
      </c>
      <c r="BK300" s="462">
        <f t="shared" si="159"/>
        <v>3638.5599999999977</v>
      </c>
      <c r="BL300" s="447" t="s">
        <v>2339</v>
      </c>
      <c r="BN300" s="462">
        <f t="shared" si="160"/>
        <v>3638.5599999999977</v>
      </c>
      <c r="BO300" s="447" t="s">
        <v>2365</v>
      </c>
      <c r="BQ300" s="462">
        <f t="shared" si="161"/>
        <v>3638.56</v>
      </c>
      <c r="BR300" s="447" t="s">
        <v>2374</v>
      </c>
      <c r="BT300" s="462">
        <f t="shared" si="162"/>
        <v>3638.56</v>
      </c>
      <c r="BU300" s="447" t="s">
        <v>2134</v>
      </c>
      <c r="BV300" s="462">
        <f>BT300</f>
        <v>3638.56</v>
      </c>
      <c r="BW300" s="462">
        <f t="shared" si="163"/>
        <v>0</v>
      </c>
      <c r="BZ300" s="462">
        <f t="shared" si="164"/>
        <v>0</v>
      </c>
      <c r="CD300" s="418" t="str">
        <f t="shared" si="165"/>
        <v>CU1375001</v>
      </c>
      <c r="CE300" s="442" t="str">
        <f t="shared" si="166"/>
        <v>2019年6月</v>
      </c>
      <c r="CF300" s="418" t="str">
        <f t="shared" si="167"/>
        <v>上海库润信clife服务费暂估</v>
      </c>
      <c r="CG300" s="418" t="str">
        <f t="shared" si="168"/>
        <v>2019年6月上海库润信clife服务费暂估</v>
      </c>
    </row>
    <row r="301" spans="2:85" s="447" customFormat="1" ht="17.25" customHeight="1">
      <c r="B301" s="447" t="str">
        <f t="shared" si="147"/>
        <v>CU0848</v>
      </c>
      <c r="C301" s="431" t="s">
        <v>755</v>
      </c>
      <c r="D301" s="367" t="s">
        <v>1683</v>
      </c>
      <c r="E301" s="367" t="s">
        <v>1684</v>
      </c>
      <c r="F301" s="439">
        <v>43617</v>
      </c>
      <c r="G301" s="430">
        <v>51302.57</v>
      </c>
      <c r="H301" s="440"/>
      <c r="I301" s="440">
        <f t="shared" si="170"/>
        <v>51302.57</v>
      </c>
      <c r="J301" s="440"/>
      <c r="L301" s="462">
        <f t="shared" si="171"/>
        <v>51302.57</v>
      </c>
      <c r="M301" s="462"/>
      <c r="N301" s="444"/>
      <c r="O301" s="462">
        <f t="shared" si="172"/>
        <v>51302.57</v>
      </c>
      <c r="R301" s="462">
        <f t="shared" si="173"/>
        <v>51302.57</v>
      </c>
      <c r="U301" s="462">
        <f t="shared" si="174"/>
        <v>51302.57</v>
      </c>
      <c r="X301" s="462">
        <f t="shared" si="175"/>
        <v>51302.57</v>
      </c>
      <c r="Y301" s="447" t="s">
        <v>858</v>
      </c>
      <c r="AA301" s="462">
        <f t="shared" si="176"/>
        <v>51302.57</v>
      </c>
      <c r="AB301" s="447" t="s">
        <v>1705</v>
      </c>
      <c r="AC301" s="462">
        <f>ROUND(148600.18/1.06,2)-AC161-AC182-AC215-AC236-AC270</f>
        <v>51302.572641509447</v>
      </c>
      <c r="AD301" s="462">
        <f t="shared" si="148"/>
        <v>-2.6415094471303746E-3</v>
      </c>
      <c r="AE301" s="447" t="s">
        <v>1755</v>
      </c>
      <c r="AG301" s="462">
        <f t="shared" si="149"/>
        <v>-2.6415094471303746E-3</v>
      </c>
      <c r="AH301" s="447" t="s">
        <v>1825</v>
      </c>
      <c r="AJ301" s="462">
        <f t="shared" si="150"/>
        <v>-2.6415094471303746E-3</v>
      </c>
      <c r="AM301" s="462">
        <f t="shared" si="151"/>
        <v>-2.6415094471303746E-3</v>
      </c>
      <c r="AN301" s="447" t="s">
        <v>1973</v>
      </c>
      <c r="AP301" s="462">
        <f t="shared" si="152"/>
        <v>-2.6415094471303746E-3</v>
      </c>
      <c r="AQ301" s="447" t="s">
        <v>2001</v>
      </c>
      <c r="AS301" s="459">
        <f t="shared" si="153"/>
        <v>-2.6415094471303746E-3</v>
      </c>
      <c r="AV301" s="462">
        <f t="shared" si="154"/>
        <v>-2.6415094471303746E-3</v>
      </c>
      <c r="AY301" s="462">
        <f t="shared" si="155"/>
        <v>-2.6415094471303746E-3</v>
      </c>
      <c r="BB301" s="462">
        <f t="shared" si="156"/>
        <v>-2.6415094471303746E-3</v>
      </c>
      <c r="BC301" s="447" t="s">
        <v>2204</v>
      </c>
      <c r="BE301" s="462">
        <f t="shared" si="157"/>
        <v>-2.6415094471303746E-3</v>
      </c>
      <c r="BH301" s="462">
        <f t="shared" si="158"/>
        <v>-2.6415094471303746E-3</v>
      </c>
      <c r="BK301" s="462">
        <f t="shared" si="159"/>
        <v>-2.6415094471303746E-3</v>
      </c>
      <c r="BN301" s="462">
        <f t="shared" si="160"/>
        <v>-2.6415094471303746E-3</v>
      </c>
      <c r="BQ301" s="462">
        <f t="shared" si="161"/>
        <v>0</v>
      </c>
      <c r="BT301" s="462">
        <f t="shared" si="162"/>
        <v>0</v>
      </c>
      <c r="BW301" s="462">
        <f t="shared" si="163"/>
        <v>0</v>
      </c>
      <c r="BZ301" s="462">
        <f t="shared" si="164"/>
        <v>0</v>
      </c>
      <c r="CD301" s="418" t="str">
        <f t="shared" si="165"/>
        <v>CU0848001</v>
      </c>
      <c r="CE301" s="442" t="str">
        <f t="shared" si="166"/>
        <v>2019年6月</v>
      </c>
      <c r="CF301" s="418" t="str">
        <f t="shared" si="167"/>
        <v>深圳欧贝特clife服务费暂估</v>
      </c>
      <c r="CG301" s="418" t="str">
        <f t="shared" si="168"/>
        <v>2019年6月深圳欧贝特clife服务费暂估</v>
      </c>
    </row>
    <row r="302" spans="2:85" s="447" customFormat="1" ht="17.25" customHeight="1">
      <c r="B302" s="447" t="str">
        <f t="shared" si="147"/>
        <v>CU0145</v>
      </c>
      <c r="C302" s="431" t="s">
        <v>755</v>
      </c>
      <c r="D302" s="367" t="s">
        <v>1451</v>
      </c>
      <c r="E302" s="367" t="s">
        <v>1323</v>
      </c>
      <c r="F302" s="439">
        <v>43647</v>
      </c>
      <c r="G302" s="448">
        <v>205835.06</v>
      </c>
      <c r="H302" s="440"/>
      <c r="I302" s="440">
        <f t="shared" si="170"/>
        <v>205835.06</v>
      </c>
      <c r="J302" s="440"/>
      <c r="L302" s="462">
        <f t="shared" si="171"/>
        <v>205835.06</v>
      </c>
      <c r="M302" s="462"/>
      <c r="N302" s="444"/>
      <c r="O302" s="462">
        <f t="shared" si="172"/>
        <v>205835.06</v>
      </c>
      <c r="R302" s="462">
        <f t="shared" si="173"/>
        <v>205835.06</v>
      </c>
      <c r="U302" s="462">
        <f t="shared" si="174"/>
        <v>205835.06</v>
      </c>
      <c r="X302" s="462">
        <f t="shared" si="175"/>
        <v>205835.06</v>
      </c>
      <c r="AA302" s="462">
        <f t="shared" si="176"/>
        <v>205835.06</v>
      </c>
      <c r="AB302" s="447" t="s">
        <v>1732</v>
      </c>
      <c r="AD302" s="462">
        <f t="shared" si="148"/>
        <v>205835.06</v>
      </c>
      <c r="AE302" s="447" t="s">
        <v>1756</v>
      </c>
      <c r="AF302" s="447">
        <f>ROUND(217352/1.06,2)</f>
        <v>205049.06</v>
      </c>
      <c r="AG302" s="462">
        <f t="shared" si="149"/>
        <v>786</v>
      </c>
      <c r="AH302" s="447" t="s">
        <v>1826</v>
      </c>
      <c r="AJ302" s="462">
        <f t="shared" si="150"/>
        <v>786</v>
      </c>
      <c r="AK302" s="447" t="s">
        <v>1866</v>
      </c>
      <c r="AM302" s="462">
        <f t="shared" si="151"/>
        <v>786</v>
      </c>
      <c r="AN302" s="447" t="s">
        <v>1974</v>
      </c>
      <c r="AO302" s="462">
        <f>AM302</f>
        <v>786</v>
      </c>
      <c r="AP302" s="462">
        <f t="shared" si="152"/>
        <v>0</v>
      </c>
      <c r="AQ302" s="447" t="s">
        <v>2002</v>
      </c>
      <c r="AS302" s="459">
        <f t="shared" si="153"/>
        <v>0</v>
      </c>
      <c r="AV302" s="462">
        <f t="shared" si="154"/>
        <v>0</v>
      </c>
      <c r="AY302" s="462">
        <f t="shared" si="155"/>
        <v>0</v>
      </c>
      <c r="BB302" s="462">
        <f t="shared" si="156"/>
        <v>0</v>
      </c>
      <c r="BC302" s="447" t="s">
        <v>2204</v>
      </c>
      <c r="BE302" s="462">
        <f t="shared" si="157"/>
        <v>0</v>
      </c>
      <c r="BH302" s="462">
        <f t="shared" si="158"/>
        <v>0</v>
      </c>
      <c r="BK302" s="462">
        <f t="shared" si="159"/>
        <v>0</v>
      </c>
      <c r="BN302" s="462">
        <f t="shared" si="160"/>
        <v>0</v>
      </c>
      <c r="BQ302" s="462">
        <f t="shared" si="161"/>
        <v>0</v>
      </c>
      <c r="BT302" s="462">
        <f t="shared" si="162"/>
        <v>0</v>
      </c>
      <c r="BW302" s="462">
        <f t="shared" si="163"/>
        <v>0</v>
      </c>
      <c r="BZ302" s="462">
        <f t="shared" si="164"/>
        <v>0</v>
      </c>
      <c r="CD302" s="418" t="str">
        <f t="shared" si="165"/>
        <v>CU0145001</v>
      </c>
      <c r="CE302" s="442" t="str">
        <f t="shared" si="166"/>
        <v>2019年7月</v>
      </c>
      <c r="CF302" s="418" t="str">
        <f t="shared" si="167"/>
        <v>锐珂亚太投clife服务费暂估</v>
      </c>
      <c r="CG302" s="418" t="str">
        <f t="shared" si="168"/>
        <v>2019年7月锐珂亚太投clife服务费暂估</v>
      </c>
    </row>
    <row r="303" spans="2:85" s="447" customFormat="1" ht="17.25" customHeight="1">
      <c r="B303" s="447" t="str">
        <f t="shared" si="147"/>
        <v>CU0182</v>
      </c>
      <c r="C303" s="431" t="s">
        <v>755</v>
      </c>
      <c r="D303" s="367" t="s">
        <v>1452</v>
      </c>
      <c r="E303" s="367" t="s">
        <v>821</v>
      </c>
      <c r="F303" s="439">
        <v>43647</v>
      </c>
      <c r="G303" s="448">
        <v>2951.92</v>
      </c>
      <c r="H303" s="440"/>
      <c r="I303" s="440">
        <f t="shared" si="170"/>
        <v>2951.92</v>
      </c>
      <c r="J303" s="440"/>
      <c r="L303" s="462">
        <f t="shared" si="171"/>
        <v>2951.92</v>
      </c>
      <c r="M303" s="462"/>
      <c r="N303" s="444"/>
      <c r="O303" s="462">
        <f t="shared" si="172"/>
        <v>2951.92</v>
      </c>
      <c r="R303" s="462">
        <f t="shared" si="173"/>
        <v>2951.92</v>
      </c>
      <c r="U303" s="462">
        <f t="shared" si="174"/>
        <v>2951.92</v>
      </c>
      <c r="X303" s="462">
        <f t="shared" si="175"/>
        <v>2951.92</v>
      </c>
      <c r="AA303" s="462">
        <f t="shared" si="176"/>
        <v>2951.92</v>
      </c>
      <c r="AB303" s="447" t="s">
        <v>1732</v>
      </c>
      <c r="AD303" s="462">
        <f t="shared" si="148"/>
        <v>2951.92</v>
      </c>
      <c r="AE303" s="447" t="s">
        <v>1756</v>
      </c>
      <c r="AG303" s="462">
        <f t="shared" si="149"/>
        <v>2951.92</v>
      </c>
      <c r="AH303" s="447" t="s">
        <v>1826</v>
      </c>
      <c r="AJ303" s="462">
        <f t="shared" si="150"/>
        <v>2951.92</v>
      </c>
      <c r="AK303" s="447" t="s">
        <v>1866</v>
      </c>
      <c r="AM303" s="462">
        <f t="shared" si="151"/>
        <v>2951.92</v>
      </c>
      <c r="AN303" s="447" t="s">
        <v>1974</v>
      </c>
      <c r="AP303" s="462">
        <f t="shared" si="152"/>
        <v>2951.92</v>
      </c>
      <c r="AQ303" s="447" t="s">
        <v>2002</v>
      </c>
      <c r="AS303" s="459">
        <f t="shared" si="153"/>
        <v>2951.92</v>
      </c>
      <c r="AV303" s="462">
        <f t="shared" si="154"/>
        <v>2951.92</v>
      </c>
      <c r="AW303" s="447" t="s">
        <v>2107</v>
      </c>
      <c r="AY303" s="462">
        <f t="shared" si="155"/>
        <v>2951.92</v>
      </c>
      <c r="AZ303" s="447" t="s">
        <v>2131</v>
      </c>
      <c r="BB303" s="462">
        <f t="shared" si="156"/>
        <v>2951.92</v>
      </c>
      <c r="BC303" s="447" t="s">
        <v>2204</v>
      </c>
      <c r="BE303" s="462">
        <f t="shared" si="157"/>
        <v>2951.92</v>
      </c>
      <c r="BF303" s="447" t="s">
        <v>2237</v>
      </c>
      <c r="BH303" s="462">
        <f t="shared" si="158"/>
        <v>2951.92</v>
      </c>
      <c r="BI303" s="447" t="s">
        <v>2292</v>
      </c>
      <c r="BK303" s="462">
        <f t="shared" si="159"/>
        <v>2951.92</v>
      </c>
      <c r="BL303" s="447" t="s">
        <v>2339</v>
      </c>
      <c r="BN303" s="462">
        <f t="shared" si="160"/>
        <v>2951.92</v>
      </c>
      <c r="BO303" s="447" t="s">
        <v>2365</v>
      </c>
      <c r="BQ303" s="462">
        <f t="shared" si="161"/>
        <v>2951.92</v>
      </c>
      <c r="BR303" s="447" t="s">
        <v>2374</v>
      </c>
      <c r="BT303" s="462">
        <f t="shared" si="162"/>
        <v>2951.92</v>
      </c>
      <c r="BU303" s="447" t="s">
        <v>2134</v>
      </c>
      <c r="BW303" s="462">
        <f t="shared" si="163"/>
        <v>2951.92</v>
      </c>
      <c r="BZ303" s="462">
        <f t="shared" si="164"/>
        <v>2951.92</v>
      </c>
      <c r="CD303" s="418" t="str">
        <f t="shared" si="165"/>
        <v>CU0182001</v>
      </c>
      <c r="CE303" s="442" t="str">
        <f t="shared" si="166"/>
        <v>2019年7月</v>
      </c>
      <c r="CF303" s="418" t="str">
        <f t="shared" si="167"/>
        <v>阿姆斯壮（clife服务费暂估</v>
      </c>
      <c r="CG303" s="418" t="str">
        <f t="shared" si="168"/>
        <v>2019年7月阿姆斯壮（clife服务费暂估</v>
      </c>
    </row>
    <row r="304" spans="2:85" s="447" customFormat="1" ht="17.25" customHeight="1">
      <c r="B304" s="447" t="str">
        <f t="shared" si="147"/>
        <v>CU0531</v>
      </c>
      <c r="C304" s="431" t="s">
        <v>755</v>
      </c>
      <c r="D304" s="367" t="s">
        <v>1453</v>
      </c>
      <c r="E304" s="367" t="s">
        <v>134</v>
      </c>
      <c r="F304" s="439">
        <v>43647</v>
      </c>
      <c r="G304" s="448">
        <v>26155.29</v>
      </c>
      <c r="H304" s="440"/>
      <c r="I304" s="440">
        <f t="shared" si="170"/>
        <v>26155.29</v>
      </c>
      <c r="J304" s="440"/>
      <c r="L304" s="462">
        <f t="shared" si="171"/>
        <v>26155.29</v>
      </c>
      <c r="M304" s="462"/>
      <c r="N304" s="444"/>
      <c r="O304" s="462">
        <f t="shared" si="172"/>
        <v>26155.29</v>
      </c>
      <c r="R304" s="462">
        <f t="shared" si="173"/>
        <v>26155.29</v>
      </c>
      <c r="U304" s="462">
        <f t="shared" si="174"/>
        <v>26155.29</v>
      </c>
      <c r="X304" s="462">
        <f t="shared" si="175"/>
        <v>26155.29</v>
      </c>
      <c r="AA304" s="462">
        <f t="shared" si="176"/>
        <v>26155.29</v>
      </c>
      <c r="AB304" s="447" t="s">
        <v>1732</v>
      </c>
      <c r="AD304" s="462">
        <f t="shared" si="148"/>
        <v>26155.29</v>
      </c>
      <c r="AE304" s="447" t="s">
        <v>1756</v>
      </c>
      <c r="AG304" s="462">
        <f t="shared" si="149"/>
        <v>26155.29</v>
      </c>
      <c r="AH304" s="447" t="s">
        <v>1826</v>
      </c>
      <c r="AJ304" s="462">
        <f t="shared" si="150"/>
        <v>26155.29</v>
      </c>
      <c r="AK304" s="447" t="s">
        <v>1866</v>
      </c>
      <c r="AM304" s="462">
        <f t="shared" si="151"/>
        <v>26155.29</v>
      </c>
      <c r="AN304" s="447" t="s">
        <v>1974</v>
      </c>
      <c r="AO304" s="447">
        <f>64400-11376.79-AO258-AO287</f>
        <v>6339.0299999999988</v>
      </c>
      <c r="AP304" s="462">
        <f t="shared" si="152"/>
        <v>19816.260000000002</v>
      </c>
      <c r="AQ304" s="447" t="s">
        <v>2002</v>
      </c>
      <c r="AS304" s="459">
        <f t="shared" si="153"/>
        <v>19816.260000000002</v>
      </c>
      <c r="AV304" s="462">
        <f t="shared" si="154"/>
        <v>19816.260000000002</v>
      </c>
      <c r="AW304" s="447" t="s">
        <v>2107</v>
      </c>
      <c r="AX304" s="462">
        <f>AV304</f>
        <v>19816.260000000002</v>
      </c>
      <c r="AY304" s="462">
        <f t="shared" si="155"/>
        <v>0</v>
      </c>
      <c r="BB304" s="462">
        <f t="shared" si="156"/>
        <v>0</v>
      </c>
      <c r="BC304" s="447" t="s">
        <v>2204</v>
      </c>
      <c r="BE304" s="462">
        <f t="shared" si="157"/>
        <v>0</v>
      </c>
      <c r="BH304" s="462">
        <f t="shared" si="158"/>
        <v>0</v>
      </c>
      <c r="BK304" s="462">
        <f t="shared" si="159"/>
        <v>0</v>
      </c>
      <c r="BN304" s="462">
        <f t="shared" si="160"/>
        <v>0</v>
      </c>
      <c r="BQ304" s="462">
        <f t="shared" si="161"/>
        <v>0</v>
      </c>
      <c r="BT304" s="462">
        <f t="shared" si="162"/>
        <v>0</v>
      </c>
      <c r="BW304" s="462">
        <f t="shared" si="163"/>
        <v>0</v>
      </c>
      <c r="BZ304" s="462">
        <f t="shared" si="164"/>
        <v>0</v>
      </c>
      <c r="CD304" s="418" t="str">
        <f t="shared" si="165"/>
        <v>CU0531001</v>
      </c>
      <c r="CE304" s="442" t="str">
        <f t="shared" si="166"/>
        <v>2019年7月</v>
      </c>
      <c r="CF304" s="418" t="str">
        <f t="shared" si="167"/>
        <v>恩思恩时尚clife服务费暂估</v>
      </c>
      <c r="CG304" s="418" t="str">
        <f t="shared" si="168"/>
        <v>2019年7月恩思恩时尚clife服务费暂估</v>
      </c>
    </row>
    <row r="305" spans="2:85" s="447" customFormat="1" ht="17.25" customHeight="1">
      <c r="B305" s="447" t="str">
        <f t="shared" si="147"/>
        <v>CU0667</v>
      </c>
      <c r="C305" s="431" t="s">
        <v>755</v>
      </c>
      <c r="D305" s="367" t="s">
        <v>1454</v>
      </c>
      <c r="E305" s="367" t="s">
        <v>168</v>
      </c>
      <c r="F305" s="439">
        <v>43647</v>
      </c>
      <c r="G305" s="448">
        <v>855.98</v>
      </c>
      <c r="H305" s="440"/>
      <c r="I305" s="440">
        <f t="shared" si="170"/>
        <v>855.98</v>
      </c>
      <c r="J305" s="440"/>
      <c r="L305" s="462">
        <f t="shared" si="171"/>
        <v>855.98</v>
      </c>
      <c r="M305" s="462"/>
      <c r="N305" s="444"/>
      <c r="O305" s="462">
        <f t="shared" si="172"/>
        <v>855.98</v>
      </c>
      <c r="R305" s="462">
        <f t="shared" si="173"/>
        <v>855.98</v>
      </c>
      <c r="U305" s="462">
        <f t="shared" si="174"/>
        <v>855.98</v>
      </c>
      <c r="X305" s="462">
        <f t="shared" si="175"/>
        <v>855.98</v>
      </c>
      <c r="AA305" s="462">
        <f t="shared" si="176"/>
        <v>855.98</v>
      </c>
      <c r="AB305" s="447" t="s">
        <v>1732</v>
      </c>
      <c r="AC305" s="462">
        <f>288-62.12</f>
        <v>225.88</v>
      </c>
      <c r="AD305" s="462">
        <f t="shared" si="148"/>
        <v>630.1</v>
      </c>
      <c r="AE305" s="447" t="s">
        <v>1756</v>
      </c>
      <c r="AG305" s="462">
        <f t="shared" si="149"/>
        <v>630.1</v>
      </c>
      <c r="AH305" s="447" t="s">
        <v>1826</v>
      </c>
      <c r="AJ305" s="462">
        <f t="shared" si="150"/>
        <v>630.1</v>
      </c>
      <c r="AK305" s="447" t="s">
        <v>1866</v>
      </c>
      <c r="AM305" s="462">
        <f t="shared" si="151"/>
        <v>630.1</v>
      </c>
      <c r="AN305" s="447" t="s">
        <v>1974</v>
      </c>
      <c r="AO305" s="462">
        <f>AM305</f>
        <v>630.1</v>
      </c>
      <c r="AP305" s="462">
        <f t="shared" si="152"/>
        <v>0</v>
      </c>
      <c r="AQ305" s="447" t="s">
        <v>2002</v>
      </c>
      <c r="AS305" s="459">
        <f t="shared" si="153"/>
        <v>0</v>
      </c>
      <c r="AV305" s="462">
        <f t="shared" si="154"/>
        <v>0</v>
      </c>
      <c r="AY305" s="462">
        <f t="shared" si="155"/>
        <v>0</v>
      </c>
      <c r="BB305" s="462">
        <f t="shared" si="156"/>
        <v>0</v>
      </c>
      <c r="BC305" s="447" t="s">
        <v>2204</v>
      </c>
      <c r="BE305" s="462">
        <f t="shared" si="157"/>
        <v>0</v>
      </c>
      <c r="BH305" s="462">
        <f t="shared" si="158"/>
        <v>0</v>
      </c>
      <c r="BK305" s="462">
        <f t="shared" si="159"/>
        <v>0</v>
      </c>
      <c r="BN305" s="462">
        <f t="shared" si="160"/>
        <v>0</v>
      </c>
      <c r="BQ305" s="462">
        <f t="shared" si="161"/>
        <v>0</v>
      </c>
      <c r="BT305" s="462">
        <f t="shared" si="162"/>
        <v>0</v>
      </c>
      <c r="BW305" s="462">
        <f t="shared" si="163"/>
        <v>0</v>
      </c>
      <c r="BZ305" s="462">
        <f t="shared" si="164"/>
        <v>0</v>
      </c>
      <c r="CD305" s="418" t="str">
        <f t="shared" si="165"/>
        <v>CU0667001</v>
      </c>
      <c r="CE305" s="442" t="str">
        <f t="shared" si="166"/>
        <v>2019年7月</v>
      </c>
      <c r="CF305" s="418" t="str">
        <f t="shared" si="167"/>
        <v>北京杰迪安clife服务费暂估</v>
      </c>
      <c r="CG305" s="418" t="str">
        <f t="shared" si="168"/>
        <v>2019年7月北京杰迪安clife服务费暂估</v>
      </c>
    </row>
    <row r="306" spans="2:85" s="447" customFormat="1" ht="17.25" customHeight="1">
      <c r="B306" s="447" t="str">
        <f t="shared" si="147"/>
        <v>CU0736</v>
      </c>
      <c r="C306" s="431" t="s">
        <v>755</v>
      </c>
      <c r="D306" s="367" t="s">
        <v>1651</v>
      </c>
      <c r="E306" s="367" t="s">
        <v>1724</v>
      </c>
      <c r="F306" s="439">
        <v>43647</v>
      </c>
      <c r="G306" s="448">
        <v>93018.87</v>
      </c>
      <c r="H306" s="440"/>
      <c r="I306" s="440">
        <f t="shared" si="170"/>
        <v>93018.87</v>
      </c>
      <c r="J306" s="440"/>
      <c r="L306" s="462">
        <f t="shared" si="171"/>
        <v>93018.87</v>
      </c>
      <c r="M306" s="462"/>
      <c r="N306" s="444"/>
      <c r="O306" s="462">
        <f t="shared" si="172"/>
        <v>93018.87</v>
      </c>
      <c r="R306" s="462">
        <f t="shared" si="173"/>
        <v>93018.87</v>
      </c>
      <c r="U306" s="462">
        <f t="shared" si="174"/>
        <v>93018.87</v>
      </c>
      <c r="X306" s="462">
        <f t="shared" si="175"/>
        <v>93018.87</v>
      </c>
      <c r="AA306" s="462">
        <f t="shared" si="176"/>
        <v>93018.87</v>
      </c>
      <c r="AB306" s="447" t="s">
        <v>1732</v>
      </c>
      <c r="AC306" s="462">
        <f>AA306</f>
        <v>93018.87</v>
      </c>
      <c r="AD306" s="462">
        <f t="shared" si="148"/>
        <v>0</v>
      </c>
      <c r="AE306" s="447" t="s">
        <v>1756</v>
      </c>
      <c r="AG306" s="462">
        <f t="shared" si="149"/>
        <v>0</v>
      </c>
      <c r="AH306" s="447" t="s">
        <v>1826</v>
      </c>
      <c r="AJ306" s="462">
        <f t="shared" si="150"/>
        <v>0</v>
      </c>
      <c r="AM306" s="462">
        <f t="shared" si="151"/>
        <v>0</v>
      </c>
      <c r="AN306" s="447" t="s">
        <v>1974</v>
      </c>
      <c r="AP306" s="462">
        <f t="shared" si="152"/>
        <v>0</v>
      </c>
      <c r="AQ306" s="447" t="s">
        <v>2002</v>
      </c>
      <c r="AS306" s="459">
        <f t="shared" si="153"/>
        <v>0</v>
      </c>
      <c r="AV306" s="462">
        <f t="shared" si="154"/>
        <v>0</v>
      </c>
      <c r="AY306" s="462">
        <f t="shared" si="155"/>
        <v>0</v>
      </c>
      <c r="BB306" s="462">
        <f t="shared" si="156"/>
        <v>0</v>
      </c>
      <c r="BC306" s="447" t="s">
        <v>2204</v>
      </c>
      <c r="BE306" s="462">
        <f t="shared" si="157"/>
        <v>0</v>
      </c>
      <c r="BH306" s="462">
        <f t="shared" si="158"/>
        <v>0</v>
      </c>
      <c r="BK306" s="462">
        <f t="shared" si="159"/>
        <v>0</v>
      </c>
      <c r="BN306" s="462">
        <f t="shared" si="160"/>
        <v>0</v>
      </c>
      <c r="BQ306" s="462">
        <f t="shared" si="161"/>
        <v>0</v>
      </c>
      <c r="BT306" s="462">
        <f t="shared" si="162"/>
        <v>0</v>
      </c>
      <c r="BW306" s="462">
        <f t="shared" si="163"/>
        <v>0</v>
      </c>
      <c r="BZ306" s="462">
        <f t="shared" si="164"/>
        <v>0</v>
      </c>
      <c r="CD306" s="418" t="str">
        <f t="shared" si="165"/>
        <v>CU0736001</v>
      </c>
      <c r="CE306" s="442" t="str">
        <f t="shared" si="166"/>
        <v>2019年7月</v>
      </c>
      <c r="CF306" s="418" t="str">
        <f t="shared" si="167"/>
        <v>深圳市前海clife服务费暂估</v>
      </c>
      <c r="CG306" s="418" t="str">
        <f t="shared" si="168"/>
        <v>2019年7月深圳市前海clife服务费暂估</v>
      </c>
    </row>
    <row r="307" spans="2:85" s="447" customFormat="1" ht="17.25" customHeight="1">
      <c r="B307" s="447" t="str">
        <f t="shared" si="147"/>
        <v>CU0782</v>
      </c>
      <c r="C307" s="431" t="s">
        <v>755</v>
      </c>
      <c r="D307" s="367" t="s">
        <v>1652</v>
      </c>
      <c r="E307" s="367" t="s">
        <v>1725</v>
      </c>
      <c r="F307" s="439">
        <v>43647</v>
      </c>
      <c r="G307" s="448">
        <v>554785.79</v>
      </c>
      <c r="H307" s="440"/>
      <c r="I307" s="440">
        <f t="shared" si="170"/>
        <v>554785.79</v>
      </c>
      <c r="J307" s="440"/>
      <c r="L307" s="462">
        <f t="shared" si="171"/>
        <v>554785.79</v>
      </c>
      <c r="M307" s="462"/>
      <c r="N307" s="444"/>
      <c r="O307" s="462">
        <f t="shared" si="172"/>
        <v>554785.79</v>
      </c>
      <c r="R307" s="462">
        <f t="shared" si="173"/>
        <v>554785.79</v>
      </c>
      <c r="U307" s="462">
        <f t="shared" si="174"/>
        <v>554785.79</v>
      </c>
      <c r="X307" s="462">
        <f t="shared" si="175"/>
        <v>554785.79</v>
      </c>
      <c r="AA307" s="462">
        <f t="shared" si="176"/>
        <v>554785.79</v>
      </c>
      <c r="AB307" s="447" t="s">
        <v>1732</v>
      </c>
      <c r="AD307" s="462">
        <f t="shared" si="148"/>
        <v>554785.79</v>
      </c>
      <c r="AE307" s="447" t="s">
        <v>1756</v>
      </c>
      <c r="AG307" s="462">
        <f t="shared" si="149"/>
        <v>554785.79</v>
      </c>
      <c r="AH307" s="447" t="s">
        <v>1826</v>
      </c>
      <c r="AJ307" s="462">
        <f t="shared" si="150"/>
        <v>554785.79</v>
      </c>
      <c r="AK307" s="447" t="s">
        <v>1866</v>
      </c>
      <c r="AL307" s="462">
        <f>ROUND(322800/1.06,2)-AL265-16355.59</f>
        <v>274120.52999999997</v>
      </c>
      <c r="AM307" s="462">
        <f t="shared" si="151"/>
        <v>280665.26000000007</v>
      </c>
      <c r="AN307" s="447" t="s">
        <v>1974</v>
      </c>
      <c r="AO307" s="447">
        <v>1100</v>
      </c>
      <c r="AP307" s="462">
        <f t="shared" si="152"/>
        <v>279565.26000000007</v>
      </c>
      <c r="AQ307" s="447" t="s">
        <v>2002</v>
      </c>
      <c r="AR307" s="462">
        <f>AP307</f>
        <v>279565.26000000007</v>
      </c>
      <c r="AS307" s="459">
        <f t="shared" si="153"/>
        <v>0</v>
      </c>
      <c r="AV307" s="462">
        <f t="shared" si="154"/>
        <v>0</v>
      </c>
      <c r="AY307" s="462">
        <f t="shared" si="155"/>
        <v>0</v>
      </c>
      <c r="BB307" s="462">
        <f t="shared" si="156"/>
        <v>0</v>
      </c>
      <c r="BC307" s="447" t="s">
        <v>2204</v>
      </c>
      <c r="BE307" s="462">
        <f t="shared" si="157"/>
        <v>0</v>
      </c>
      <c r="BH307" s="462">
        <f t="shared" si="158"/>
        <v>0</v>
      </c>
      <c r="BK307" s="462">
        <f t="shared" si="159"/>
        <v>0</v>
      </c>
      <c r="BN307" s="462">
        <f t="shared" si="160"/>
        <v>0</v>
      </c>
      <c r="BQ307" s="462">
        <f t="shared" si="161"/>
        <v>0</v>
      </c>
      <c r="BT307" s="462">
        <f t="shared" si="162"/>
        <v>0</v>
      </c>
      <c r="BW307" s="462">
        <f t="shared" si="163"/>
        <v>0</v>
      </c>
      <c r="BZ307" s="462">
        <f t="shared" si="164"/>
        <v>0</v>
      </c>
      <c r="CD307" s="418" t="str">
        <f t="shared" si="165"/>
        <v>CU0782001</v>
      </c>
      <c r="CE307" s="442" t="str">
        <f t="shared" si="166"/>
        <v>2019年7月</v>
      </c>
      <c r="CF307" s="418" t="str">
        <f t="shared" si="167"/>
        <v>天职集团clife服务费暂估</v>
      </c>
      <c r="CG307" s="418" t="str">
        <f t="shared" si="168"/>
        <v>2019年7月天职集团clife服务费暂估</v>
      </c>
    </row>
    <row r="308" spans="2:85" s="447" customFormat="1" ht="17.25" customHeight="1">
      <c r="B308" s="447" t="str">
        <f t="shared" si="147"/>
        <v>CU0812</v>
      </c>
      <c r="C308" s="431" t="s">
        <v>755</v>
      </c>
      <c r="D308" s="367" t="s">
        <v>1455</v>
      </c>
      <c r="E308" s="367" t="s">
        <v>1315</v>
      </c>
      <c r="F308" s="439">
        <v>43647</v>
      </c>
      <c r="G308" s="448">
        <v>7809</v>
      </c>
      <c r="H308" s="440"/>
      <c r="I308" s="440">
        <f t="shared" si="170"/>
        <v>7809</v>
      </c>
      <c r="J308" s="440"/>
      <c r="L308" s="462">
        <f t="shared" si="171"/>
        <v>7809</v>
      </c>
      <c r="M308" s="462"/>
      <c r="N308" s="444"/>
      <c r="O308" s="462">
        <f t="shared" si="172"/>
        <v>7809</v>
      </c>
      <c r="R308" s="462">
        <f t="shared" si="173"/>
        <v>7809</v>
      </c>
      <c r="U308" s="462">
        <f t="shared" si="174"/>
        <v>7809</v>
      </c>
      <c r="X308" s="462">
        <f t="shared" si="175"/>
        <v>7809</v>
      </c>
      <c r="AA308" s="462">
        <f t="shared" si="176"/>
        <v>7809</v>
      </c>
      <c r="AB308" s="447" t="s">
        <v>1732</v>
      </c>
      <c r="AC308" s="462">
        <f>ROUND(945/1.06,2)+4804.5</f>
        <v>5696.01</v>
      </c>
      <c r="AD308" s="462">
        <f t="shared" si="148"/>
        <v>2112.9899999999998</v>
      </c>
      <c r="AE308" s="447" t="s">
        <v>1756</v>
      </c>
      <c r="AG308" s="462">
        <f t="shared" si="149"/>
        <v>2112.9899999999998</v>
      </c>
      <c r="AH308" s="447" t="s">
        <v>1826</v>
      </c>
      <c r="AI308" s="462">
        <f>AG308</f>
        <v>2112.9899999999998</v>
      </c>
      <c r="AJ308" s="462">
        <f t="shared" si="150"/>
        <v>0</v>
      </c>
      <c r="AM308" s="462">
        <f t="shared" si="151"/>
        <v>0</v>
      </c>
      <c r="AN308" s="447" t="s">
        <v>1974</v>
      </c>
      <c r="AP308" s="462">
        <f t="shared" si="152"/>
        <v>0</v>
      </c>
      <c r="AQ308" s="447" t="s">
        <v>2002</v>
      </c>
      <c r="AS308" s="459">
        <f t="shared" si="153"/>
        <v>0</v>
      </c>
      <c r="AV308" s="462">
        <f t="shared" si="154"/>
        <v>0</v>
      </c>
      <c r="AY308" s="462">
        <f t="shared" si="155"/>
        <v>0</v>
      </c>
      <c r="BB308" s="462">
        <f t="shared" si="156"/>
        <v>0</v>
      </c>
      <c r="BC308" s="447" t="s">
        <v>2204</v>
      </c>
      <c r="BE308" s="462">
        <f t="shared" si="157"/>
        <v>0</v>
      </c>
      <c r="BH308" s="462">
        <f t="shared" si="158"/>
        <v>0</v>
      </c>
      <c r="BK308" s="462">
        <f t="shared" si="159"/>
        <v>0</v>
      </c>
      <c r="BN308" s="462">
        <f t="shared" si="160"/>
        <v>0</v>
      </c>
      <c r="BQ308" s="462">
        <f t="shared" si="161"/>
        <v>0</v>
      </c>
      <c r="BT308" s="462">
        <f t="shared" si="162"/>
        <v>0</v>
      </c>
      <c r="BW308" s="462">
        <f t="shared" si="163"/>
        <v>0</v>
      </c>
      <c r="BZ308" s="462">
        <f t="shared" si="164"/>
        <v>0</v>
      </c>
      <c r="CD308" s="418" t="str">
        <f t="shared" si="165"/>
        <v>CU0812001</v>
      </c>
      <c r="CE308" s="442" t="str">
        <f t="shared" si="166"/>
        <v>2019年7月</v>
      </c>
      <c r="CF308" s="418" t="str">
        <f t="shared" si="167"/>
        <v>恩派clife服务费暂估</v>
      </c>
      <c r="CG308" s="418" t="str">
        <f t="shared" si="168"/>
        <v>2019年7月恩派clife服务费暂估</v>
      </c>
    </row>
    <row r="309" spans="2:85" s="447" customFormat="1" ht="17.25" customHeight="1">
      <c r="B309" s="447" t="str">
        <f t="shared" si="147"/>
        <v>CU0822</v>
      </c>
      <c r="C309" s="431" t="s">
        <v>755</v>
      </c>
      <c r="D309" s="367" t="s">
        <v>1456</v>
      </c>
      <c r="E309" s="367" t="s">
        <v>1726</v>
      </c>
      <c r="F309" s="439">
        <v>43647</v>
      </c>
      <c r="G309" s="448">
        <v>75399.87</v>
      </c>
      <c r="H309" s="440"/>
      <c r="I309" s="440">
        <f t="shared" si="170"/>
        <v>75399.87</v>
      </c>
      <c r="J309" s="440"/>
      <c r="L309" s="462">
        <f t="shared" si="171"/>
        <v>75399.87</v>
      </c>
      <c r="M309" s="462"/>
      <c r="N309" s="444"/>
      <c r="O309" s="462">
        <f t="shared" si="172"/>
        <v>75399.87</v>
      </c>
      <c r="R309" s="462">
        <f t="shared" si="173"/>
        <v>75399.87</v>
      </c>
      <c r="U309" s="462">
        <f t="shared" si="174"/>
        <v>75399.87</v>
      </c>
      <c r="X309" s="462">
        <f t="shared" si="175"/>
        <v>75399.87</v>
      </c>
      <c r="AA309" s="462">
        <f t="shared" si="176"/>
        <v>75399.87</v>
      </c>
      <c r="AB309" s="447" t="s">
        <v>1732</v>
      </c>
      <c r="AD309" s="462">
        <f t="shared" si="148"/>
        <v>75399.87</v>
      </c>
      <c r="AE309" s="447" t="s">
        <v>1756</v>
      </c>
      <c r="AF309" s="462">
        <f>AD309</f>
        <v>75399.87</v>
      </c>
      <c r="AG309" s="462">
        <f t="shared" si="149"/>
        <v>0</v>
      </c>
      <c r="AH309" s="447" t="s">
        <v>1826</v>
      </c>
      <c r="AJ309" s="462">
        <f t="shared" si="150"/>
        <v>0</v>
      </c>
      <c r="AM309" s="462">
        <f t="shared" si="151"/>
        <v>0</v>
      </c>
      <c r="AN309" s="447" t="s">
        <v>1974</v>
      </c>
      <c r="AP309" s="462">
        <f t="shared" si="152"/>
        <v>0</v>
      </c>
      <c r="AQ309" s="447" t="s">
        <v>2002</v>
      </c>
      <c r="AS309" s="459">
        <f t="shared" si="153"/>
        <v>0</v>
      </c>
      <c r="AV309" s="462">
        <f t="shared" si="154"/>
        <v>0</v>
      </c>
      <c r="AY309" s="462">
        <f t="shared" si="155"/>
        <v>0</v>
      </c>
      <c r="BB309" s="462">
        <f t="shared" si="156"/>
        <v>0</v>
      </c>
      <c r="BC309" s="447" t="s">
        <v>2204</v>
      </c>
      <c r="BE309" s="462">
        <f t="shared" si="157"/>
        <v>0</v>
      </c>
      <c r="BH309" s="462">
        <f t="shared" si="158"/>
        <v>0</v>
      </c>
      <c r="BK309" s="462">
        <f t="shared" si="159"/>
        <v>0</v>
      </c>
      <c r="BN309" s="462">
        <f t="shared" si="160"/>
        <v>0</v>
      </c>
      <c r="BQ309" s="462">
        <f t="shared" si="161"/>
        <v>0</v>
      </c>
      <c r="BT309" s="462">
        <f t="shared" si="162"/>
        <v>0</v>
      </c>
      <c r="BW309" s="462">
        <f t="shared" si="163"/>
        <v>0</v>
      </c>
      <c r="BZ309" s="462">
        <f t="shared" si="164"/>
        <v>0</v>
      </c>
      <c r="CD309" s="418" t="str">
        <f t="shared" si="165"/>
        <v>CU0822001</v>
      </c>
      <c r="CE309" s="442" t="str">
        <f t="shared" si="166"/>
        <v>2019年7月</v>
      </c>
      <c r="CF309" s="418" t="str">
        <f t="shared" si="167"/>
        <v>美克国际家clife服务费暂估</v>
      </c>
      <c r="CG309" s="418" t="str">
        <f t="shared" si="168"/>
        <v>2019年7月美克国际家clife服务费暂估</v>
      </c>
    </row>
    <row r="310" spans="2:85" s="447" customFormat="1" ht="17.25" customHeight="1">
      <c r="B310" s="447" t="str">
        <f t="shared" si="147"/>
        <v>CU0823</v>
      </c>
      <c r="C310" s="431" t="s">
        <v>755</v>
      </c>
      <c r="D310" s="367" t="s">
        <v>1457</v>
      </c>
      <c r="E310" s="367" t="s">
        <v>581</v>
      </c>
      <c r="F310" s="439">
        <v>43647</v>
      </c>
      <c r="G310" s="448">
        <v>10218.9</v>
      </c>
      <c r="H310" s="440"/>
      <c r="I310" s="440">
        <f t="shared" si="170"/>
        <v>10218.9</v>
      </c>
      <c r="J310" s="440"/>
      <c r="L310" s="462">
        <f t="shared" si="171"/>
        <v>10218.9</v>
      </c>
      <c r="M310" s="462"/>
      <c r="N310" s="444"/>
      <c r="O310" s="462">
        <f t="shared" si="172"/>
        <v>10218.9</v>
      </c>
      <c r="R310" s="462">
        <f t="shared" si="173"/>
        <v>10218.9</v>
      </c>
      <c r="U310" s="462">
        <f t="shared" si="174"/>
        <v>10218.9</v>
      </c>
      <c r="X310" s="462">
        <f t="shared" si="175"/>
        <v>10218.9</v>
      </c>
      <c r="AA310" s="462">
        <f t="shared" si="176"/>
        <v>10218.9</v>
      </c>
      <c r="AB310" s="447" t="s">
        <v>1732</v>
      </c>
      <c r="AD310" s="462">
        <f t="shared" si="148"/>
        <v>10218.9</v>
      </c>
      <c r="AE310" s="447" t="s">
        <v>1756</v>
      </c>
      <c r="AG310" s="462">
        <f t="shared" si="149"/>
        <v>10218.9</v>
      </c>
      <c r="AH310" s="447" t="s">
        <v>1826</v>
      </c>
      <c r="AJ310" s="462">
        <f t="shared" si="150"/>
        <v>10218.9</v>
      </c>
      <c r="AK310" s="447" t="s">
        <v>1866</v>
      </c>
      <c r="AM310" s="462">
        <f t="shared" si="151"/>
        <v>10218.9</v>
      </c>
      <c r="AN310" s="447" t="s">
        <v>1974</v>
      </c>
      <c r="AP310" s="462">
        <f t="shared" si="152"/>
        <v>10218.9</v>
      </c>
      <c r="AQ310" s="447" t="s">
        <v>2002</v>
      </c>
      <c r="AS310" s="459">
        <f t="shared" si="153"/>
        <v>10218.9</v>
      </c>
      <c r="AV310" s="462">
        <f t="shared" si="154"/>
        <v>10218.9</v>
      </c>
      <c r="AW310" s="447" t="s">
        <v>2107</v>
      </c>
      <c r="AY310" s="462">
        <f t="shared" si="155"/>
        <v>10218.9</v>
      </c>
      <c r="AZ310" s="447" t="s">
        <v>2131</v>
      </c>
      <c r="BA310" s="462">
        <f>AY310</f>
        <v>10218.9</v>
      </c>
      <c r="BB310" s="462">
        <f t="shared" si="156"/>
        <v>0</v>
      </c>
      <c r="BC310" s="447" t="s">
        <v>2204</v>
      </c>
      <c r="BE310" s="462">
        <f t="shared" si="157"/>
        <v>0</v>
      </c>
      <c r="BH310" s="462">
        <f t="shared" si="158"/>
        <v>0</v>
      </c>
      <c r="BK310" s="462">
        <f t="shared" si="159"/>
        <v>0</v>
      </c>
      <c r="BN310" s="462">
        <f t="shared" si="160"/>
        <v>0</v>
      </c>
      <c r="BQ310" s="462">
        <f t="shared" si="161"/>
        <v>0</v>
      </c>
      <c r="BT310" s="462">
        <f t="shared" si="162"/>
        <v>0</v>
      </c>
      <c r="BW310" s="462">
        <f t="shared" si="163"/>
        <v>0</v>
      </c>
      <c r="BZ310" s="462">
        <f t="shared" si="164"/>
        <v>0</v>
      </c>
      <c r="CD310" s="418" t="str">
        <f t="shared" si="165"/>
        <v>CU0823001</v>
      </c>
      <c r="CE310" s="442" t="str">
        <f t="shared" si="166"/>
        <v>2019年7月</v>
      </c>
      <c r="CF310" s="418" t="str">
        <f t="shared" si="167"/>
        <v>凯杰生物工clife服务费暂估</v>
      </c>
      <c r="CG310" s="418" t="str">
        <f t="shared" si="168"/>
        <v>2019年7月凯杰生物工clife服务费暂估</v>
      </c>
    </row>
    <row r="311" spans="2:85" s="447" customFormat="1" ht="17.25" customHeight="1">
      <c r="B311" s="447" t="str">
        <f t="shared" si="147"/>
        <v>CU0824</v>
      </c>
      <c r="C311" s="431" t="s">
        <v>755</v>
      </c>
      <c r="D311" s="367" t="s">
        <v>1458</v>
      </c>
      <c r="E311" s="367" t="s">
        <v>1727</v>
      </c>
      <c r="F311" s="439">
        <v>43647</v>
      </c>
      <c r="G311" s="448">
        <v>827.22</v>
      </c>
      <c r="H311" s="440"/>
      <c r="I311" s="440">
        <f t="shared" si="170"/>
        <v>827.22</v>
      </c>
      <c r="J311" s="440"/>
      <c r="L311" s="462">
        <f t="shared" si="171"/>
        <v>827.22</v>
      </c>
      <c r="M311" s="462"/>
      <c r="N311" s="444"/>
      <c r="O311" s="462">
        <f t="shared" si="172"/>
        <v>827.22</v>
      </c>
      <c r="R311" s="462">
        <f t="shared" si="173"/>
        <v>827.22</v>
      </c>
      <c r="U311" s="462">
        <f t="shared" si="174"/>
        <v>827.22</v>
      </c>
      <c r="X311" s="462">
        <f t="shared" si="175"/>
        <v>827.22</v>
      </c>
      <c r="AA311" s="462">
        <f t="shared" si="176"/>
        <v>827.22</v>
      </c>
      <c r="AB311" s="447" t="s">
        <v>1732</v>
      </c>
      <c r="AD311" s="462">
        <f t="shared" si="148"/>
        <v>827.22</v>
      </c>
      <c r="AE311" s="447" t="s">
        <v>1756</v>
      </c>
      <c r="AG311" s="462">
        <f t="shared" si="149"/>
        <v>827.22</v>
      </c>
      <c r="AH311" s="447" t="s">
        <v>1826</v>
      </c>
      <c r="AJ311" s="462">
        <f t="shared" si="150"/>
        <v>827.22</v>
      </c>
      <c r="AK311" s="447" t="s">
        <v>1866</v>
      </c>
      <c r="AM311" s="462">
        <f t="shared" si="151"/>
        <v>827.22</v>
      </c>
      <c r="AN311" s="447" t="s">
        <v>1974</v>
      </c>
      <c r="AP311" s="462">
        <f t="shared" si="152"/>
        <v>827.22</v>
      </c>
      <c r="AQ311" s="447" t="s">
        <v>2002</v>
      </c>
      <c r="AS311" s="459">
        <f t="shared" si="153"/>
        <v>827.22</v>
      </c>
      <c r="AU311" s="462">
        <f>AS311</f>
        <v>827.22</v>
      </c>
      <c r="AV311" s="462">
        <f t="shared" si="154"/>
        <v>0</v>
      </c>
      <c r="AY311" s="462">
        <f t="shared" si="155"/>
        <v>0</v>
      </c>
      <c r="BB311" s="462">
        <f t="shared" si="156"/>
        <v>0</v>
      </c>
      <c r="BC311" s="447" t="s">
        <v>2204</v>
      </c>
      <c r="BE311" s="462">
        <f t="shared" si="157"/>
        <v>0</v>
      </c>
      <c r="BH311" s="462">
        <f t="shared" si="158"/>
        <v>0</v>
      </c>
      <c r="BK311" s="462">
        <f t="shared" si="159"/>
        <v>0</v>
      </c>
      <c r="BN311" s="462">
        <f t="shared" si="160"/>
        <v>0</v>
      </c>
      <c r="BQ311" s="462">
        <f t="shared" si="161"/>
        <v>0</v>
      </c>
      <c r="BT311" s="462">
        <f t="shared" si="162"/>
        <v>0</v>
      </c>
      <c r="BW311" s="462">
        <f t="shared" si="163"/>
        <v>0</v>
      </c>
      <c r="BZ311" s="462">
        <f t="shared" si="164"/>
        <v>0</v>
      </c>
      <c r="CD311" s="418" t="str">
        <f t="shared" si="165"/>
        <v>CU0824001</v>
      </c>
      <c r="CE311" s="442" t="str">
        <f t="shared" si="166"/>
        <v>2019年7月</v>
      </c>
      <c r="CF311" s="418" t="str">
        <f t="shared" si="167"/>
        <v>苏州舒尔贸clife服务费暂估</v>
      </c>
      <c r="CG311" s="418" t="str">
        <f t="shared" si="168"/>
        <v>2019年7月苏州舒尔贸clife服务费暂估</v>
      </c>
    </row>
    <row r="312" spans="2:85" s="447" customFormat="1" ht="17.25" customHeight="1">
      <c r="B312" s="447" t="str">
        <f t="shared" si="147"/>
        <v>CU0869</v>
      </c>
      <c r="C312" s="431" t="s">
        <v>755</v>
      </c>
      <c r="D312" s="367" t="s">
        <v>1459</v>
      </c>
      <c r="E312" s="367" t="s">
        <v>1469</v>
      </c>
      <c r="F312" s="439">
        <v>43647</v>
      </c>
      <c r="G312" s="448">
        <v>62253.25</v>
      </c>
      <c r="H312" s="440"/>
      <c r="I312" s="440">
        <f t="shared" si="170"/>
        <v>62253.25</v>
      </c>
      <c r="J312" s="440"/>
      <c r="L312" s="462">
        <f t="shared" si="171"/>
        <v>62253.25</v>
      </c>
      <c r="M312" s="462"/>
      <c r="N312" s="444"/>
      <c r="O312" s="462">
        <f t="shared" si="172"/>
        <v>62253.25</v>
      </c>
      <c r="R312" s="462">
        <f t="shared" si="173"/>
        <v>62253.25</v>
      </c>
      <c r="U312" s="462">
        <f t="shared" si="174"/>
        <v>62253.25</v>
      </c>
      <c r="X312" s="462">
        <f t="shared" si="175"/>
        <v>62253.25</v>
      </c>
      <c r="AA312" s="462">
        <f t="shared" si="176"/>
        <v>62253.25</v>
      </c>
      <c r="AB312" s="447" t="s">
        <v>1732</v>
      </c>
      <c r="AD312" s="462">
        <f t="shared" si="148"/>
        <v>62253.25</v>
      </c>
      <c r="AE312" s="447" t="s">
        <v>1756</v>
      </c>
      <c r="AG312" s="462">
        <f t="shared" si="149"/>
        <v>62253.25</v>
      </c>
      <c r="AH312" s="447" t="s">
        <v>1826</v>
      </c>
      <c r="AI312" s="462">
        <f>300000-AI216-AI238-AI271-AI293+34264.47</f>
        <v>62253.253018867937</v>
      </c>
      <c r="AJ312" s="462">
        <f t="shared" si="150"/>
        <v>-3.018867937498726E-3</v>
      </c>
      <c r="AM312" s="462">
        <f t="shared" si="151"/>
        <v>-3.018867937498726E-3</v>
      </c>
      <c r="AN312" s="447" t="s">
        <v>1974</v>
      </c>
      <c r="AP312" s="462">
        <f t="shared" si="152"/>
        <v>-3.018867937498726E-3</v>
      </c>
      <c r="AQ312" s="447" t="s">
        <v>2002</v>
      </c>
      <c r="AS312" s="459">
        <f t="shared" si="153"/>
        <v>-3.018867937498726E-3</v>
      </c>
      <c r="AV312" s="462">
        <f t="shared" si="154"/>
        <v>-3.018867937498726E-3</v>
      </c>
      <c r="AY312" s="462">
        <f t="shared" si="155"/>
        <v>-3.018867937498726E-3</v>
      </c>
      <c r="BB312" s="462">
        <f t="shared" si="156"/>
        <v>-3.018867937498726E-3</v>
      </c>
      <c r="BC312" s="447" t="s">
        <v>2204</v>
      </c>
      <c r="BE312" s="462">
        <f t="shared" si="157"/>
        <v>-3.018867937498726E-3</v>
      </c>
      <c r="BH312" s="462">
        <f t="shared" si="158"/>
        <v>-3.018867937498726E-3</v>
      </c>
      <c r="BK312" s="462">
        <f t="shared" si="159"/>
        <v>-3.018867937498726E-3</v>
      </c>
      <c r="BN312" s="462">
        <f t="shared" si="160"/>
        <v>-3.018867937498726E-3</v>
      </c>
      <c r="BQ312" s="462">
        <f t="shared" si="161"/>
        <v>0</v>
      </c>
      <c r="BT312" s="462">
        <f t="shared" si="162"/>
        <v>0</v>
      </c>
      <c r="BW312" s="462">
        <f t="shared" si="163"/>
        <v>0</v>
      </c>
      <c r="BZ312" s="462">
        <f t="shared" si="164"/>
        <v>0</v>
      </c>
      <c r="CD312" s="418" t="str">
        <f t="shared" si="165"/>
        <v>CU0869001</v>
      </c>
      <c r="CE312" s="442" t="str">
        <f t="shared" si="166"/>
        <v>2019年7月</v>
      </c>
      <c r="CF312" s="418" t="str">
        <f t="shared" si="167"/>
        <v>智睿clife服务费暂估</v>
      </c>
      <c r="CG312" s="418" t="str">
        <f t="shared" si="168"/>
        <v>2019年7月智睿clife服务费暂估</v>
      </c>
    </row>
    <row r="313" spans="2:85" s="447" customFormat="1" ht="17.25" customHeight="1">
      <c r="B313" s="447" t="str">
        <f t="shared" si="147"/>
        <v>CU0884</v>
      </c>
      <c r="C313" s="431" t="s">
        <v>755</v>
      </c>
      <c r="D313" s="367" t="s">
        <v>1575</v>
      </c>
      <c r="E313" s="367" t="s">
        <v>1728</v>
      </c>
      <c r="F313" s="439">
        <v>43647</v>
      </c>
      <c r="G313" s="448">
        <v>6807.85</v>
      </c>
      <c r="H313" s="440"/>
      <c r="I313" s="440">
        <f t="shared" si="170"/>
        <v>6807.85</v>
      </c>
      <c r="J313" s="440"/>
      <c r="L313" s="462">
        <f t="shared" si="171"/>
        <v>6807.85</v>
      </c>
      <c r="M313" s="462"/>
      <c r="N313" s="444"/>
      <c r="O313" s="462">
        <f t="shared" si="172"/>
        <v>6807.85</v>
      </c>
      <c r="R313" s="462">
        <f t="shared" si="173"/>
        <v>6807.85</v>
      </c>
      <c r="U313" s="462">
        <f t="shared" si="174"/>
        <v>6807.85</v>
      </c>
      <c r="X313" s="462">
        <f t="shared" si="175"/>
        <v>6807.85</v>
      </c>
      <c r="AA313" s="462">
        <f t="shared" si="176"/>
        <v>6807.85</v>
      </c>
      <c r="AB313" s="447" t="s">
        <v>1732</v>
      </c>
      <c r="AD313" s="462">
        <f t="shared" si="148"/>
        <v>6807.85</v>
      </c>
      <c r="AE313" s="447" t="s">
        <v>1756</v>
      </c>
      <c r="AG313" s="462">
        <f t="shared" si="149"/>
        <v>6807.85</v>
      </c>
      <c r="AH313" s="447" t="s">
        <v>1826</v>
      </c>
      <c r="AI313" s="462">
        <f>AG313</f>
        <v>6807.85</v>
      </c>
      <c r="AJ313" s="462">
        <f t="shared" si="150"/>
        <v>0</v>
      </c>
      <c r="AM313" s="462">
        <f t="shared" si="151"/>
        <v>0</v>
      </c>
      <c r="AN313" s="447" t="s">
        <v>1974</v>
      </c>
      <c r="AP313" s="462">
        <f t="shared" si="152"/>
        <v>0</v>
      </c>
      <c r="AQ313" s="447" t="s">
        <v>2002</v>
      </c>
      <c r="AS313" s="459">
        <f t="shared" si="153"/>
        <v>0</v>
      </c>
      <c r="AV313" s="462">
        <f t="shared" si="154"/>
        <v>0</v>
      </c>
      <c r="AY313" s="462">
        <f t="shared" si="155"/>
        <v>0</v>
      </c>
      <c r="BB313" s="462">
        <f t="shared" si="156"/>
        <v>0</v>
      </c>
      <c r="BC313" s="447" t="s">
        <v>2204</v>
      </c>
      <c r="BE313" s="462">
        <f t="shared" si="157"/>
        <v>0</v>
      </c>
      <c r="BH313" s="462">
        <f t="shared" si="158"/>
        <v>0</v>
      </c>
      <c r="BK313" s="462">
        <f t="shared" si="159"/>
        <v>0</v>
      </c>
      <c r="BN313" s="462">
        <f t="shared" si="160"/>
        <v>0</v>
      </c>
      <c r="BQ313" s="462">
        <f t="shared" si="161"/>
        <v>0</v>
      </c>
      <c r="BT313" s="462">
        <f t="shared" si="162"/>
        <v>0</v>
      </c>
      <c r="BW313" s="462">
        <f t="shared" si="163"/>
        <v>0</v>
      </c>
      <c r="BZ313" s="462">
        <f t="shared" si="164"/>
        <v>0</v>
      </c>
      <c r="CD313" s="418" t="str">
        <f t="shared" si="165"/>
        <v>CU0884001</v>
      </c>
      <c r="CE313" s="442" t="str">
        <f t="shared" si="166"/>
        <v>2019年7月</v>
      </c>
      <c r="CF313" s="418" t="str">
        <f t="shared" si="167"/>
        <v>恩德斯豪斯clife服务费暂估</v>
      </c>
      <c r="CG313" s="418" t="str">
        <f t="shared" si="168"/>
        <v>2019年7月恩德斯豪斯clife服务费暂估</v>
      </c>
    </row>
    <row r="314" spans="2:85" s="447" customFormat="1" ht="17.25" customHeight="1">
      <c r="B314" s="447" t="str">
        <f t="shared" si="147"/>
        <v>CU0914</v>
      </c>
      <c r="C314" s="431" t="s">
        <v>755</v>
      </c>
      <c r="D314" s="367" t="s">
        <v>1721</v>
      </c>
      <c r="E314" s="367" t="s">
        <v>1729</v>
      </c>
      <c r="F314" s="439">
        <v>43647</v>
      </c>
      <c r="G314" s="448">
        <v>425708.95</v>
      </c>
      <c r="H314" s="440"/>
      <c r="I314" s="440">
        <f t="shared" si="170"/>
        <v>425708.95</v>
      </c>
      <c r="J314" s="440"/>
      <c r="L314" s="462">
        <f t="shared" si="171"/>
        <v>425708.95</v>
      </c>
      <c r="M314" s="462"/>
      <c r="N314" s="444"/>
      <c r="O314" s="462">
        <f t="shared" si="172"/>
        <v>425708.95</v>
      </c>
      <c r="R314" s="462">
        <f t="shared" si="173"/>
        <v>425708.95</v>
      </c>
      <c r="U314" s="462">
        <f t="shared" si="174"/>
        <v>425708.95</v>
      </c>
      <c r="X314" s="462">
        <f t="shared" si="175"/>
        <v>425708.95</v>
      </c>
      <c r="AA314" s="462">
        <f t="shared" si="176"/>
        <v>425708.95</v>
      </c>
      <c r="AB314" s="447" t="s">
        <v>1732</v>
      </c>
      <c r="AC314" s="462">
        <f>ROUND(438830.46/1.06,2)-AC165-AC240</f>
        <v>325247.28698113194</v>
      </c>
      <c r="AD314" s="462">
        <f t="shared" si="148"/>
        <v>100461.66301886807</v>
      </c>
      <c r="AE314" s="447" t="s">
        <v>1756</v>
      </c>
      <c r="AG314" s="462">
        <f t="shared" si="149"/>
        <v>100461.66301886807</v>
      </c>
      <c r="AH314" s="447" t="s">
        <v>1826</v>
      </c>
      <c r="AI314" s="447">
        <f>ROUND(43800/1.06,2)</f>
        <v>41320.75</v>
      </c>
      <c r="AJ314" s="462">
        <f t="shared" si="150"/>
        <v>59140.913018868072</v>
      </c>
      <c r="AK314" s="447" t="s">
        <v>1866</v>
      </c>
      <c r="AM314" s="462">
        <f t="shared" si="151"/>
        <v>59140.913018868072</v>
      </c>
      <c r="AN314" s="447" t="s">
        <v>1974</v>
      </c>
      <c r="AP314" s="462">
        <f t="shared" si="152"/>
        <v>59140.913018868072</v>
      </c>
      <c r="AQ314" s="447" t="s">
        <v>2002</v>
      </c>
      <c r="AR314" s="447">
        <f>ROUND(43600/1.06,2)</f>
        <v>41132.080000000002</v>
      </c>
      <c r="AS314" s="459">
        <f t="shared" si="153"/>
        <v>18008.83301886807</v>
      </c>
      <c r="AV314" s="462">
        <f t="shared" si="154"/>
        <v>18008.83301886807</v>
      </c>
      <c r="AW314" s="447" t="s">
        <v>2107</v>
      </c>
      <c r="AX314" s="462">
        <f>AV314</f>
        <v>18008.83301886807</v>
      </c>
      <c r="AY314" s="462">
        <f t="shared" si="155"/>
        <v>0</v>
      </c>
      <c r="BB314" s="462">
        <f t="shared" si="156"/>
        <v>0</v>
      </c>
      <c r="BC314" s="447" t="s">
        <v>2204</v>
      </c>
      <c r="BE314" s="462">
        <f t="shared" si="157"/>
        <v>0</v>
      </c>
      <c r="BH314" s="462">
        <f t="shared" si="158"/>
        <v>0</v>
      </c>
      <c r="BK314" s="462">
        <f t="shared" si="159"/>
        <v>0</v>
      </c>
      <c r="BN314" s="462">
        <f t="shared" si="160"/>
        <v>0</v>
      </c>
      <c r="BQ314" s="462">
        <f t="shared" si="161"/>
        <v>0</v>
      </c>
      <c r="BT314" s="462">
        <f t="shared" si="162"/>
        <v>0</v>
      </c>
      <c r="BW314" s="462">
        <f t="shared" si="163"/>
        <v>0</v>
      </c>
      <c r="BZ314" s="462">
        <f t="shared" si="164"/>
        <v>0</v>
      </c>
      <c r="CD314" s="418" t="str">
        <f t="shared" si="165"/>
        <v>CU0914001</v>
      </c>
      <c r="CE314" s="442" t="str">
        <f t="shared" si="166"/>
        <v>2019年7月</v>
      </c>
      <c r="CF314" s="418" t="str">
        <f t="shared" si="167"/>
        <v>鑫车投资（clife服务费暂估</v>
      </c>
      <c r="CG314" s="418" t="str">
        <f t="shared" si="168"/>
        <v>2019年7月鑫车投资（clife服务费暂估</v>
      </c>
    </row>
    <row r="315" spans="2:85" s="447" customFormat="1" ht="17.25" customHeight="1">
      <c r="B315" s="447" t="str">
        <f t="shared" si="147"/>
        <v>CU1016</v>
      </c>
      <c r="C315" s="431" t="s">
        <v>755</v>
      </c>
      <c r="D315" s="367" t="s">
        <v>1524</v>
      </c>
      <c r="E315" s="367" t="s">
        <v>1536</v>
      </c>
      <c r="F315" s="439">
        <v>43647</v>
      </c>
      <c r="G315" s="448">
        <v>15104.33</v>
      </c>
      <c r="H315" s="440"/>
      <c r="I315" s="440">
        <f t="shared" si="170"/>
        <v>15104.33</v>
      </c>
      <c r="J315" s="440"/>
      <c r="L315" s="462">
        <f t="shared" si="171"/>
        <v>15104.33</v>
      </c>
      <c r="M315" s="462"/>
      <c r="N315" s="444"/>
      <c r="O315" s="462">
        <f t="shared" si="172"/>
        <v>15104.33</v>
      </c>
      <c r="R315" s="462">
        <f t="shared" si="173"/>
        <v>15104.33</v>
      </c>
      <c r="U315" s="462">
        <f t="shared" si="174"/>
        <v>15104.33</v>
      </c>
      <c r="X315" s="462">
        <f t="shared" si="175"/>
        <v>15104.33</v>
      </c>
      <c r="AA315" s="462">
        <f t="shared" si="176"/>
        <v>15104.33</v>
      </c>
      <c r="AB315" s="447" t="s">
        <v>1732</v>
      </c>
      <c r="AC315" s="447">
        <f>ROUND(53730/1.06,2)-AC177-AC219-AC241-AC275-AC295</f>
        <v>8410.5626415094303</v>
      </c>
      <c r="AD315" s="462">
        <f t="shared" si="148"/>
        <v>6693.7673584905697</v>
      </c>
      <c r="AE315" s="447" t="s">
        <v>1756</v>
      </c>
      <c r="AG315" s="462">
        <f t="shared" si="149"/>
        <v>6693.7673584905697</v>
      </c>
      <c r="AH315" s="447" t="s">
        <v>1826</v>
      </c>
      <c r="AI315" s="462">
        <f>AG315</f>
        <v>6693.7673584905697</v>
      </c>
      <c r="AJ315" s="462">
        <f t="shared" si="150"/>
        <v>0</v>
      </c>
      <c r="AK315" s="447" t="s">
        <v>1866</v>
      </c>
      <c r="AM315" s="462">
        <f t="shared" si="151"/>
        <v>0</v>
      </c>
      <c r="AN315" s="447" t="s">
        <v>1974</v>
      </c>
      <c r="AP315" s="462">
        <f t="shared" si="152"/>
        <v>0</v>
      </c>
      <c r="AQ315" s="447" t="s">
        <v>2002</v>
      </c>
      <c r="AS315" s="459">
        <f t="shared" si="153"/>
        <v>0</v>
      </c>
      <c r="AV315" s="462">
        <f t="shared" si="154"/>
        <v>0</v>
      </c>
      <c r="AY315" s="462">
        <f t="shared" si="155"/>
        <v>0</v>
      </c>
      <c r="BB315" s="462">
        <f t="shared" si="156"/>
        <v>0</v>
      </c>
      <c r="BC315" s="447" t="s">
        <v>2204</v>
      </c>
      <c r="BE315" s="462">
        <f t="shared" si="157"/>
        <v>0</v>
      </c>
      <c r="BH315" s="462">
        <f t="shared" si="158"/>
        <v>0</v>
      </c>
      <c r="BK315" s="462">
        <f t="shared" si="159"/>
        <v>0</v>
      </c>
      <c r="BN315" s="462">
        <f t="shared" si="160"/>
        <v>0</v>
      </c>
      <c r="BQ315" s="462">
        <f t="shared" si="161"/>
        <v>0</v>
      </c>
      <c r="BT315" s="462">
        <f t="shared" si="162"/>
        <v>0</v>
      </c>
      <c r="BW315" s="462">
        <f t="shared" si="163"/>
        <v>0</v>
      </c>
      <c r="BZ315" s="462">
        <f t="shared" si="164"/>
        <v>0</v>
      </c>
      <c r="CD315" s="418" t="str">
        <f t="shared" si="165"/>
        <v>CU1016001</v>
      </c>
      <c r="CE315" s="442" t="str">
        <f t="shared" si="166"/>
        <v>2019年7月</v>
      </c>
      <c r="CF315" s="418" t="str">
        <f t="shared" si="167"/>
        <v>乔治阿玛尼clife服务费暂估</v>
      </c>
      <c r="CG315" s="418" t="str">
        <f t="shared" si="168"/>
        <v>2019年7月乔治阿玛尼clife服务费暂估</v>
      </c>
    </row>
    <row r="316" spans="2:85" s="447" customFormat="1" ht="17.25" customHeight="1">
      <c r="B316" s="447" t="str">
        <f t="shared" si="147"/>
        <v>CU1159</v>
      </c>
      <c r="C316" s="431" t="s">
        <v>755</v>
      </c>
      <c r="D316" s="367" t="s">
        <v>1722</v>
      </c>
      <c r="E316" s="367" t="s">
        <v>1730</v>
      </c>
      <c r="F316" s="439">
        <v>43647</v>
      </c>
      <c r="G316" s="448">
        <v>329856.61</v>
      </c>
      <c r="H316" s="440"/>
      <c r="I316" s="440">
        <f t="shared" si="170"/>
        <v>329856.61</v>
      </c>
      <c r="J316" s="440"/>
      <c r="L316" s="462">
        <f t="shared" si="171"/>
        <v>329856.61</v>
      </c>
      <c r="M316" s="462"/>
      <c r="N316" s="444"/>
      <c r="O316" s="462">
        <f t="shared" si="172"/>
        <v>329856.61</v>
      </c>
      <c r="R316" s="462">
        <f t="shared" si="173"/>
        <v>329856.61</v>
      </c>
      <c r="U316" s="462">
        <f t="shared" si="174"/>
        <v>329856.61</v>
      </c>
      <c r="X316" s="462">
        <f t="shared" si="175"/>
        <v>329856.61</v>
      </c>
      <c r="AA316" s="462">
        <f t="shared" si="176"/>
        <v>329856.61</v>
      </c>
      <c r="AB316" s="447" t="s">
        <v>1732</v>
      </c>
      <c r="AC316" s="447">
        <f>ROUND(342878.16/1.06,2)</f>
        <v>323469.96000000002</v>
      </c>
      <c r="AD316" s="462">
        <f t="shared" si="148"/>
        <v>6386.6499999999651</v>
      </c>
      <c r="AE316" s="447" t="s">
        <v>1756</v>
      </c>
      <c r="AG316" s="462">
        <f t="shared" si="149"/>
        <v>6386.6499999999651</v>
      </c>
      <c r="AH316" s="447" t="s">
        <v>1826</v>
      </c>
      <c r="AI316" s="462">
        <f>AG316</f>
        <v>6386.6499999999651</v>
      </c>
      <c r="AJ316" s="462">
        <f t="shared" si="150"/>
        <v>0</v>
      </c>
      <c r="AM316" s="462">
        <f t="shared" si="151"/>
        <v>0</v>
      </c>
      <c r="AN316" s="447" t="s">
        <v>1974</v>
      </c>
      <c r="AP316" s="462">
        <f t="shared" si="152"/>
        <v>0</v>
      </c>
      <c r="AQ316" s="447" t="s">
        <v>2002</v>
      </c>
      <c r="AS316" s="459">
        <f t="shared" si="153"/>
        <v>0</v>
      </c>
      <c r="AV316" s="462">
        <f t="shared" si="154"/>
        <v>0</v>
      </c>
      <c r="AY316" s="462">
        <f t="shared" si="155"/>
        <v>0</v>
      </c>
      <c r="BB316" s="462">
        <f t="shared" si="156"/>
        <v>0</v>
      </c>
      <c r="BC316" s="447" t="s">
        <v>2204</v>
      </c>
      <c r="BE316" s="462">
        <f t="shared" si="157"/>
        <v>0</v>
      </c>
      <c r="BH316" s="462">
        <f t="shared" si="158"/>
        <v>0</v>
      </c>
      <c r="BK316" s="462">
        <f t="shared" si="159"/>
        <v>0</v>
      </c>
      <c r="BN316" s="462">
        <f t="shared" si="160"/>
        <v>0</v>
      </c>
      <c r="BQ316" s="462">
        <f t="shared" si="161"/>
        <v>0</v>
      </c>
      <c r="BT316" s="462">
        <f t="shared" si="162"/>
        <v>0</v>
      </c>
      <c r="BW316" s="462">
        <f t="shared" si="163"/>
        <v>0</v>
      </c>
      <c r="BZ316" s="462">
        <f t="shared" si="164"/>
        <v>0</v>
      </c>
      <c r="CD316" s="418" t="str">
        <f t="shared" si="165"/>
        <v>CU1159001</v>
      </c>
      <c r="CE316" s="442" t="str">
        <f t="shared" si="166"/>
        <v>2019年7月</v>
      </c>
      <c r="CF316" s="418" t="str">
        <f t="shared" si="167"/>
        <v>北京万国长clife服务费暂估</v>
      </c>
      <c r="CG316" s="418" t="str">
        <f t="shared" si="168"/>
        <v>2019年7月北京万国长clife服务费暂估</v>
      </c>
    </row>
    <row r="317" spans="2:85" s="447" customFormat="1" ht="17.25" customHeight="1">
      <c r="B317" s="447" t="str">
        <f t="shared" si="147"/>
        <v>CU1198</v>
      </c>
      <c r="C317" s="431" t="s">
        <v>755</v>
      </c>
      <c r="D317" s="367" t="s">
        <v>1602</v>
      </c>
      <c r="E317" s="367" t="s">
        <v>1733</v>
      </c>
      <c r="F317" s="439">
        <v>43647</v>
      </c>
      <c r="G317" s="448">
        <v>319263.84999999998</v>
      </c>
      <c r="H317" s="440"/>
      <c r="I317" s="440"/>
      <c r="J317" s="440"/>
      <c r="L317" s="462"/>
      <c r="M317" s="462"/>
      <c r="N317" s="444"/>
      <c r="O317" s="462"/>
      <c r="R317" s="462"/>
      <c r="U317" s="462"/>
      <c r="X317" s="462">
        <f>G317</f>
        <v>319263.84999999998</v>
      </c>
      <c r="AA317" s="462">
        <f t="shared" ref="AA317" si="177">X317-Z317</f>
        <v>319263.84999999998</v>
      </c>
      <c r="AB317" s="447" t="s">
        <v>1732</v>
      </c>
      <c r="AC317" s="447">
        <f>ROUND((184600+149200)/1.06,2)</f>
        <v>314905.65999999997</v>
      </c>
      <c r="AD317" s="462">
        <f t="shared" si="148"/>
        <v>4358.1900000000023</v>
      </c>
      <c r="AE317" s="447" t="s">
        <v>1756</v>
      </c>
      <c r="AF317" s="462"/>
      <c r="AG317" s="462">
        <f t="shared" si="149"/>
        <v>4358.1900000000023</v>
      </c>
      <c r="AH317" s="447" t="s">
        <v>1826</v>
      </c>
      <c r="AJ317" s="462">
        <f t="shared" si="150"/>
        <v>4358.1900000000023</v>
      </c>
      <c r="AK317" s="447" t="s">
        <v>1866</v>
      </c>
      <c r="AL317" s="462">
        <f>AJ317</f>
        <v>4358.1900000000023</v>
      </c>
      <c r="AM317" s="462">
        <f t="shared" si="151"/>
        <v>0</v>
      </c>
      <c r="AN317" s="447" t="s">
        <v>1974</v>
      </c>
      <c r="AP317" s="462">
        <f t="shared" si="152"/>
        <v>0</v>
      </c>
      <c r="AQ317" s="447" t="s">
        <v>2002</v>
      </c>
      <c r="AS317" s="459">
        <f t="shared" si="153"/>
        <v>0</v>
      </c>
      <c r="AV317" s="462">
        <f t="shared" si="154"/>
        <v>0</v>
      </c>
      <c r="AY317" s="462">
        <f t="shared" si="155"/>
        <v>0</v>
      </c>
      <c r="BB317" s="462">
        <f t="shared" si="156"/>
        <v>0</v>
      </c>
      <c r="BC317" s="447" t="s">
        <v>2204</v>
      </c>
      <c r="BE317" s="462">
        <f t="shared" si="157"/>
        <v>0</v>
      </c>
      <c r="BH317" s="462">
        <f t="shared" si="158"/>
        <v>0</v>
      </c>
      <c r="BK317" s="462">
        <f t="shared" si="159"/>
        <v>0</v>
      </c>
      <c r="BN317" s="462">
        <f t="shared" si="160"/>
        <v>0</v>
      </c>
      <c r="BQ317" s="462">
        <f t="shared" si="161"/>
        <v>0</v>
      </c>
      <c r="BT317" s="462">
        <f t="shared" si="162"/>
        <v>0</v>
      </c>
      <c r="BW317" s="462">
        <f t="shared" si="163"/>
        <v>0</v>
      </c>
      <c r="BZ317" s="462">
        <f t="shared" si="164"/>
        <v>0</v>
      </c>
      <c r="CD317" s="418" t="str">
        <f t="shared" si="165"/>
        <v>CU1198001</v>
      </c>
      <c r="CE317" s="442" t="str">
        <f t="shared" si="166"/>
        <v>2019年7月</v>
      </c>
      <c r="CF317" s="418" t="str">
        <f t="shared" si="167"/>
        <v>通用公正技clife服务费暂估</v>
      </c>
      <c r="CG317" s="418" t="str">
        <f t="shared" si="168"/>
        <v>2019年7月通用公正技clife服务费暂估</v>
      </c>
    </row>
    <row r="318" spans="2:85" s="447" customFormat="1" ht="17.25" customHeight="1">
      <c r="B318" s="447" t="str">
        <f t="shared" si="147"/>
        <v>CU1204</v>
      </c>
      <c r="C318" s="431" t="s">
        <v>755</v>
      </c>
      <c r="D318" s="367" t="s">
        <v>1656</v>
      </c>
      <c r="E318" s="367" t="s">
        <v>1582</v>
      </c>
      <c r="F318" s="439">
        <v>43647</v>
      </c>
      <c r="G318" s="448">
        <v>116299.12</v>
      </c>
      <c r="H318" s="440"/>
      <c r="I318" s="440">
        <f t="shared" si="170"/>
        <v>116299.12</v>
      </c>
      <c r="J318" s="440"/>
      <c r="L318" s="462">
        <f t="shared" si="171"/>
        <v>116299.12</v>
      </c>
      <c r="M318" s="462"/>
      <c r="N318" s="444"/>
      <c r="O318" s="462">
        <f t="shared" si="172"/>
        <v>116299.12</v>
      </c>
      <c r="R318" s="462">
        <f t="shared" si="173"/>
        <v>116299.12</v>
      </c>
      <c r="U318" s="462">
        <f t="shared" si="174"/>
        <v>116299.12</v>
      </c>
      <c r="X318" s="462">
        <f t="shared" si="175"/>
        <v>116299.12</v>
      </c>
      <c r="AA318" s="462">
        <f t="shared" si="176"/>
        <v>116299.12</v>
      </c>
      <c r="AB318" s="447" t="s">
        <v>1732</v>
      </c>
      <c r="AD318" s="462">
        <f t="shared" si="148"/>
        <v>116299.12</v>
      </c>
      <c r="AE318" s="447" t="s">
        <v>1756</v>
      </c>
      <c r="AG318" s="462">
        <f t="shared" si="149"/>
        <v>116299.12</v>
      </c>
      <c r="AH318" s="447" t="s">
        <v>1826</v>
      </c>
      <c r="AJ318" s="462">
        <f t="shared" si="150"/>
        <v>116299.12</v>
      </c>
      <c r="AK318" s="447" t="s">
        <v>1866</v>
      </c>
      <c r="AM318" s="462">
        <f t="shared" si="151"/>
        <v>116299.12</v>
      </c>
      <c r="AN318" s="447" t="s">
        <v>1974</v>
      </c>
      <c r="AP318" s="462">
        <f t="shared" si="152"/>
        <v>116299.12</v>
      </c>
      <c r="AQ318" s="447" t="s">
        <v>2002</v>
      </c>
      <c r="AS318" s="459">
        <f t="shared" si="153"/>
        <v>116299.12</v>
      </c>
      <c r="AV318" s="462">
        <f t="shared" si="154"/>
        <v>116299.12</v>
      </c>
      <c r="AW318" s="447" t="s">
        <v>2107</v>
      </c>
      <c r="AX318" s="462">
        <f>200000-AX299+100000</f>
        <v>104158.69999999998</v>
      </c>
      <c r="AY318" s="462">
        <f t="shared" si="155"/>
        <v>12140.420000000013</v>
      </c>
      <c r="AZ318" s="447" t="s">
        <v>2131</v>
      </c>
      <c r="BB318" s="462">
        <f t="shared" si="156"/>
        <v>12140.420000000013</v>
      </c>
      <c r="BC318" s="447" t="s">
        <v>2204</v>
      </c>
      <c r="BE318" s="462">
        <f t="shared" si="157"/>
        <v>12140.420000000013</v>
      </c>
      <c r="BF318" s="447" t="s">
        <v>2237</v>
      </c>
      <c r="BH318" s="462">
        <f t="shared" si="158"/>
        <v>12140.420000000013</v>
      </c>
      <c r="BI318" s="447" t="s">
        <v>2292</v>
      </c>
      <c r="BK318" s="462">
        <f t="shared" si="159"/>
        <v>12140.420000000013</v>
      </c>
      <c r="BL318" s="447" t="s">
        <v>2339</v>
      </c>
      <c r="BM318" s="462">
        <f>BK318</f>
        <v>12140.420000000013</v>
      </c>
      <c r="BN318" s="462">
        <f t="shared" si="160"/>
        <v>0</v>
      </c>
      <c r="BQ318" s="462">
        <f t="shared" si="161"/>
        <v>0</v>
      </c>
      <c r="BT318" s="462">
        <f t="shared" si="162"/>
        <v>0</v>
      </c>
      <c r="BW318" s="462">
        <f t="shared" si="163"/>
        <v>0</v>
      </c>
      <c r="BZ318" s="462">
        <f t="shared" si="164"/>
        <v>0</v>
      </c>
      <c r="CD318" s="418" t="str">
        <f t="shared" si="165"/>
        <v>CU1204001</v>
      </c>
      <c r="CE318" s="442" t="str">
        <f t="shared" si="166"/>
        <v>2019年7月</v>
      </c>
      <c r="CF318" s="418" t="str">
        <f t="shared" si="167"/>
        <v>固特异轮胎clife服务费暂估</v>
      </c>
      <c r="CG318" s="418" t="str">
        <f t="shared" si="168"/>
        <v>2019年7月固特异轮胎clife服务费暂估</v>
      </c>
    </row>
    <row r="319" spans="2:85" s="447" customFormat="1" ht="17.25" customHeight="1">
      <c r="B319" s="447" t="str">
        <f t="shared" si="147"/>
        <v>CU1354</v>
      </c>
      <c r="C319" s="431" t="s">
        <v>755</v>
      </c>
      <c r="D319" s="367" t="s">
        <v>1723</v>
      </c>
      <c r="E319" s="367" t="s">
        <v>1731</v>
      </c>
      <c r="F319" s="439">
        <v>43647</v>
      </c>
      <c r="G319" s="448">
        <v>45754.720000000001</v>
      </c>
      <c r="H319" s="440"/>
      <c r="I319" s="440">
        <f t="shared" si="170"/>
        <v>45754.720000000001</v>
      </c>
      <c r="J319" s="440"/>
      <c r="L319" s="462">
        <f t="shared" si="171"/>
        <v>45754.720000000001</v>
      </c>
      <c r="M319" s="462"/>
      <c r="N319" s="444"/>
      <c r="O319" s="462">
        <f t="shared" si="172"/>
        <v>45754.720000000001</v>
      </c>
      <c r="R319" s="462">
        <f t="shared" si="173"/>
        <v>45754.720000000001</v>
      </c>
      <c r="U319" s="462">
        <f t="shared" si="174"/>
        <v>45754.720000000001</v>
      </c>
      <c r="X319" s="462">
        <f t="shared" si="175"/>
        <v>45754.720000000001</v>
      </c>
      <c r="AA319" s="462">
        <f t="shared" si="176"/>
        <v>45754.720000000001</v>
      </c>
      <c r="AB319" s="447" t="s">
        <v>1732</v>
      </c>
      <c r="AD319" s="462">
        <f t="shared" si="148"/>
        <v>45754.720000000001</v>
      </c>
      <c r="AE319" s="447" t="s">
        <v>1756</v>
      </c>
      <c r="AG319" s="462">
        <f t="shared" si="149"/>
        <v>45754.720000000001</v>
      </c>
      <c r="AH319" s="447" t="s">
        <v>1826</v>
      </c>
      <c r="AI319" s="462"/>
      <c r="AJ319" s="462">
        <f t="shared" si="150"/>
        <v>45754.720000000001</v>
      </c>
      <c r="AK319" s="447" t="s">
        <v>1866</v>
      </c>
      <c r="AL319" s="462">
        <f>AJ319</f>
        <v>45754.720000000001</v>
      </c>
      <c r="AM319" s="462">
        <f t="shared" si="151"/>
        <v>0</v>
      </c>
      <c r="AN319" s="447" t="s">
        <v>1974</v>
      </c>
      <c r="AP319" s="462">
        <f t="shared" si="152"/>
        <v>0</v>
      </c>
      <c r="AQ319" s="447" t="s">
        <v>2002</v>
      </c>
      <c r="AS319" s="459">
        <f t="shared" si="153"/>
        <v>0</v>
      </c>
      <c r="AV319" s="462">
        <f t="shared" si="154"/>
        <v>0</v>
      </c>
      <c r="AY319" s="462">
        <f t="shared" si="155"/>
        <v>0</v>
      </c>
      <c r="BB319" s="462">
        <f t="shared" si="156"/>
        <v>0</v>
      </c>
      <c r="BC319" s="447" t="s">
        <v>2204</v>
      </c>
      <c r="BE319" s="462">
        <f t="shared" si="157"/>
        <v>0</v>
      </c>
      <c r="BH319" s="462">
        <f t="shared" si="158"/>
        <v>0</v>
      </c>
      <c r="BK319" s="462">
        <f t="shared" si="159"/>
        <v>0</v>
      </c>
      <c r="BN319" s="462">
        <f t="shared" si="160"/>
        <v>0</v>
      </c>
      <c r="BQ319" s="462">
        <f t="shared" si="161"/>
        <v>0</v>
      </c>
      <c r="BT319" s="462">
        <f t="shared" si="162"/>
        <v>0</v>
      </c>
      <c r="BW319" s="462">
        <f t="shared" si="163"/>
        <v>0</v>
      </c>
      <c r="BZ319" s="462">
        <f t="shared" si="164"/>
        <v>0</v>
      </c>
      <c r="CD319" s="418" t="str">
        <f t="shared" si="165"/>
        <v>CU1354001</v>
      </c>
      <c r="CE319" s="442" t="str">
        <f t="shared" si="166"/>
        <v>2019年7月</v>
      </c>
      <c r="CF319" s="418" t="str">
        <f t="shared" si="167"/>
        <v>威内源企业clife服务费暂估</v>
      </c>
      <c r="CG319" s="418" t="str">
        <f t="shared" si="168"/>
        <v>2019年7月威内源企业clife服务费暂估</v>
      </c>
    </row>
    <row r="320" spans="2:85" s="447" customFormat="1" ht="17.25" customHeight="1">
      <c r="B320" s="447" t="str">
        <f t="shared" si="147"/>
        <v>CU1154</v>
      </c>
      <c r="C320" s="431" t="s">
        <v>755</v>
      </c>
      <c r="D320" s="367" t="s">
        <v>1742</v>
      </c>
      <c r="E320" s="367" t="s">
        <v>1743</v>
      </c>
      <c r="F320" s="439">
        <v>43647</v>
      </c>
      <c r="G320" s="448">
        <v>15849.99</v>
      </c>
      <c r="H320" s="440"/>
      <c r="I320" s="440">
        <f t="shared" si="170"/>
        <v>15849.99</v>
      </c>
      <c r="J320" s="440"/>
      <c r="L320" s="462">
        <f t="shared" si="171"/>
        <v>15849.99</v>
      </c>
      <c r="M320" s="462"/>
      <c r="N320" s="444"/>
      <c r="O320" s="462">
        <f t="shared" si="172"/>
        <v>15849.99</v>
      </c>
      <c r="R320" s="462">
        <f t="shared" si="173"/>
        <v>15849.99</v>
      </c>
      <c r="U320" s="462">
        <f t="shared" si="174"/>
        <v>15849.99</v>
      </c>
      <c r="X320" s="462">
        <f t="shared" si="175"/>
        <v>15849.99</v>
      </c>
      <c r="AA320" s="462">
        <f t="shared" si="176"/>
        <v>15849.99</v>
      </c>
      <c r="AB320" s="447" t="s">
        <v>1732</v>
      </c>
      <c r="AD320" s="462">
        <f t="shared" si="148"/>
        <v>15849.99</v>
      </c>
      <c r="AE320" s="447" t="s">
        <v>1756</v>
      </c>
      <c r="AG320" s="462">
        <f t="shared" si="149"/>
        <v>15849.99</v>
      </c>
      <c r="AH320" s="447" t="s">
        <v>1826</v>
      </c>
      <c r="AJ320" s="462">
        <f t="shared" si="150"/>
        <v>15849.99</v>
      </c>
      <c r="AK320" s="447" t="s">
        <v>1866</v>
      </c>
      <c r="AM320" s="462">
        <f t="shared" si="151"/>
        <v>15849.99</v>
      </c>
      <c r="AN320" s="447" t="s">
        <v>1974</v>
      </c>
      <c r="AP320" s="462">
        <f t="shared" si="152"/>
        <v>15849.99</v>
      </c>
      <c r="AQ320" s="447" t="s">
        <v>2002</v>
      </c>
      <c r="AS320" s="459">
        <f t="shared" si="153"/>
        <v>15849.99</v>
      </c>
      <c r="AV320" s="462">
        <f t="shared" si="154"/>
        <v>15849.99</v>
      </c>
      <c r="AW320" s="447" t="s">
        <v>2107</v>
      </c>
      <c r="AY320" s="462">
        <f t="shared" si="155"/>
        <v>15849.99</v>
      </c>
      <c r="AZ320" s="447" t="s">
        <v>2131</v>
      </c>
      <c r="BB320" s="462">
        <f t="shared" si="156"/>
        <v>15849.99</v>
      </c>
      <c r="BC320" s="447" t="s">
        <v>2204</v>
      </c>
      <c r="BE320" s="462">
        <f t="shared" si="157"/>
        <v>15849.99</v>
      </c>
      <c r="BF320" s="447" t="s">
        <v>2237</v>
      </c>
      <c r="BH320" s="462">
        <f t="shared" si="158"/>
        <v>15849.99</v>
      </c>
      <c r="BI320" s="447" t="s">
        <v>2292</v>
      </c>
      <c r="BK320" s="462">
        <f t="shared" si="159"/>
        <v>15849.99</v>
      </c>
      <c r="BL320" s="447" t="s">
        <v>2339</v>
      </c>
      <c r="BN320" s="462">
        <f t="shared" si="160"/>
        <v>15849.99</v>
      </c>
      <c r="BO320" s="447" t="s">
        <v>2365</v>
      </c>
      <c r="BQ320" s="462">
        <f t="shared" si="161"/>
        <v>15849.99</v>
      </c>
      <c r="BR320" s="447" t="s">
        <v>2374</v>
      </c>
      <c r="BT320" s="462">
        <f t="shared" si="162"/>
        <v>15849.99</v>
      </c>
      <c r="BU320" s="447" t="s">
        <v>2134</v>
      </c>
      <c r="BW320" s="462">
        <f t="shared" si="163"/>
        <v>15849.99</v>
      </c>
      <c r="BZ320" s="462">
        <f t="shared" si="164"/>
        <v>15849.99</v>
      </c>
      <c r="CD320" s="418" t="str">
        <f t="shared" si="165"/>
        <v>CU1154001</v>
      </c>
      <c r="CE320" s="442" t="str">
        <f t="shared" si="166"/>
        <v>2019年7月</v>
      </c>
      <c r="CF320" s="418" t="str">
        <f t="shared" si="167"/>
        <v>上海品晟医clife服务费暂估</v>
      </c>
      <c r="CG320" s="418" t="str">
        <f t="shared" si="168"/>
        <v>2019年7月上海品晟医clife服务费暂估</v>
      </c>
    </row>
    <row r="321" spans="2:85" s="447" customFormat="1" ht="17.25" customHeight="1">
      <c r="B321" s="447" t="str">
        <f t="shared" si="147"/>
        <v>CU0093</v>
      </c>
      <c r="C321" s="431" t="s">
        <v>755</v>
      </c>
      <c r="D321" s="367" t="s">
        <v>1761</v>
      </c>
      <c r="E321" s="367" t="s">
        <v>1760</v>
      </c>
      <c r="F321" s="439">
        <v>43678</v>
      </c>
      <c r="G321" s="448">
        <v>3763.94</v>
      </c>
      <c r="H321" s="440"/>
      <c r="I321" s="440">
        <f t="shared" si="170"/>
        <v>3763.94</v>
      </c>
      <c r="J321" s="440"/>
      <c r="L321" s="462">
        <f t="shared" si="171"/>
        <v>3763.94</v>
      </c>
      <c r="M321" s="462"/>
      <c r="N321" s="444"/>
      <c r="O321" s="462">
        <f t="shared" si="172"/>
        <v>3763.94</v>
      </c>
      <c r="R321" s="462">
        <f t="shared" si="173"/>
        <v>3763.94</v>
      </c>
      <c r="U321" s="462">
        <f t="shared" si="174"/>
        <v>3763.94</v>
      </c>
      <c r="X321" s="462">
        <f t="shared" si="175"/>
        <v>3763.94</v>
      </c>
      <c r="AA321" s="462">
        <f>G321</f>
        <v>3763.94</v>
      </c>
      <c r="AD321" s="462">
        <f t="shared" si="148"/>
        <v>3763.94</v>
      </c>
      <c r="AE321" s="447" t="s">
        <v>1796</v>
      </c>
      <c r="AG321" s="462">
        <f t="shared" si="149"/>
        <v>3763.94</v>
      </c>
      <c r="AH321" s="447" t="s">
        <v>1827</v>
      </c>
      <c r="AJ321" s="462">
        <f t="shared" si="150"/>
        <v>3763.94</v>
      </c>
      <c r="AK321" s="447" t="s">
        <v>1867</v>
      </c>
      <c r="AM321" s="462">
        <f t="shared" si="151"/>
        <v>3763.94</v>
      </c>
      <c r="AN321" s="447" t="s">
        <v>1975</v>
      </c>
      <c r="AP321" s="462">
        <f t="shared" si="152"/>
        <v>3763.94</v>
      </c>
      <c r="AQ321" s="447" t="s">
        <v>2003</v>
      </c>
      <c r="AS321" s="459">
        <f t="shared" si="153"/>
        <v>3763.94</v>
      </c>
      <c r="AV321" s="462">
        <f t="shared" si="154"/>
        <v>3763.94</v>
      </c>
      <c r="AW321" s="447" t="s">
        <v>2107</v>
      </c>
      <c r="AX321" s="462">
        <f>3000-AX246</f>
        <v>2147.41</v>
      </c>
      <c r="AY321" s="462">
        <f t="shared" si="155"/>
        <v>1616.5300000000002</v>
      </c>
      <c r="AZ321" s="447" t="s">
        <v>2131</v>
      </c>
      <c r="BB321" s="462">
        <f t="shared" si="156"/>
        <v>1616.5300000000002</v>
      </c>
      <c r="BC321" s="447" t="s">
        <v>2204</v>
      </c>
      <c r="BD321" s="462">
        <f>BB321</f>
        <v>1616.5300000000002</v>
      </c>
      <c r="BE321" s="462">
        <f t="shared" si="157"/>
        <v>0</v>
      </c>
      <c r="BH321" s="462">
        <f t="shared" si="158"/>
        <v>0</v>
      </c>
      <c r="BK321" s="462">
        <f t="shared" si="159"/>
        <v>0</v>
      </c>
      <c r="BN321" s="462">
        <f t="shared" si="160"/>
        <v>0</v>
      </c>
      <c r="BQ321" s="462">
        <f t="shared" si="161"/>
        <v>0</v>
      </c>
      <c r="BT321" s="462">
        <f t="shared" si="162"/>
        <v>0</v>
      </c>
      <c r="BW321" s="462">
        <f t="shared" si="163"/>
        <v>0</v>
      </c>
      <c r="BZ321" s="462">
        <f t="shared" si="164"/>
        <v>0</v>
      </c>
      <c r="CD321" s="418" t="str">
        <f t="shared" si="165"/>
        <v>CU0093001</v>
      </c>
      <c r="CE321" s="442" t="str">
        <f t="shared" si="166"/>
        <v>2019年8月</v>
      </c>
      <c r="CF321" s="418" t="str">
        <f t="shared" si="167"/>
        <v>日立保险代clife服务费暂估</v>
      </c>
      <c r="CG321" s="418" t="str">
        <f t="shared" si="168"/>
        <v>2019年8月日立保险代clife服务费暂估</v>
      </c>
    </row>
    <row r="322" spans="2:85" s="447" customFormat="1" ht="17.25" customHeight="1">
      <c r="B322" s="447" t="str">
        <f t="shared" si="147"/>
        <v>CU0109</v>
      </c>
      <c r="C322" s="431" t="s">
        <v>755</v>
      </c>
      <c r="D322" s="367" t="s">
        <v>1763</v>
      </c>
      <c r="E322" s="367" t="s">
        <v>1762</v>
      </c>
      <c r="F322" s="439">
        <v>43678</v>
      </c>
      <c r="G322" s="448">
        <v>193381.04</v>
      </c>
      <c r="H322" s="440"/>
      <c r="I322" s="440">
        <f t="shared" si="170"/>
        <v>193381.04</v>
      </c>
      <c r="J322" s="440"/>
      <c r="L322" s="462">
        <f t="shared" si="171"/>
        <v>193381.04</v>
      </c>
      <c r="M322" s="462"/>
      <c r="N322" s="444"/>
      <c r="O322" s="462">
        <f t="shared" si="172"/>
        <v>193381.04</v>
      </c>
      <c r="R322" s="462">
        <f t="shared" si="173"/>
        <v>193381.04</v>
      </c>
      <c r="U322" s="462">
        <f t="shared" si="174"/>
        <v>193381.04</v>
      </c>
      <c r="X322" s="462">
        <f t="shared" si="175"/>
        <v>193381.04</v>
      </c>
      <c r="AA322" s="462">
        <f t="shared" ref="AA322:AA355" si="178">G322</f>
        <v>193381.04</v>
      </c>
      <c r="AD322" s="462">
        <f t="shared" si="148"/>
        <v>193381.04</v>
      </c>
      <c r="AE322" s="447" t="s">
        <v>1796</v>
      </c>
      <c r="AF322" s="444">
        <f>1815+800</f>
        <v>2615</v>
      </c>
      <c r="AG322" s="462">
        <f t="shared" si="149"/>
        <v>190766.04</v>
      </c>
      <c r="AH322" s="447" t="s">
        <v>1827</v>
      </c>
      <c r="AI322" s="462">
        <f>128799.5-AI247-AI249</f>
        <v>115525.14000000001</v>
      </c>
      <c r="AJ322" s="462">
        <f t="shared" si="150"/>
        <v>75240.899999999994</v>
      </c>
      <c r="AK322" s="447" t="s">
        <v>1867</v>
      </c>
      <c r="AM322" s="462">
        <f t="shared" si="151"/>
        <v>75240.899999999994</v>
      </c>
      <c r="AN322" s="447" t="s">
        <v>1975</v>
      </c>
      <c r="AP322" s="462">
        <f t="shared" si="152"/>
        <v>75240.899999999994</v>
      </c>
      <c r="AQ322" s="447" t="s">
        <v>2003</v>
      </c>
      <c r="AS322" s="459">
        <f t="shared" si="153"/>
        <v>75240.899999999994</v>
      </c>
      <c r="AV322" s="462">
        <f t="shared" si="154"/>
        <v>75240.899999999994</v>
      </c>
      <c r="AW322" s="447" t="s">
        <v>2107</v>
      </c>
      <c r="AX322" s="462">
        <f>AV322</f>
        <v>75240.899999999994</v>
      </c>
      <c r="AY322" s="462">
        <f t="shared" si="155"/>
        <v>0</v>
      </c>
      <c r="BB322" s="462">
        <f t="shared" si="156"/>
        <v>0</v>
      </c>
      <c r="BC322" s="447" t="s">
        <v>2204</v>
      </c>
      <c r="BE322" s="462">
        <f t="shared" si="157"/>
        <v>0</v>
      </c>
      <c r="BH322" s="462">
        <f t="shared" si="158"/>
        <v>0</v>
      </c>
      <c r="BK322" s="462">
        <f t="shared" si="159"/>
        <v>0</v>
      </c>
      <c r="BN322" s="462">
        <f t="shared" si="160"/>
        <v>0</v>
      </c>
      <c r="BQ322" s="462">
        <f t="shared" si="161"/>
        <v>0</v>
      </c>
      <c r="BT322" s="462">
        <f t="shared" si="162"/>
        <v>0</v>
      </c>
      <c r="BW322" s="462">
        <f t="shared" si="163"/>
        <v>0</v>
      </c>
      <c r="BZ322" s="462">
        <f t="shared" si="164"/>
        <v>0</v>
      </c>
      <c r="CD322" s="418" t="str">
        <f t="shared" si="165"/>
        <v>CU0109001</v>
      </c>
      <c r="CE322" s="442" t="str">
        <f t="shared" si="166"/>
        <v>2019年8月</v>
      </c>
      <c r="CF322" s="418" t="str">
        <f t="shared" si="167"/>
        <v>普拉达时装clife服务费暂估</v>
      </c>
      <c r="CG322" s="418" t="str">
        <f t="shared" si="168"/>
        <v>2019年8月普拉达时装clife服务费暂估</v>
      </c>
    </row>
    <row r="323" spans="2:85" s="447" customFormat="1" ht="17.25" customHeight="1">
      <c r="B323" s="447" t="str">
        <f t="shared" ref="B323:B386" si="179">LEFT(D323,6)</f>
        <v>CU0145</v>
      </c>
      <c r="C323" s="431" t="s">
        <v>755</v>
      </c>
      <c r="D323" s="367" t="s">
        <v>1451</v>
      </c>
      <c r="E323" s="367" t="s">
        <v>1323</v>
      </c>
      <c r="F323" s="439">
        <v>43678</v>
      </c>
      <c r="G323" s="448">
        <v>16241.51</v>
      </c>
      <c r="H323" s="440"/>
      <c r="I323" s="440">
        <f t="shared" ref="I323:I394" si="180">G323-H323</f>
        <v>16241.51</v>
      </c>
      <c r="J323" s="440"/>
      <c r="L323" s="462">
        <f t="shared" ref="L323:L394" si="181">I323-K323</f>
        <v>16241.51</v>
      </c>
      <c r="M323" s="462"/>
      <c r="N323" s="444"/>
      <c r="O323" s="462">
        <f t="shared" ref="O323:O394" si="182">L323-N323</f>
        <v>16241.51</v>
      </c>
      <c r="R323" s="462">
        <f t="shared" ref="R323:R394" si="183">O323-Q323</f>
        <v>16241.51</v>
      </c>
      <c r="U323" s="462">
        <f t="shared" ref="U323:U394" si="184">R323-T323</f>
        <v>16241.51</v>
      </c>
      <c r="X323" s="462">
        <f t="shared" ref="X323:X394" si="185">U323-W323</f>
        <v>16241.51</v>
      </c>
      <c r="AA323" s="462">
        <f t="shared" si="178"/>
        <v>16241.51</v>
      </c>
      <c r="AD323" s="462">
        <f t="shared" ref="AD323:AD394" si="186">AA323-AC323</f>
        <v>16241.51</v>
      </c>
      <c r="AE323" s="447" t="s">
        <v>1796</v>
      </c>
      <c r="AF323" s="444">
        <f>ROUND(17216/1.06,2)</f>
        <v>16241.51</v>
      </c>
      <c r="AG323" s="462">
        <f t="shared" si="149"/>
        <v>0</v>
      </c>
      <c r="AH323" s="447" t="s">
        <v>1827</v>
      </c>
      <c r="AJ323" s="462">
        <f t="shared" si="150"/>
        <v>0</v>
      </c>
      <c r="AM323" s="462">
        <f t="shared" si="151"/>
        <v>0</v>
      </c>
      <c r="AN323" s="447" t="s">
        <v>1975</v>
      </c>
      <c r="AP323" s="462">
        <f t="shared" si="152"/>
        <v>0</v>
      </c>
      <c r="AQ323" s="447" t="s">
        <v>2003</v>
      </c>
      <c r="AS323" s="459">
        <f t="shared" si="153"/>
        <v>0</v>
      </c>
      <c r="AV323" s="462">
        <f t="shared" si="154"/>
        <v>0</v>
      </c>
      <c r="AY323" s="462">
        <f t="shared" si="155"/>
        <v>0</v>
      </c>
      <c r="BB323" s="462">
        <f t="shared" si="156"/>
        <v>0</v>
      </c>
      <c r="BC323" s="447" t="s">
        <v>2204</v>
      </c>
      <c r="BE323" s="462">
        <f t="shared" si="157"/>
        <v>0</v>
      </c>
      <c r="BH323" s="462">
        <f t="shared" si="158"/>
        <v>0</v>
      </c>
      <c r="BK323" s="462">
        <f t="shared" si="159"/>
        <v>0</v>
      </c>
      <c r="BN323" s="462">
        <f t="shared" si="160"/>
        <v>0</v>
      </c>
      <c r="BQ323" s="462">
        <f t="shared" si="161"/>
        <v>0</v>
      </c>
      <c r="BT323" s="462">
        <f t="shared" si="162"/>
        <v>0</v>
      </c>
      <c r="BW323" s="462">
        <f t="shared" si="163"/>
        <v>0</v>
      </c>
      <c r="BZ323" s="462">
        <f t="shared" si="164"/>
        <v>0</v>
      </c>
      <c r="CD323" s="418" t="str">
        <f t="shared" si="165"/>
        <v>CU0145001</v>
      </c>
      <c r="CE323" s="442" t="str">
        <f t="shared" si="166"/>
        <v>2019年8月</v>
      </c>
      <c r="CF323" s="418" t="str">
        <f t="shared" si="167"/>
        <v>锐珂亚太投clife服务费暂估</v>
      </c>
      <c r="CG323" s="418" t="str">
        <f t="shared" si="168"/>
        <v>2019年8月锐珂亚太投clife服务费暂估</v>
      </c>
    </row>
    <row r="324" spans="2:85" s="447" customFormat="1" ht="17.25" customHeight="1">
      <c r="B324" s="447" t="str">
        <f t="shared" si="179"/>
        <v>CU0182</v>
      </c>
      <c r="C324" s="431" t="s">
        <v>755</v>
      </c>
      <c r="D324" s="367" t="s">
        <v>1452</v>
      </c>
      <c r="E324" s="367" t="s">
        <v>821</v>
      </c>
      <c r="F324" s="439">
        <v>43678</v>
      </c>
      <c r="G324" s="448">
        <v>1367.12</v>
      </c>
      <c r="H324" s="440"/>
      <c r="I324" s="440">
        <f t="shared" si="180"/>
        <v>1367.12</v>
      </c>
      <c r="J324" s="440"/>
      <c r="L324" s="462">
        <f t="shared" si="181"/>
        <v>1367.12</v>
      </c>
      <c r="M324" s="462"/>
      <c r="N324" s="444"/>
      <c r="O324" s="462">
        <f t="shared" si="182"/>
        <v>1367.12</v>
      </c>
      <c r="R324" s="462">
        <f t="shared" si="183"/>
        <v>1367.12</v>
      </c>
      <c r="U324" s="462">
        <f t="shared" si="184"/>
        <v>1367.12</v>
      </c>
      <c r="X324" s="462">
        <f t="shared" si="185"/>
        <v>1367.12</v>
      </c>
      <c r="AA324" s="462">
        <f t="shared" si="178"/>
        <v>1367.12</v>
      </c>
      <c r="AD324" s="462">
        <f t="shared" si="186"/>
        <v>1367.12</v>
      </c>
      <c r="AE324" s="447" t="s">
        <v>1796</v>
      </c>
      <c r="AG324" s="462">
        <f t="shared" ref="AG324:AG394" si="187">AD324-AF324</f>
        <v>1367.12</v>
      </c>
      <c r="AH324" s="447" t="s">
        <v>1827</v>
      </c>
      <c r="AJ324" s="462">
        <f t="shared" ref="AJ324:AJ387" si="188">AG324-AI324</f>
        <v>1367.12</v>
      </c>
      <c r="AK324" s="447" t="s">
        <v>1867</v>
      </c>
      <c r="AM324" s="462">
        <f t="shared" ref="AM324:AM387" si="189">AJ324-AL324</f>
        <v>1367.12</v>
      </c>
      <c r="AN324" s="447" t="s">
        <v>1975</v>
      </c>
      <c r="AP324" s="462">
        <f t="shared" ref="AP324:AP387" si="190">AM324-AO324</f>
        <v>1367.12</v>
      </c>
      <c r="AQ324" s="447" t="s">
        <v>2003</v>
      </c>
      <c r="AS324" s="459">
        <f t="shared" ref="AS324:AS387" si="191">AP324-AR324</f>
        <v>1367.12</v>
      </c>
      <c r="AV324" s="462">
        <f t="shared" ref="AV324:AV387" si="192">AS324-AU324</f>
        <v>1367.12</v>
      </c>
      <c r="AW324" s="447" t="s">
        <v>2107</v>
      </c>
      <c r="AY324" s="462">
        <f t="shared" ref="AY324:AY387" si="193">AV324-AX324</f>
        <v>1367.12</v>
      </c>
      <c r="AZ324" s="447" t="s">
        <v>2131</v>
      </c>
      <c r="BB324" s="462">
        <f t="shared" ref="BB324:BB387" si="194">AY324-BA324</f>
        <v>1367.12</v>
      </c>
      <c r="BC324" s="447" t="s">
        <v>2204</v>
      </c>
      <c r="BE324" s="462">
        <f t="shared" ref="BE324:BE387" si="195">BB324-BD324</f>
        <v>1367.12</v>
      </c>
      <c r="BF324" s="447" t="s">
        <v>2237</v>
      </c>
      <c r="BH324" s="462">
        <f t="shared" ref="BH324:BH387" si="196">BE324-BG324</f>
        <v>1367.12</v>
      </c>
      <c r="BI324" s="447" t="s">
        <v>2292</v>
      </c>
      <c r="BK324" s="462">
        <f t="shared" ref="BK324:BK387" si="197">BH324-BJ324</f>
        <v>1367.12</v>
      </c>
      <c r="BL324" s="447" t="s">
        <v>2339</v>
      </c>
      <c r="BN324" s="462">
        <f t="shared" ref="BN324:BN387" si="198">BK324-BM324</f>
        <v>1367.12</v>
      </c>
      <c r="BO324" s="447" t="s">
        <v>2365</v>
      </c>
      <c r="BQ324" s="462">
        <f t="shared" ref="BQ324:BQ387" si="199">ROUND((BN324-BP324),2)</f>
        <v>1367.12</v>
      </c>
      <c r="BR324" s="447" t="s">
        <v>2374</v>
      </c>
      <c r="BT324" s="462">
        <f t="shared" ref="BT324:BT387" si="200">ROUND((BQ324-BS324),2)</f>
        <v>1367.12</v>
      </c>
      <c r="BU324" s="447" t="s">
        <v>2134</v>
      </c>
      <c r="BW324" s="462">
        <f t="shared" ref="BW324:BW387" si="201">ROUND((BT324-BV324),2)</f>
        <v>1367.12</v>
      </c>
      <c r="BZ324" s="462">
        <f t="shared" ref="BZ324:BZ387" si="202">ROUND((BW324-BY324),2)</f>
        <v>1367.12</v>
      </c>
      <c r="CD324" s="418" t="str">
        <f t="shared" ref="CD324:CD387" si="203">B324&amp;$B$1</f>
        <v>CU0182001</v>
      </c>
      <c r="CE324" s="442" t="str">
        <f t="shared" ref="CE324:CE387" si="204">YEAR(F324)&amp;"年"&amp;MONTH(F324)&amp;"月"</f>
        <v>2019年8月</v>
      </c>
      <c r="CF324" s="418" t="str">
        <f t="shared" ref="CF324:CF387" si="205">LEFT(E324,5)&amp;$E$1</f>
        <v>阿姆斯壮（clife服务费暂估</v>
      </c>
      <c r="CG324" s="418" t="str">
        <f t="shared" ref="CG324:CG387" si="206">CE324&amp;CF324</f>
        <v>2019年8月阿姆斯壮（clife服务费暂估</v>
      </c>
    </row>
    <row r="325" spans="2:85" s="447" customFormat="1" ht="17.25" customHeight="1">
      <c r="B325" s="447" t="str">
        <f t="shared" si="179"/>
        <v>CU0238</v>
      </c>
      <c r="C325" s="431" t="s">
        <v>755</v>
      </c>
      <c r="D325" s="367" t="s">
        <v>1765</v>
      </c>
      <c r="E325" s="367" t="s">
        <v>1764</v>
      </c>
      <c r="F325" s="439">
        <v>43678</v>
      </c>
      <c r="G325" s="448">
        <v>4365</v>
      </c>
      <c r="H325" s="440"/>
      <c r="I325" s="440">
        <f t="shared" si="180"/>
        <v>4365</v>
      </c>
      <c r="J325" s="440"/>
      <c r="L325" s="462">
        <f t="shared" si="181"/>
        <v>4365</v>
      </c>
      <c r="M325" s="462"/>
      <c r="N325" s="444"/>
      <c r="O325" s="462">
        <f t="shared" si="182"/>
        <v>4365</v>
      </c>
      <c r="R325" s="462">
        <f t="shared" si="183"/>
        <v>4365</v>
      </c>
      <c r="U325" s="462">
        <f t="shared" si="184"/>
        <v>4365</v>
      </c>
      <c r="X325" s="462">
        <f t="shared" si="185"/>
        <v>4365</v>
      </c>
      <c r="AA325" s="462">
        <f t="shared" si="178"/>
        <v>4365</v>
      </c>
      <c r="AD325" s="462">
        <f t="shared" si="186"/>
        <v>4365</v>
      </c>
      <c r="AE325" s="447" t="s">
        <v>1796</v>
      </c>
      <c r="AG325" s="462">
        <f t="shared" si="187"/>
        <v>4365</v>
      </c>
      <c r="AH325" s="447" t="s">
        <v>1827</v>
      </c>
      <c r="AJ325" s="462">
        <f t="shared" si="188"/>
        <v>4365</v>
      </c>
      <c r="AK325" s="447" t="s">
        <v>1867</v>
      </c>
      <c r="AM325" s="462">
        <f t="shared" si="189"/>
        <v>4365</v>
      </c>
      <c r="AN325" s="447" t="s">
        <v>1975</v>
      </c>
      <c r="AP325" s="462">
        <f t="shared" si="190"/>
        <v>4365</v>
      </c>
      <c r="AQ325" s="447" t="s">
        <v>2003</v>
      </c>
      <c r="AS325" s="459">
        <f t="shared" si="191"/>
        <v>4365</v>
      </c>
      <c r="AV325" s="462">
        <f t="shared" si="192"/>
        <v>4365</v>
      </c>
      <c r="AW325" s="447" t="s">
        <v>2107</v>
      </c>
      <c r="AY325" s="462">
        <f t="shared" si="193"/>
        <v>4365</v>
      </c>
      <c r="AZ325" s="447" t="s">
        <v>2131</v>
      </c>
      <c r="BB325" s="462">
        <f t="shared" si="194"/>
        <v>4365</v>
      </c>
      <c r="BC325" s="447" t="s">
        <v>2204</v>
      </c>
      <c r="BE325" s="462">
        <f t="shared" si="195"/>
        <v>4365</v>
      </c>
      <c r="BF325" s="447" t="s">
        <v>2237</v>
      </c>
      <c r="BH325" s="462">
        <f t="shared" si="196"/>
        <v>4365</v>
      </c>
      <c r="BI325" s="447" t="s">
        <v>2292</v>
      </c>
      <c r="BK325" s="462">
        <f t="shared" si="197"/>
        <v>4365</v>
      </c>
      <c r="BL325" s="447" t="s">
        <v>2339</v>
      </c>
      <c r="BN325" s="462">
        <f t="shared" si="198"/>
        <v>4365</v>
      </c>
      <c r="BO325" s="447" t="s">
        <v>2365</v>
      </c>
      <c r="BQ325" s="462">
        <f t="shared" si="199"/>
        <v>4365</v>
      </c>
      <c r="BR325" s="447" t="s">
        <v>2374</v>
      </c>
      <c r="BS325" s="462">
        <f>BQ325</f>
        <v>4365</v>
      </c>
      <c r="BT325" s="462">
        <f t="shared" si="200"/>
        <v>0</v>
      </c>
      <c r="BW325" s="462">
        <f t="shared" si="201"/>
        <v>0</v>
      </c>
      <c r="BZ325" s="462">
        <f t="shared" si="202"/>
        <v>0</v>
      </c>
      <c r="CD325" s="418" t="str">
        <f t="shared" si="203"/>
        <v>CU0238001</v>
      </c>
      <c r="CE325" s="442" t="str">
        <f t="shared" si="204"/>
        <v>2019年8月</v>
      </c>
      <c r="CF325" s="418" t="str">
        <f t="shared" si="205"/>
        <v>丘奇鞋业（clife服务费暂估</v>
      </c>
      <c r="CG325" s="418" t="str">
        <f t="shared" si="206"/>
        <v>2019年8月丘奇鞋业（clife服务费暂估</v>
      </c>
    </row>
    <row r="326" spans="2:85" s="447" customFormat="1" ht="17.25" customHeight="1">
      <c r="B326" s="447" t="str">
        <f t="shared" si="179"/>
        <v>CU0285</v>
      </c>
      <c r="C326" s="431" t="s">
        <v>755</v>
      </c>
      <c r="D326" s="367" t="s">
        <v>1767</v>
      </c>
      <c r="E326" s="367" t="s">
        <v>1766</v>
      </c>
      <c r="F326" s="439">
        <v>43678</v>
      </c>
      <c r="G326" s="448">
        <v>1092501.8999999999</v>
      </c>
      <c r="H326" s="440"/>
      <c r="I326" s="440">
        <f t="shared" si="180"/>
        <v>1092501.8999999999</v>
      </c>
      <c r="J326" s="440"/>
      <c r="L326" s="462">
        <f t="shared" si="181"/>
        <v>1092501.8999999999</v>
      </c>
      <c r="M326" s="462"/>
      <c r="N326" s="444"/>
      <c r="O326" s="462">
        <f t="shared" si="182"/>
        <v>1092501.8999999999</v>
      </c>
      <c r="R326" s="462">
        <f t="shared" si="183"/>
        <v>1092501.8999999999</v>
      </c>
      <c r="U326" s="462">
        <f t="shared" si="184"/>
        <v>1092501.8999999999</v>
      </c>
      <c r="X326" s="462">
        <f t="shared" si="185"/>
        <v>1092501.8999999999</v>
      </c>
      <c r="AA326" s="462">
        <f t="shared" si="178"/>
        <v>1092501.8999999999</v>
      </c>
      <c r="AD326" s="462">
        <f t="shared" si="186"/>
        <v>1092501.8999999999</v>
      </c>
      <c r="AE326" s="447" t="s">
        <v>1796</v>
      </c>
      <c r="AF326" s="444">
        <f>ROUND(19823.65/1.06,2)-AF284-11420.67+15734+ROUND(100000/1.06,2)+1071+60</f>
        <v>114787.4</v>
      </c>
      <c r="AG326" s="462">
        <f t="shared" si="187"/>
        <v>977714.49999999988</v>
      </c>
      <c r="AH326" s="447" t="s">
        <v>1827</v>
      </c>
      <c r="AI326" s="447">
        <v>200000</v>
      </c>
      <c r="AJ326" s="462">
        <f t="shared" si="188"/>
        <v>777714.49999999988</v>
      </c>
      <c r="AK326" s="447" t="s">
        <v>1867</v>
      </c>
      <c r="AM326" s="462">
        <f t="shared" si="189"/>
        <v>777714.49999999988</v>
      </c>
      <c r="AN326" s="447" t="s">
        <v>1975</v>
      </c>
      <c r="AO326" s="447">
        <f>172684.2</f>
        <v>172684.2</v>
      </c>
      <c r="AP326" s="462">
        <f t="shared" si="190"/>
        <v>605030.29999999981</v>
      </c>
      <c r="AQ326" s="447" t="s">
        <v>2003</v>
      </c>
      <c r="AR326" s="447">
        <v>500000</v>
      </c>
      <c r="AS326" s="459">
        <f t="shared" si="191"/>
        <v>105030.29999999981</v>
      </c>
      <c r="AV326" s="462">
        <f t="shared" si="192"/>
        <v>105030.29999999981</v>
      </c>
      <c r="AW326" s="447" t="s">
        <v>2107</v>
      </c>
      <c r="AY326" s="462">
        <f t="shared" si="193"/>
        <v>105030.29999999981</v>
      </c>
      <c r="AZ326" s="447" t="s">
        <v>2131</v>
      </c>
      <c r="BB326" s="462">
        <f t="shared" si="194"/>
        <v>105030.29999999981</v>
      </c>
      <c r="BC326" s="447" t="s">
        <v>2204</v>
      </c>
      <c r="BE326" s="462">
        <f t="shared" si="195"/>
        <v>105030.29999999981</v>
      </c>
      <c r="BF326" s="447" t="s">
        <v>2237</v>
      </c>
      <c r="BH326" s="462">
        <f t="shared" si="196"/>
        <v>105030.29999999981</v>
      </c>
      <c r="BI326" s="447" t="s">
        <v>2292</v>
      </c>
      <c r="BK326" s="462">
        <f t="shared" si="197"/>
        <v>105030.29999999981</v>
      </c>
      <c r="BL326" s="447" t="s">
        <v>2339</v>
      </c>
      <c r="BM326" s="462">
        <f>BK326</f>
        <v>105030.29999999981</v>
      </c>
      <c r="BN326" s="462">
        <f t="shared" si="198"/>
        <v>0</v>
      </c>
      <c r="BQ326" s="462">
        <f t="shared" si="199"/>
        <v>0</v>
      </c>
      <c r="BT326" s="462">
        <f t="shared" si="200"/>
        <v>0</v>
      </c>
      <c r="BW326" s="462">
        <f t="shared" si="201"/>
        <v>0</v>
      </c>
      <c r="BZ326" s="462">
        <f t="shared" si="202"/>
        <v>0</v>
      </c>
      <c r="CD326" s="418" t="str">
        <f t="shared" si="203"/>
        <v>CU0285001</v>
      </c>
      <c r="CE326" s="442" t="str">
        <f t="shared" si="204"/>
        <v>2019年8月</v>
      </c>
      <c r="CF326" s="418" t="str">
        <f t="shared" si="205"/>
        <v>文思海辉clife服务费暂估</v>
      </c>
      <c r="CG326" s="418" t="str">
        <f t="shared" si="206"/>
        <v>2019年8月文思海辉clife服务费暂估</v>
      </c>
    </row>
    <row r="327" spans="2:85" s="447" customFormat="1" ht="17.25" customHeight="1">
      <c r="B327" s="447" t="str">
        <f t="shared" si="179"/>
        <v>CU0289</v>
      </c>
      <c r="C327" s="431" t="s">
        <v>755</v>
      </c>
      <c r="D327" s="367" t="s">
        <v>1769</v>
      </c>
      <c r="E327" s="367" t="s">
        <v>1768</v>
      </c>
      <c r="F327" s="439">
        <v>43678</v>
      </c>
      <c r="G327" s="448">
        <v>900</v>
      </c>
      <c r="H327" s="440"/>
      <c r="I327" s="440">
        <f t="shared" si="180"/>
        <v>900</v>
      </c>
      <c r="J327" s="440"/>
      <c r="L327" s="462">
        <f t="shared" si="181"/>
        <v>900</v>
      </c>
      <c r="M327" s="462"/>
      <c r="N327" s="444"/>
      <c r="O327" s="462">
        <f t="shared" si="182"/>
        <v>900</v>
      </c>
      <c r="R327" s="462">
        <f t="shared" si="183"/>
        <v>900</v>
      </c>
      <c r="U327" s="462">
        <f t="shared" si="184"/>
        <v>900</v>
      </c>
      <c r="X327" s="462">
        <f t="shared" si="185"/>
        <v>900</v>
      </c>
      <c r="AA327" s="462">
        <f t="shared" si="178"/>
        <v>900</v>
      </c>
      <c r="AD327" s="462">
        <f t="shared" si="186"/>
        <v>900</v>
      </c>
      <c r="AE327" s="447" t="s">
        <v>1796</v>
      </c>
      <c r="AG327" s="462">
        <f t="shared" si="187"/>
        <v>900</v>
      </c>
      <c r="AH327" s="447" t="s">
        <v>1827</v>
      </c>
      <c r="AJ327" s="462">
        <f t="shared" si="188"/>
        <v>900</v>
      </c>
      <c r="AK327" s="447" t="s">
        <v>1867</v>
      </c>
      <c r="AL327" s="462">
        <f>AJ327</f>
        <v>900</v>
      </c>
      <c r="AM327" s="462">
        <f t="shared" si="189"/>
        <v>0</v>
      </c>
      <c r="AN327" s="447" t="s">
        <v>1975</v>
      </c>
      <c r="AP327" s="462">
        <f t="shared" si="190"/>
        <v>0</v>
      </c>
      <c r="AQ327" s="447" t="s">
        <v>2003</v>
      </c>
      <c r="AS327" s="459">
        <f t="shared" si="191"/>
        <v>0</v>
      </c>
      <c r="AV327" s="462">
        <f t="shared" si="192"/>
        <v>0</v>
      </c>
      <c r="AY327" s="462">
        <f t="shared" si="193"/>
        <v>0</v>
      </c>
      <c r="BB327" s="462">
        <f t="shared" si="194"/>
        <v>0</v>
      </c>
      <c r="BC327" s="447" t="s">
        <v>2204</v>
      </c>
      <c r="BE327" s="462">
        <f t="shared" si="195"/>
        <v>0</v>
      </c>
      <c r="BH327" s="462">
        <f t="shared" si="196"/>
        <v>0</v>
      </c>
      <c r="BK327" s="462">
        <f t="shared" si="197"/>
        <v>0</v>
      </c>
      <c r="BN327" s="462">
        <f t="shared" si="198"/>
        <v>0</v>
      </c>
      <c r="BQ327" s="462">
        <f t="shared" si="199"/>
        <v>0</v>
      </c>
      <c r="BT327" s="462">
        <f t="shared" si="200"/>
        <v>0</v>
      </c>
      <c r="BW327" s="462">
        <f t="shared" si="201"/>
        <v>0</v>
      </c>
      <c r="BZ327" s="462">
        <f t="shared" si="202"/>
        <v>0</v>
      </c>
      <c r="CD327" s="418" t="str">
        <f t="shared" si="203"/>
        <v>CU0289001</v>
      </c>
      <c r="CE327" s="442" t="str">
        <f t="shared" si="204"/>
        <v>2019年8月</v>
      </c>
      <c r="CF327" s="418" t="str">
        <f t="shared" si="205"/>
        <v>拉格代尔商clife服务费暂估</v>
      </c>
      <c r="CG327" s="418" t="str">
        <f t="shared" si="206"/>
        <v>2019年8月拉格代尔商clife服务费暂估</v>
      </c>
    </row>
    <row r="328" spans="2:85" s="447" customFormat="1" ht="17.25" customHeight="1">
      <c r="B328" s="447" t="str">
        <f t="shared" si="179"/>
        <v>CU0448</v>
      </c>
      <c r="C328" s="431" t="s">
        <v>755</v>
      </c>
      <c r="D328" s="367" t="s">
        <v>1771</v>
      </c>
      <c r="E328" s="367" t="s">
        <v>1770</v>
      </c>
      <c r="F328" s="439">
        <v>43678</v>
      </c>
      <c r="G328" s="448">
        <v>1874714.05</v>
      </c>
      <c r="H328" s="440"/>
      <c r="I328" s="440">
        <f t="shared" si="180"/>
        <v>1874714.05</v>
      </c>
      <c r="J328" s="440"/>
      <c r="L328" s="462">
        <f t="shared" si="181"/>
        <v>1874714.05</v>
      </c>
      <c r="M328" s="462"/>
      <c r="N328" s="444"/>
      <c r="O328" s="462">
        <f t="shared" si="182"/>
        <v>1874714.05</v>
      </c>
      <c r="R328" s="462">
        <f t="shared" si="183"/>
        <v>1874714.05</v>
      </c>
      <c r="U328" s="462">
        <f t="shared" si="184"/>
        <v>1874714.05</v>
      </c>
      <c r="X328" s="462">
        <f t="shared" si="185"/>
        <v>1874714.05</v>
      </c>
      <c r="AA328" s="462">
        <f t="shared" si="178"/>
        <v>1874714.05</v>
      </c>
      <c r="AD328" s="462">
        <f t="shared" si="186"/>
        <v>1874714.05</v>
      </c>
      <c r="AE328" s="447" t="s">
        <v>1796</v>
      </c>
      <c r="AF328" s="444">
        <f>ROUND((1331861.05+655300)/1.06,2)</f>
        <v>1874680.24</v>
      </c>
      <c r="AG328" s="462">
        <v>0</v>
      </c>
      <c r="AH328" s="447" t="s">
        <v>1827</v>
      </c>
      <c r="AJ328" s="462">
        <f t="shared" si="188"/>
        <v>0</v>
      </c>
      <c r="AM328" s="462">
        <f t="shared" si="189"/>
        <v>0</v>
      </c>
      <c r="AN328" s="447" t="s">
        <v>1975</v>
      </c>
      <c r="AP328" s="462">
        <f t="shared" si="190"/>
        <v>0</v>
      </c>
      <c r="AQ328" s="447" t="s">
        <v>2003</v>
      </c>
      <c r="AS328" s="459">
        <f t="shared" si="191"/>
        <v>0</v>
      </c>
      <c r="AV328" s="462">
        <f t="shared" si="192"/>
        <v>0</v>
      </c>
      <c r="AY328" s="462">
        <f t="shared" si="193"/>
        <v>0</v>
      </c>
      <c r="BB328" s="462">
        <f t="shared" si="194"/>
        <v>0</v>
      </c>
      <c r="BC328" s="447" t="s">
        <v>2204</v>
      </c>
      <c r="BE328" s="462">
        <f t="shared" si="195"/>
        <v>0</v>
      </c>
      <c r="BH328" s="462">
        <f t="shared" si="196"/>
        <v>0</v>
      </c>
      <c r="BK328" s="462">
        <f t="shared" si="197"/>
        <v>0</v>
      </c>
      <c r="BN328" s="462">
        <f t="shared" si="198"/>
        <v>0</v>
      </c>
      <c r="BQ328" s="462">
        <f t="shared" si="199"/>
        <v>0</v>
      </c>
      <c r="BT328" s="462">
        <f t="shared" si="200"/>
        <v>0</v>
      </c>
      <c r="BW328" s="462">
        <f t="shared" si="201"/>
        <v>0</v>
      </c>
      <c r="BZ328" s="462">
        <f t="shared" si="202"/>
        <v>0</v>
      </c>
      <c r="CD328" s="418" t="str">
        <f t="shared" si="203"/>
        <v>CU0448001</v>
      </c>
      <c r="CE328" s="442" t="str">
        <f t="shared" si="204"/>
        <v>2019年8月</v>
      </c>
      <c r="CF328" s="418" t="str">
        <f t="shared" si="205"/>
        <v>蓝色光标clife服务费暂估</v>
      </c>
      <c r="CG328" s="418" t="str">
        <f t="shared" si="206"/>
        <v>2019年8月蓝色光标clife服务费暂估</v>
      </c>
    </row>
    <row r="329" spans="2:85" s="447" customFormat="1" ht="17.25" customHeight="1">
      <c r="B329" s="447" t="str">
        <f t="shared" si="179"/>
        <v>CU0460</v>
      </c>
      <c r="C329" s="431" t="s">
        <v>755</v>
      </c>
      <c r="D329" s="367" t="s">
        <v>1773</v>
      </c>
      <c r="E329" s="367" t="s">
        <v>1772</v>
      </c>
      <c r="F329" s="439">
        <v>43678</v>
      </c>
      <c r="G329" s="448">
        <v>544.16999999999996</v>
      </c>
      <c r="H329" s="440"/>
      <c r="I329" s="440">
        <f t="shared" si="180"/>
        <v>544.16999999999996</v>
      </c>
      <c r="J329" s="440"/>
      <c r="L329" s="462">
        <f t="shared" si="181"/>
        <v>544.16999999999996</v>
      </c>
      <c r="M329" s="462"/>
      <c r="N329" s="444"/>
      <c r="O329" s="462">
        <f t="shared" si="182"/>
        <v>544.16999999999996</v>
      </c>
      <c r="R329" s="462">
        <f t="shared" si="183"/>
        <v>544.16999999999996</v>
      </c>
      <c r="U329" s="462">
        <f t="shared" si="184"/>
        <v>544.16999999999996</v>
      </c>
      <c r="X329" s="462">
        <f t="shared" si="185"/>
        <v>544.16999999999996</v>
      </c>
      <c r="AA329" s="462">
        <f t="shared" si="178"/>
        <v>544.16999999999996</v>
      </c>
      <c r="AD329" s="462">
        <f t="shared" si="186"/>
        <v>544.16999999999996</v>
      </c>
      <c r="AE329" s="447" t="s">
        <v>1796</v>
      </c>
      <c r="AG329" s="462">
        <f t="shared" si="187"/>
        <v>544.16999999999996</v>
      </c>
      <c r="AH329" s="447" t="s">
        <v>1827</v>
      </c>
      <c r="AJ329" s="462">
        <f t="shared" si="188"/>
        <v>544.16999999999996</v>
      </c>
      <c r="AK329" s="447" t="s">
        <v>1867</v>
      </c>
      <c r="AM329" s="462">
        <f t="shared" si="189"/>
        <v>544.16999999999996</v>
      </c>
      <c r="AN329" s="447" t="s">
        <v>1975</v>
      </c>
      <c r="AP329" s="462">
        <f t="shared" si="190"/>
        <v>544.16999999999996</v>
      </c>
      <c r="AQ329" s="447" t="s">
        <v>2003</v>
      </c>
      <c r="AS329" s="459">
        <f t="shared" si="191"/>
        <v>544.16999999999996</v>
      </c>
      <c r="AV329" s="462">
        <f t="shared" si="192"/>
        <v>544.16999999999996</v>
      </c>
      <c r="AW329" s="447" t="s">
        <v>2107</v>
      </c>
      <c r="AY329" s="462">
        <f t="shared" si="193"/>
        <v>544.16999999999996</v>
      </c>
      <c r="AZ329" s="447" t="s">
        <v>2131</v>
      </c>
      <c r="BB329" s="462">
        <f t="shared" si="194"/>
        <v>544.16999999999996</v>
      </c>
      <c r="BC329" s="447" t="s">
        <v>2204</v>
      </c>
      <c r="BE329" s="462">
        <f t="shared" si="195"/>
        <v>544.16999999999996</v>
      </c>
      <c r="BF329" s="447" t="s">
        <v>2237</v>
      </c>
      <c r="BH329" s="462">
        <f t="shared" si="196"/>
        <v>544.16999999999996</v>
      </c>
      <c r="BI329" s="447" t="s">
        <v>2292</v>
      </c>
      <c r="BK329" s="462">
        <f t="shared" si="197"/>
        <v>544.16999999999996</v>
      </c>
      <c r="BL329" s="447" t="s">
        <v>2339</v>
      </c>
      <c r="BN329" s="462">
        <f t="shared" si="198"/>
        <v>544.16999999999996</v>
      </c>
      <c r="BO329" s="447" t="s">
        <v>2365</v>
      </c>
      <c r="BQ329" s="462">
        <f t="shared" si="199"/>
        <v>544.16999999999996</v>
      </c>
      <c r="BR329" s="447" t="s">
        <v>2374</v>
      </c>
      <c r="BS329" s="462">
        <f>BQ329</f>
        <v>544.16999999999996</v>
      </c>
      <c r="BT329" s="462">
        <f t="shared" si="200"/>
        <v>0</v>
      </c>
      <c r="BW329" s="462">
        <f t="shared" si="201"/>
        <v>0</v>
      </c>
      <c r="BZ329" s="462">
        <f t="shared" si="202"/>
        <v>0</v>
      </c>
      <c r="CD329" s="418" t="str">
        <f t="shared" si="203"/>
        <v>CU0460001</v>
      </c>
      <c r="CE329" s="442" t="str">
        <f t="shared" si="204"/>
        <v>2019年8月</v>
      </c>
      <c r="CF329" s="418" t="str">
        <f t="shared" si="205"/>
        <v>新疆金风科clife服务费暂估</v>
      </c>
      <c r="CG329" s="418" t="str">
        <f t="shared" si="206"/>
        <v>2019年8月新疆金风科clife服务费暂估</v>
      </c>
    </row>
    <row r="330" spans="2:85" s="447" customFormat="1" ht="17.25" customHeight="1">
      <c r="B330" s="447" t="str">
        <f t="shared" si="179"/>
        <v>CU0468</v>
      </c>
      <c r="C330" s="431" t="s">
        <v>755</v>
      </c>
      <c r="D330" s="367" t="s">
        <v>1775</v>
      </c>
      <c r="E330" s="367" t="s">
        <v>1774</v>
      </c>
      <c r="F330" s="439">
        <v>43678</v>
      </c>
      <c r="G330" s="448">
        <v>6832</v>
      </c>
      <c r="H330" s="440"/>
      <c r="I330" s="440">
        <f t="shared" si="180"/>
        <v>6832</v>
      </c>
      <c r="J330" s="440"/>
      <c r="L330" s="462">
        <f t="shared" si="181"/>
        <v>6832</v>
      </c>
      <c r="M330" s="462"/>
      <c r="N330" s="444"/>
      <c r="O330" s="462">
        <f t="shared" si="182"/>
        <v>6832</v>
      </c>
      <c r="R330" s="462">
        <f t="shared" si="183"/>
        <v>6832</v>
      </c>
      <c r="U330" s="462">
        <f t="shared" si="184"/>
        <v>6832</v>
      </c>
      <c r="X330" s="462">
        <f t="shared" si="185"/>
        <v>6832</v>
      </c>
      <c r="AA330" s="462">
        <f t="shared" si="178"/>
        <v>6832</v>
      </c>
      <c r="AD330" s="462">
        <f t="shared" si="186"/>
        <v>6832</v>
      </c>
      <c r="AE330" s="447" t="s">
        <v>1796</v>
      </c>
      <c r="AG330" s="462">
        <f t="shared" si="187"/>
        <v>6832</v>
      </c>
      <c r="AH330" s="447" t="s">
        <v>1827</v>
      </c>
      <c r="AJ330" s="462">
        <f t="shared" si="188"/>
        <v>6832</v>
      </c>
      <c r="AK330" s="447" t="s">
        <v>1867</v>
      </c>
      <c r="AM330" s="462">
        <f t="shared" si="189"/>
        <v>6832</v>
      </c>
      <c r="AN330" s="447" t="s">
        <v>1975</v>
      </c>
      <c r="AP330" s="462">
        <f t="shared" si="190"/>
        <v>6832</v>
      </c>
      <c r="AQ330" s="447" t="s">
        <v>2003</v>
      </c>
      <c r="AS330" s="459">
        <f t="shared" si="191"/>
        <v>6832</v>
      </c>
      <c r="AV330" s="462">
        <f t="shared" si="192"/>
        <v>6832</v>
      </c>
      <c r="AW330" s="447" t="s">
        <v>2107</v>
      </c>
      <c r="AY330" s="462">
        <f t="shared" si="193"/>
        <v>6832</v>
      </c>
      <c r="AZ330" s="447" t="s">
        <v>2131</v>
      </c>
      <c r="BB330" s="462">
        <f t="shared" si="194"/>
        <v>6832</v>
      </c>
      <c r="BC330" s="447" t="s">
        <v>2204</v>
      </c>
      <c r="BE330" s="462">
        <f t="shared" si="195"/>
        <v>6832</v>
      </c>
      <c r="BF330" s="447" t="s">
        <v>2237</v>
      </c>
      <c r="BH330" s="462">
        <f t="shared" si="196"/>
        <v>6832</v>
      </c>
      <c r="BI330" s="447" t="s">
        <v>2292</v>
      </c>
      <c r="BK330" s="462">
        <f t="shared" si="197"/>
        <v>6832</v>
      </c>
      <c r="BL330" s="447" t="s">
        <v>2339</v>
      </c>
      <c r="BN330" s="462">
        <f t="shared" si="198"/>
        <v>6832</v>
      </c>
      <c r="BO330" s="447" t="s">
        <v>2365</v>
      </c>
      <c r="BQ330" s="462">
        <f t="shared" si="199"/>
        <v>6832</v>
      </c>
      <c r="BR330" s="447" t="s">
        <v>2374</v>
      </c>
      <c r="BS330" s="462">
        <f>BQ330</f>
        <v>6832</v>
      </c>
      <c r="BT330" s="462">
        <f t="shared" si="200"/>
        <v>0</v>
      </c>
      <c r="BW330" s="462">
        <f t="shared" si="201"/>
        <v>0</v>
      </c>
      <c r="BZ330" s="462">
        <f t="shared" si="202"/>
        <v>0</v>
      </c>
      <c r="CD330" s="418" t="str">
        <f t="shared" si="203"/>
        <v>CU0468001</v>
      </c>
      <c r="CE330" s="442" t="str">
        <f t="shared" si="204"/>
        <v>2019年8月</v>
      </c>
      <c r="CF330" s="418" t="str">
        <f t="shared" si="205"/>
        <v>包商银行股clife服务费暂估</v>
      </c>
      <c r="CG330" s="418" t="str">
        <f t="shared" si="206"/>
        <v>2019年8月包商银行股clife服务费暂估</v>
      </c>
    </row>
    <row r="331" spans="2:85" s="447" customFormat="1" ht="17.25" customHeight="1">
      <c r="B331" s="447" t="str">
        <f t="shared" si="179"/>
        <v>CU0531</v>
      </c>
      <c r="C331" s="431" t="s">
        <v>755</v>
      </c>
      <c r="D331" s="367" t="s">
        <v>1453</v>
      </c>
      <c r="E331" s="367" t="s">
        <v>134</v>
      </c>
      <c r="F331" s="439">
        <v>43678</v>
      </c>
      <c r="G331" s="448">
        <v>27965.74</v>
      </c>
      <c r="H331" s="440"/>
      <c r="I331" s="440">
        <f t="shared" si="180"/>
        <v>27965.74</v>
      </c>
      <c r="J331" s="440"/>
      <c r="L331" s="462">
        <f t="shared" si="181"/>
        <v>27965.74</v>
      </c>
      <c r="M331" s="462"/>
      <c r="N331" s="444"/>
      <c r="O331" s="462">
        <f t="shared" si="182"/>
        <v>27965.74</v>
      </c>
      <c r="R331" s="462">
        <f t="shared" si="183"/>
        <v>27965.74</v>
      </c>
      <c r="U331" s="462">
        <f t="shared" si="184"/>
        <v>27965.74</v>
      </c>
      <c r="X331" s="462">
        <f t="shared" si="185"/>
        <v>27965.74</v>
      </c>
      <c r="AA331" s="462">
        <f t="shared" si="178"/>
        <v>27965.74</v>
      </c>
      <c r="AD331" s="462">
        <f t="shared" si="186"/>
        <v>27965.74</v>
      </c>
      <c r="AE331" s="447" t="s">
        <v>1796</v>
      </c>
      <c r="AG331" s="462">
        <f t="shared" si="187"/>
        <v>27965.74</v>
      </c>
      <c r="AH331" s="447" t="s">
        <v>1827</v>
      </c>
      <c r="AJ331" s="462">
        <f t="shared" si="188"/>
        <v>27965.74</v>
      </c>
      <c r="AK331" s="447" t="s">
        <v>1867</v>
      </c>
      <c r="AM331" s="462">
        <f t="shared" si="189"/>
        <v>27965.74</v>
      </c>
      <c r="AN331" s="447" t="s">
        <v>1975</v>
      </c>
      <c r="AP331" s="462">
        <f t="shared" si="190"/>
        <v>27965.74</v>
      </c>
      <c r="AQ331" s="447" t="s">
        <v>2003</v>
      </c>
      <c r="AS331" s="459">
        <f t="shared" si="191"/>
        <v>27965.74</v>
      </c>
      <c r="AV331" s="462">
        <f t="shared" si="192"/>
        <v>27965.74</v>
      </c>
      <c r="AW331" s="447" t="s">
        <v>2107</v>
      </c>
      <c r="AX331" s="462">
        <f>AV331</f>
        <v>27965.74</v>
      </c>
      <c r="AY331" s="462">
        <f t="shared" si="193"/>
        <v>0</v>
      </c>
      <c r="BB331" s="462">
        <f t="shared" si="194"/>
        <v>0</v>
      </c>
      <c r="BC331" s="447" t="s">
        <v>2204</v>
      </c>
      <c r="BE331" s="462">
        <f t="shared" si="195"/>
        <v>0</v>
      </c>
      <c r="BH331" s="462">
        <f t="shared" si="196"/>
        <v>0</v>
      </c>
      <c r="BK331" s="462">
        <f t="shared" si="197"/>
        <v>0</v>
      </c>
      <c r="BN331" s="462">
        <f t="shared" si="198"/>
        <v>0</v>
      </c>
      <c r="BQ331" s="462">
        <f t="shared" si="199"/>
        <v>0</v>
      </c>
      <c r="BT331" s="462">
        <f t="shared" si="200"/>
        <v>0</v>
      </c>
      <c r="BW331" s="462">
        <f t="shared" si="201"/>
        <v>0</v>
      </c>
      <c r="BZ331" s="462">
        <f t="shared" si="202"/>
        <v>0</v>
      </c>
      <c r="CD331" s="418" t="str">
        <f t="shared" si="203"/>
        <v>CU0531001</v>
      </c>
      <c r="CE331" s="442" t="str">
        <f t="shared" si="204"/>
        <v>2019年8月</v>
      </c>
      <c r="CF331" s="418" t="str">
        <f t="shared" si="205"/>
        <v>恩思恩时尚clife服务费暂估</v>
      </c>
      <c r="CG331" s="418" t="str">
        <f t="shared" si="206"/>
        <v>2019年8月恩思恩时尚clife服务费暂估</v>
      </c>
    </row>
    <row r="332" spans="2:85" s="447" customFormat="1" ht="17.25" customHeight="1">
      <c r="B332" s="447" t="str">
        <f t="shared" si="179"/>
        <v>CU0562</v>
      </c>
      <c r="C332" s="431" t="s">
        <v>755</v>
      </c>
      <c r="D332" s="367" t="s">
        <v>1805</v>
      </c>
      <c r="E332" s="367" t="s">
        <v>1804</v>
      </c>
      <c r="F332" s="439">
        <v>43678</v>
      </c>
      <c r="G332" s="448">
        <v>45</v>
      </c>
      <c r="H332" s="440"/>
      <c r="I332" s="440">
        <f t="shared" si="180"/>
        <v>45</v>
      </c>
      <c r="J332" s="440"/>
      <c r="L332" s="462">
        <f t="shared" si="181"/>
        <v>45</v>
      </c>
      <c r="M332" s="462"/>
      <c r="N332" s="444"/>
      <c r="O332" s="462">
        <f t="shared" si="182"/>
        <v>45</v>
      </c>
      <c r="R332" s="462">
        <f t="shared" si="183"/>
        <v>45</v>
      </c>
      <c r="U332" s="462">
        <f t="shared" si="184"/>
        <v>45</v>
      </c>
      <c r="X332" s="462">
        <f t="shared" si="185"/>
        <v>45</v>
      </c>
      <c r="AA332" s="462">
        <f t="shared" si="178"/>
        <v>45</v>
      </c>
      <c r="AD332" s="462">
        <f t="shared" si="186"/>
        <v>45</v>
      </c>
      <c r="AE332" s="447" t="s">
        <v>1796</v>
      </c>
      <c r="AG332" s="462">
        <f t="shared" si="187"/>
        <v>45</v>
      </c>
      <c r="AH332" s="447" t="s">
        <v>1827</v>
      </c>
      <c r="AJ332" s="462">
        <f t="shared" si="188"/>
        <v>45</v>
      </c>
      <c r="AK332" s="447" t="s">
        <v>1867</v>
      </c>
      <c r="AM332" s="462">
        <f t="shared" si="189"/>
        <v>45</v>
      </c>
      <c r="AN332" s="447" t="s">
        <v>1975</v>
      </c>
      <c r="AO332" s="447">
        <f>ROUND(47.7/1.06,2)</f>
        <v>45</v>
      </c>
      <c r="AP332" s="462">
        <f t="shared" si="190"/>
        <v>0</v>
      </c>
      <c r="AQ332" s="447" t="s">
        <v>2003</v>
      </c>
      <c r="AS332" s="459">
        <f t="shared" si="191"/>
        <v>0</v>
      </c>
      <c r="AV332" s="462">
        <f t="shared" si="192"/>
        <v>0</v>
      </c>
      <c r="AY332" s="462">
        <f t="shared" si="193"/>
        <v>0</v>
      </c>
      <c r="BB332" s="462">
        <f t="shared" si="194"/>
        <v>0</v>
      </c>
      <c r="BC332" s="447" t="s">
        <v>2204</v>
      </c>
      <c r="BE332" s="462">
        <f t="shared" si="195"/>
        <v>0</v>
      </c>
      <c r="BH332" s="462">
        <f t="shared" si="196"/>
        <v>0</v>
      </c>
      <c r="BK332" s="462">
        <f t="shared" si="197"/>
        <v>0</v>
      </c>
      <c r="BN332" s="462">
        <f t="shared" si="198"/>
        <v>0</v>
      </c>
      <c r="BQ332" s="462">
        <f t="shared" si="199"/>
        <v>0</v>
      </c>
      <c r="BT332" s="462">
        <f t="shared" si="200"/>
        <v>0</v>
      </c>
      <c r="BW332" s="462">
        <f t="shared" si="201"/>
        <v>0</v>
      </c>
      <c r="BZ332" s="462">
        <f t="shared" si="202"/>
        <v>0</v>
      </c>
      <c r="CD332" s="418" t="str">
        <f t="shared" si="203"/>
        <v>CU0562001</v>
      </c>
      <c r="CE332" s="442" t="str">
        <f t="shared" si="204"/>
        <v>2019年8月</v>
      </c>
      <c r="CF332" s="418" t="str">
        <f t="shared" si="205"/>
        <v>杭州康晟健clife服务费暂估</v>
      </c>
      <c r="CG332" s="418" t="str">
        <f t="shared" si="206"/>
        <v>2019年8月杭州康晟健clife服务费暂估</v>
      </c>
    </row>
    <row r="333" spans="2:85" s="447" customFormat="1" ht="17.25" customHeight="1">
      <c r="B333" s="447" t="str">
        <f t="shared" si="179"/>
        <v>CU0558</v>
      </c>
      <c r="C333" s="431" t="s">
        <v>755</v>
      </c>
      <c r="D333" s="367" t="s">
        <v>1647</v>
      </c>
      <c r="E333" s="367" t="s">
        <v>1776</v>
      </c>
      <c r="F333" s="439">
        <v>43678</v>
      </c>
      <c r="G333" s="448">
        <v>4734.0200000000004</v>
      </c>
      <c r="H333" s="440"/>
      <c r="I333" s="440"/>
      <c r="J333" s="440"/>
      <c r="L333" s="462"/>
      <c r="M333" s="462"/>
      <c r="N333" s="444"/>
      <c r="O333" s="462"/>
      <c r="R333" s="462"/>
      <c r="U333" s="462"/>
      <c r="X333" s="462"/>
      <c r="AA333" s="462">
        <f t="shared" si="178"/>
        <v>4734.0200000000004</v>
      </c>
      <c r="AD333" s="462">
        <f t="shared" ref="AD333" si="207">AA333-AC333</f>
        <v>4734.0200000000004</v>
      </c>
      <c r="AE333" s="447" t="s">
        <v>1796</v>
      </c>
      <c r="AG333" s="462">
        <f t="shared" si="187"/>
        <v>4734.0200000000004</v>
      </c>
      <c r="AH333" s="447" t="s">
        <v>1827</v>
      </c>
      <c r="AJ333" s="462">
        <f t="shared" si="188"/>
        <v>4734.0200000000004</v>
      </c>
      <c r="AK333" s="447" t="s">
        <v>1867</v>
      </c>
      <c r="AM333" s="462">
        <f t="shared" si="189"/>
        <v>4734.0200000000004</v>
      </c>
      <c r="AN333" s="447" t="s">
        <v>1975</v>
      </c>
      <c r="AP333" s="462">
        <f t="shared" si="190"/>
        <v>4734.0200000000004</v>
      </c>
      <c r="AQ333" s="447" t="s">
        <v>2003</v>
      </c>
      <c r="AS333" s="459">
        <f t="shared" si="191"/>
        <v>4734.0200000000004</v>
      </c>
      <c r="AV333" s="462">
        <f t="shared" si="192"/>
        <v>4734.0200000000004</v>
      </c>
      <c r="AW333" s="447" t="s">
        <v>2107</v>
      </c>
      <c r="AX333" s="462">
        <f>AV333</f>
        <v>4734.0200000000004</v>
      </c>
      <c r="AY333" s="462">
        <f t="shared" si="193"/>
        <v>0</v>
      </c>
      <c r="AZ333" s="447" t="s">
        <v>2131</v>
      </c>
      <c r="BB333" s="462">
        <f t="shared" si="194"/>
        <v>0</v>
      </c>
      <c r="BC333" s="447" t="s">
        <v>2204</v>
      </c>
      <c r="BE333" s="462">
        <f t="shared" si="195"/>
        <v>0</v>
      </c>
      <c r="BH333" s="462">
        <f t="shared" si="196"/>
        <v>0</v>
      </c>
      <c r="BK333" s="462">
        <f t="shared" si="197"/>
        <v>0</v>
      </c>
      <c r="BN333" s="462">
        <f t="shared" si="198"/>
        <v>0</v>
      </c>
      <c r="BQ333" s="462">
        <f t="shared" si="199"/>
        <v>0</v>
      </c>
      <c r="BT333" s="462">
        <f t="shared" si="200"/>
        <v>0</v>
      </c>
      <c r="BW333" s="462">
        <f t="shared" si="201"/>
        <v>0</v>
      </c>
      <c r="BZ333" s="462">
        <f t="shared" si="202"/>
        <v>0</v>
      </c>
      <c r="CD333" s="418" t="str">
        <f t="shared" si="203"/>
        <v>CU0558001</v>
      </c>
      <c r="CE333" s="442" t="str">
        <f t="shared" si="204"/>
        <v>2019年8月</v>
      </c>
      <c r="CF333" s="418" t="str">
        <f t="shared" si="205"/>
        <v>聚思鸿信息clife服务费暂估</v>
      </c>
      <c r="CG333" s="418" t="str">
        <f t="shared" si="206"/>
        <v>2019年8月聚思鸿信息clife服务费暂估</v>
      </c>
    </row>
    <row r="334" spans="2:85" s="447" customFormat="1" ht="17.25" customHeight="1">
      <c r="B334" s="447" t="str">
        <f t="shared" si="179"/>
        <v>CU0570</v>
      </c>
      <c r="C334" s="431" t="s">
        <v>755</v>
      </c>
      <c r="D334" s="367" t="s">
        <v>1758</v>
      </c>
      <c r="E334" s="367" t="s">
        <v>1777</v>
      </c>
      <c r="F334" s="439">
        <v>43678</v>
      </c>
      <c r="G334" s="448">
        <v>162938.87</v>
      </c>
      <c r="H334" s="440"/>
      <c r="I334" s="440">
        <f t="shared" si="180"/>
        <v>162938.87</v>
      </c>
      <c r="J334" s="440"/>
      <c r="L334" s="462">
        <f t="shared" si="181"/>
        <v>162938.87</v>
      </c>
      <c r="M334" s="462"/>
      <c r="N334" s="444"/>
      <c r="O334" s="462">
        <f t="shared" si="182"/>
        <v>162938.87</v>
      </c>
      <c r="R334" s="462">
        <f t="shared" si="183"/>
        <v>162938.87</v>
      </c>
      <c r="U334" s="462">
        <f t="shared" si="184"/>
        <v>162938.87</v>
      </c>
      <c r="X334" s="462">
        <f t="shared" si="185"/>
        <v>162938.87</v>
      </c>
      <c r="AA334" s="462">
        <f t="shared" si="178"/>
        <v>162938.87</v>
      </c>
      <c r="AD334" s="462">
        <f t="shared" si="186"/>
        <v>162938.87</v>
      </c>
      <c r="AE334" s="447" t="s">
        <v>1796</v>
      </c>
      <c r="AF334" s="444">
        <f>ROUND(172715.2/1.06,2)</f>
        <v>162938.87</v>
      </c>
      <c r="AG334" s="462">
        <f t="shared" si="187"/>
        <v>0</v>
      </c>
      <c r="AH334" s="447" t="s">
        <v>1827</v>
      </c>
      <c r="AJ334" s="462">
        <f t="shared" si="188"/>
        <v>0</v>
      </c>
      <c r="AM334" s="462">
        <f t="shared" si="189"/>
        <v>0</v>
      </c>
      <c r="AN334" s="447" t="s">
        <v>1975</v>
      </c>
      <c r="AP334" s="462">
        <f t="shared" si="190"/>
        <v>0</v>
      </c>
      <c r="AQ334" s="447" t="s">
        <v>2003</v>
      </c>
      <c r="AS334" s="459">
        <f t="shared" si="191"/>
        <v>0</v>
      </c>
      <c r="AV334" s="462">
        <f t="shared" si="192"/>
        <v>0</v>
      </c>
      <c r="AY334" s="462">
        <f t="shared" si="193"/>
        <v>0</v>
      </c>
      <c r="BB334" s="462">
        <f t="shared" si="194"/>
        <v>0</v>
      </c>
      <c r="BC334" s="447" t="s">
        <v>2204</v>
      </c>
      <c r="BE334" s="462">
        <f t="shared" si="195"/>
        <v>0</v>
      </c>
      <c r="BH334" s="462">
        <f t="shared" si="196"/>
        <v>0</v>
      </c>
      <c r="BK334" s="462">
        <f t="shared" si="197"/>
        <v>0</v>
      </c>
      <c r="BN334" s="462">
        <f t="shared" si="198"/>
        <v>0</v>
      </c>
      <c r="BQ334" s="462">
        <f t="shared" si="199"/>
        <v>0</v>
      </c>
      <c r="BT334" s="462">
        <f t="shared" si="200"/>
        <v>0</v>
      </c>
      <c r="BW334" s="462">
        <f t="shared" si="201"/>
        <v>0</v>
      </c>
      <c r="BZ334" s="462">
        <f t="shared" si="202"/>
        <v>0</v>
      </c>
      <c r="CD334" s="418" t="str">
        <f t="shared" si="203"/>
        <v>CU0570001</v>
      </c>
      <c r="CE334" s="442" t="str">
        <f t="shared" si="204"/>
        <v>2019年8月</v>
      </c>
      <c r="CF334" s="418" t="str">
        <f t="shared" si="205"/>
        <v>华院数据技clife服务费暂估</v>
      </c>
      <c r="CG334" s="418" t="str">
        <f t="shared" si="206"/>
        <v>2019年8月华院数据技clife服务费暂估</v>
      </c>
    </row>
    <row r="335" spans="2:85" s="447" customFormat="1" ht="17.25" customHeight="1">
      <c r="B335" s="447" t="str">
        <f t="shared" si="179"/>
        <v>CU0636</v>
      </c>
      <c r="C335" s="431" t="s">
        <v>755</v>
      </c>
      <c r="D335" s="367" t="s">
        <v>1759</v>
      </c>
      <c r="E335" s="367" t="s">
        <v>1778</v>
      </c>
      <c r="F335" s="439">
        <v>43678</v>
      </c>
      <c r="G335" s="448">
        <v>17147.37</v>
      </c>
      <c r="H335" s="440"/>
      <c r="I335" s="440">
        <f t="shared" si="180"/>
        <v>17147.37</v>
      </c>
      <c r="J335" s="440"/>
      <c r="L335" s="462">
        <f t="shared" si="181"/>
        <v>17147.37</v>
      </c>
      <c r="M335" s="462"/>
      <c r="N335" s="444"/>
      <c r="O335" s="462">
        <f t="shared" si="182"/>
        <v>17147.37</v>
      </c>
      <c r="R335" s="462">
        <f t="shared" si="183"/>
        <v>17147.37</v>
      </c>
      <c r="U335" s="462">
        <f t="shared" si="184"/>
        <v>17147.37</v>
      </c>
      <c r="X335" s="462">
        <f t="shared" si="185"/>
        <v>17147.37</v>
      </c>
      <c r="AA335" s="462">
        <f t="shared" si="178"/>
        <v>17147.37</v>
      </c>
      <c r="AD335" s="462">
        <f t="shared" si="186"/>
        <v>17147.37</v>
      </c>
      <c r="AE335" s="447" t="s">
        <v>1796</v>
      </c>
      <c r="AG335" s="462">
        <f t="shared" si="187"/>
        <v>17147.37</v>
      </c>
      <c r="AH335" s="447" t="s">
        <v>1827</v>
      </c>
      <c r="AJ335" s="462">
        <f t="shared" si="188"/>
        <v>17147.37</v>
      </c>
      <c r="AK335" s="447" t="s">
        <v>1867</v>
      </c>
      <c r="AM335" s="462">
        <f t="shared" si="189"/>
        <v>17147.37</v>
      </c>
      <c r="AN335" s="447" t="s">
        <v>1975</v>
      </c>
      <c r="AP335" s="462">
        <f t="shared" si="190"/>
        <v>17147.37</v>
      </c>
      <c r="AQ335" s="447" t="s">
        <v>2003</v>
      </c>
      <c r="AS335" s="459">
        <f t="shared" si="191"/>
        <v>17147.37</v>
      </c>
      <c r="AV335" s="462">
        <f t="shared" si="192"/>
        <v>17147.37</v>
      </c>
      <c r="AW335" s="447" t="s">
        <v>2107</v>
      </c>
      <c r="AY335" s="462">
        <f t="shared" si="193"/>
        <v>17147.37</v>
      </c>
      <c r="AZ335" s="447" t="s">
        <v>2131</v>
      </c>
      <c r="BB335" s="462">
        <f t="shared" si="194"/>
        <v>17147.37</v>
      </c>
      <c r="BC335" s="447" t="s">
        <v>2204</v>
      </c>
      <c r="BD335" s="462">
        <f>BB335</f>
        <v>17147.37</v>
      </c>
      <c r="BE335" s="462">
        <f t="shared" si="195"/>
        <v>0</v>
      </c>
      <c r="BH335" s="462">
        <f t="shared" si="196"/>
        <v>0</v>
      </c>
      <c r="BK335" s="462">
        <f t="shared" si="197"/>
        <v>0</v>
      </c>
      <c r="BN335" s="462">
        <f t="shared" si="198"/>
        <v>0</v>
      </c>
      <c r="BQ335" s="462">
        <f t="shared" si="199"/>
        <v>0</v>
      </c>
      <c r="BT335" s="462">
        <f t="shared" si="200"/>
        <v>0</v>
      </c>
      <c r="BW335" s="462">
        <f t="shared" si="201"/>
        <v>0</v>
      </c>
      <c r="BZ335" s="462">
        <f t="shared" si="202"/>
        <v>0</v>
      </c>
      <c r="CD335" s="418" t="str">
        <f t="shared" si="203"/>
        <v>CU0636001</v>
      </c>
      <c r="CE335" s="442" t="str">
        <f t="shared" si="204"/>
        <v>2019年8月</v>
      </c>
      <c r="CF335" s="418" t="str">
        <f t="shared" si="205"/>
        <v>巴丽（上海clife服务费暂估</v>
      </c>
      <c r="CG335" s="418" t="str">
        <f t="shared" si="206"/>
        <v>2019年8月巴丽（上海clife服务费暂估</v>
      </c>
    </row>
    <row r="336" spans="2:85" s="447" customFormat="1" ht="17.25" customHeight="1">
      <c r="B336" s="447" t="str">
        <f t="shared" si="179"/>
        <v>CU0667</v>
      </c>
      <c r="C336" s="431" t="s">
        <v>755</v>
      </c>
      <c r="D336" s="367" t="s">
        <v>1454</v>
      </c>
      <c r="E336" s="367" t="s">
        <v>168</v>
      </c>
      <c r="F336" s="439">
        <v>43678</v>
      </c>
      <c r="G336" s="448">
        <v>855.98</v>
      </c>
      <c r="H336" s="440"/>
      <c r="I336" s="440">
        <f t="shared" si="180"/>
        <v>855.98</v>
      </c>
      <c r="J336" s="440"/>
      <c r="L336" s="462">
        <f t="shared" si="181"/>
        <v>855.98</v>
      </c>
      <c r="M336" s="462"/>
      <c r="N336" s="444"/>
      <c r="O336" s="462">
        <f t="shared" si="182"/>
        <v>855.98</v>
      </c>
      <c r="R336" s="462">
        <f t="shared" si="183"/>
        <v>855.98</v>
      </c>
      <c r="U336" s="462">
        <f t="shared" si="184"/>
        <v>855.98</v>
      </c>
      <c r="X336" s="462">
        <f t="shared" si="185"/>
        <v>855.98</v>
      </c>
      <c r="AA336" s="462">
        <f t="shared" si="178"/>
        <v>855.98</v>
      </c>
      <c r="AD336" s="462">
        <f t="shared" si="186"/>
        <v>855.98</v>
      </c>
      <c r="AE336" s="447" t="s">
        <v>1796</v>
      </c>
      <c r="AG336" s="462">
        <f t="shared" si="187"/>
        <v>855.98</v>
      </c>
      <c r="AH336" s="447" t="s">
        <v>1827</v>
      </c>
      <c r="AJ336" s="462">
        <f t="shared" si="188"/>
        <v>855.98</v>
      </c>
      <c r="AK336" s="447" t="s">
        <v>1867</v>
      </c>
      <c r="AM336" s="462">
        <f t="shared" si="189"/>
        <v>855.98</v>
      </c>
      <c r="AN336" s="447" t="s">
        <v>1975</v>
      </c>
      <c r="AO336" s="462">
        <f>AM336</f>
        <v>855.98</v>
      </c>
      <c r="AP336" s="462">
        <f t="shared" si="190"/>
        <v>0</v>
      </c>
      <c r="AQ336" s="447" t="s">
        <v>2003</v>
      </c>
      <c r="AS336" s="459">
        <f t="shared" si="191"/>
        <v>0</v>
      </c>
      <c r="AV336" s="462">
        <f t="shared" si="192"/>
        <v>0</v>
      </c>
      <c r="AY336" s="462">
        <f t="shared" si="193"/>
        <v>0</v>
      </c>
      <c r="BB336" s="462">
        <f t="shared" si="194"/>
        <v>0</v>
      </c>
      <c r="BC336" s="447" t="s">
        <v>2204</v>
      </c>
      <c r="BE336" s="462">
        <f t="shared" si="195"/>
        <v>0</v>
      </c>
      <c r="BH336" s="462">
        <f t="shared" si="196"/>
        <v>0</v>
      </c>
      <c r="BK336" s="462">
        <f t="shared" si="197"/>
        <v>0</v>
      </c>
      <c r="BN336" s="462">
        <f t="shared" si="198"/>
        <v>0</v>
      </c>
      <c r="BQ336" s="462">
        <f t="shared" si="199"/>
        <v>0</v>
      </c>
      <c r="BT336" s="462">
        <f t="shared" si="200"/>
        <v>0</v>
      </c>
      <c r="BW336" s="462">
        <f t="shared" si="201"/>
        <v>0</v>
      </c>
      <c r="BZ336" s="462">
        <f t="shared" si="202"/>
        <v>0</v>
      </c>
      <c r="CD336" s="418" t="str">
        <f t="shared" si="203"/>
        <v>CU0667001</v>
      </c>
      <c r="CE336" s="442" t="str">
        <f t="shared" si="204"/>
        <v>2019年8月</v>
      </c>
      <c r="CF336" s="418" t="str">
        <f t="shared" si="205"/>
        <v>北京杰迪安clife服务费暂估</v>
      </c>
      <c r="CG336" s="418" t="str">
        <f t="shared" si="206"/>
        <v>2019年8月北京杰迪安clife服务费暂估</v>
      </c>
    </row>
    <row r="337" spans="2:85" s="447" customFormat="1" ht="17.25" customHeight="1">
      <c r="B337" s="447" t="str">
        <f t="shared" si="179"/>
        <v>CU0692</v>
      </c>
      <c r="C337" s="431" t="s">
        <v>755</v>
      </c>
      <c r="D337" s="367" t="s">
        <v>1806</v>
      </c>
      <c r="E337" s="367" t="s">
        <v>1808</v>
      </c>
      <c r="F337" s="439">
        <v>43678</v>
      </c>
      <c r="G337" s="448">
        <v>59</v>
      </c>
      <c r="H337" s="440"/>
      <c r="I337" s="440"/>
      <c r="J337" s="440"/>
      <c r="L337" s="462"/>
      <c r="M337" s="462"/>
      <c r="N337" s="444"/>
      <c r="O337" s="462"/>
      <c r="R337" s="462"/>
      <c r="U337" s="462"/>
      <c r="X337" s="462"/>
      <c r="AA337" s="462">
        <f t="shared" ref="AA337" si="208">G337</f>
        <v>59</v>
      </c>
      <c r="AD337" s="462">
        <f t="shared" ref="AD337" si="209">AA337-AC337</f>
        <v>59</v>
      </c>
      <c r="AE337" s="447" t="s">
        <v>1796</v>
      </c>
      <c r="AG337" s="462">
        <f t="shared" si="187"/>
        <v>59</v>
      </c>
      <c r="AH337" s="447" t="s">
        <v>1827</v>
      </c>
      <c r="AJ337" s="462">
        <f t="shared" si="188"/>
        <v>59</v>
      </c>
      <c r="AK337" s="447" t="s">
        <v>1867</v>
      </c>
      <c r="AM337" s="462">
        <f t="shared" si="189"/>
        <v>59</v>
      </c>
      <c r="AN337" s="447" t="s">
        <v>1975</v>
      </c>
      <c r="AO337" s="447">
        <v>45</v>
      </c>
      <c r="AP337" s="462">
        <f t="shared" si="190"/>
        <v>14</v>
      </c>
      <c r="AQ337" s="447" t="s">
        <v>2003</v>
      </c>
      <c r="AS337" s="459">
        <f t="shared" si="191"/>
        <v>14</v>
      </c>
      <c r="AV337" s="462">
        <f t="shared" si="192"/>
        <v>14</v>
      </c>
      <c r="AW337" s="447" t="s">
        <v>2107</v>
      </c>
      <c r="AX337" s="462">
        <f>248.03-AX120-AX153-AX261+7.34</f>
        <v>14.00000000000011</v>
      </c>
      <c r="AY337" s="462">
        <f t="shared" si="193"/>
        <v>-1.1013412404281553E-13</v>
      </c>
      <c r="BB337" s="462">
        <f t="shared" si="194"/>
        <v>-1.1013412404281553E-13</v>
      </c>
      <c r="BC337" s="447" t="s">
        <v>2204</v>
      </c>
      <c r="BE337" s="462">
        <f t="shared" si="195"/>
        <v>-1.1013412404281553E-13</v>
      </c>
      <c r="BH337" s="462">
        <f t="shared" si="196"/>
        <v>-1.1013412404281553E-13</v>
      </c>
      <c r="BK337" s="462">
        <f t="shared" si="197"/>
        <v>-1.1013412404281553E-13</v>
      </c>
      <c r="BN337" s="462">
        <f t="shared" si="198"/>
        <v>-1.1013412404281553E-13</v>
      </c>
      <c r="BQ337" s="462">
        <f t="shared" si="199"/>
        <v>0</v>
      </c>
      <c r="BT337" s="462">
        <f t="shared" si="200"/>
        <v>0</v>
      </c>
      <c r="BW337" s="462">
        <f t="shared" si="201"/>
        <v>0</v>
      </c>
      <c r="BZ337" s="462">
        <f t="shared" si="202"/>
        <v>0</v>
      </c>
      <c r="CD337" s="418" t="str">
        <f t="shared" si="203"/>
        <v>CU0692001</v>
      </c>
      <c r="CE337" s="442" t="str">
        <f t="shared" si="204"/>
        <v>2019年8月</v>
      </c>
      <c r="CF337" s="418" t="str">
        <f t="shared" si="205"/>
        <v>欧尚（中国clife服务费暂估</v>
      </c>
      <c r="CG337" s="418" t="str">
        <f t="shared" si="206"/>
        <v>2019年8月欧尚（中国clife服务费暂估</v>
      </c>
    </row>
    <row r="338" spans="2:85" s="447" customFormat="1" ht="17.25" customHeight="1">
      <c r="B338" s="447" t="str">
        <f t="shared" si="179"/>
        <v>CU0734</v>
      </c>
      <c r="C338" s="431" t="s">
        <v>755</v>
      </c>
      <c r="D338" s="367" t="s">
        <v>1780</v>
      </c>
      <c r="E338" s="367" t="s">
        <v>1779</v>
      </c>
      <c r="F338" s="439">
        <v>43678</v>
      </c>
      <c r="G338" s="448">
        <v>453</v>
      </c>
      <c r="H338" s="440"/>
      <c r="I338" s="440">
        <f t="shared" si="180"/>
        <v>453</v>
      </c>
      <c r="J338" s="440"/>
      <c r="L338" s="462">
        <f t="shared" si="181"/>
        <v>453</v>
      </c>
      <c r="M338" s="462"/>
      <c r="N338" s="444"/>
      <c r="O338" s="462">
        <f t="shared" si="182"/>
        <v>453</v>
      </c>
      <c r="R338" s="462">
        <f t="shared" si="183"/>
        <v>453</v>
      </c>
      <c r="U338" s="462">
        <f t="shared" si="184"/>
        <v>453</v>
      </c>
      <c r="X338" s="462">
        <f t="shared" si="185"/>
        <v>453</v>
      </c>
      <c r="AA338" s="462">
        <f t="shared" si="178"/>
        <v>453</v>
      </c>
      <c r="AD338" s="462">
        <f t="shared" si="186"/>
        <v>453</v>
      </c>
      <c r="AE338" s="447" t="s">
        <v>1796</v>
      </c>
      <c r="AG338" s="462">
        <f t="shared" si="187"/>
        <v>453</v>
      </c>
      <c r="AH338" s="447" t="s">
        <v>1827</v>
      </c>
      <c r="AJ338" s="462">
        <f t="shared" si="188"/>
        <v>453</v>
      </c>
      <c r="AK338" s="447" t="s">
        <v>1867</v>
      </c>
      <c r="AM338" s="462">
        <f t="shared" si="189"/>
        <v>453</v>
      </c>
      <c r="AN338" s="447" t="s">
        <v>1975</v>
      </c>
      <c r="AP338" s="462">
        <f t="shared" si="190"/>
        <v>453</v>
      </c>
      <c r="AQ338" s="447" t="s">
        <v>2003</v>
      </c>
      <c r="AS338" s="459">
        <f t="shared" si="191"/>
        <v>453</v>
      </c>
      <c r="AU338" s="462">
        <f>AS338</f>
        <v>453</v>
      </c>
      <c r="AV338" s="462">
        <f t="shared" si="192"/>
        <v>0</v>
      </c>
      <c r="AY338" s="462">
        <f t="shared" si="193"/>
        <v>0</v>
      </c>
      <c r="BB338" s="462">
        <f t="shared" si="194"/>
        <v>0</v>
      </c>
      <c r="BC338" s="447" t="s">
        <v>2204</v>
      </c>
      <c r="BE338" s="462">
        <f t="shared" si="195"/>
        <v>0</v>
      </c>
      <c r="BH338" s="462">
        <f t="shared" si="196"/>
        <v>0</v>
      </c>
      <c r="BK338" s="462">
        <f t="shared" si="197"/>
        <v>0</v>
      </c>
      <c r="BN338" s="462">
        <f t="shared" si="198"/>
        <v>0</v>
      </c>
      <c r="BQ338" s="462">
        <f t="shared" si="199"/>
        <v>0</v>
      </c>
      <c r="BT338" s="462">
        <f t="shared" si="200"/>
        <v>0</v>
      </c>
      <c r="BW338" s="462">
        <f t="shared" si="201"/>
        <v>0</v>
      </c>
      <c r="BZ338" s="462">
        <f t="shared" si="202"/>
        <v>0</v>
      </c>
      <c r="CD338" s="418" t="str">
        <f t="shared" si="203"/>
        <v>CU0734001</v>
      </c>
      <c r="CE338" s="442" t="str">
        <f t="shared" si="204"/>
        <v>2019年8月</v>
      </c>
      <c r="CF338" s="418" t="str">
        <f t="shared" si="205"/>
        <v>蒂森克虏伯clife服务费暂估</v>
      </c>
      <c r="CG338" s="418" t="str">
        <f t="shared" si="206"/>
        <v>2019年8月蒂森克虏伯clife服务费暂估</v>
      </c>
    </row>
    <row r="339" spans="2:85" s="447" customFormat="1" ht="17.25" customHeight="1">
      <c r="B339" s="447" t="str">
        <f t="shared" si="179"/>
        <v>CU0736</v>
      </c>
      <c r="C339" s="431" t="s">
        <v>755</v>
      </c>
      <c r="D339" s="367" t="s">
        <v>1782</v>
      </c>
      <c r="E339" s="367" t="s">
        <v>1781</v>
      </c>
      <c r="F339" s="439">
        <v>43678</v>
      </c>
      <c r="G339" s="448">
        <v>93018.87</v>
      </c>
      <c r="H339" s="440"/>
      <c r="I339" s="440">
        <f t="shared" si="180"/>
        <v>93018.87</v>
      </c>
      <c r="J339" s="440"/>
      <c r="L339" s="462">
        <f t="shared" si="181"/>
        <v>93018.87</v>
      </c>
      <c r="M339" s="462"/>
      <c r="N339" s="444"/>
      <c r="O339" s="462">
        <f t="shared" si="182"/>
        <v>93018.87</v>
      </c>
      <c r="R339" s="462">
        <f t="shared" si="183"/>
        <v>93018.87</v>
      </c>
      <c r="U339" s="462">
        <f t="shared" si="184"/>
        <v>93018.87</v>
      </c>
      <c r="X339" s="462">
        <f t="shared" si="185"/>
        <v>93018.87</v>
      </c>
      <c r="AA339" s="462">
        <f t="shared" si="178"/>
        <v>93018.87</v>
      </c>
      <c r="AD339" s="462">
        <f t="shared" si="186"/>
        <v>93018.87</v>
      </c>
      <c r="AE339" s="447" t="s">
        <v>1796</v>
      </c>
      <c r="AF339" s="444">
        <v>93018.87</v>
      </c>
      <c r="AG339" s="462">
        <f t="shared" si="187"/>
        <v>0</v>
      </c>
      <c r="AH339" s="447" t="s">
        <v>1827</v>
      </c>
      <c r="AJ339" s="462">
        <f t="shared" si="188"/>
        <v>0</v>
      </c>
      <c r="AM339" s="462">
        <f t="shared" si="189"/>
        <v>0</v>
      </c>
      <c r="AN339" s="447" t="s">
        <v>1975</v>
      </c>
      <c r="AP339" s="462">
        <f t="shared" si="190"/>
        <v>0</v>
      </c>
      <c r="AQ339" s="447" t="s">
        <v>2003</v>
      </c>
      <c r="AS339" s="459">
        <f t="shared" si="191"/>
        <v>0</v>
      </c>
      <c r="AV339" s="462">
        <f t="shared" si="192"/>
        <v>0</v>
      </c>
      <c r="AY339" s="462">
        <f t="shared" si="193"/>
        <v>0</v>
      </c>
      <c r="BB339" s="462">
        <f t="shared" si="194"/>
        <v>0</v>
      </c>
      <c r="BC339" s="447" t="s">
        <v>2204</v>
      </c>
      <c r="BE339" s="462">
        <f t="shared" si="195"/>
        <v>0</v>
      </c>
      <c r="BH339" s="462">
        <f t="shared" si="196"/>
        <v>0</v>
      </c>
      <c r="BK339" s="462">
        <f t="shared" si="197"/>
        <v>0</v>
      </c>
      <c r="BN339" s="462">
        <f t="shared" si="198"/>
        <v>0</v>
      </c>
      <c r="BQ339" s="462">
        <f t="shared" si="199"/>
        <v>0</v>
      </c>
      <c r="BT339" s="462">
        <f t="shared" si="200"/>
        <v>0</v>
      </c>
      <c r="BW339" s="462">
        <f t="shared" si="201"/>
        <v>0</v>
      </c>
      <c r="BZ339" s="462">
        <f t="shared" si="202"/>
        <v>0</v>
      </c>
      <c r="CD339" s="418" t="str">
        <f t="shared" si="203"/>
        <v>CU0736001</v>
      </c>
      <c r="CE339" s="442" t="str">
        <f t="shared" si="204"/>
        <v>2019年8月</v>
      </c>
      <c r="CF339" s="418" t="str">
        <f t="shared" si="205"/>
        <v>深圳市前海clife服务费暂估</v>
      </c>
      <c r="CG339" s="418" t="str">
        <f t="shared" si="206"/>
        <v>2019年8月深圳市前海clife服务费暂估</v>
      </c>
    </row>
    <row r="340" spans="2:85" s="447" customFormat="1" ht="17.25" customHeight="1">
      <c r="B340" s="447" t="str">
        <f t="shared" si="179"/>
        <v>CU0782</v>
      </c>
      <c r="C340" s="431" t="s">
        <v>755</v>
      </c>
      <c r="D340" s="367" t="s">
        <v>1652</v>
      </c>
      <c r="E340" s="367" t="s">
        <v>194</v>
      </c>
      <c r="F340" s="439">
        <v>43678</v>
      </c>
      <c r="G340" s="448">
        <v>301.72000000000003</v>
      </c>
      <c r="H340" s="440"/>
      <c r="I340" s="440">
        <f t="shared" si="180"/>
        <v>301.72000000000003</v>
      </c>
      <c r="J340" s="440"/>
      <c r="L340" s="462">
        <f t="shared" si="181"/>
        <v>301.72000000000003</v>
      </c>
      <c r="M340" s="462"/>
      <c r="N340" s="444"/>
      <c r="O340" s="462">
        <f t="shared" si="182"/>
        <v>301.72000000000003</v>
      </c>
      <c r="R340" s="462">
        <f t="shared" si="183"/>
        <v>301.72000000000003</v>
      </c>
      <c r="U340" s="462">
        <f t="shared" si="184"/>
        <v>301.72000000000003</v>
      </c>
      <c r="X340" s="462">
        <f t="shared" si="185"/>
        <v>301.72000000000003</v>
      </c>
      <c r="AA340" s="462">
        <f t="shared" si="178"/>
        <v>301.72000000000003</v>
      </c>
      <c r="AD340" s="462">
        <f t="shared" si="186"/>
        <v>301.72000000000003</v>
      </c>
      <c r="AE340" s="447" t="s">
        <v>1796</v>
      </c>
      <c r="AG340" s="462">
        <f t="shared" si="187"/>
        <v>301.72000000000003</v>
      </c>
      <c r="AH340" s="447" t="s">
        <v>1827</v>
      </c>
      <c r="AJ340" s="462">
        <f t="shared" si="188"/>
        <v>301.72000000000003</v>
      </c>
      <c r="AK340" s="447" t="s">
        <v>1867</v>
      </c>
      <c r="AM340" s="462">
        <f t="shared" si="189"/>
        <v>301.72000000000003</v>
      </c>
      <c r="AN340" s="447" t="s">
        <v>1975</v>
      </c>
      <c r="AO340" s="447">
        <f>ROUND(290.02/1.06,2)</f>
        <v>273.60000000000002</v>
      </c>
      <c r="AP340" s="462">
        <f t="shared" si="190"/>
        <v>28.120000000000005</v>
      </c>
      <c r="AQ340" s="447" t="s">
        <v>2003</v>
      </c>
      <c r="AR340" s="462">
        <f>AP340</f>
        <v>28.120000000000005</v>
      </c>
      <c r="AS340" s="459">
        <f t="shared" si="191"/>
        <v>0</v>
      </c>
      <c r="AV340" s="462">
        <f t="shared" si="192"/>
        <v>0</v>
      </c>
      <c r="AY340" s="462">
        <f t="shared" si="193"/>
        <v>0</v>
      </c>
      <c r="BB340" s="462">
        <f t="shared" si="194"/>
        <v>0</v>
      </c>
      <c r="BC340" s="447" t="s">
        <v>2204</v>
      </c>
      <c r="BE340" s="462">
        <f t="shared" si="195"/>
        <v>0</v>
      </c>
      <c r="BH340" s="462">
        <f t="shared" si="196"/>
        <v>0</v>
      </c>
      <c r="BK340" s="462">
        <f t="shared" si="197"/>
        <v>0</v>
      </c>
      <c r="BN340" s="462">
        <f t="shared" si="198"/>
        <v>0</v>
      </c>
      <c r="BQ340" s="462">
        <f t="shared" si="199"/>
        <v>0</v>
      </c>
      <c r="BT340" s="462">
        <f t="shared" si="200"/>
        <v>0</v>
      </c>
      <c r="BW340" s="462">
        <f t="shared" si="201"/>
        <v>0</v>
      </c>
      <c r="BZ340" s="462">
        <f t="shared" si="202"/>
        <v>0</v>
      </c>
      <c r="CD340" s="418" t="str">
        <f t="shared" si="203"/>
        <v>CU0782001</v>
      </c>
      <c r="CE340" s="442" t="str">
        <f t="shared" si="204"/>
        <v>2019年8月</v>
      </c>
      <c r="CF340" s="418" t="str">
        <f t="shared" si="205"/>
        <v>天职集团clife服务费暂估</v>
      </c>
      <c r="CG340" s="418" t="str">
        <f t="shared" si="206"/>
        <v>2019年8月天职集团clife服务费暂估</v>
      </c>
    </row>
    <row r="341" spans="2:85" s="447" customFormat="1" ht="17.25" customHeight="1">
      <c r="B341" s="447" t="str">
        <f t="shared" si="179"/>
        <v>CU0812</v>
      </c>
      <c r="C341" s="431" t="s">
        <v>755</v>
      </c>
      <c r="D341" s="367" t="s">
        <v>1455</v>
      </c>
      <c r="E341" s="367" t="s">
        <v>1315</v>
      </c>
      <c r="F341" s="439">
        <v>43678</v>
      </c>
      <c r="G341" s="448">
        <v>2445.54</v>
      </c>
      <c r="H341" s="440"/>
      <c r="I341" s="440">
        <f t="shared" si="180"/>
        <v>2445.54</v>
      </c>
      <c r="J341" s="440"/>
      <c r="L341" s="462">
        <f t="shared" si="181"/>
        <v>2445.54</v>
      </c>
      <c r="M341" s="462"/>
      <c r="N341" s="444"/>
      <c r="O341" s="462">
        <f t="shared" si="182"/>
        <v>2445.54</v>
      </c>
      <c r="R341" s="462">
        <f t="shared" si="183"/>
        <v>2445.54</v>
      </c>
      <c r="U341" s="462">
        <f t="shared" si="184"/>
        <v>2445.54</v>
      </c>
      <c r="X341" s="462">
        <f t="shared" si="185"/>
        <v>2445.54</v>
      </c>
      <c r="AA341" s="462">
        <f t="shared" si="178"/>
        <v>2445.54</v>
      </c>
      <c r="AD341" s="462">
        <f t="shared" si="186"/>
        <v>2445.54</v>
      </c>
      <c r="AE341" s="447" t="s">
        <v>1796</v>
      </c>
      <c r="AG341" s="462">
        <f t="shared" si="187"/>
        <v>2445.54</v>
      </c>
      <c r="AH341" s="447" t="s">
        <v>1827</v>
      </c>
      <c r="AI341" s="462">
        <f>AG341</f>
        <v>2445.54</v>
      </c>
      <c r="AJ341" s="462">
        <f t="shared" si="188"/>
        <v>0</v>
      </c>
      <c r="AM341" s="462">
        <f t="shared" si="189"/>
        <v>0</v>
      </c>
      <c r="AN341" s="447" t="s">
        <v>1975</v>
      </c>
      <c r="AP341" s="462">
        <f t="shared" si="190"/>
        <v>0</v>
      </c>
      <c r="AQ341" s="447" t="s">
        <v>2003</v>
      </c>
      <c r="AS341" s="459">
        <f t="shared" si="191"/>
        <v>0</v>
      </c>
      <c r="AV341" s="462">
        <f t="shared" si="192"/>
        <v>0</v>
      </c>
      <c r="AY341" s="462">
        <f t="shared" si="193"/>
        <v>0</v>
      </c>
      <c r="BB341" s="462">
        <f t="shared" si="194"/>
        <v>0</v>
      </c>
      <c r="BC341" s="447" t="s">
        <v>2204</v>
      </c>
      <c r="BE341" s="462">
        <f t="shared" si="195"/>
        <v>0</v>
      </c>
      <c r="BH341" s="462">
        <f t="shared" si="196"/>
        <v>0</v>
      </c>
      <c r="BK341" s="462">
        <f t="shared" si="197"/>
        <v>0</v>
      </c>
      <c r="BN341" s="462">
        <f t="shared" si="198"/>
        <v>0</v>
      </c>
      <c r="BQ341" s="462">
        <f t="shared" si="199"/>
        <v>0</v>
      </c>
      <c r="BT341" s="462">
        <f t="shared" si="200"/>
        <v>0</v>
      </c>
      <c r="BW341" s="462">
        <f t="shared" si="201"/>
        <v>0</v>
      </c>
      <c r="BZ341" s="462">
        <f t="shared" si="202"/>
        <v>0</v>
      </c>
      <c r="CD341" s="418" t="str">
        <f t="shared" si="203"/>
        <v>CU0812001</v>
      </c>
      <c r="CE341" s="442" t="str">
        <f t="shared" si="204"/>
        <v>2019年8月</v>
      </c>
      <c r="CF341" s="418" t="str">
        <f t="shared" si="205"/>
        <v>恩派clife服务费暂估</v>
      </c>
      <c r="CG341" s="418" t="str">
        <f t="shared" si="206"/>
        <v>2019年8月恩派clife服务费暂估</v>
      </c>
    </row>
    <row r="342" spans="2:85" s="447" customFormat="1" ht="17.25" customHeight="1">
      <c r="B342" s="447" t="str">
        <f t="shared" si="179"/>
        <v>CU0822</v>
      </c>
      <c r="C342" s="431" t="s">
        <v>755</v>
      </c>
      <c r="D342" s="367" t="s">
        <v>1456</v>
      </c>
      <c r="E342" s="367" t="s">
        <v>1783</v>
      </c>
      <c r="F342" s="439">
        <v>43678</v>
      </c>
      <c r="G342" s="448">
        <v>365012.4</v>
      </c>
      <c r="H342" s="440"/>
      <c r="I342" s="440">
        <f t="shared" si="180"/>
        <v>365012.4</v>
      </c>
      <c r="J342" s="440"/>
      <c r="L342" s="462">
        <f t="shared" si="181"/>
        <v>365012.4</v>
      </c>
      <c r="M342" s="462"/>
      <c r="N342" s="444"/>
      <c r="O342" s="462">
        <f t="shared" si="182"/>
        <v>365012.4</v>
      </c>
      <c r="R342" s="462">
        <f t="shared" si="183"/>
        <v>365012.4</v>
      </c>
      <c r="U342" s="462">
        <f t="shared" si="184"/>
        <v>365012.4</v>
      </c>
      <c r="X342" s="462">
        <f t="shared" si="185"/>
        <v>365012.4</v>
      </c>
      <c r="AA342" s="462">
        <f t="shared" si="178"/>
        <v>365012.4</v>
      </c>
      <c r="AD342" s="462">
        <f t="shared" si="186"/>
        <v>365012.4</v>
      </c>
      <c r="AE342" s="447" t="s">
        <v>1796</v>
      </c>
      <c r="AF342" s="444">
        <f>106800+65968-AF267-AF309</f>
        <v>26001.349999999977</v>
      </c>
      <c r="AG342" s="462">
        <f t="shared" si="187"/>
        <v>339011.05000000005</v>
      </c>
      <c r="AH342" s="447" t="s">
        <v>1827</v>
      </c>
      <c r="AJ342" s="462">
        <f t="shared" si="188"/>
        <v>339011.05000000005</v>
      </c>
      <c r="AK342" s="447" t="s">
        <v>1867</v>
      </c>
      <c r="AM342" s="462">
        <f t="shared" si="189"/>
        <v>339011.05000000005</v>
      </c>
      <c r="AN342" s="447" t="s">
        <v>1975</v>
      </c>
      <c r="AO342" s="447">
        <f>1629+6175.3</f>
        <v>7804.3</v>
      </c>
      <c r="AP342" s="462">
        <f t="shared" si="190"/>
        <v>331206.75000000006</v>
      </c>
      <c r="AQ342" s="447" t="s">
        <v>2003</v>
      </c>
      <c r="AS342" s="459">
        <f t="shared" si="191"/>
        <v>331206.75000000006</v>
      </c>
      <c r="AV342" s="462">
        <f t="shared" si="192"/>
        <v>331206.75000000006</v>
      </c>
      <c r="AW342" s="447" t="s">
        <v>2107</v>
      </c>
      <c r="AX342" s="447">
        <v>100000</v>
      </c>
      <c r="AY342" s="462">
        <f t="shared" si="193"/>
        <v>231206.75000000006</v>
      </c>
      <c r="AZ342" s="447" t="s">
        <v>2131</v>
      </c>
      <c r="BA342" s="447">
        <v>1500</v>
      </c>
      <c r="BB342" s="462">
        <f t="shared" si="194"/>
        <v>229706.75000000006</v>
      </c>
      <c r="BC342" s="447" t="s">
        <v>2204</v>
      </c>
      <c r="BE342" s="462">
        <f t="shared" si="195"/>
        <v>229706.75000000006</v>
      </c>
      <c r="BF342" s="447" t="s">
        <v>2237</v>
      </c>
      <c r="BH342" s="462">
        <f t="shared" si="196"/>
        <v>229706.75000000006</v>
      </c>
      <c r="BI342" s="447" t="s">
        <v>2292</v>
      </c>
      <c r="BJ342" s="447">
        <v>100000</v>
      </c>
      <c r="BK342" s="462">
        <f t="shared" si="197"/>
        <v>129706.75000000006</v>
      </c>
      <c r="BL342" s="447" t="s">
        <v>2339</v>
      </c>
      <c r="BN342" s="462">
        <f t="shared" si="198"/>
        <v>129706.75000000006</v>
      </c>
      <c r="BO342" s="447" t="s">
        <v>2365</v>
      </c>
      <c r="BP342" s="462">
        <f>BN342</f>
        <v>129706.75000000006</v>
      </c>
      <c r="BQ342" s="462">
        <f t="shared" si="199"/>
        <v>0</v>
      </c>
      <c r="BT342" s="462">
        <f t="shared" si="200"/>
        <v>0</v>
      </c>
      <c r="BW342" s="462">
        <f t="shared" si="201"/>
        <v>0</v>
      </c>
      <c r="BZ342" s="462">
        <f t="shared" si="202"/>
        <v>0</v>
      </c>
      <c r="CD342" s="418" t="str">
        <f t="shared" si="203"/>
        <v>CU0822001</v>
      </c>
      <c r="CE342" s="442" t="str">
        <f t="shared" si="204"/>
        <v>2019年8月</v>
      </c>
      <c r="CF342" s="418" t="str">
        <f t="shared" si="205"/>
        <v>美克国际家clife服务费暂估</v>
      </c>
      <c r="CG342" s="418" t="str">
        <f t="shared" si="206"/>
        <v>2019年8月美克国际家clife服务费暂估</v>
      </c>
    </row>
    <row r="343" spans="2:85" s="447" customFormat="1" ht="17.25" customHeight="1">
      <c r="B343" s="447" t="str">
        <f t="shared" si="179"/>
        <v>CU0823</v>
      </c>
      <c r="C343" s="431" t="s">
        <v>755</v>
      </c>
      <c r="D343" s="367" t="s">
        <v>1457</v>
      </c>
      <c r="E343" s="367" t="s">
        <v>581</v>
      </c>
      <c r="F343" s="439">
        <v>43678</v>
      </c>
      <c r="G343" s="448">
        <v>142210.96</v>
      </c>
      <c r="H343" s="440"/>
      <c r="I343" s="440">
        <f t="shared" si="180"/>
        <v>142210.96</v>
      </c>
      <c r="J343" s="440"/>
      <c r="L343" s="462">
        <f t="shared" si="181"/>
        <v>142210.96</v>
      </c>
      <c r="M343" s="462"/>
      <c r="N343" s="444"/>
      <c r="O343" s="462">
        <f t="shared" si="182"/>
        <v>142210.96</v>
      </c>
      <c r="R343" s="462">
        <f t="shared" si="183"/>
        <v>142210.96</v>
      </c>
      <c r="U343" s="462">
        <f t="shared" si="184"/>
        <v>142210.96</v>
      </c>
      <c r="X343" s="462">
        <f t="shared" si="185"/>
        <v>142210.96</v>
      </c>
      <c r="AA343" s="462">
        <f t="shared" si="178"/>
        <v>142210.96</v>
      </c>
      <c r="AD343" s="462">
        <f t="shared" si="186"/>
        <v>142210.96</v>
      </c>
      <c r="AE343" s="447" t="s">
        <v>1796</v>
      </c>
      <c r="AF343" s="444">
        <v>14801</v>
      </c>
      <c r="AG343" s="462">
        <f t="shared" si="187"/>
        <v>127409.95999999999</v>
      </c>
      <c r="AH343" s="447" t="s">
        <v>1827</v>
      </c>
      <c r="AJ343" s="462">
        <f t="shared" si="188"/>
        <v>127409.95999999999</v>
      </c>
      <c r="AK343" s="447" t="s">
        <v>1867</v>
      </c>
      <c r="AM343" s="462">
        <f t="shared" si="189"/>
        <v>127409.95999999999</v>
      </c>
      <c r="AN343" s="447" t="s">
        <v>1975</v>
      </c>
      <c r="AP343" s="462">
        <f t="shared" si="190"/>
        <v>127409.95999999999</v>
      </c>
      <c r="AQ343" s="447" t="s">
        <v>2003</v>
      </c>
      <c r="AS343" s="459">
        <f t="shared" si="191"/>
        <v>127409.95999999999</v>
      </c>
      <c r="AV343" s="462">
        <f t="shared" si="192"/>
        <v>127409.95999999999</v>
      </c>
      <c r="AW343" s="447" t="s">
        <v>2107</v>
      </c>
      <c r="AY343" s="462">
        <f t="shared" si="193"/>
        <v>127409.95999999999</v>
      </c>
      <c r="AZ343" s="447" t="s">
        <v>2131</v>
      </c>
      <c r="BA343" s="462">
        <f>ROUND(126891.11/1.06,2)-BA292-BA310</f>
        <v>94783.670000000013</v>
      </c>
      <c r="BB343" s="462">
        <f t="shared" si="194"/>
        <v>32626.289999999979</v>
      </c>
      <c r="BC343" s="447" t="s">
        <v>2204</v>
      </c>
      <c r="BE343" s="462">
        <f t="shared" si="195"/>
        <v>32626.289999999979</v>
      </c>
      <c r="BF343" s="447" t="s">
        <v>2237</v>
      </c>
      <c r="BH343" s="462">
        <f t="shared" si="196"/>
        <v>32626.289999999979</v>
      </c>
      <c r="BI343" s="447" t="s">
        <v>2292</v>
      </c>
      <c r="BK343" s="462">
        <f t="shared" si="197"/>
        <v>32626.289999999979</v>
      </c>
      <c r="BL343" s="447" t="s">
        <v>2339</v>
      </c>
      <c r="BM343" s="447">
        <v>901</v>
      </c>
      <c r="BN343" s="462">
        <f t="shared" si="198"/>
        <v>31725.289999999979</v>
      </c>
      <c r="BO343" s="447" t="s">
        <v>2365</v>
      </c>
      <c r="BQ343" s="462">
        <f t="shared" si="199"/>
        <v>31725.29</v>
      </c>
      <c r="BR343" s="447" t="s">
        <v>2374</v>
      </c>
      <c r="BT343" s="462">
        <f t="shared" si="200"/>
        <v>31725.29</v>
      </c>
      <c r="BU343" s="447" t="s">
        <v>2134</v>
      </c>
      <c r="BW343" s="462">
        <f t="shared" si="201"/>
        <v>31725.29</v>
      </c>
      <c r="BZ343" s="462">
        <f t="shared" si="202"/>
        <v>31725.29</v>
      </c>
      <c r="CD343" s="418" t="str">
        <f t="shared" si="203"/>
        <v>CU0823001</v>
      </c>
      <c r="CE343" s="442" t="str">
        <f t="shared" si="204"/>
        <v>2019年8月</v>
      </c>
      <c r="CF343" s="418" t="str">
        <f t="shared" si="205"/>
        <v>凯杰生物工clife服务费暂估</v>
      </c>
      <c r="CG343" s="418" t="str">
        <f t="shared" si="206"/>
        <v>2019年8月凯杰生物工clife服务费暂估</v>
      </c>
    </row>
    <row r="344" spans="2:85" s="447" customFormat="1" ht="17.25" customHeight="1">
      <c r="B344" s="447" t="str">
        <f t="shared" si="179"/>
        <v>CU0824</v>
      </c>
      <c r="C344" s="431" t="s">
        <v>755</v>
      </c>
      <c r="D344" s="367" t="s">
        <v>1458</v>
      </c>
      <c r="E344" s="367" t="s">
        <v>1292</v>
      </c>
      <c r="F344" s="439">
        <v>43678</v>
      </c>
      <c r="G344" s="448">
        <v>207.77</v>
      </c>
      <c r="H344" s="440"/>
      <c r="I344" s="440">
        <f t="shared" si="180"/>
        <v>207.77</v>
      </c>
      <c r="J344" s="440"/>
      <c r="L344" s="462">
        <f t="shared" si="181"/>
        <v>207.77</v>
      </c>
      <c r="M344" s="462"/>
      <c r="N344" s="444"/>
      <c r="O344" s="462">
        <f t="shared" si="182"/>
        <v>207.77</v>
      </c>
      <c r="R344" s="462">
        <f t="shared" si="183"/>
        <v>207.77</v>
      </c>
      <c r="U344" s="462">
        <f t="shared" si="184"/>
        <v>207.77</v>
      </c>
      <c r="X344" s="462">
        <f t="shared" si="185"/>
        <v>207.77</v>
      </c>
      <c r="AA344" s="462">
        <f t="shared" si="178"/>
        <v>207.77</v>
      </c>
      <c r="AD344" s="462">
        <f t="shared" si="186"/>
        <v>207.77</v>
      </c>
      <c r="AE344" s="447" t="s">
        <v>1796</v>
      </c>
      <c r="AG344" s="462">
        <f t="shared" si="187"/>
        <v>207.77</v>
      </c>
      <c r="AH344" s="447" t="s">
        <v>1827</v>
      </c>
      <c r="AJ344" s="462">
        <f t="shared" si="188"/>
        <v>207.77</v>
      </c>
      <c r="AK344" s="447" t="s">
        <v>1867</v>
      </c>
      <c r="AM344" s="462">
        <f t="shared" si="189"/>
        <v>207.77</v>
      </c>
      <c r="AN344" s="447" t="s">
        <v>1975</v>
      </c>
      <c r="AO344" s="447">
        <f>ROUND(220.24/1.06,2)</f>
        <v>207.77</v>
      </c>
      <c r="AP344" s="462">
        <f t="shared" si="190"/>
        <v>0</v>
      </c>
      <c r="AQ344" s="447" t="s">
        <v>2003</v>
      </c>
      <c r="AS344" s="459">
        <f t="shared" si="191"/>
        <v>0</v>
      </c>
      <c r="AV344" s="462">
        <f t="shared" si="192"/>
        <v>0</v>
      </c>
      <c r="AY344" s="462">
        <f t="shared" si="193"/>
        <v>0</v>
      </c>
      <c r="BB344" s="462">
        <f t="shared" si="194"/>
        <v>0</v>
      </c>
      <c r="BC344" s="447" t="s">
        <v>2204</v>
      </c>
      <c r="BE344" s="462">
        <f t="shared" si="195"/>
        <v>0</v>
      </c>
      <c r="BH344" s="462">
        <f t="shared" si="196"/>
        <v>0</v>
      </c>
      <c r="BK344" s="462">
        <f t="shared" si="197"/>
        <v>0</v>
      </c>
      <c r="BN344" s="462">
        <f t="shared" si="198"/>
        <v>0</v>
      </c>
      <c r="BQ344" s="462">
        <f t="shared" si="199"/>
        <v>0</v>
      </c>
      <c r="BT344" s="462">
        <f t="shared" si="200"/>
        <v>0</v>
      </c>
      <c r="BW344" s="462">
        <f t="shared" si="201"/>
        <v>0</v>
      </c>
      <c r="BZ344" s="462">
        <f t="shared" si="202"/>
        <v>0</v>
      </c>
      <c r="CD344" s="418" t="str">
        <f t="shared" si="203"/>
        <v>CU0824001</v>
      </c>
      <c r="CE344" s="442" t="str">
        <f t="shared" si="204"/>
        <v>2019年8月</v>
      </c>
      <c r="CF344" s="418" t="str">
        <f t="shared" si="205"/>
        <v>苏州舒尔贸clife服务费暂估</v>
      </c>
      <c r="CG344" s="418" t="str">
        <f t="shared" si="206"/>
        <v>2019年8月苏州舒尔贸clife服务费暂估</v>
      </c>
    </row>
    <row r="345" spans="2:85" s="447" customFormat="1" ht="17.25" customHeight="1">
      <c r="B345" s="447" t="str">
        <f t="shared" si="179"/>
        <v>CU0848</v>
      </c>
      <c r="C345" s="431" t="s">
        <v>755</v>
      </c>
      <c r="D345" s="367" t="s">
        <v>1785</v>
      </c>
      <c r="E345" s="367" t="s">
        <v>1784</v>
      </c>
      <c r="F345" s="439">
        <v>43678</v>
      </c>
      <c r="G345" s="448">
        <v>6463.19</v>
      </c>
      <c r="H345" s="440"/>
      <c r="I345" s="440">
        <f t="shared" si="180"/>
        <v>6463.19</v>
      </c>
      <c r="J345" s="440"/>
      <c r="L345" s="462">
        <f t="shared" si="181"/>
        <v>6463.19</v>
      </c>
      <c r="M345" s="462"/>
      <c r="N345" s="444"/>
      <c r="O345" s="462">
        <f t="shared" si="182"/>
        <v>6463.19</v>
      </c>
      <c r="R345" s="462">
        <f t="shared" si="183"/>
        <v>6463.19</v>
      </c>
      <c r="U345" s="462">
        <f t="shared" si="184"/>
        <v>6463.19</v>
      </c>
      <c r="X345" s="462">
        <f t="shared" si="185"/>
        <v>6463.19</v>
      </c>
      <c r="AA345" s="462">
        <f t="shared" si="178"/>
        <v>6463.19</v>
      </c>
      <c r="AD345" s="462">
        <f t="shared" si="186"/>
        <v>6463.19</v>
      </c>
      <c r="AE345" s="447" t="s">
        <v>1796</v>
      </c>
      <c r="AG345" s="462">
        <f t="shared" si="187"/>
        <v>6463.19</v>
      </c>
      <c r="AH345" s="447" t="s">
        <v>1827</v>
      </c>
      <c r="AJ345" s="462">
        <f t="shared" si="188"/>
        <v>6463.19</v>
      </c>
      <c r="AK345" s="447" t="s">
        <v>1867</v>
      </c>
      <c r="AM345" s="462">
        <f t="shared" si="189"/>
        <v>6463.19</v>
      </c>
      <c r="AN345" s="447" t="s">
        <v>1975</v>
      </c>
      <c r="AP345" s="462">
        <f t="shared" si="190"/>
        <v>6463.19</v>
      </c>
      <c r="AQ345" s="447" t="s">
        <v>2003</v>
      </c>
      <c r="AS345" s="459">
        <f t="shared" si="191"/>
        <v>6463.19</v>
      </c>
      <c r="AV345" s="462">
        <f t="shared" si="192"/>
        <v>6463.19</v>
      </c>
      <c r="AW345" s="447" t="s">
        <v>2107</v>
      </c>
      <c r="AX345" s="462">
        <f>AV345</f>
        <v>6463.19</v>
      </c>
      <c r="AY345" s="462">
        <f t="shared" si="193"/>
        <v>0</v>
      </c>
      <c r="BB345" s="462">
        <f t="shared" si="194"/>
        <v>0</v>
      </c>
      <c r="BC345" s="447" t="s">
        <v>2204</v>
      </c>
      <c r="BE345" s="462">
        <f t="shared" si="195"/>
        <v>0</v>
      </c>
      <c r="BH345" s="462">
        <f t="shared" si="196"/>
        <v>0</v>
      </c>
      <c r="BK345" s="462">
        <f t="shared" si="197"/>
        <v>0</v>
      </c>
      <c r="BN345" s="462">
        <f t="shared" si="198"/>
        <v>0</v>
      </c>
      <c r="BQ345" s="462">
        <f t="shared" si="199"/>
        <v>0</v>
      </c>
      <c r="BT345" s="462">
        <f t="shared" si="200"/>
        <v>0</v>
      </c>
      <c r="BW345" s="462">
        <f t="shared" si="201"/>
        <v>0</v>
      </c>
      <c r="BZ345" s="462">
        <f t="shared" si="202"/>
        <v>0</v>
      </c>
      <c r="CD345" s="418" t="str">
        <f t="shared" si="203"/>
        <v>CU0848001</v>
      </c>
      <c r="CE345" s="442" t="str">
        <f t="shared" si="204"/>
        <v>2019年8月</v>
      </c>
      <c r="CF345" s="418" t="str">
        <f t="shared" si="205"/>
        <v>爱德觅尔（clife服务费暂估</v>
      </c>
      <c r="CG345" s="418" t="str">
        <f t="shared" si="206"/>
        <v>2019年8月爱德觅尔（clife服务费暂估</v>
      </c>
    </row>
    <row r="346" spans="2:85" s="447" customFormat="1" ht="17.25" customHeight="1">
      <c r="B346" s="447" t="str">
        <f t="shared" si="179"/>
        <v>CU0869</v>
      </c>
      <c r="C346" s="431" t="s">
        <v>755</v>
      </c>
      <c r="D346" s="367" t="s">
        <v>1459</v>
      </c>
      <c r="E346" s="367" t="s">
        <v>1469</v>
      </c>
      <c r="F346" s="439">
        <v>43678</v>
      </c>
      <c r="G346" s="448">
        <v>80859.81</v>
      </c>
      <c r="H346" s="440"/>
      <c r="I346" s="440">
        <f t="shared" si="180"/>
        <v>80859.81</v>
      </c>
      <c r="J346" s="440"/>
      <c r="L346" s="462">
        <f t="shared" si="181"/>
        <v>80859.81</v>
      </c>
      <c r="M346" s="462"/>
      <c r="N346" s="444"/>
      <c r="O346" s="462">
        <f t="shared" si="182"/>
        <v>80859.81</v>
      </c>
      <c r="R346" s="462">
        <f t="shared" si="183"/>
        <v>80859.81</v>
      </c>
      <c r="U346" s="462">
        <f t="shared" si="184"/>
        <v>80859.81</v>
      </c>
      <c r="X346" s="462">
        <f t="shared" si="185"/>
        <v>80859.81</v>
      </c>
      <c r="AA346" s="462">
        <f t="shared" si="178"/>
        <v>80859.81</v>
      </c>
      <c r="AD346" s="462">
        <f t="shared" si="186"/>
        <v>80859.81</v>
      </c>
      <c r="AE346" s="447" t="s">
        <v>1796</v>
      </c>
      <c r="AG346" s="462">
        <f t="shared" si="187"/>
        <v>80859.81</v>
      </c>
      <c r="AH346" s="447" t="s">
        <v>1827</v>
      </c>
      <c r="AI346" s="462">
        <f>ROUND(65700/1.06,2)-34264.47</f>
        <v>27716.659999999996</v>
      </c>
      <c r="AJ346" s="462">
        <f t="shared" si="188"/>
        <v>53143.15</v>
      </c>
      <c r="AK346" s="447" t="s">
        <v>1867</v>
      </c>
      <c r="AL346" s="462">
        <f>AJ346</f>
        <v>53143.15</v>
      </c>
      <c r="AM346" s="462">
        <f t="shared" si="189"/>
        <v>0</v>
      </c>
      <c r="AN346" s="447" t="s">
        <v>1975</v>
      </c>
      <c r="AP346" s="462">
        <f t="shared" si="190"/>
        <v>0</v>
      </c>
      <c r="AQ346" s="447" t="s">
        <v>2003</v>
      </c>
      <c r="AS346" s="459">
        <f t="shared" si="191"/>
        <v>0</v>
      </c>
      <c r="AV346" s="462">
        <f t="shared" si="192"/>
        <v>0</v>
      </c>
      <c r="AY346" s="462">
        <f t="shared" si="193"/>
        <v>0</v>
      </c>
      <c r="BB346" s="462">
        <f t="shared" si="194"/>
        <v>0</v>
      </c>
      <c r="BC346" s="447" t="s">
        <v>2204</v>
      </c>
      <c r="BE346" s="462">
        <f t="shared" si="195"/>
        <v>0</v>
      </c>
      <c r="BH346" s="462">
        <f t="shared" si="196"/>
        <v>0</v>
      </c>
      <c r="BK346" s="462">
        <f t="shared" si="197"/>
        <v>0</v>
      </c>
      <c r="BN346" s="462">
        <f t="shared" si="198"/>
        <v>0</v>
      </c>
      <c r="BQ346" s="462">
        <f t="shared" si="199"/>
        <v>0</v>
      </c>
      <c r="BT346" s="462">
        <f t="shared" si="200"/>
        <v>0</v>
      </c>
      <c r="BW346" s="462">
        <f t="shared" si="201"/>
        <v>0</v>
      </c>
      <c r="BZ346" s="462">
        <f t="shared" si="202"/>
        <v>0</v>
      </c>
      <c r="CD346" s="418" t="str">
        <f t="shared" si="203"/>
        <v>CU0869001</v>
      </c>
      <c r="CE346" s="442" t="str">
        <f t="shared" si="204"/>
        <v>2019年8月</v>
      </c>
      <c r="CF346" s="418" t="str">
        <f t="shared" si="205"/>
        <v>智睿clife服务费暂估</v>
      </c>
      <c r="CG346" s="418" t="str">
        <f t="shared" si="206"/>
        <v>2019年8月智睿clife服务费暂估</v>
      </c>
    </row>
    <row r="347" spans="2:85" s="447" customFormat="1" ht="17.25" customHeight="1">
      <c r="B347" s="447" t="str">
        <f t="shared" si="179"/>
        <v>CU0904</v>
      </c>
      <c r="C347" s="431" t="s">
        <v>755</v>
      </c>
      <c r="D347" s="367" t="s">
        <v>1787</v>
      </c>
      <c r="E347" s="367" t="s">
        <v>1786</v>
      </c>
      <c r="F347" s="439">
        <v>43678</v>
      </c>
      <c r="G347" s="448">
        <v>328</v>
      </c>
      <c r="H347" s="440"/>
      <c r="I347" s="440">
        <f t="shared" si="180"/>
        <v>328</v>
      </c>
      <c r="J347" s="440"/>
      <c r="L347" s="462">
        <f t="shared" si="181"/>
        <v>328</v>
      </c>
      <c r="M347" s="462"/>
      <c r="N347" s="444"/>
      <c r="O347" s="462">
        <f t="shared" si="182"/>
        <v>328</v>
      </c>
      <c r="R347" s="462">
        <f t="shared" si="183"/>
        <v>328</v>
      </c>
      <c r="U347" s="462">
        <f t="shared" si="184"/>
        <v>328</v>
      </c>
      <c r="X347" s="462">
        <f t="shared" si="185"/>
        <v>328</v>
      </c>
      <c r="AA347" s="462">
        <f t="shared" si="178"/>
        <v>328</v>
      </c>
      <c r="AD347" s="462">
        <f t="shared" si="186"/>
        <v>328</v>
      </c>
      <c r="AE347" s="447" t="s">
        <v>1796</v>
      </c>
      <c r="AG347" s="462">
        <f t="shared" si="187"/>
        <v>328</v>
      </c>
      <c r="AH347" s="447" t="s">
        <v>1827</v>
      </c>
      <c r="AI347" s="462">
        <f>AG347</f>
        <v>328</v>
      </c>
      <c r="AJ347" s="462">
        <f t="shared" si="188"/>
        <v>0</v>
      </c>
      <c r="AK347" s="447" t="s">
        <v>1867</v>
      </c>
      <c r="AM347" s="462">
        <f t="shared" si="189"/>
        <v>0</v>
      </c>
      <c r="AN347" s="447" t="s">
        <v>1975</v>
      </c>
      <c r="AP347" s="462">
        <f t="shared" si="190"/>
        <v>0</v>
      </c>
      <c r="AQ347" s="447" t="s">
        <v>2003</v>
      </c>
      <c r="AS347" s="459">
        <f t="shared" si="191"/>
        <v>0</v>
      </c>
      <c r="AV347" s="462">
        <f t="shared" si="192"/>
        <v>0</v>
      </c>
      <c r="AY347" s="462">
        <f t="shared" si="193"/>
        <v>0</v>
      </c>
      <c r="BB347" s="462">
        <f t="shared" si="194"/>
        <v>0</v>
      </c>
      <c r="BC347" s="447" t="s">
        <v>2204</v>
      </c>
      <c r="BE347" s="462">
        <f t="shared" si="195"/>
        <v>0</v>
      </c>
      <c r="BH347" s="462">
        <f t="shared" si="196"/>
        <v>0</v>
      </c>
      <c r="BK347" s="462">
        <f t="shared" si="197"/>
        <v>0</v>
      </c>
      <c r="BN347" s="462">
        <f t="shared" si="198"/>
        <v>0</v>
      </c>
      <c r="BQ347" s="462">
        <f t="shared" si="199"/>
        <v>0</v>
      </c>
      <c r="BT347" s="462">
        <f t="shared" si="200"/>
        <v>0</v>
      </c>
      <c r="BW347" s="462">
        <f t="shared" si="201"/>
        <v>0</v>
      </c>
      <c r="BZ347" s="462">
        <f t="shared" si="202"/>
        <v>0</v>
      </c>
      <c r="CD347" s="418" t="str">
        <f t="shared" si="203"/>
        <v>CU0904001</v>
      </c>
      <c r="CE347" s="442" t="str">
        <f t="shared" si="204"/>
        <v>2019年8月</v>
      </c>
      <c r="CF347" s="418" t="str">
        <f t="shared" si="205"/>
        <v>紫光电子商clife服务费暂估</v>
      </c>
      <c r="CG347" s="418" t="str">
        <f t="shared" si="206"/>
        <v>2019年8月紫光电子商clife服务费暂估</v>
      </c>
    </row>
    <row r="348" spans="2:85" s="447" customFormat="1" ht="17.25" customHeight="1">
      <c r="B348" s="447" t="str">
        <f t="shared" si="179"/>
        <v>CU0937</v>
      </c>
      <c r="C348" s="431" t="s">
        <v>755</v>
      </c>
      <c r="D348" s="367" t="s">
        <v>1789</v>
      </c>
      <c r="E348" s="367" t="s">
        <v>1788</v>
      </c>
      <c r="F348" s="439">
        <v>43678</v>
      </c>
      <c r="G348" s="448">
        <v>166451.84</v>
      </c>
      <c r="H348" s="440"/>
      <c r="I348" s="440">
        <f t="shared" si="180"/>
        <v>166451.84</v>
      </c>
      <c r="J348" s="440"/>
      <c r="L348" s="462">
        <f t="shared" si="181"/>
        <v>166451.84</v>
      </c>
      <c r="M348" s="462"/>
      <c r="N348" s="444"/>
      <c r="O348" s="462">
        <f t="shared" si="182"/>
        <v>166451.84</v>
      </c>
      <c r="R348" s="462">
        <f t="shared" si="183"/>
        <v>166451.84</v>
      </c>
      <c r="U348" s="462">
        <f t="shared" si="184"/>
        <v>166451.84</v>
      </c>
      <c r="X348" s="462">
        <f t="shared" si="185"/>
        <v>166451.84</v>
      </c>
      <c r="AA348" s="462">
        <f t="shared" si="178"/>
        <v>166451.84</v>
      </c>
      <c r="AD348" s="462">
        <f t="shared" si="186"/>
        <v>166451.84</v>
      </c>
      <c r="AE348" s="447" t="s">
        <v>1796</v>
      </c>
      <c r="AF348" s="444">
        <v>166451.84</v>
      </c>
      <c r="AG348" s="462">
        <f t="shared" si="187"/>
        <v>0</v>
      </c>
      <c r="AH348" s="447" t="s">
        <v>1827</v>
      </c>
      <c r="AJ348" s="462">
        <f t="shared" si="188"/>
        <v>0</v>
      </c>
      <c r="AM348" s="462">
        <f t="shared" si="189"/>
        <v>0</v>
      </c>
      <c r="AN348" s="447" t="s">
        <v>1975</v>
      </c>
      <c r="AP348" s="462">
        <f t="shared" si="190"/>
        <v>0</v>
      </c>
      <c r="AQ348" s="447" t="s">
        <v>2003</v>
      </c>
      <c r="AS348" s="459">
        <f t="shared" si="191"/>
        <v>0</v>
      </c>
      <c r="AV348" s="462">
        <f t="shared" si="192"/>
        <v>0</v>
      </c>
      <c r="AY348" s="462">
        <f t="shared" si="193"/>
        <v>0</v>
      </c>
      <c r="BB348" s="462">
        <f t="shared" si="194"/>
        <v>0</v>
      </c>
      <c r="BC348" s="447" t="s">
        <v>2204</v>
      </c>
      <c r="BE348" s="462">
        <f t="shared" si="195"/>
        <v>0</v>
      </c>
      <c r="BH348" s="462">
        <f t="shared" si="196"/>
        <v>0</v>
      </c>
      <c r="BK348" s="462">
        <f t="shared" si="197"/>
        <v>0</v>
      </c>
      <c r="BN348" s="462">
        <f t="shared" si="198"/>
        <v>0</v>
      </c>
      <c r="BQ348" s="462">
        <f t="shared" si="199"/>
        <v>0</v>
      </c>
      <c r="BT348" s="462">
        <f t="shared" si="200"/>
        <v>0</v>
      </c>
      <c r="BW348" s="462">
        <f t="shared" si="201"/>
        <v>0</v>
      </c>
      <c r="BZ348" s="462">
        <f t="shared" si="202"/>
        <v>0</v>
      </c>
      <c r="CD348" s="418" t="str">
        <f t="shared" si="203"/>
        <v>CU0937001</v>
      </c>
      <c r="CE348" s="442" t="str">
        <f t="shared" si="204"/>
        <v>2019年8月</v>
      </c>
      <c r="CF348" s="418" t="str">
        <f t="shared" si="205"/>
        <v>蓝图创新投clife服务费暂估</v>
      </c>
      <c r="CG348" s="418" t="str">
        <f t="shared" si="206"/>
        <v>2019年8月蓝图创新投clife服务费暂估</v>
      </c>
    </row>
    <row r="349" spans="2:85" s="447" customFormat="1" ht="17.25" customHeight="1">
      <c r="B349" s="447" t="str">
        <f t="shared" si="179"/>
        <v>CU1013</v>
      </c>
      <c r="C349" s="431" t="s">
        <v>755</v>
      </c>
      <c r="D349" s="367" t="s">
        <v>1791</v>
      </c>
      <c r="E349" s="367" t="s">
        <v>1790</v>
      </c>
      <c r="F349" s="439">
        <v>43678</v>
      </c>
      <c r="G349" s="448">
        <v>229.89</v>
      </c>
      <c r="H349" s="440"/>
      <c r="I349" s="440">
        <f t="shared" si="180"/>
        <v>229.89</v>
      </c>
      <c r="J349" s="440"/>
      <c r="L349" s="462">
        <f t="shared" si="181"/>
        <v>229.89</v>
      </c>
      <c r="M349" s="462"/>
      <c r="N349" s="444"/>
      <c r="O349" s="462">
        <f t="shared" si="182"/>
        <v>229.89</v>
      </c>
      <c r="R349" s="462">
        <f t="shared" si="183"/>
        <v>229.89</v>
      </c>
      <c r="U349" s="462">
        <f t="shared" si="184"/>
        <v>229.89</v>
      </c>
      <c r="X349" s="462">
        <f t="shared" si="185"/>
        <v>229.89</v>
      </c>
      <c r="AA349" s="462">
        <f t="shared" si="178"/>
        <v>229.89</v>
      </c>
      <c r="AD349" s="462">
        <f t="shared" si="186"/>
        <v>229.89</v>
      </c>
      <c r="AE349" s="447" t="s">
        <v>1796</v>
      </c>
      <c r="AG349" s="462">
        <f t="shared" si="187"/>
        <v>229.89</v>
      </c>
      <c r="AH349" s="447" t="s">
        <v>1827</v>
      </c>
      <c r="AJ349" s="462">
        <f t="shared" si="188"/>
        <v>229.89</v>
      </c>
      <c r="AK349" s="447" t="s">
        <v>1867</v>
      </c>
      <c r="AM349" s="462">
        <f t="shared" si="189"/>
        <v>229.89</v>
      </c>
      <c r="AN349" s="447" t="s">
        <v>1975</v>
      </c>
      <c r="AO349" s="447">
        <f>ROUND(243.68/1.06,2)</f>
        <v>229.89</v>
      </c>
      <c r="AP349" s="462">
        <f t="shared" si="190"/>
        <v>0</v>
      </c>
      <c r="AQ349" s="447" t="s">
        <v>2003</v>
      </c>
      <c r="AS349" s="459">
        <f t="shared" si="191"/>
        <v>0</v>
      </c>
      <c r="AV349" s="462">
        <f t="shared" si="192"/>
        <v>0</v>
      </c>
      <c r="AY349" s="462">
        <f t="shared" si="193"/>
        <v>0</v>
      </c>
      <c r="BB349" s="462">
        <f t="shared" si="194"/>
        <v>0</v>
      </c>
      <c r="BC349" s="447" t="s">
        <v>2204</v>
      </c>
      <c r="BE349" s="462">
        <f t="shared" si="195"/>
        <v>0</v>
      </c>
      <c r="BH349" s="462">
        <f t="shared" si="196"/>
        <v>0</v>
      </c>
      <c r="BK349" s="462">
        <f t="shared" si="197"/>
        <v>0</v>
      </c>
      <c r="BN349" s="462">
        <f t="shared" si="198"/>
        <v>0</v>
      </c>
      <c r="BQ349" s="462">
        <f t="shared" si="199"/>
        <v>0</v>
      </c>
      <c r="BT349" s="462">
        <f t="shared" si="200"/>
        <v>0</v>
      </c>
      <c r="BW349" s="462">
        <f t="shared" si="201"/>
        <v>0</v>
      </c>
      <c r="BZ349" s="462">
        <f t="shared" si="202"/>
        <v>0</v>
      </c>
      <c r="CD349" s="418" t="str">
        <f t="shared" si="203"/>
        <v>CU1013001</v>
      </c>
      <c r="CE349" s="442" t="str">
        <f t="shared" si="204"/>
        <v>2019年8月</v>
      </c>
      <c r="CF349" s="418" t="str">
        <f t="shared" si="205"/>
        <v>喜利得（中clife服务费暂估</v>
      </c>
      <c r="CG349" s="418" t="str">
        <f t="shared" si="206"/>
        <v>2019年8月喜利得（中clife服务费暂估</v>
      </c>
    </row>
    <row r="350" spans="2:85" s="447" customFormat="1" ht="17.25" customHeight="1">
      <c r="B350" s="447" t="str">
        <f t="shared" si="179"/>
        <v>CU1016</v>
      </c>
      <c r="C350" s="431" t="s">
        <v>755</v>
      </c>
      <c r="D350" s="367" t="s">
        <v>1792</v>
      </c>
      <c r="E350" s="367" t="s">
        <v>1536</v>
      </c>
      <c r="F350" s="439">
        <v>43678</v>
      </c>
      <c r="G350" s="448">
        <v>451.78</v>
      </c>
      <c r="H350" s="440"/>
      <c r="I350" s="440">
        <f t="shared" si="180"/>
        <v>451.78</v>
      </c>
      <c r="J350" s="440"/>
      <c r="L350" s="462">
        <f t="shared" si="181"/>
        <v>451.78</v>
      </c>
      <c r="M350" s="462"/>
      <c r="N350" s="444"/>
      <c r="O350" s="462">
        <f t="shared" si="182"/>
        <v>451.78</v>
      </c>
      <c r="R350" s="462">
        <f t="shared" si="183"/>
        <v>451.78</v>
      </c>
      <c r="U350" s="462">
        <f t="shared" si="184"/>
        <v>451.78</v>
      </c>
      <c r="X350" s="462">
        <f t="shared" si="185"/>
        <v>451.78</v>
      </c>
      <c r="AA350" s="462">
        <f t="shared" si="178"/>
        <v>451.78</v>
      </c>
      <c r="AD350" s="462">
        <f t="shared" si="186"/>
        <v>451.78</v>
      </c>
      <c r="AE350" s="447" t="s">
        <v>1796</v>
      </c>
      <c r="AG350" s="462">
        <f t="shared" si="187"/>
        <v>451.78</v>
      </c>
      <c r="AH350" s="447" t="s">
        <v>1827</v>
      </c>
      <c r="AI350" s="462">
        <f>AG350</f>
        <v>451.78</v>
      </c>
      <c r="AJ350" s="462">
        <f t="shared" si="188"/>
        <v>0</v>
      </c>
      <c r="AK350" s="447" t="s">
        <v>1867</v>
      </c>
      <c r="AM350" s="462">
        <f t="shared" si="189"/>
        <v>0</v>
      </c>
      <c r="AN350" s="447" t="s">
        <v>1975</v>
      </c>
      <c r="AP350" s="462">
        <f t="shared" si="190"/>
        <v>0</v>
      </c>
      <c r="AQ350" s="447" t="s">
        <v>2003</v>
      </c>
      <c r="AS350" s="459">
        <f t="shared" si="191"/>
        <v>0</v>
      </c>
      <c r="AV350" s="462">
        <f t="shared" si="192"/>
        <v>0</v>
      </c>
      <c r="AY350" s="462">
        <f t="shared" si="193"/>
        <v>0</v>
      </c>
      <c r="BB350" s="462">
        <f t="shared" si="194"/>
        <v>0</v>
      </c>
      <c r="BC350" s="447" t="s">
        <v>2204</v>
      </c>
      <c r="BE350" s="462">
        <f t="shared" si="195"/>
        <v>0</v>
      </c>
      <c r="BH350" s="462">
        <f t="shared" si="196"/>
        <v>0</v>
      </c>
      <c r="BK350" s="462">
        <f t="shared" si="197"/>
        <v>0</v>
      </c>
      <c r="BN350" s="462">
        <f t="shared" si="198"/>
        <v>0</v>
      </c>
      <c r="BQ350" s="462">
        <f t="shared" si="199"/>
        <v>0</v>
      </c>
      <c r="BT350" s="462">
        <f t="shared" si="200"/>
        <v>0</v>
      </c>
      <c r="BW350" s="462">
        <f t="shared" si="201"/>
        <v>0</v>
      </c>
      <c r="BZ350" s="462">
        <f t="shared" si="202"/>
        <v>0</v>
      </c>
      <c r="CD350" s="418" t="str">
        <f t="shared" si="203"/>
        <v>CU1016001</v>
      </c>
      <c r="CE350" s="442" t="str">
        <f t="shared" si="204"/>
        <v>2019年8月</v>
      </c>
      <c r="CF350" s="418" t="str">
        <f t="shared" si="205"/>
        <v>乔治阿玛尼clife服务费暂估</v>
      </c>
      <c r="CG350" s="418" t="str">
        <f t="shared" si="206"/>
        <v>2019年8月乔治阿玛尼clife服务费暂估</v>
      </c>
    </row>
    <row r="351" spans="2:85" s="447" customFormat="1" ht="17.25" customHeight="1">
      <c r="B351" s="447" t="str">
        <f t="shared" si="179"/>
        <v>CU1152</v>
      </c>
      <c r="C351" s="431" t="s">
        <v>755</v>
      </c>
      <c r="D351" s="367" t="s">
        <v>1807</v>
      </c>
      <c r="E351" s="367" t="s">
        <v>1809</v>
      </c>
      <c r="F351" s="439">
        <v>43678</v>
      </c>
      <c r="G351" s="448">
        <v>7</v>
      </c>
      <c r="H351" s="440"/>
      <c r="I351" s="440"/>
      <c r="J351" s="440"/>
      <c r="L351" s="462"/>
      <c r="M351" s="462"/>
      <c r="N351" s="444"/>
      <c r="O351" s="462"/>
      <c r="R351" s="462"/>
      <c r="U351" s="462"/>
      <c r="X351" s="462"/>
      <c r="AA351" s="462">
        <f t="shared" ref="AA351" si="210">G351</f>
        <v>7</v>
      </c>
      <c r="AD351" s="462">
        <f t="shared" ref="AD351" si="211">AA351-AC351</f>
        <v>7</v>
      </c>
      <c r="AE351" s="447" t="s">
        <v>1796</v>
      </c>
      <c r="AG351" s="462">
        <f t="shared" si="187"/>
        <v>7</v>
      </c>
      <c r="AH351" s="447" t="s">
        <v>1827</v>
      </c>
      <c r="AJ351" s="462">
        <f t="shared" si="188"/>
        <v>7</v>
      </c>
      <c r="AK351" s="447" t="s">
        <v>1867</v>
      </c>
      <c r="AM351" s="462">
        <f t="shared" si="189"/>
        <v>7</v>
      </c>
      <c r="AN351" s="447" t="s">
        <v>1975</v>
      </c>
      <c r="AO351" s="447">
        <f>ROUND(7.42/1.06,2)</f>
        <v>7</v>
      </c>
      <c r="AP351" s="462">
        <f t="shared" si="190"/>
        <v>0</v>
      </c>
      <c r="AQ351" s="447" t="s">
        <v>2003</v>
      </c>
      <c r="AS351" s="459">
        <f t="shared" si="191"/>
        <v>0</v>
      </c>
      <c r="AV351" s="462">
        <f t="shared" si="192"/>
        <v>0</v>
      </c>
      <c r="AY351" s="462">
        <f t="shared" si="193"/>
        <v>0</v>
      </c>
      <c r="BB351" s="462">
        <f t="shared" si="194"/>
        <v>0</v>
      </c>
      <c r="BC351" s="447" t="s">
        <v>2204</v>
      </c>
      <c r="BE351" s="462">
        <f t="shared" si="195"/>
        <v>0</v>
      </c>
      <c r="BH351" s="462">
        <f t="shared" si="196"/>
        <v>0</v>
      </c>
      <c r="BK351" s="462">
        <f t="shared" si="197"/>
        <v>0</v>
      </c>
      <c r="BN351" s="462">
        <f t="shared" si="198"/>
        <v>0</v>
      </c>
      <c r="BQ351" s="462">
        <f t="shared" si="199"/>
        <v>0</v>
      </c>
      <c r="BT351" s="462">
        <f t="shared" si="200"/>
        <v>0</v>
      </c>
      <c r="BW351" s="462">
        <f t="shared" si="201"/>
        <v>0</v>
      </c>
      <c r="BZ351" s="462">
        <f t="shared" si="202"/>
        <v>0</v>
      </c>
      <c r="CD351" s="418" t="str">
        <f t="shared" si="203"/>
        <v>CU1152001</v>
      </c>
      <c r="CE351" s="442" t="str">
        <f t="shared" si="204"/>
        <v>2019年8月</v>
      </c>
      <c r="CF351" s="418" t="str">
        <f t="shared" si="205"/>
        <v>昆明贝泰妮clife服务费暂估</v>
      </c>
      <c r="CG351" s="418" t="str">
        <f t="shared" si="206"/>
        <v>2019年8月昆明贝泰妮clife服务费暂估</v>
      </c>
    </row>
    <row r="352" spans="2:85" s="447" customFormat="1" ht="17.25" customHeight="1">
      <c r="B352" s="447" t="str">
        <f t="shared" si="179"/>
        <v>CU1155</v>
      </c>
      <c r="C352" s="431" t="s">
        <v>755</v>
      </c>
      <c r="D352" s="367" t="s">
        <v>1794</v>
      </c>
      <c r="E352" s="367" t="s">
        <v>1793</v>
      </c>
      <c r="F352" s="439">
        <v>43678</v>
      </c>
      <c r="G352" s="448">
        <v>15023.52</v>
      </c>
      <c r="H352" s="440"/>
      <c r="I352" s="440">
        <f t="shared" si="180"/>
        <v>15023.52</v>
      </c>
      <c r="J352" s="440"/>
      <c r="L352" s="462">
        <f t="shared" si="181"/>
        <v>15023.52</v>
      </c>
      <c r="M352" s="462"/>
      <c r="N352" s="444"/>
      <c r="O352" s="462">
        <f t="shared" si="182"/>
        <v>15023.52</v>
      </c>
      <c r="R352" s="462">
        <f t="shared" si="183"/>
        <v>15023.52</v>
      </c>
      <c r="U352" s="462">
        <f t="shared" si="184"/>
        <v>15023.52</v>
      </c>
      <c r="X352" s="462">
        <f t="shared" si="185"/>
        <v>15023.52</v>
      </c>
      <c r="AA352" s="462">
        <f t="shared" si="178"/>
        <v>15023.52</v>
      </c>
      <c r="AD352" s="462">
        <f t="shared" si="186"/>
        <v>15023.52</v>
      </c>
      <c r="AE352" s="447" t="s">
        <v>1796</v>
      </c>
      <c r="AG352" s="462">
        <f t="shared" si="187"/>
        <v>15023.52</v>
      </c>
      <c r="AH352" s="447" t="s">
        <v>1827</v>
      </c>
      <c r="AJ352" s="462">
        <f t="shared" si="188"/>
        <v>15023.52</v>
      </c>
      <c r="AK352" s="447" t="s">
        <v>1867</v>
      </c>
      <c r="AM352" s="462">
        <f t="shared" si="189"/>
        <v>15023.52</v>
      </c>
      <c r="AN352" s="447" t="s">
        <v>1975</v>
      </c>
      <c r="AP352" s="462">
        <f t="shared" si="190"/>
        <v>15023.52</v>
      </c>
      <c r="AQ352" s="447" t="s">
        <v>2003</v>
      </c>
      <c r="AS352" s="459">
        <f t="shared" si="191"/>
        <v>15023.52</v>
      </c>
      <c r="AV352" s="462">
        <f t="shared" si="192"/>
        <v>15023.52</v>
      </c>
      <c r="AW352" s="447" t="s">
        <v>2107</v>
      </c>
      <c r="AY352" s="462">
        <f t="shared" si="193"/>
        <v>15023.52</v>
      </c>
      <c r="AZ352" s="447" t="s">
        <v>2131</v>
      </c>
      <c r="BB352" s="462">
        <f t="shared" si="194"/>
        <v>15023.52</v>
      </c>
      <c r="BC352" s="447" t="s">
        <v>2204</v>
      </c>
      <c r="BE352" s="462">
        <f t="shared" si="195"/>
        <v>15023.52</v>
      </c>
      <c r="BF352" s="447" t="s">
        <v>2237</v>
      </c>
      <c r="BH352" s="462">
        <f t="shared" si="196"/>
        <v>15023.52</v>
      </c>
      <c r="BI352" s="447" t="s">
        <v>2292</v>
      </c>
      <c r="BK352" s="462">
        <f t="shared" si="197"/>
        <v>15023.52</v>
      </c>
      <c r="BL352" s="447" t="s">
        <v>2339</v>
      </c>
      <c r="BN352" s="462">
        <f t="shared" si="198"/>
        <v>15023.52</v>
      </c>
      <c r="BO352" s="447" t="s">
        <v>2365</v>
      </c>
      <c r="BQ352" s="462">
        <f t="shared" si="199"/>
        <v>15023.52</v>
      </c>
      <c r="BR352" s="447" t="s">
        <v>2374</v>
      </c>
      <c r="BT352" s="462">
        <f t="shared" si="200"/>
        <v>15023.52</v>
      </c>
      <c r="BU352" s="447" t="s">
        <v>2134</v>
      </c>
      <c r="BW352" s="462">
        <f t="shared" si="201"/>
        <v>15023.52</v>
      </c>
      <c r="BZ352" s="462">
        <f t="shared" si="202"/>
        <v>15023.52</v>
      </c>
      <c r="CD352" s="418" t="str">
        <f t="shared" si="203"/>
        <v>CU1155001</v>
      </c>
      <c r="CE352" s="442" t="str">
        <f t="shared" si="204"/>
        <v>2019年8月</v>
      </c>
      <c r="CF352" s="418" t="str">
        <f t="shared" si="205"/>
        <v>艾蒙斯特朗clife服务费暂估</v>
      </c>
      <c r="CG352" s="418" t="str">
        <f t="shared" si="206"/>
        <v>2019年8月艾蒙斯特朗clife服务费暂估</v>
      </c>
    </row>
    <row r="353" spans="2:85" s="447" customFormat="1" ht="17.25" customHeight="1">
      <c r="B353" s="447" t="str">
        <f t="shared" si="179"/>
        <v>CU1198</v>
      </c>
      <c r="C353" s="431" t="s">
        <v>755</v>
      </c>
      <c r="D353" s="367" t="s">
        <v>1538</v>
      </c>
      <c r="E353" s="367" t="s">
        <v>1537</v>
      </c>
      <c r="F353" s="439">
        <v>43678</v>
      </c>
      <c r="G353" s="448">
        <v>134462.53</v>
      </c>
      <c r="H353" s="440"/>
      <c r="I353" s="440">
        <f t="shared" si="180"/>
        <v>134462.53</v>
      </c>
      <c r="J353" s="440"/>
      <c r="L353" s="462">
        <f t="shared" si="181"/>
        <v>134462.53</v>
      </c>
      <c r="M353" s="462"/>
      <c r="N353" s="444"/>
      <c r="O353" s="462">
        <f t="shared" si="182"/>
        <v>134462.53</v>
      </c>
      <c r="R353" s="462">
        <f t="shared" si="183"/>
        <v>134462.53</v>
      </c>
      <c r="U353" s="462">
        <f t="shared" si="184"/>
        <v>134462.53</v>
      </c>
      <c r="X353" s="462">
        <f t="shared" si="185"/>
        <v>134462.53</v>
      </c>
      <c r="AA353" s="462">
        <f t="shared" si="178"/>
        <v>134462.53</v>
      </c>
      <c r="AD353" s="462">
        <f t="shared" si="186"/>
        <v>134462.53</v>
      </c>
      <c r="AE353" s="447" t="s">
        <v>1796</v>
      </c>
      <c r="AG353" s="462">
        <f t="shared" si="187"/>
        <v>134462.53</v>
      </c>
      <c r="AH353" s="447" t="s">
        <v>1827</v>
      </c>
      <c r="AJ353" s="462">
        <f t="shared" si="188"/>
        <v>134462.53</v>
      </c>
      <c r="AK353" s="447" t="s">
        <v>1867</v>
      </c>
      <c r="AL353" s="462">
        <f>AJ353</f>
        <v>134462.53</v>
      </c>
      <c r="AM353" s="462">
        <f t="shared" si="189"/>
        <v>0</v>
      </c>
      <c r="AN353" s="447" t="s">
        <v>1975</v>
      </c>
      <c r="AP353" s="462">
        <f t="shared" si="190"/>
        <v>0</v>
      </c>
      <c r="AQ353" s="447" t="s">
        <v>2003</v>
      </c>
      <c r="AS353" s="459">
        <f t="shared" si="191"/>
        <v>0</v>
      </c>
      <c r="AV353" s="462">
        <f t="shared" si="192"/>
        <v>0</v>
      </c>
      <c r="AY353" s="462">
        <f t="shared" si="193"/>
        <v>0</v>
      </c>
      <c r="BB353" s="462">
        <f t="shared" si="194"/>
        <v>0</v>
      </c>
      <c r="BC353" s="447" t="s">
        <v>2204</v>
      </c>
      <c r="BE353" s="462">
        <f t="shared" si="195"/>
        <v>0</v>
      </c>
      <c r="BH353" s="462">
        <f t="shared" si="196"/>
        <v>0</v>
      </c>
      <c r="BK353" s="462">
        <f t="shared" si="197"/>
        <v>0</v>
      </c>
      <c r="BN353" s="462">
        <f t="shared" si="198"/>
        <v>0</v>
      </c>
      <c r="BQ353" s="462">
        <f t="shared" si="199"/>
        <v>0</v>
      </c>
      <c r="BT353" s="462">
        <f t="shared" si="200"/>
        <v>0</v>
      </c>
      <c r="BW353" s="462">
        <f t="shared" si="201"/>
        <v>0</v>
      </c>
      <c r="BZ353" s="462">
        <f t="shared" si="202"/>
        <v>0</v>
      </c>
      <c r="CD353" s="418" t="str">
        <f t="shared" si="203"/>
        <v>CU1198001</v>
      </c>
      <c r="CE353" s="442" t="str">
        <f t="shared" si="204"/>
        <v>2019年8月</v>
      </c>
      <c r="CF353" s="418" t="str">
        <f t="shared" si="205"/>
        <v>通用公正技clife服务费暂估</v>
      </c>
      <c r="CG353" s="418" t="str">
        <f t="shared" si="206"/>
        <v>2019年8月通用公正技clife服务费暂估</v>
      </c>
    </row>
    <row r="354" spans="2:85" s="447" customFormat="1" ht="17.25" customHeight="1">
      <c r="B354" s="447" t="str">
        <f t="shared" si="179"/>
        <v>CU1204</v>
      </c>
      <c r="C354" s="431" t="s">
        <v>755</v>
      </c>
      <c r="D354" s="367" t="s">
        <v>1656</v>
      </c>
      <c r="E354" s="367" t="s">
        <v>1582</v>
      </c>
      <c r="F354" s="439">
        <v>43678</v>
      </c>
      <c r="G354" s="448">
        <v>55317.16</v>
      </c>
      <c r="H354" s="440"/>
      <c r="I354" s="440">
        <f t="shared" si="180"/>
        <v>55317.16</v>
      </c>
      <c r="J354" s="440"/>
      <c r="L354" s="462">
        <f t="shared" si="181"/>
        <v>55317.16</v>
      </c>
      <c r="M354" s="462"/>
      <c r="N354" s="444"/>
      <c r="O354" s="462">
        <f t="shared" si="182"/>
        <v>55317.16</v>
      </c>
      <c r="R354" s="462">
        <f t="shared" si="183"/>
        <v>55317.16</v>
      </c>
      <c r="U354" s="462">
        <f t="shared" si="184"/>
        <v>55317.16</v>
      </c>
      <c r="X354" s="462">
        <f t="shared" si="185"/>
        <v>55317.16</v>
      </c>
      <c r="AA354" s="462">
        <f t="shared" si="178"/>
        <v>55317.16</v>
      </c>
      <c r="AD354" s="462">
        <f t="shared" si="186"/>
        <v>55317.16</v>
      </c>
      <c r="AE354" s="447" t="s">
        <v>1796</v>
      </c>
      <c r="AG354" s="462">
        <f t="shared" si="187"/>
        <v>55317.16</v>
      </c>
      <c r="AH354" s="447" t="s">
        <v>1827</v>
      </c>
      <c r="AJ354" s="462">
        <f t="shared" si="188"/>
        <v>55317.16</v>
      </c>
      <c r="AK354" s="447" t="s">
        <v>1867</v>
      </c>
      <c r="AM354" s="462">
        <f t="shared" si="189"/>
        <v>55317.16</v>
      </c>
      <c r="AN354" s="447" t="s">
        <v>1975</v>
      </c>
      <c r="AP354" s="462">
        <f t="shared" si="190"/>
        <v>55317.16</v>
      </c>
      <c r="AQ354" s="447" t="s">
        <v>2003</v>
      </c>
      <c r="AS354" s="459">
        <f t="shared" si="191"/>
        <v>55317.16</v>
      </c>
      <c r="AV354" s="462">
        <f t="shared" si="192"/>
        <v>55317.16</v>
      </c>
      <c r="AW354" s="447" t="s">
        <v>2107</v>
      </c>
      <c r="AY354" s="462">
        <f t="shared" si="193"/>
        <v>55317.16</v>
      </c>
      <c r="AZ354" s="447" t="s">
        <v>2131</v>
      </c>
      <c r="BB354" s="462">
        <f t="shared" si="194"/>
        <v>55317.16</v>
      </c>
      <c r="BC354" s="447" t="s">
        <v>2204</v>
      </c>
      <c r="BE354" s="462">
        <f t="shared" si="195"/>
        <v>55317.16</v>
      </c>
      <c r="BF354" s="447" t="s">
        <v>2237</v>
      </c>
      <c r="BH354" s="462">
        <f t="shared" si="196"/>
        <v>55317.16</v>
      </c>
      <c r="BI354" s="447" t="s">
        <v>2292</v>
      </c>
      <c r="BK354" s="462">
        <f t="shared" si="197"/>
        <v>55317.16</v>
      </c>
      <c r="BL354" s="447" t="s">
        <v>2339</v>
      </c>
      <c r="BM354" s="462">
        <f>BK354</f>
        <v>55317.16</v>
      </c>
      <c r="BN354" s="462">
        <f t="shared" si="198"/>
        <v>0</v>
      </c>
      <c r="BQ354" s="462">
        <f t="shared" si="199"/>
        <v>0</v>
      </c>
      <c r="BT354" s="462">
        <f t="shared" si="200"/>
        <v>0</v>
      </c>
      <c r="BW354" s="462">
        <f t="shared" si="201"/>
        <v>0</v>
      </c>
      <c r="BZ354" s="462">
        <f t="shared" si="202"/>
        <v>0</v>
      </c>
      <c r="CD354" s="418" t="str">
        <f t="shared" si="203"/>
        <v>CU1204001</v>
      </c>
      <c r="CE354" s="442" t="str">
        <f t="shared" si="204"/>
        <v>2019年8月</v>
      </c>
      <c r="CF354" s="418" t="str">
        <f t="shared" si="205"/>
        <v>固特异轮胎clife服务费暂估</v>
      </c>
      <c r="CG354" s="418" t="str">
        <f t="shared" si="206"/>
        <v>2019年8月固特异轮胎clife服务费暂估</v>
      </c>
    </row>
    <row r="355" spans="2:85" s="447" customFormat="1" ht="17.25" customHeight="1">
      <c r="B355" s="447" t="str">
        <f t="shared" si="179"/>
        <v>CU1375</v>
      </c>
      <c r="C355" s="431" t="s">
        <v>755</v>
      </c>
      <c r="D355" s="367" t="s">
        <v>1677</v>
      </c>
      <c r="E355" s="367" t="s">
        <v>1795</v>
      </c>
      <c r="F355" s="439">
        <v>43678</v>
      </c>
      <c r="G355" s="430">
        <v>133728.53</v>
      </c>
      <c r="H355" s="440"/>
      <c r="I355" s="440">
        <f t="shared" si="180"/>
        <v>133728.53</v>
      </c>
      <c r="J355" s="440"/>
      <c r="L355" s="462">
        <f t="shared" si="181"/>
        <v>133728.53</v>
      </c>
      <c r="M355" s="462"/>
      <c r="N355" s="444"/>
      <c r="O355" s="462">
        <f t="shared" si="182"/>
        <v>133728.53</v>
      </c>
      <c r="R355" s="462">
        <f t="shared" si="183"/>
        <v>133728.53</v>
      </c>
      <c r="U355" s="462">
        <f t="shared" si="184"/>
        <v>133728.53</v>
      </c>
      <c r="X355" s="462">
        <f t="shared" si="185"/>
        <v>133728.53</v>
      </c>
      <c r="AA355" s="462">
        <f t="shared" si="178"/>
        <v>133728.53</v>
      </c>
      <c r="AD355" s="462">
        <f t="shared" si="186"/>
        <v>133728.53</v>
      </c>
      <c r="AE355" s="447" t="s">
        <v>1796</v>
      </c>
      <c r="AF355" s="444">
        <f>ROUND(141752.24/1.06,2)</f>
        <v>133728.53</v>
      </c>
      <c r="AG355" s="462">
        <f t="shared" si="187"/>
        <v>0</v>
      </c>
      <c r="AH355" s="447" t="s">
        <v>1827</v>
      </c>
      <c r="AJ355" s="462">
        <f t="shared" si="188"/>
        <v>0</v>
      </c>
      <c r="AM355" s="462">
        <f t="shared" si="189"/>
        <v>0</v>
      </c>
      <c r="AN355" s="447" t="s">
        <v>1975</v>
      </c>
      <c r="AP355" s="462">
        <f t="shared" si="190"/>
        <v>0</v>
      </c>
      <c r="AQ355" s="447" t="s">
        <v>2003</v>
      </c>
      <c r="AS355" s="459">
        <f t="shared" si="191"/>
        <v>0</v>
      </c>
      <c r="AV355" s="462">
        <f t="shared" si="192"/>
        <v>0</v>
      </c>
      <c r="AY355" s="462">
        <f t="shared" si="193"/>
        <v>0</v>
      </c>
      <c r="BB355" s="462">
        <f t="shared" si="194"/>
        <v>0</v>
      </c>
      <c r="BC355" s="447" t="s">
        <v>2204</v>
      </c>
      <c r="BE355" s="462">
        <f t="shared" si="195"/>
        <v>0</v>
      </c>
      <c r="BH355" s="462">
        <f t="shared" si="196"/>
        <v>0</v>
      </c>
      <c r="BK355" s="462">
        <f t="shared" si="197"/>
        <v>0</v>
      </c>
      <c r="BN355" s="462">
        <f t="shared" si="198"/>
        <v>0</v>
      </c>
      <c r="BQ355" s="462">
        <f t="shared" si="199"/>
        <v>0</v>
      </c>
      <c r="BT355" s="462">
        <f t="shared" si="200"/>
        <v>0</v>
      </c>
      <c r="BW355" s="462">
        <f t="shared" si="201"/>
        <v>0</v>
      </c>
      <c r="BZ355" s="462">
        <f t="shared" si="202"/>
        <v>0</v>
      </c>
      <c r="CD355" s="418" t="str">
        <f t="shared" si="203"/>
        <v>CU1375001</v>
      </c>
      <c r="CE355" s="442" t="str">
        <f t="shared" si="204"/>
        <v>2019年8月</v>
      </c>
      <c r="CF355" s="418" t="str">
        <f t="shared" si="205"/>
        <v>上海库润信clife服务费暂估</v>
      </c>
      <c r="CG355" s="418" t="str">
        <f t="shared" si="206"/>
        <v>2019年8月上海库润信clife服务费暂估</v>
      </c>
    </row>
    <row r="356" spans="2:85" s="447" customFormat="1" ht="17.25" customHeight="1">
      <c r="B356" s="447" t="str">
        <f t="shared" si="179"/>
        <v>CU0093</v>
      </c>
      <c r="C356" s="431" t="s">
        <v>755</v>
      </c>
      <c r="D356" s="367" t="s">
        <v>1832</v>
      </c>
      <c r="E356" s="367" t="s">
        <v>32</v>
      </c>
      <c r="F356" s="439">
        <v>43709</v>
      </c>
      <c r="G356" s="448">
        <v>3973.04</v>
      </c>
      <c r="H356" s="440"/>
      <c r="I356" s="440">
        <f t="shared" si="180"/>
        <v>3973.04</v>
      </c>
      <c r="J356" s="440"/>
      <c r="L356" s="462">
        <f t="shared" si="181"/>
        <v>3973.04</v>
      </c>
      <c r="M356" s="462"/>
      <c r="N356" s="444"/>
      <c r="O356" s="462">
        <f t="shared" si="182"/>
        <v>3973.04</v>
      </c>
      <c r="R356" s="462">
        <f t="shared" si="183"/>
        <v>3973.04</v>
      </c>
      <c r="U356" s="462">
        <f t="shared" si="184"/>
        <v>3973.04</v>
      </c>
      <c r="X356" s="462">
        <f t="shared" si="185"/>
        <v>3973.04</v>
      </c>
      <c r="AA356" s="462">
        <f t="shared" ref="AA356:AA394" si="212">X356-Z356</f>
        <v>3973.04</v>
      </c>
      <c r="AD356" s="462">
        <f t="shared" si="186"/>
        <v>3973.04</v>
      </c>
      <c r="AG356" s="462">
        <f t="shared" si="187"/>
        <v>3973.04</v>
      </c>
      <c r="AH356" s="447" t="s">
        <v>1834</v>
      </c>
      <c r="AJ356" s="462">
        <f t="shared" si="188"/>
        <v>3973.04</v>
      </c>
      <c r="AK356" s="447" t="s">
        <v>1868</v>
      </c>
      <c r="AM356" s="462">
        <f t="shared" si="189"/>
        <v>3973.04</v>
      </c>
      <c r="AN356" s="447" t="s">
        <v>1976</v>
      </c>
      <c r="AP356" s="462">
        <f t="shared" si="190"/>
        <v>3973.04</v>
      </c>
      <c r="AQ356" s="447" t="s">
        <v>2004</v>
      </c>
      <c r="AS356" s="459">
        <f>AP356-AR356</f>
        <v>3973.04</v>
      </c>
      <c r="AV356" s="462">
        <f t="shared" si="192"/>
        <v>3973.04</v>
      </c>
      <c r="AW356" s="447" t="s">
        <v>2107</v>
      </c>
      <c r="AY356" s="462">
        <f t="shared" si="193"/>
        <v>3973.04</v>
      </c>
      <c r="AZ356" s="447" t="s">
        <v>2131</v>
      </c>
      <c r="BB356" s="462">
        <f t="shared" si="194"/>
        <v>3973.04</v>
      </c>
      <c r="BC356" s="447" t="s">
        <v>2204</v>
      </c>
      <c r="BD356" s="462">
        <f>BB356</f>
        <v>3973.04</v>
      </c>
      <c r="BE356" s="462">
        <f t="shared" si="195"/>
        <v>0</v>
      </c>
      <c r="BH356" s="462">
        <f t="shared" si="196"/>
        <v>0</v>
      </c>
      <c r="BK356" s="462">
        <f t="shared" si="197"/>
        <v>0</v>
      </c>
      <c r="BN356" s="462">
        <f t="shared" si="198"/>
        <v>0</v>
      </c>
      <c r="BQ356" s="462">
        <f t="shared" si="199"/>
        <v>0</v>
      </c>
      <c r="BT356" s="462">
        <f t="shared" si="200"/>
        <v>0</v>
      </c>
      <c r="BW356" s="462">
        <f t="shared" si="201"/>
        <v>0</v>
      </c>
      <c r="BZ356" s="462">
        <f t="shared" si="202"/>
        <v>0</v>
      </c>
      <c r="CD356" s="418" t="str">
        <f t="shared" si="203"/>
        <v>CU0093001</v>
      </c>
      <c r="CE356" s="442" t="str">
        <f t="shared" si="204"/>
        <v>2019年9月</v>
      </c>
      <c r="CF356" s="418" t="str">
        <f t="shared" si="205"/>
        <v>日立保险代clife服务费暂估</v>
      </c>
      <c r="CG356" s="418" t="str">
        <f t="shared" si="206"/>
        <v>2019年9月日立保险代clife服务费暂估</v>
      </c>
    </row>
    <row r="357" spans="2:85" s="447" customFormat="1" ht="17.25" customHeight="1">
      <c r="B357" s="447" t="str">
        <f t="shared" si="179"/>
        <v>CU0148</v>
      </c>
      <c r="C357" s="431" t="s">
        <v>755</v>
      </c>
      <c r="D357" s="367" t="s">
        <v>1574</v>
      </c>
      <c r="E357" s="367" t="s">
        <v>1636</v>
      </c>
      <c r="F357" s="439">
        <v>43709</v>
      </c>
      <c r="G357" s="448">
        <v>4788.72</v>
      </c>
      <c r="H357" s="440"/>
      <c r="I357" s="440">
        <f t="shared" si="180"/>
        <v>4788.72</v>
      </c>
      <c r="J357" s="440"/>
      <c r="L357" s="462">
        <f t="shared" si="181"/>
        <v>4788.72</v>
      </c>
      <c r="M357" s="462"/>
      <c r="N357" s="444"/>
      <c r="O357" s="462">
        <f t="shared" si="182"/>
        <v>4788.72</v>
      </c>
      <c r="R357" s="462">
        <f t="shared" si="183"/>
        <v>4788.72</v>
      </c>
      <c r="U357" s="462">
        <f t="shared" si="184"/>
        <v>4788.72</v>
      </c>
      <c r="X357" s="462">
        <f t="shared" si="185"/>
        <v>4788.72</v>
      </c>
      <c r="AA357" s="462">
        <f t="shared" si="212"/>
        <v>4788.72</v>
      </c>
      <c r="AD357" s="462">
        <f t="shared" si="186"/>
        <v>4788.72</v>
      </c>
      <c r="AG357" s="462">
        <f t="shared" si="187"/>
        <v>4788.72</v>
      </c>
      <c r="AH357" s="447" t="s">
        <v>1834</v>
      </c>
      <c r="AJ357" s="462">
        <f t="shared" si="188"/>
        <v>4788.72</v>
      </c>
      <c r="AK357" s="447" t="s">
        <v>1868</v>
      </c>
      <c r="AM357" s="462">
        <f t="shared" si="189"/>
        <v>4788.72</v>
      </c>
      <c r="AN357" s="447" t="s">
        <v>1976</v>
      </c>
      <c r="AP357" s="462">
        <f t="shared" si="190"/>
        <v>4788.72</v>
      </c>
      <c r="AQ357" s="447" t="s">
        <v>2004</v>
      </c>
      <c r="AS357" s="459">
        <f t="shared" si="191"/>
        <v>4788.72</v>
      </c>
      <c r="AU357" s="462">
        <f>ROUND(5178/1.06,2)-AU282</f>
        <v>4326.5000000000018</v>
      </c>
      <c r="AV357" s="462">
        <f t="shared" si="192"/>
        <v>462.21999999999844</v>
      </c>
      <c r="AW357" s="447" t="s">
        <v>2107</v>
      </c>
      <c r="AX357" s="462">
        <f>AV357</f>
        <v>462.21999999999844</v>
      </c>
      <c r="AY357" s="462">
        <f t="shared" si="193"/>
        <v>0</v>
      </c>
      <c r="BB357" s="462">
        <f t="shared" si="194"/>
        <v>0</v>
      </c>
      <c r="BC357" s="447" t="s">
        <v>2204</v>
      </c>
      <c r="BE357" s="462">
        <f t="shared" si="195"/>
        <v>0</v>
      </c>
      <c r="BH357" s="462">
        <f t="shared" si="196"/>
        <v>0</v>
      </c>
      <c r="BK357" s="462">
        <f t="shared" si="197"/>
        <v>0</v>
      </c>
      <c r="BN357" s="462">
        <f t="shared" si="198"/>
        <v>0</v>
      </c>
      <c r="BQ357" s="462">
        <f t="shared" si="199"/>
        <v>0</v>
      </c>
      <c r="BT357" s="462">
        <f t="shared" si="200"/>
        <v>0</v>
      </c>
      <c r="BW357" s="462">
        <f t="shared" si="201"/>
        <v>0</v>
      </c>
      <c r="BZ357" s="462">
        <f t="shared" si="202"/>
        <v>0</v>
      </c>
      <c r="CD357" s="418" t="str">
        <f t="shared" si="203"/>
        <v>CU0148001</v>
      </c>
      <c r="CE357" s="442" t="str">
        <f t="shared" si="204"/>
        <v>2019年9月</v>
      </c>
      <c r="CF357" s="418" t="str">
        <f t="shared" si="205"/>
        <v>贝雅投资咨clife服务费暂估</v>
      </c>
      <c r="CG357" s="418" t="str">
        <f t="shared" si="206"/>
        <v>2019年9月贝雅投资咨clife服务费暂估</v>
      </c>
    </row>
    <row r="358" spans="2:85" s="447" customFormat="1" ht="17.25" customHeight="1">
      <c r="B358" s="447" t="str">
        <f t="shared" si="179"/>
        <v>CU0182</v>
      </c>
      <c r="C358" s="431" t="s">
        <v>755</v>
      </c>
      <c r="D358" s="367" t="s">
        <v>1452</v>
      </c>
      <c r="E358" s="367" t="s">
        <v>821</v>
      </c>
      <c r="F358" s="439">
        <v>43709</v>
      </c>
      <c r="G358" s="448">
        <v>8190.52</v>
      </c>
      <c r="H358" s="440"/>
      <c r="I358" s="440">
        <f t="shared" si="180"/>
        <v>8190.52</v>
      </c>
      <c r="J358" s="440"/>
      <c r="L358" s="462">
        <f t="shared" si="181"/>
        <v>8190.52</v>
      </c>
      <c r="M358" s="462"/>
      <c r="N358" s="444"/>
      <c r="O358" s="462">
        <f t="shared" si="182"/>
        <v>8190.52</v>
      </c>
      <c r="R358" s="462">
        <f t="shared" si="183"/>
        <v>8190.52</v>
      </c>
      <c r="U358" s="462">
        <f t="shared" si="184"/>
        <v>8190.52</v>
      </c>
      <c r="X358" s="462">
        <f t="shared" si="185"/>
        <v>8190.52</v>
      </c>
      <c r="AA358" s="462">
        <f t="shared" si="212"/>
        <v>8190.52</v>
      </c>
      <c r="AD358" s="462">
        <f t="shared" si="186"/>
        <v>8190.52</v>
      </c>
      <c r="AF358" s="447">
        <v>1307</v>
      </c>
      <c r="AG358" s="462">
        <f t="shared" si="187"/>
        <v>6883.52</v>
      </c>
      <c r="AH358" s="447" t="s">
        <v>1834</v>
      </c>
      <c r="AJ358" s="462">
        <f t="shared" si="188"/>
        <v>6883.52</v>
      </c>
      <c r="AK358" s="447" t="s">
        <v>1868</v>
      </c>
      <c r="AM358" s="462">
        <f t="shared" si="189"/>
        <v>6883.52</v>
      </c>
      <c r="AN358" s="447" t="s">
        <v>1976</v>
      </c>
      <c r="AP358" s="462">
        <f t="shared" si="190"/>
        <v>6883.52</v>
      </c>
      <c r="AQ358" s="447" t="s">
        <v>2004</v>
      </c>
      <c r="AS358" s="459">
        <f t="shared" si="191"/>
        <v>6883.52</v>
      </c>
      <c r="AV358" s="462">
        <f t="shared" si="192"/>
        <v>6883.52</v>
      </c>
      <c r="AW358" s="447" t="s">
        <v>2107</v>
      </c>
      <c r="AY358" s="462">
        <f t="shared" si="193"/>
        <v>6883.52</v>
      </c>
      <c r="AZ358" s="447" t="s">
        <v>2131</v>
      </c>
      <c r="BB358" s="462">
        <f t="shared" si="194"/>
        <v>6883.52</v>
      </c>
      <c r="BC358" s="447" t="s">
        <v>2204</v>
      </c>
      <c r="BE358" s="462">
        <f t="shared" si="195"/>
        <v>6883.52</v>
      </c>
      <c r="BF358" s="447" t="s">
        <v>2237</v>
      </c>
      <c r="BH358" s="462">
        <f t="shared" si="196"/>
        <v>6883.52</v>
      </c>
      <c r="BI358" s="447" t="s">
        <v>2292</v>
      </c>
      <c r="BK358" s="462">
        <f t="shared" si="197"/>
        <v>6883.52</v>
      </c>
      <c r="BL358" s="447" t="s">
        <v>2339</v>
      </c>
      <c r="BN358" s="462">
        <f t="shared" si="198"/>
        <v>6883.52</v>
      </c>
      <c r="BO358" s="447" t="s">
        <v>2365</v>
      </c>
      <c r="BQ358" s="462">
        <f t="shared" si="199"/>
        <v>6883.52</v>
      </c>
      <c r="BR358" s="447" t="s">
        <v>2374</v>
      </c>
      <c r="BT358" s="462">
        <f t="shared" si="200"/>
        <v>6883.52</v>
      </c>
      <c r="BU358" s="447" t="s">
        <v>2134</v>
      </c>
      <c r="BW358" s="462">
        <f t="shared" si="201"/>
        <v>6883.52</v>
      </c>
      <c r="BZ358" s="462">
        <f t="shared" si="202"/>
        <v>6883.52</v>
      </c>
      <c r="CD358" s="418" t="str">
        <f t="shared" si="203"/>
        <v>CU0182001</v>
      </c>
      <c r="CE358" s="442" t="str">
        <f t="shared" si="204"/>
        <v>2019年9月</v>
      </c>
      <c r="CF358" s="418" t="str">
        <f t="shared" si="205"/>
        <v>阿姆斯壮（clife服务费暂估</v>
      </c>
      <c r="CG358" s="418" t="str">
        <f t="shared" si="206"/>
        <v>2019年9月阿姆斯壮（clife服务费暂估</v>
      </c>
    </row>
    <row r="359" spans="2:85" s="447" customFormat="1" ht="17.25" customHeight="1">
      <c r="B359" s="447" t="str">
        <f t="shared" si="179"/>
        <v>CU0289</v>
      </c>
      <c r="C359" s="431" t="s">
        <v>755</v>
      </c>
      <c r="D359" s="367" t="s">
        <v>1644</v>
      </c>
      <c r="E359" s="367" t="s">
        <v>19</v>
      </c>
      <c r="F359" s="439">
        <v>43709</v>
      </c>
      <c r="G359" s="448">
        <v>157356.97</v>
      </c>
      <c r="H359" s="440"/>
      <c r="I359" s="440">
        <f t="shared" si="180"/>
        <v>157356.97</v>
      </c>
      <c r="J359" s="440"/>
      <c r="L359" s="462">
        <f t="shared" si="181"/>
        <v>157356.97</v>
      </c>
      <c r="M359" s="462"/>
      <c r="N359" s="444"/>
      <c r="O359" s="462">
        <f t="shared" si="182"/>
        <v>157356.97</v>
      </c>
      <c r="R359" s="462">
        <f t="shared" si="183"/>
        <v>157356.97</v>
      </c>
      <c r="U359" s="462">
        <f t="shared" si="184"/>
        <v>157356.97</v>
      </c>
      <c r="X359" s="462">
        <f t="shared" si="185"/>
        <v>157356.97</v>
      </c>
      <c r="AA359" s="462">
        <f t="shared" si="212"/>
        <v>157356.97</v>
      </c>
      <c r="AD359" s="462">
        <f t="shared" si="186"/>
        <v>157356.97</v>
      </c>
      <c r="AG359" s="462">
        <f t="shared" si="187"/>
        <v>157356.97</v>
      </c>
      <c r="AH359" s="447" t="s">
        <v>1834</v>
      </c>
      <c r="AJ359" s="462">
        <f t="shared" si="188"/>
        <v>157356.97</v>
      </c>
      <c r="AK359" s="447" t="s">
        <v>1868</v>
      </c>
      <c r="AL359" s="462">
        <f>ROUND(8536/1.06,2)-AL32-AL254-AL327-2905.58-585.59+894.01+ROUND(4396/1.06,2)</f>
        <v>6882.4</v>
      </c>
      <c r="AM359" s="462">
        <f t="shared" si="189"/>
        <v>150474.57</v>
      </c>
      <c r="AN359" s="447" t="s">
        <v>1976</v>
      </c>
      <c r="AO359" s="460">
        <f>ROUND(976.58/1.06,2)+19000+11172</f>
        <v>31093.3</v>
      </c>
      <c r="AP359" s="462">
        <f t="shared" si="190"/>
        <v>119381.27</v>
      </c>
      <c r="AQ359" s="447" t="s">
        <v>2004</v>
      </c>
      <c r="AR359" s="447">
        <f>134646+3000-18264.73</f>
        <v>119381.27</v>
      </c>
      <c r="AS359" s="459">
        <f t="shared" si="191"/>
        <v>0</v>
      </c>
      <c r="AV359" s="462">
        <f t="shared" si="192"/>
        <v>0</v>
      </c>
      <c r="AY359" s="462">
        <f t="shared" si="193"/>
        <v>0</v>
      </c>
      <c r="BB359" s="462">
        <f t="shared" si="194"/>
        <v>0</v>
      </c>
      <c r="BC359" s="447" t="s">
        <v>2204</v>
      </c>
      <c r="BE359" s="462">
        <f t="shared" si="195"/>
        <v>0</v>
      </c>
      <c r="BH359" s="462">
        <f t="shared" si="196"/>
        <v>0</v>
      </c>
      <c r="BK359" s="462">
        <f t="shared" si="197"/>
        <v>0</v>
      </c>
      <c r="BN359" s="462">
        <f t="shared" si="198"/>
        <v>0</v>
      </c>
      <c r="BQ359" s="462">
        <f t="shared" si="199"/>
        <v>0</v>
      </c>
      <c r="BT359" s="462">
        <f t="shared" si="200"/>
        <v>0</v>
      </c>
      <c r="BW359" s="462">
        <f t="shared" si="201"/>
        <v>0</v>
      </c>
      <c r="BZ359" s="462">
        <f t="shared" si="202"/>
        <v>0</v>
      </c>
      <c r="CD359" s="418" t="str">
        <f t="shared" si="203"/>
        <v>CU0289001</v>
      </c>
      <c r="CE359" s="442" t="str">
        <f t="shared" si="204"/>
        <v>2019年9月</v>
      </c>
      <c r="CF359" s="418" t="str">
        <f t="shared" si="205"/>
        <v>拉格代尔商clife服务费暂估</v>
      </c>
      <c r="CG359" s="418" t="str">
        <f t="shared" si="206"/>
        <v>2019年9月拉格代尔商clife服务费暂估</v>
      </c>
    </row>
    <row r="360" spans="2:85" s="447" customFormat="1" ht="17.25" customHeight="1">
      <c r="B360" s="447" t="str">
        <f t="shared" si="179"/>
        <v>CU0351</v>
      </c>
      <c r="C360" s="431" t="s">
        <v>755</v>
      </c>
      <c r="D360" s="367" t="s">
        <v>1571</v>
      </c>
      <c r="E360" s="367" t="s">
        <v>80</v>
      </c>
      <c r="F360" s="439">
        <v>43709</v>
      </c>
      <c r="G360" s="448">
        <v>9166.5</v>
      </c>
      <c r="H360" s="440"/>
      <c r="I360" s="440">
        <f t="shared" si="180"/>
        <v>9166.5</v>
      </c>
      <c r="J360" s="440"/>
      <c r="L360" s="462">
        <f t="shared" si="181"/>
        <v>9166.5</v>
      </c>
      <c r="M360" s="462"/>
      <c r="N360" s="444"/>
      <c r="O360" s="462">
        <f t="shared" si="182"/>
        <v>9166.5</v>
      </c>
      <c r="R360" s="462">
        <f t="shared" si="183"/>
        <v>9166.5</v>
      </c>
      <c r="U360" s="462">
        <f t="shared" si="184"/>
        <v>9166.5</v>
      </c>
      <c r="X360" s="462">
        <f t="shared" si="185"/>
        <v>9166.5</v>
      </c>
      <c r="AA360" s="462">
        <f t="shared" si="212"/>
        <v>9166.5</v>
      </c>
      <c r="AD360" s="462">
        <f t="shared" si="186"/>
        <v>9166.5</v>
      </c>
      <c r="AG360" s="462">
        <f t="shared" si="187"/>
        <v>9166.5</v>
      </c>
      <c r="AH360" s="447" t="s">
        <v>1834</v>
      </c>
      <c r="AJ360" s="462">
        <f t="shared" si="188"/>
        <v>9166.5</v>
      </c>
      <c r="AK360" s="447" t="s">
        <v>1868</v>
      </c>
      <c r="AM360" s="462">
        <f t="shared" si="189"/>
        <v>9166.5</v>
      </c>
      <c r="AN360" s="447" t="s">
        <v>1976</v>
      </c>
      <c r="AO360" s="447">
        <f>ROUND(9129/1.06,2)-AO285</f>
        <v>4690.9400000000005</v>
      </c>
      <c r="AP360" s="462">
        <f t="shared" si="190"/>
        <v>4475.5599999999995</v>
      </c>
      <c r="AQ360" s="447" t="s">
        <v>2004</v>
      </c>
      <c r="AS360" s="459">
        <f t="shared" si="191"/>
        <v>4475.5599999999995</v>
      </c>
      <c r="AV360" s="462">
        <f t="shared" si="192"/>
        <v>4475.5599999999995</v>
      </c>
      <c r="AW360" s="447" t="s">
        <v>2107</v>
      </c>
      <c r="AY360" s="462">
        <f t="shared" si="193"/>
        <v>4475.5599999999995</v>
      </c>
      <c r="AZ360" s="447" t="s">
        <v>2131</v>
      </c>
      <c r="BA360" s="462">
        <f>AY360</f>
        <v>4475.5599999999995</v>
      </c>
      <c r="BB360" s="462">
        <f t="shared" si="194"/>
        <v>0</v>
      </c>
      <c r="BC360" s="447" t="s">
        <v>2204</v>
      </c>
      <c r="BE360" s="462">
        <f t="shared" si="195"/>
        <v>0</v>
      </c>
      <c r="BH360" s="462">
        <f t="shared" si="196"/>
        <v>0</v>
      </c>
      <c r="BK360" s="462">
        <f t="shared" si="197"/>
        <v>0</v>
      </c>
      <c r="BN360" s="462">
        <f t="shared" si="198"/>
        <v>0</v>
      </c>
      <c r="BQ360" s="462">
        <f t="shared" si="199"/>
        <v>0</v>
      </c>
      <c r="BT360" s="462">
        <f t="shared" si="200"/>
        <v>0</v>
      </c>
      <c r="BW360" s="462">
        <f t="shared" si="201"/>
        <v>0</v>
      </c>
      <c r="BZ360" s="462">
        <f t="shared" si="202"/>
        <v>0</v>
      </c>
      <c r="CD360" s="418" t="str">
        <f t="shared" si="203"/>
        <v>CU0351001</v>
      </c>
      <c r="CE360" s="442" t="str">
        <f t="shared" si="204"/>
        <v>2019年9月</v>
      </c>
      <c r="CF360" s="418" t="str">
        <f t="shared" si="205"/>
        <v>克鲁勃clife服务费暂估</v>
      </c>
      <c r="CG360" s="418" t="str">
        <f t="shared" si="206"/>
        <v>2019年9月克鲁勃clife服务费暂估</v>
      </c>
    </row>
    <row r="361" spans="2:85" s="447" customFormat="1" ht="17.25" customHeight="1">
      <c r="B361" s="447" t="str">
        <f t="shared" si="179"/>
        <v>CU0531</v>
      </c>
      <c r="C361" s="431" t="s">
        <v>755</v>
      </c>
      <c r="D361" s="367" t="s">
        <v>1453</v>
      </c>
      <c r="E361" s="367" t="s">
        <v>134</v>
      </c>
      <c r="F361" s="439">
        <v>43709</v>
      </c>
      <c r="G361" s="448">
        <v>27681.58</v>
      </c>
      <c r="H361" s="440"/>
      <c r="I361" s="440">
        <f t="shared" si="180"/>
        <v>27681.58</v>
      </c>
      <c r="J361" s="440"/>
      <c r="L361" s="462">
        <f t="shared" si="181"/>
        <v>27681.58</v>
      </c>
      <c r="M361" s="462"/>
      <c r="N361" s="444"/>
      <c r="O361" s="462">
        <f t="shared" si="182"/>
        <v>27681.58</v>
      </c>
      <c r="R361" s="462">
        <f t="shared" si="183"/>
        <v>27681.58</v>
      </c>
      <c r="U361" s="462">
        <f t="shared" si="184"/>
        <v>27681.58</v>
      </c>
      <c r="X361" s="462">
        <f t="shared" si="185"/>
        <v>27681.58</v>
      </c>
      <c r="AA361" s="462">
        <f t="shared" si="212"/>
        <v>27681.58</v>
      </c>
      <c r="AD361" s="462">
        <f t="shared" si="186"/>
        <v>27681.58</v>
      </c>
      <c r="AF361" s="447">
        <v>2200</v>
      </c>
      <c r="AG361" s="462">
        <f t="shared" si="187"/>
        <v>25481.58</v>
      </c>
      <c r="AH361" s="447" t="s">
        <v>1834</v>
      </c>
      <c r="AJ361" s="462">
        <f t="shared" si="188"/>
        <v>25481.58</v>
      </c>
      <c r="AK361" s="447" t="s">
        <v>1868</v>
      </c>
      <c r="AM361" s="462">
        <f t="shared" si="189"/>
        <v>25481.58</v>
      </c>
      <c r="AN361" s="447" t="s">
        <v>1976</v>
      </c>
      <c r="AP361" s="462">
        <f t="shared" si="190"/>
        <v>25481.58</v>
      </c>
      <c r="AQ361" s="447" t="s">
        <v>2004</v>
      </c>
      <c r="AS361" s="459">
        <f t="shared" si="191"/>
        <v>25481.58</v>
      </c>
      <c r="AV361" s="462">
        <f t="shared" si="192"/>
        <v>25481.58</v>
      </c>
      <c r="AW361" s="447" t="s">
        <v>2107</v>
      </c>
      <c r="AX361" s="462">
        <f>AV361</f>
        <v>25481.58</v>
      </c>
      <c r="AY361" s="462">
        <f t="shared" si="193"/>
        <v>0</v>
      </c>
      <c r="BB361" s="462">
        <f t="shared" si="194"/>
        <v>0</v>
      </c>
      <c r="BC361" s="447" t="s">
        <v>2204</v>
      </c>
      <c r="BE361" s="462">
        <f t="shared" si="195"/>
        <v>0</v>
      </c>
      <c r="BH361" s="462">
        <f t="shared" si="196"/>
        <v>0</v>
      </c>
      <c r="BK361" s="462">
        <f t="shared" si="197"/>
        <v>0</v>
      </c>
      <c r="BN361" s="462">
        <f t="shared" si="198"/>
        <v>0</v>
      </c>
      <c r="BQ361" s="462">
        <f t="shared" si="199"/>
        <v>0</v>
      </c>
      <c r="BT361" s="462">
        <f t="shared" si="200"/>
        <v>0</v>
      </c>
      <c r="BW361" s="462">
        <f t="shared" si="201"/>
        <v>0</v>
      </c>
      <c r="BZ361" s="462">
        <f t="shared" si="202"/>
        <v>0</v>
      </c>
      <c r="CD361" s="418" t="str">
        <f t="shared" si="203"/>
        <v>CU0531001</v>
      </c>
      <c r="CE361" s="442" t="str">
        <f t="shared" si="204"/>
        <v>2019年9月</v>
      </c>
      <c r="CF361" s="418" t="str">
        <f t="shared" si="205"/>
        <v>恩思恩时尚clife服务费暂估</v>
      </c>
      <c r="CG361" s="418" t="str">
        <f t="shared" si="206"/>
        <v>2019年9月恩思恩时尚clife服务费暂估</v>
      </c>
    </row>
    <row r="362" spans="2:85" s="447" customFormat="1" ht="17.25" customHeight="1">
      <c r="B362" s="447" t="str">
        <f t="shared" si="179"/>
        <v>CU0636</v>
      </c>
      <c r="C362" s="431" t="s">
        <v>755</v>
      </c>
      <c r="D362" s="367" t="s">
        <v>1759</v>
      </c>
      <c r="E362" s="367" t="s">
        <v>23</v>
      </c>
      <c r="F362" s="439">
        <v>43709</v>
      </c>
      <c r="G362" s="448">
        <v>6211.36</v>
      </c>
      <c r="H362" s="440"/>
      <c r="I362" s="440">
        <f t="shared" si="180"/>
        <v>6211.36</v>
      </c>
      <c r="J362" s="440"/>
      <c r="L362" s="462">
        <f t="shared" si="181"/>
        <v>6211.36</v>
      </c>
      <c r="M362" s="462"/>
      <c r="N362" s="444"/>
      <c r="O362" s="462">
        <f t="shared" si="182"/>
        <v>6211.36</v>
      </c>
      <c r="R362" s="462">
        <f t="shared" si="183"/>
        <v>6211.36</v>
      </c>
      <c r="U362" s="462">
        <f t="shared" si="184"/>
        <v>6211.36</v>
      </c>
      <c r="X362" s="462">
        <f t="shared" si="185"/>
        <v>6211.36</v>
      </c>
      <c r="AA362" s="462">
        <f t="shared" si="212"/>
        <v>6211.36</v>
      </c>
      <c r="AD362" s="462">
        <f t="shared" si="186"/>
        <v>6211.36</v>
      </c>
      <c r="AG362" s="462">
        <f t="shared" si="187"/>
        <v>6211.36</v>
      </c>
      <c r="AH362" s="447" t="s">
        <v>1834</v>
      </c>
      <c r="AJ362" s="462">
        <f t="shared" si="188"/>
        <v>6211.36</v>
      </c>
      <c r="AK362" s="447" t="s">
        <v>1868</v>
      </c>
      <c r="AM362" s="462">
        <f t="shared" si="189"/>
        <v>6211.36</v>
      </c>
      <c r="AN362" s="447" t="s">
        <v>1976</v>
      </c>
      <c r="AP362" s="462">
        <f t="shared" si="190"/>
        <v>6211.36</v>
      </c>
      <c r="AQ362" s="447" t="s">
        <v>2004</v>
      </c>
      <c r="AS362" s="459">
        <f t="shared" si="191"/>
        <v>6211.36</v>
      </c>
      <c r="AV362" s="462">
        <f t="shared" si="192"/>
        <v>6211.36</v>
      </c>
      <c r="AW362" s="447" t="s">
        <v>2107</v>
      </c>
      <c r="AY362" s="462">
        <f t="shared" si="193"/>
        <v>6211.36</v>
      </c>
      <c r="AZ362" s="447" t="s">
        <v>2131</v>
      </c>
      <c r="BB362" s="462">
        <f t="shared" si="194"/>
        <v>6211.36</v>
      </c>
      <c r="BC362" s="447" t="s">
        <v>2204</v>
      </c>
      <c r="BD362" s="462">
        <f>BB362</f>
        <v>6211.36</v>
      </c>
      <c r="BE362" s="462">
        <f t="shared" si="195"/>
        <v>0</v>
      </c>
      <c r="BH362" s="462">
        <f t="shared" si="196"/>
        <v>0</v>
      </c>
      <c r="BK362" s="462">
        <f t="shared" si="197"/>
        <v>0</v>
      </c>
      <c r="BN362" s="462">
        <f t="shared" si="198"/>
        <v>0</v>
      </c>
      <c r="BQ362" s="462">
        <f t="shared" si="199"/>
        <v>0</v>
      </c>
      <c r="BT362" s="462">
        <f t="shared" si="200"/>
        <v>0</v>
      </c>
      <c r="BW362" s="462">
        <f t="shared" si="201"/>
        <v>0</v>
      </c>
      <c r="BZ362" s="462">
        <f t="shared" si="202"/>
        <v>0</v>
      </c>
      <c r="CD362" s="418" t="str">
        <f t="shared" si="203"/>
        <v>CU0636001</v>
      </c>
      <c r="CE362" s="442" t="str">
        <f t="shared" si="204"/>
        <v>2019年9月</v>
      </c>
      <c r="CF362" s="418" t="str">
        <f t="shared" si="205"/>
        <v>巴丽（上海clife服务费暂估</v>
      </c>
      <c r="CG362" s="418" t="str">
        <f t="shared" si="206"/>
        <v>2019年9月巴丽（上海clife服务费暂估</v>
      </c>
    </row>
    <row r="363" spans="2:85" s="447" customFormat="1" ht="17.25" customHeight="1">
      <c r="B363" s="447" t="str">
        <f t="shared" si="179"/>
        <v>CU0667</v>
      </c>
      <c r="C363" s="431" t="s">
        <v>755</v>
      </c>
      <c r="D363" s="367" t="s">
        <v>1454</v>
      </c>
      <c r="E363" s="367" t="s">
        <v>168</v>
      </c>
      <c r="F363" s="439">
        <v>43709</v>
      </c>
      <c r="G363" s="448">
        <v>855.98</v>
      </c>
      <c r="H363" s="440"/>
      <c r="I363" s="440">
        <f t="shared" si="180"/>
        <v>855.98</v>
      </c>
      <c r="J363" s="440"/>
      <c r="L363" s="462">
        <f t="shared" si="181"/>
        <v>855.98</v>
      </c>
      <c r="M363" s="462"/>
      <c r="N363" s="444"/>
      <c r="O363" s="462">
        <f t="shared" si="182"/>
        <v>855.98</v>
      </c>
      <c r="R363" s="462">
        <f t="shared" si="183"/>
        <v>855.98</v>
      </c>
      <c r="U363" s="462">
        <f t="shared" si="184"/>
        <v>855.98</v>
      </c>
      <c r="X363" s="462">
        <f t="shared" si="185"/>
        <v>855.98</v>
      </c>
      <c r="AA363" s="462">
        <f t="shared" si="212"/>
        <v>855.98</v>
      </c>
      <c r="AD363" s="462">
        <f t="shared" si="186"/>
        <v>855.98</v>
      </c>
      <c r="AG363" s="462">
        <f t="shared" si="187"/>
        <v>855.98</v>
      </c>
      <c r="AH363" s="447" t="s">
        <v>1834</v>
      </c>
      <c r="AJ363" s="462">
        <f t="shared" si="188"/>
        <v>855.98</v>
      </c>
      <c r="AK363" s="447" t="s">
        <v>1868</v>
      </c>
      <c r="AM363" s="462">
        <f t="shared" si="189"/>
        <v>855.98</v>
      </c>
      <c r="AN363" s="447" t="s">
        <v>1976</v>
      </c>
      <c r="AO363" s="462">
        <f>AM363</f>
        <v>855.98</v>
      </c>
      <c r="AP363" s="462">
        <f t="shared" si="190"/>
        <v>0</v>
      </c>
      <c r="AQ363" s="447" t="s">
        <v>2004</v>
      </c>
      <c r="AS363" s="459">
        <f t="shared" si="191"/>
        <v>0</v>
      </c>
      <c r="AV363" s="462">
        <f t="shared" si="192"/>
        <v>0</v>
      </c>
      <c r="AY363" s="462">
        <f t="shared" si="193"/>
        <v>0</v>
      </c>
      <c r="BB363" s="462">
        <f t="shared" si="194"/>
        <v>0</v>
      </c>
      <c r="BC363" s="447" t="s">
        <v>2204</v>
      </c>
      <c r="BE363" s="462">
        <f t="shared" si="195"/>
        <v>0</v>
      </c>
      <c r="BH363" s="462">
        <f t="shared" si="196"/>
        <v>0</v>
      </c>
      <c r="BK363" s="462">
        <f t="shared" si="197"/>
        <v>0</v>
      </c>
      <c r="BN363" s="462">
        <f t="shared" si="198"/>
        <v>0</v>
      </c>
      <c r="BQ363" s="462">
        <f t="shared" si="199"/>
        <v>0</v>
      </c>
      <c r="BT363" s="462">
        <f t="shared" si="200"/>
        <v>0</v>
      </c>
      <c r="BW363" s="462">
        <f t="shared" si="201"/>
        <v>0</v>
      </c>
      <c r="BZ363" s="462">
        <f t="shared" si="202"/>
        <v>0</v>
      </c>
      <c r="CD363" s="418" t="str">
        <f t="shared" si="203"/>
        <v>CU0667001</v>
      </c>
      <c r="CE363" s="442" t="str">
        <f t="shared" si="204"/>
        <v>2019年9月</v>
      </c>
      <c r="CF363" s="418" t="str">
        <f t="shared" si="205"/>
        <v>北京杰迪安clife服务费暂估</v>
      </c>
      <c r="CG363" s="418" t="str">
        <f t="shared" si="206"/>
        <v>2019年9月北京杰迪安clife服务费暂估</v>
      </c>
    </row>
    <row r="364" spans="2:85" s="447" customFormat="1" ht="17.25" customHeight="1">
      <c r="B364" s="447" t="str">
        <f t="shared" si="179"/>
        <v>CU0812</v>
      </c>
      <c r="C364" s="431" t="s">
        <v>755</v>
      </c>
      <c r="D364" s="367" t="s">
        <v>1455</v>
      </c>
      <c r="E364" s="367" t="s">
        <v>1315</v>
      </c>
      <c r="F364" s="439">
        <v>43709</v>
      </c>
      <c r="G364" s="448">
        <v>5715.9</v>
      </c>
      <c r="H364" s="440"/>
      <c r="I364" s="440">
        <f t="shared" si="180"/>
        <v>5715.9</v>
      </c>
      <c r="J364" s="440"/>
      <c r="L364" s="462">
        <f t="shared" si="181"/>
        <v>5715.9</v>
      </c>
      <c r="M364" s="462"/>
      <c r="N364" s="444"/>
      <c r="O364" s="462">
        <f t="shared" si="182"/>
        <v>5715.9</v>
      </c>
      <c r="R364" s="462">
        <f t="shared" si="183"/>
        <v>5715.9</v>
      </c>
      <c r="U364" s="462">
        <f t="shared" si="184"/>
        <v>5715.9</v>
      </c>
      <c r="X364" s="462">
        <f t="shared" si="185"/>
        <v>5715.9</v>
      </c>
      <c r="AA364" s="462">
        <f t="shared" si="212"/>
        <v>5715.9</v>
      </c>
      <c r="AD364" s="462">
        <f t="shared" si="186"/>
        <v>5715.9</v>
      </c>
      <c r="AG364" s="462">
        <f t="shared" si="187"/>
        <v>5715.9</v>
      </c>
      <c r="AH364" s="447" t="s">
        <v>1834</v>
      </c>
      <c r="AI364" s="462">
        <f>10060-AI308-AI341</f>
        <v>5501.47</v>
      </c>
      <c r="AJ364" s="462">
        <f t="shared" si="188"/>
        <v>214.42999999999938</v>
      </c>
      <c r="AK364" s="447" t="s">
        <v>1868</v>
      </c>
      <c r="AM364" s="462">
        <f t="shared" si="189"/>
        <v>214.42999999999938</v>
      </c>
      <c r="AN364" s="447" t="s">
        <v>1976</v>
      </c>
      <c r="AP364" s="462">
        <f t="shared" si="190"/>
        <v>214.42999999999938</v>
      </c>
      <c r="AQ364" s="447" t="s">
        <v>2004</v>
      </c>
      <c r="AS364" s="459">
        <f t="shared" si="191"/>
        <v>214.42999999999938</v>
      </c>
      <c r="AV364" s="462">
        <f t="shared" si="192"/>
        <v>214.42999999999938</v>
      </c>
      <c r="AW364" s="447" t="s">
        <v>2107</v>
      </c>
      <c r="AY364" s="462">
        <f t="shared" si="193"/>
        <v>214.42999999999938</v>
      </c>
      <c r="AZ364" s="447" t="s">
        <v>2131</v>
      </c>
      <c r="BB364" s="462">
        <f t="shared" si="194"/>
        <v>214.42999999999938</v>
      </c>
      <c r="BC364" s="447" t="s">
        <v>2204</v>
      </c>
      <c r="BE364" s="462">
        <f t="shared" si="195"/>
        <v>214.42999999999938</v>
      </c>
      <c r="BF364" s="447" t="s">
        <v>2237</v>
      </c>
      <c r="BH364" s="462">
        <f t="shared" si="196"/>
        <v>214.42999999999938</v>
      </c>
      <c r="BI364" s="447" t="s">
        <v>2292</v>
      </c>
      <c r="BK364" s="462">
        <f t="shared" si="197"/>
        <v>214.42999999999938</v>
      </c>
      <c r="BL364" s="447" t="s">
        <v>2339</v>
      </c>
      <c r="BN364" s="462">
        <f t="shared" si="198"/>
        <v>214.42999999999938</v>
      </c>
      <c r="BO364" s="447" t="s">
        <v>2365</v>
      </c>
      <c r="BP364" s="462">
        <f>BN364</f>
        <v>214.42999999999938</v>
      </c>
      <c r="BQ364" s="462">
        <f t="shared" si="199"/>
        <v>0</v>
      </c>
      <c r="BT364" s="462">
        <f t="shared" si="200"/>
        <v>0</v>
      </c>
      <c r="BW364" s="462">
        <f t="shared" si="201"/>
        <v>0</v>
      </c>
      <c r="BZ364" s="462">
        <f t="shared" si="202"/>
        <v>0</v>
      </c>
      <c r="CD364" s="418" t="str">
        <f t="shared" si="203"/>
        <v>CU0812001</v>
      </c>
      <c r="CE364" s="442" t="str">
        <f t="shared" si="204"/>
        <v>2019年9月</v>
      </c>
      <c r="CF364" s="418" t="str">
        <f t="shared" si="205"/>
        <v>恩派clife服务费暂估</v>
      </c>
      <c r="CG364" s="418" t="str">
        <f t="shared" si="206"/>
        <v>2019年9月恩派clife服务费暂估</v>
      </c>
    </row>
    <row r="365" spans="2:85" s="447" customFormat="1" ht="17.25" customHeight="1">
      <c r="B365" s="447" t="str">
        <f t="shared" si="179"/>
        <v>CU0822</v>
      </c>
      <c r="C365" s="431" t="s">
        <v>755</v>
      </c>
      <c r="D365" s="367" t="s">
        <v>1456</v>
      </c>
      <c r="E365" s="367" t="s">
        <v>239</v>
      </c>
      <c r="F365" s="439">
        <v>43709</v>
      </c>
      <c r="G365" s="448">
        <v>14234.27</v>
      </c>
      <c r="H365" s="440"/>
      <c r="I365" s="440">
        <f t="shared" ref="I365:I379" si="213">G365-H365</f>
        <v>14234.27</v>
      </c>
      <c r="J365" s="440"/>
      <c r="L365" s="462">
        <f t="shared" ref="L365:L379" si="214">I365-K365</f>
        <v>14234.27</v>
      </c>
      <c r="M365" s="462"/>
      <c r="N365" s="444"/>
      <c r="O365" s="462">
        <f t="shared" ref="O365:O379" si="215">L365-N365</f>
        <v>14234.27</v>
      </c>
      <c r="R365" s="462">
        <f t="shared" ref="R365:R379" si="216">O365-Q365</f>
        <v>14234.27</v>
      </c>
      <c r="U365" s="462">
        <f t="shared" ref="U365:U379" si="217">R365-T365</f>
        <v>14234.27</v>
      </c>
      <c r="X365" s="462">
        <f t="shared" ref="X365:X379" si="218">U365-W365</f>
        <v>14234.27</v>
      </c>
      <c r="AA365" s="462">
        <f t="shared" ref="AA365:AA379" si="219">X365-Z365</f>
        <v>14234.27</v>
      </c>
      <c r="AD365" s="462">
        <f t="shared" ref="AD365:AD379" si="220">AA365-AC365</f>
        <v>14234.27</v>
      </c>
      <c r="AG365" s="462">
        <f t="shared" ref="AG365:AG379" si="221">AD365-AF365</f>
        <v>14234.27</v>
      </c>
      <c r="AH365" s="447" t="s">
        <v>1834</v>
      </c>
      <c r="AJ365" s="462">
        <f t="shared" si="188"/>
        <v>14234.27</v>
      </c>
      <c r="AK365" s="447" t="s">
        <v>1868</v>
      </c>
      <c r="AM365" s="462">
        <f t="shared" si="189"/>
        <v>14234.27</v>
      </c>
      <c r="AN365" s="447" t="s">
        <v>1976</v>
      </c>
      <c r="AP365" s="462">
        <f t="shared" si="190"/>
        <v>14234.27</v>
      </c>
      <c r="AQ365" s="447" t="s">
        <v>2004</v>
      </c>
      <c r="AS365" s="459">
        <f t="shared" si="191"/>
        <v>14234.27</v>
      </c>
      <c r="AV365" s="462">
        <f t="shared" si="192"/>
        <v>14234.27</v>
      </c>
      <c r="AW365" s="447" t="s">
        <v>2107</v>
      </c>
      <c r="AY365" s="462">
        <f t="shared" si="193"/>
        <v>14234.27</v>
      </c>
      <c r="AZ365" s="447" t="s">
        <v>2131</v>
      </c>
      <c r="BB365" s="462">
        <f t="shared" si="194"/>
        <v>14234.27</v>
      </c>
      <c r="BC365" s="447" t="s">
        <v>2204</v>
      </c>
      <c r="BE365" s="462">
        <f t="shared" si="195"/>
        <v>14234.27</v>
      </c>
      <c r="BF365" s="447" t="s">
        <v>2237</v>
      </c>
      <c r="BH365" s="462">
        <f t="shared" si="196"/>
        <v>14234.27</v>
      </c>
      <c r="BI365" s="447" t="s">
        <v>2292</v>
      </c>
      <c r="BK365" s="462">
        <f t="shared" si="197"/>
        <v>14234.27</v>
      </c>
      <c r="BL365" s="447" t="s">
        <v>2339</v>
      </c>
      <c r="BN365" s="462">
        <f t="shared" si="198"/>
        <v>14234.27</v>
      </c>
      <c r="BO365" s="447" t="s">
        <v>2365</v>
      </c>
      <c r="BP365" s="462">
        <f>BN365</f>
        <v>14234.27</v>
      </c>
      <c r="BQ365" s="462">
        <f t="shared" si="199"/>
        <v>0</v>
      </c>
      <c r="BT365" s="462">
        <f t="shared" si="200"/>
        <v>0</v>
      </c>
      <c r="BW365" s="462">
        <f t="shared" si="201"/>
        <v>0</v>
      </c>
      <c r="BZ365" s="462">
        <f t="shared" si="202"/>
        <v>0</v>
      </c>
      <c r="CD365" s="418" t="str">
        <f t="shared" si="203"/>
        <v>CU0822001</v>
      </c>
      <c r="CE365" s="442" t="str">
        <f t="shared" si="204"/>
        <v>2019年9月</v>
      </c>
      <c r="CF365" s="418" t="str">
        <f t="shared" si="205"/>
        <v>美克国际家clife服务费暂估</v>
      </c>
      <c r="CG365" s="418" t="str">
        <f t="shared" si="206"/>
        <v>2019年9月美克国际家clife服务费暂估</v>
      </c>
    </row>
    <row r="366" spans="2:85" s="447" customFormat="1" ht="17.25" customHeight="1">
      <c r="B366" s="447" t="str">
        <f t="shared" si="179"/>
        <v>CU0823</v>
      </c>
      <c r="C366" s="431" t="s">
        <v>755</v>
      </c>
      <c r="D366" s="367" t="s">
        <v>1457</v>
      </c>
      <c r="E366" s="367" t="s">
        <v>581</v>
      </c>
      <c r="F366" s="439">
        <v>43709</v>
      </c>
      <c r="G366" s="448">
        <v>12610.5</v>
      </c>
      <c r="H366" s="440"/>
      <c r="I366" s="440">
        <f t="shared" si="213"/>
        <v>12610.5</v>
      </c>
      <c r="J366" s="440"/>
      <c r="L366" s="462">
        <f t="shared" si="214"/>
        <v>12610.5</v>
      </c>
      <c r="M366" s="462"/>
      <c r="N366" s="444"/>
      <c r="O366" s="462">
        <f t="shared" si="215"/>
        <v>12610.5</v>
      </c>
      <c r="R366" s="462">
        <f t="shared" si="216"/>
        <v>12610.5</v>
      </c>
      <c r="U366" s="462">
        <f t="shared" si="217"/>
        <v>12610.5</v>
      </c>
      <c r="X366" s="462">
        <f t="shared" si="218"/>
        <v>12610.5</v>
      </c>
      <c r="AA366" s="462">
        <f t="shared" si="219"/>
        <v>12610.5</v>
      </c>
      <c r="AD366" s="462">
        <f t="shared" si="220"/>
        <v>12610.5</v>
      </c>
      <c r="AG366" s="462">
        <f t="shared" si="221"/>
        <v>12610.5</v>
      </c>
      <c r="AH366" s="447" t="s">
        <v>1834</v>
      </c>
      <c r="AJ366" s="462">
        <f t="shared" si="188"/>
        <v>12610.5</v>
      </c>
      <c r="AK366" s="447" t="s">
        <v>1868</v>
      </c>
      <c r="AM366" s="462">
        <f t="shared" si="189"/>
        <v>12610.5</v>
      </c>
      <c r="AN366" s="447" t="s">
        <v>1976</v>
      </c>
      <c r="AP366" s="462">
        <f t="shared" si="190"/>
        <v>12610.5</v>
      </c>
      <c r="AQ366" s="447" t="s">
        <v>2004</v>
      </c>
      <c r="AS366" s="459">
        <f t="shared" si="191"/>
        <v>12610.5</v>
      </c>
      <c r="AV366" s="462">
        <f t="shared" si="192"/>
        <v>12610.5</v>
      </c>
      <c r="AW366" s="447" t="s">
        <v>2107</v>
      </c>
      <c r="AY366" s="462">
        <f t="shared" si="193"/>
        <v>12610.5</v>
      </c>
      <c r="AZ366" s="447" t="s">
        <v>2131</v>
      </c>
      <c r="BB366" s="462">
        <f t="shared" si="194"/>
        <v>12610.5</v>
      </c>
      <c r="BC366" s="447" t="s">
        <v>2204</v>
      </c>
      <c r="BE366" s="462">
        <f t="shared" si="195"/>
        <v>12610.5</v>
      </c>
      <c r="BF366" s="447" t="s">
        <v>2237</v>
      </c>
      <c r="BH366" s="462">
        <f t="shared" si="196"/>
        <v>12610.5</v>
      </c>
      <c r="BI366" s="447" t="s">
        <v>2292</v>
      </c>
      <c r="BK366" s="462">
        <f t="shared" si="197"/>
        <v>12610.5</v>
      </c>
      <c r="BL366" s="447" t="s">
        <v>2339</v>
      </c>
      <c r="BN366" s="462">
        <f t="shared" si="198"/>
        <v>12610.5</v>
      </c>
      <c r="BO366" s="447" t="s">
        <v>2365</v>
      </c>
      <c r="BQ366" s="462">
        <f t="shared" si="199"/>
        <v>12610.5</v>
      </c>
      <c r="BR366" s="447" t="s">
        <v>2374</v>
      </c>
      <c r="BT366" s="462">
        <f t="shared" si="200"/>
        <v>12610.5</v>
      </c>
      <c r="BU366" s="447" t="s">
        <v>2134</v>
      </c>
      <c r="BW366" s="462">
        <f t="shared" si="201"/>
        <v>12610.5</v>
      </c>
      <c r="BZ366" s="462">
        <f t="shared" si="202"/>
        <v>12610.5</v>
      </c>
      <c r="CD366" s="418" t="str">
        <f t="shared" si="203"/>
        <v>CU0823001</v>
      </c>
      <c r="CE366" s="442" t="str">
        <f t="shared" si="204"/>
        <v>2019年9月</v>
      </c>
      <c r="CF366" s="418" t="str">
        <f t="shared" si="205"/>
        <v>凯杰生物工clife服务费暂估</v>
      </c>
      <c r="CG366" s="418" t="str">
        <f t="shared" si="206"/>
        <v>2019年9月凯杰生物工clife服务费暂估</v>
      </c>
    </row>
    <row r="367" spans="2:85" s="447" customFormat="1" ht="17.25" customHeight="1">
      <c r="B367" s="447" t="str">
        <f t="shared" si="179"/>
        <v>CU0824</v>
      </c>
      <c r="C367" s="431" t="s">
        <v>755</v>
      </c>
      <c r="D367" s="367" t="s">
        <v>1458</v>
      </c>
      <c r="E367" s="367" t="s">
        <v>1292</v>
      </c>
      <c r="F367" s="439">
        <v>43709</v>
      </c>
      <c r="G367" s="448">
        <v>8478.91</v>
      </c>
      <c r="H367" s="440"/>
      <c r="I367" s="440">
        <f t="shared" si="213"/>
        <v>8478.91</v>
      </c>
      <c r="J367" s="440"/>
      <c r="L367" s="462">
        <f t="shared" si="214"/>
        <v>8478.91</v>
      </c>
      <c r="M367" s="462"/>
      <c r="N367" s="444"/>
      <c r="O367" s="462">
        <f t="shared" si="215"/>
        <v>8478.91</v>
      </c>
      <c r="R367" s="462">
        <f t="shared" si="216"/>
        <v>8478.91</v>
      </c>
      <c r="U367" s="462">
        <f t="shared" si="217"/>
        <v>8478.91</v>
      </c>
      <c r="X367" s="462">
        <f t="shared" si="218"/>
        <v>8478.91</v>
      </c>
      <c r="AA367" s="462">
        <f t="shared" si="219"/>
        <v>8478.91</v>
      </c>
      <c r="AD367" s="462">
        <f t="shared" si="220"/>
        <v>8478.91</v>
      </c>
      <c r="AG367" s="462">
        <f t="shared" si="221"/>
        <v>8478.91</v>
      </c>
      <c r="AH367" s="447" t="s">
        <v>1834</v>
      </c>
      <c r="AJ367" s="462">
        <f t="shared" si="188"/>
        <v>8478.91</v>
      </c>
      <c r="AK367" s="447" t="s">
        <v>1868</v>
      </c>
      <c r="AM367" s="462">
        <f t="shared" si="189"/>
        <v>8478.91</v>
      </c>
      <c r="AN367" s="447" t="s">
        <v>1976</v>
      </c>
      <c r="AP367" s="462">
        <f t="shared" si="190"/>
        <v>8478.91</v>
      </c>
      <c r="AQ367" s="447" t="s">
        <v>2004</v>
      </c>
      <c r="AS367" s="459">
        <f t="shared" si="191"/>
        <v>8478.91</v>
      </c>
      <c r="AU367" s="462">
        <f>AS367</f>
        <v>8478.91</v>
      </c>
      <c r="AV367" s="462">
        <f t="shared" si="192"/>
        <v>0</v>
      </c>
      <c r="AY367" s="462">
        <f t="shared" si="193"/>
        <v>0</v>
      </c>
      <c r="BB367" s="462">
        <f t="shared" si="194"/>
        <v>0</v>
      </c>
      <c r="BC367" s="447" t="s">
        <v>2204</v>
      </c>
      <c r="BE367" s="462">
        <f t="shared" si="195"/>
        <v>0</v>
      </c>
      <c r="BH367" s="462">
        <f t="shared" si="196"/>
        <v>0</v>
      </c>
      <c r="BK367" s="462">
        <f t="shared" si="197"/>
        <v>0</v>
      </c>
      <c r="BN367" s="462">
        <f t="shared" si="198"/>
        <v>0</v>
      </c>
      <c r="BQ367" s="462">
        <f t="shared" si="199"/>
        <v>0</v>
      </c>
      <c r="BT367" s="462">
        <f t="shared" si="200"/>
        <v>0</v>
      </c>
      <c r="BW367" s="462">
        <f t="shared" si="201"/>
        <v>0</v>
      </c>
      <c r="BZ367" s="462">
        <f t="shared" si="202"/>
        <v>0</v>
      </c>
      <c r="CD367" s="418" t="str">
        <f t="shared" si="203"/>
        <v>CU0824001</v>
      </c>
      <c r="CE367" s="442" t="str">
        <f t="shared" si="204"/>
        <v>2019年9月</v>
      </c>
      <c r="CF367" s="418" t="str">
        <f t="shared" si="205"/>
        <v>苏州舒尔贸clife服务费暂估</v>
      </c>
      <c r="CG367" s="418" t="str">
        <f t="shared" si="206"/>
        <v>2019年9月苏州舒尔贸clife服务费暂估</v>
      </c>
    </row>
    <row r="368" spans="2:85" s="447" customFormat="1" ht="17.25" customHeight="1">
      <c r="B368" s="447" t="str">
        <f t="shared" si="179"/>
        <v>CU0848</v>
      </c>
      <c r="C368" s="431" t="s">
        <v>755</v>
      </c>
      <c r="D368" s="367" t="s">
        <v>1462</v>
      </c>
      <c r="E368" s="367" t="s">
        <v>1830</v>
      </c>
      <c r="F368" s="439">
        <v>43709</v>
      </c>
      <c r="G368" s="448">
        <v>165033.63</v>
      </c>
      <c r="H368" s="440"/>
      <c r="I368" s="440">
        <f t="shared" si="213"/>
        <v>165033.63</v>
      </c>
      <c r="J368" s="440"/>
      <c r="L368" s="462">
        <f t="shared" si="214"/>
        <v>165033.63</v>
      </c>
      <c r="M368" s="462"/>
      <c r="N368" s="444"/>
      <c r="O368" s="462">
        <f t="shared" si="215"/>
        <v>165033.63</v>
      </c>
      <c r="R368" s="462">
        <f t="shared" si="216"/>
        <v>165033.63</v>
      </c>
      <c r="U368" s="462">
        <f t="shared" si="217"/>
        <v>165033.63</v>
      </c>
      <c r="X368" s="462">
        <f t="shared" si="218"/>
        <v>165033.63</v>
      </c>
      <c r="AA368" s="462">
        <f t="shared" si="219"/>
        <v>165033.63</v>
      </c>
      <c r="AD368" s="462">
        <f t="shared" si="220"/>
        <v>165033.63</v>
      </c>
      <c r="AG368" s="462">
        <f t="shared" si="221"/>
        <v>165033.63</v>
      </c>
      <c r="AH368" s="447" t="s">
        <v>1834</v>
      </c>
      <c r="AI368" s="447">
        <f>ROUND(106756.55/1.06,2)</f>
        <v>100713.73</v>
      </c>
      <c r="AJ368" s="462">
        <f t="shared" si="188"/>
        <v>64319.900000000009</v>
      </c>
      <c r="AK368" s="447" t="s">
        <v>1868</v>
      </c>
      <c r="AM368" s="462">
        <f t="shared" si="189"/>
        <v>64319.900000000009</v>
      </c>
      <c r="AN368" s="447" t="s">
        <v>1976</v>
      </c>
      <c r="AP368" s="462">
        <f t="shared" si="190"/>
        <v>64319.900000000009</v>
      </c>
      <c r="AQ368" s="447" t="s">
        <v>2004</v>
      </c>
      <c r="AS368" s="459">
        <f t="shared" si="191"/>
        <v>64319.900000000009</v>
      </c>
      <c r="AU368" s="548">
        <v>50000</v>
      </c>
      <c r="AV368" s="462">
        <f t="shared" si="192"/>
        <v>14319.900000000009</v>
      </c>
      <c r="AW368" s="447" t="s">
        <v>2107</v>
      </c>
      <c r="AX368" s="462">
        <f>AV368</f>
        <v>14319.900000000009</v>
      </c>
      <c r="AY368" s="462">
        <f t="shared" si="193"/>
        <v>0</v>
      </c>
      <c r="BB368" s="462">
        <f t="shared" si="194"/>
        <v>0</v>
      </c>
      <c r="BC368" s="447" t="s">
        <v>2204</v>
      </c>
      <c r="BE368" s="462">
        <f t="shared" si="195"/>
        <v>0</v>
      </c>
      <c r="BH368" s="462">
        <f t="shared" si="196"/>
        <v>0</v>
      </c>
      <c r="BK368" s="462">
        <f t="shared" si="197"/>
        <v>0</v>
      </c>
      <c r="BN368" s="462">
        <f t="shared" si="198"/>
        <v>0</v>
      </c>
      <c r="BQ368" s="462">
        <f t="shared" si="199"/>
        <v>0</v>
      </c>
      <c r="BT368" s="462">
        <f t="shared" si="200"/>
        <v>0</v>
      </c>
      <c r="BW368" s="462">
        <f t="shared" si="201"/>
        <v>0</v>
      </c>
      <c r="BZ368" s="462">
        <f t="shared" si="202"/>
        <v>0</v>
      </c>
      <c r="CD368" s="418" t="str">
        <f t="shared" si="203"/>
        <v>CU0848001</v>
      </c>
      <c r="CE368" s="442" t="str">
        <f t="shared" si="204"/>
        <v>2019年9月</v>
      </c>
      <c r="CF368" s="418" t="str">
        <f t="shared" si="205"/>
        <v>爱德觅尔（clife服务费暂估</v>
      </c>
      <c r="CG368" s="418" t="str">
        <f t="shared" si="206"/>
        <v>2019年9月爱德觅尔（clife服务费暂估</v>
      </c>
    </row>
    <row r="369" spans="2:85" s="447" customFormat="1" ht="17.25" customHeight="1">
      <c r="B369" s="447" t="str">
        <f t="shared" si="179"/>
        <v>CU0869</v>
      </c>
      <c r="C369" s="431" t="s">
        <v>755</v>
      </c>
      <c r="D369" s="367" t="s">
        <v>1459</v>
      </c>
      <c r="E369" s="367" t="s">
        <v>1469</v>
      </c>
      <c r="F369" s="439">
        <v>43709</v>
      </c>
      <c r="G369" s="448">
        <v>554396</v>
      </c>
      <c r="H369" s="440"/>
      <c r="I369" s="440">
        <f t="shared" si="213"/>
        <v>554396</v>
      </c>
      <c r="J369" s="440"/>
      <c r="L369" s="462">
        <f t="shared" si="214"/>
        <v>554396</v>
      </c>
      <c r="M369" s="462"/>
      <c r="N369" s="444"/>
      <c r="O369" s="462">
        <f t="shared" si="215"/>
        <v>554396</v>
      </c>
      <c r="R369" s="462">
        <f t="shared" si="216"/>
        <v>554396</v>
      </c>
      <c r="U369" s="462">
        <f t="shared" si="217"/>
        <v>554396</v>
      </c>
      <c r="X369" s="462">
        <f t="shared" si="218"/>
        <v>554396</v>
      </c>
      <c r="AA369" s="462">
        <f t="shared" si="219"/>
        <v>554396</v>
      </c>
      <c r="AD369" s="462">
        <f t="shared" si="220"/>
        <v>554396</v>
      </c>
      <c r="AF369" s="447">
        <f>4667+5084</f>
        <v>9751</v>
      </c>
      <c r="AG369" s="462">
        <f t="shared" si="221"/>
        <v>544645</v>
      </c>
      <c r="AH369" s="447" t="s">
        <v>1834</v>
      </c>
      <c r="AJ369" s="462">
        <f t="shared" si="188"/>
        <v>544645</v>
      </c>
      <c r="AK369" s="447" t="s">
        <v>1868</v>
      </c>
      <c r="AL369" s="462">
        <f>ROUND(65700/1.06,2)-AL346</f>
        <v>8837.9799999999959</v>
      </c>
      <c r="AM369" s="462">
        <f t="shared" si="189"/>
        <v>535807.02</v>
      </c>
      <c r="AN369" s="447" t="s">
        <v>1976</v>
      </c>
      <c r="AO369" s="447">
        <f>ROUND(65700/1.06,2)</f>
        <v>61981.13</v>
      </c>
      <c r="AP369" s="462">
        <f t="shared" si="190"/>
        <v>473825.89</v>
      </c>
      <c r="AQ369" s="447" t="s">
        <v>2004</v>
      </c>
      <c r="AR369" s="447">
        <f>ROUND(65700/1.06,2)</f>
        <v>61981.13</v>
      </c>
      <c r="AS369" s="459">
        <f t="shared" si="191"/>
        <v>411844.76</v>
      </c>
      <c r="AU369" s="444">
        <f>ROUND(65400/1.06,2)</f>
        <v>61698.11</v>
      </c>
      <c r="AV369" s="462">
        <f t="shared" si="192"/>
        <v>350146.65</v>
      </c>
      <c r="AW369" s="447" t="s">
        <v>2107</v>
      </c>
      <c r="AX369" s="447">
        <v>50000</v>
      </c>
      <c r="AY369" s="462">
        <f t="shared" si="193"/>
        <v>300146.65000000002</v>
      </c>
      <c r="AZ369" s="447" t="s">
        <v>2131</v>
      </c>
      <c r="BA369" s="462">
        <f>AY369</f>
        <v>300146.65000000002</v>
      </c>
      <c r="BB369" s="462">
        <f t="shared" si="194"/>
        <v>0</v>
      </c>
      <c r="BC369" s="447" t="s">
        <v>2204</v>
      </c>
      <c r="BE369" s="462">
        <f t="shared" si="195"/>
        <v>0</v>
      </c>
      <c r="BH369" s="462">
        <f t="shared" si="196"/>
        <v>0</v>
      </c>
      <c r="BK369" s="462">
        <f t="shared" si="197"/>
        <v>0</v>
      </c>
      <c r="BN369" s="462">
        <f t="shared" si="198"/>
        <v>0</v>
      </c>
      <c r="BQ369" s="462">
        <f t="shared" si="199"/>
        <v>0</v>
      </c>
      <c r="BT369" s="462">
        <f t="shared" si="200"/>
        <v>0</v>
      </c>
      <c r="BW369" s="462">
        <f t="shared" si="201"/>
        <v>0</v>
      </c>
      <c r="BZ369" s="462">
        <f t="shared" si="202"/>
        <v>0</v>
      </c>
      <c r="CD369" s="418" t="str">
        <f t="shared" si="203"/>
        <v>CU0869001</v>
      </c>
      <c r="CE369" s="442" t="str">
        <f t="shared" si="204"/>
        <v>2019年9月</v>
      </c>
      <c r="CF369" s="418" t="str">
        <f t="shared" si="205"/>
        <v>智睿clife服务费暂估</v>
      </c>
      <c r="CG369" s="418" t="str">
        <f t="shared" si="206"/>
        <v>2019年9月智睿clife服务费暂估</v>
      </c>
    </row>
    <row r="370" spans="2:85" s="447" customFormat="1" ht="17.25" customHeight="1">
      <c r="B370" s="447" t="str">
        <f t="shared" si="179"/>
        <v>CU0884</v>
      </c>
      <c r="C370" s="431" t="s">
        <v>755</v>
      </c>
      <c r="D370" s="367" t="s">
        <v>1575</v>
      </c>
      <c r="E370" s="367" t="s">
        <v>1528</v>
      </c>
      <c r="F370" s="439">
        <v>43709</v>
      </c>
      <c r="G370" s="448">
        <v>10237.86</v>
      </c>
      <c r="H370" s="440"/>
      <c r="I370" s="440">
        <f t="shared" si="213"/>
        <v>10237.86</v>
      </c>
      <c r="J370" s="440"/>
      <c r="L370" s="462">
        <f t="shared" si="214"/>
        <v>10237.86</v>
      </c>
      <c r="M370" s="462"/>
      <c r="N370" s="444"/>
      <c r="O370" s="462">
        <f t="shared" si="215"/>
        <v>10237.86</v>
      </c>
      <c r="R370" s="462">
        <f t="shared" si="216"/>
        <v>10237.86</v>
      </c>
      <c r="U370" s="462">
        <f t="shared" si="217"/>
        <v>10237.86</v>
      </c>
      <c r="X370" s="462">
        <f t="shared" si="218"/>
        <v>10237.86</v>
      </c>
      <c r="AA370" s="462">
        <f t="shared" si="219"/>
        <v>10237.86</v>
      </c>
      <c r="AD370" s="462">
        <f t="shared" si="220"/>
        <v>10237.86</v>
      </c>
      <c r="AG370" s="462">
        <f t="shared" si="221"/>
        <v>10237.86</v>
      </c>
      <c r="AH370" s="447" t="s">
        <v>1834</v>
      </c>
      <c r="AI370" s="462">
        <f>ROUND(25400/1.06,2)-AI239-AI313</f>
        <v>10739.88</v>
      </c>
      <c r="AJ370" s="462">
        <v>0</v>
      </c>
      <c r="AK370" s="447" t="s">
        <v>1868</v>
      </c>
      <c r="AM370" s="462">
        <f t="shared" si="189"/>
        <v>0</v>
      </c>
      <c r="AN370" s="447" t="s">
        <v>1976</v>
      </c>
      <c r="AP370" s="462">
        <f t="shared" si="190"/>
        <v>0</v>
      </c>
      <c r="AQ370" s="447" t="s">
        <v>2004</v>
      </c>
      <c r="AS370" s="459">
        <f t="shared" si="191"/>
        <v>0</v>
      </c>
      <c r="AV370" s="462">
        <f t="shared" si="192"/>
        <v>0</v>
      </c>
      <c r="AY370" s="462">
        <f t="shared" si="193"/>
        <v>0</v>
      </c>
      <c r="BB370" s="462">
        <f t="shared" si="194"/>
        <v>0</v>
      </c>
      <c r="BC370" s="447" t="s">
        <v>2204</v>
      </c>
      <c r="BE370" s="462">
        <f t="shared" si="195"/>
        <v>0</v>
      </c>
      <c r="BH370" s="462">
        <f t="shared" si="196"/>
        <v>0</v>
      </c>
      <c r="BK370" s="462">
        <f t="shared" si="197"/>
        <v>0</v>
      </c>
      <c r="BN370" s="462">
        <f t="shared" si="198"/>
        <v>0</v>
      </c>
      <c r="BQ370" s="462">
        <f t="shared" si="199"/>
        <v>0</v>
      </c>
      <c r="BT370" s="462">
        <f t="shared" si="200"/>
        <v>0</v>
      </c>
      <c r="BW370" s="462">
        <f t="shared" si="201"/>
        <v>0</v>
      </c>
      <c r="BZ370" s="462">
        <f t="shared" si="202"/>
        <v>0</v>
      </c>
      <c r="CD370" s="418" t="str">
        <f t="shared" si="203"/>
        <v>CU0884001</v>
      </c>
      <c r="CE370" s="442" t="str">
        <f t="shared" si="204"/>
        <v>2019年9月</v>
      </c>
      <c r="CF370" s="418" t="str">
        <f t="shared" si="205"/>
        <v>恩德斯豪斯clife服务费暂估</v>
      </c>
      <c r="CG370" s="418" t="str">
        <f t="shared" si="206"/>
        <v>2019年9月恩德斯豪斯clife服务费暂估</v>
      </c>
    </row>
    <row r="371" spans="2:85" s="447" customFormat="1" ht="17.25" customHeight="1">
      <c r="B371" s="447" t="str">
        <f t="shared" si="179"/>
        <v>CU0904</v>
      </c>
      <c r="C371" s="431" t="s">
        <v>755</v>
      </c>
      <c r="D371" s="367" t="s">
        <v>1460</v>
      </c>
      <c r="E371" s="367" t="s">
        <v>1316</v>
      </c>
      <c r="F371" s="439">
        <v>43709</v>
      </c>
      <c r="G371" s="448">
        <v>348383.58</v>
      </c>
      <c r="H371" s="440"/>
      <c r="I371" s="440">
        <f t="shared" si="213"/>
        <v>348383.58</v>
      </c>
      <c r="J371" s="440"/>
      <c r="L371" s="462">
        <f t="shared" si="214"/>
        <v>348383.58</v>
      </c>
      <c r="M371" s="462"/>
      <c r="N371" s="444"/>
      <c r="O371" s="462">
        <f t="shared" si="215"/>
        <v>348383.58</v>
      </c>
      <c r="R371" s="462">
        <f t="shared" si="216"/>
        <v>348383.58</v>
      </c>
      <c r="U371" s="462">
        <f t="shared" si="217"/>
        <v>348383.58</v>
      </c>
      <c r="X371" s="462">
        <f t="shared" si="218"/>
        <v>348383.58</v>
      </c>
      <c r="AA371" s="462">
        <f t="shared" si="219"/>
        <v>348383.58</v>
      </c>
      <c r="AD371" s="462">
        <f t="shared" si="220"/>
        <v>348383.58</v>
      </c>
      <c r="AG371" s="462">
        <f t="shared" si="221"/>
        <v>348383.58</v>
      </c>
      <c r="AH371" s="447" t="s">
        <v>1834</v>
      </c>
      <c r="AI371" s="462">
        <f>ROUND(200000/1.06,2)-AI273-AI294-AI347</f>
        <v>96546.15</v>
      </c>
      <c r="AJ371" s="462">
        <f t="shared" si="188"/>
        <v>251837.43000000002</v>
      </c>
      <c r="AK371" s="447" t="s">
        <v>1868</v>
      </c>
      <c r="AM371" s="462">
        <f t="shared" si="189"/>
        <v>251837.43000000002</v>
      </c>
      <c r="AN371" s="447" t="s">
        <v>1976</v>
      </c>
      <c r="AP371" s="462">
        <f t="shared" si="190"/>
        <v>251837.43000000002</v>
      </c>
      <c r="AQ371" s="447" t="s">
        <v>2004</v>
      </c>
      <c r="AS371" s="459">
        <f t="shared" si="191"/>
        <v>251837.43000000002</v>
      </c>
      <c r="AU371" s="447">
        <f>ROUND(15600/1.06,2)+14700</f>
        <v>29416.98</v>
      </c>
      <c r="AV371" s="462">
        <f t="shared" si="192"/>
        <v>222420.45</v>
      </c>
      <c r="AW371" s="447" t="s">
        <v>2107</v>
      </c>
      <c r="AX371" s="447">
        <v>100000</v>
      </c>
      <c r="AY371" s="462">
        <f t="shared" si="193"/>
        <v>122420.45000000001</v>
      </c>
      <c r="AZ371" s="447" t="s">
        <v>2131</v>
      </c>
      <c r="BA371" s="447">
        <f>43502+6685</f>
        <v>50187</v>
      </c>
      <c r="BB371" s="462">
        <f t="shared" si="194"/>
        <v>72233.450000000012</v>
      </c>
      <c r="BC371" s="447" t="s">
        <v>2204</v>
      </c>
      <c r="BD371" s="462">
        <f>BB371</f>
        <v>72233.450000000012</v>
      </c>
      <c r="BE371" s="462">
        <f t="shared" si="195"/>
        <v>0</v>
      </c>
      <c r="BF371" s="447" t="s">
        <v>2237</v>
      </c>
      <c r="BH371" s="462">
        <f t="shared" si="196"/>
        <v>0</v>
      </c>
      <c r="BK371" s="462">
        <f t="shared" si="197"/>
        <v>0</v>
      </c>
      <c r="BN371" s="462">
        <f t="shared" si="198"/>
        <v>0</v>
      </c>
      <c r="BQ371" s="462">
        <f t="shared" si="199"/>
        <v>0</v>
      </c>
      <c r="BT371" s="462">
        <f t="shared" si="200"/>
        <v>0</v>
      </c>
      <c r="BW371" s="462">
        <f t="shared" si="201"/>
        <v>0</v>
      </c>
      <c r="BZ371" s="462">
        <f t="shared" si="202"/>
        <v>0</v>
      </c>
      <c r="CD371" s="418" t="str">
        <f t="shared" si="203"/>
        <v>CU0904001</v>
      </c>
      <c r="CE371" s="442" t="str">
        <f t="shared" si="204"/>
        <v>2019年9月</v>
      </c>
      <c r="CF371" s="418" t="str">
        <f t="shared" si="205"/>
        <v>紫光集团clife服务费暂估</v>
      </c>
      <c r="CG371" s="418" t="str">
        <f t="shared" si="206"/>
        <v>2019年9月紫光集团clife服务费暂估</v>
      </c>
    </row>
    <row r="372" spans="2:85" s="447" customFormat="1" ht="17.25" customHeight="1">
      <c r="B372" s="447" t="str">
        <f t="shared" si="179"/>
        <v>CU1016</v>
      </c>
      <c r="C372" s="431" t="s">
        <v>755</v>
      </c>
      <c r="D372" s="367" t="s">
        <v>1524</v>
      </c>
      <c r="E372" s="367" t="s">
        <v>1536</v>
      </c>
      <c r="F372" s="439">
        <v>43709</v>
      </c>
      <c r="G372" s="448">
        <v>274061.82</v>
      </c>
      <c r="H372" s="440"/>
      <c r="I372" s="440">
        <f t="shared" si="213"/>
        <v>274061.82</v>
      </c>
      <c r="J372" s="440"/>
      <c r="L372" s="462">
        <f t="shared" si="214"/>
        <v>274061.82</v>
      </c>
      <c r="M372" s="462"/>
      <c r="N372" s="444"/>
      <c r="O372" s="462">
        <f t="shared" si="215"/>
        <v>274061.82</v>
      </c>
      <c r="R372" s="462">
        <f t="shared" si="216"/>
        <v>274061.82</v>
      </c>
      <c r="U372" s="462">
        <f t="shared" si="217"/>
        <v>274061.82</v>
      </c>
      <c r="X372" s="462">
        <f t="shared" si="218"/>
        <v>274061.82</v>
      </c>
      <c r="AA372" s="462">
        <f t="shared" si="219"/>
        <v>274061.82</v>
      </c>
      <c r="AD372" s="462">
        <f t="shared" si="220"/>
        <v>274061.82</v>
      </c>
      <c r="AG372" s="462">
        <f t="shared" si="221"/>
        <v>274061.82</v>
      </c>
      <c r="AH372" s="447" t="s">
        <v>1834</v>
      </c>
      <c r="AI372" s="462">
        <f>ROUND(212000/1.06,2)-AI315-AI350</f>
        <v>192854.45264150944</v>
      </c>
      <c r="AJ372" s="462">
        <f t="shared" si="188"/>
        <v>81207.367358490563</v>
      </c>
      <c r="AK372" s="447" t="s">
        <v>1868</v>
      </c>
      <c r="AM372" s="462">
        <f t="shared" si="189"/>
        <v>81207.367358490563</v>
      </c>
      <c r="AN372" s="447" t="s">
        <v>1976</v>
      </c>
      <c r="AP372" s="462">
        <f t="shared" si="190"/>
        <v>81207.367358490563</v>
      </c>
      <c r="AQ372" s="447" t="s">
        <v>2004</v>
      </c>
      <c r="AS372" s="459">
        <f t="shared" si="191"/>
        <v>81207.367358490563</v>
      </c>
      <c r="AV372" s="462">
        <f t="shared" si="192"/>
        <v>81207.367358490563</v>
      </c>
      <c r="AW372" s="447" t="s">
        <v>2107</v>
      </c>
      <c r="AX372" s="462">
        <f>ROUND(AV372,2)</f>
        <v>81207.37</v>
      </c>
      <c r="AY372" s="462">
        <f t="shared" si="193"/>
        <v>-2.6415094325784594E-3</v>
      </c>
      <c r="BB372" s="462">
        <f t="shared" si="194"/>
        <v>-2.6415094325784594E-3</v>
      </c>
      <c r="BC372" s="447" t="s">
        <v>2204</v>
      </c>
      <c r="BE372" s="462">
        <f t="shared" si="195"/>
        <v>-2.6415094325784594E-3</v>
      </c>
      <c r="BH372" s="462">
        <f t="shared" si="196"/>
        <v>-2.6415094325784594E-3</v>
      </c>
      <c r="BK372" s="462">
        <f t="shared" si="197"/>
        <v>-2.6415094325784594E-3</v>
      </c>
      <c r="BN372" s="462">
        <f t="shared" si="198"/>
        <v>-2.6415094325784594E-3</v>
      </c>
      <c r="BQ372" s="462">
        <f t="shared" si="199"/>
        <v>0</v>
      </c>
      <c r="BT372" s="462">
        <f t="shared" si="200"/>
        <v>0</v>
      </c>
      <c r="BW372" s="462">
        <f t="shared" si="201"/>
        <v>0</v>
      </c>
      <c r="BZ372" s="462">
        <f t="shared" si="202"/>
        <v>0</v>
      </c>
      <c r="CD372" s="418" t="str">
        <f t="shared" si="203"/>
        <v>CU1016001</v>
      </c>
      <c r="CE372" s="442" t="str">
        <f t="shared" si="204"/>
        <v>2019年9月</v>
      </c>
      <c r="CF372" s="418" t="str">
        <f t="shared" si="205"/>
        <v>乔治阿玛尼clife服务费暂估</v>
      </c>
      <c r="CG372" s="418" t="str">
        <f t="shared" si="206"/>
        <v>2019年9月乔治阿玛尼clife服务费暂估</v>
      </c>
    </row>
    <row r="373" spans="2:85" s="447" customFormat="1" ht="17.25" customHeight="1">
      <c r="B373" s="447" t="str">
        <f t="shared" si="179"/>
        <v>CU1054</v>
      </c>
      <c r="C373" s="431" t="s">
        <v>755</v>
      </c>
      <c r="D373" s="367" t="s">
        <v>1833</v>
      </c>
      <c r="E373" s="367" t="s">
        <v>1508</v>
      </c>
      <c r="F373" s="439">
        <v>43709</v>
      </c>
      <c r="G373" s="448">
        <v>20660.38</v>
      </c>
      <c r="H373" s="440"/>
      <c r="I373" s="440">
        <f t="shared" si="213"/>
        <v>20660.38</v>
      </c>
      <c r="J373" s="440"/>
      <c r="L373" s="462">
        <f t="shared" si="214"/>
        <v>20660.38</v>
      </c>
      <c r="M373" s="462"/>
      <c r="N373" s="444"/>
      <c r="O373" s="462">
        <f t="shared" si="215"/>
        <v>20660.38</v>
      </c>
      <c r="R373" s="462">
        <f t="shared" si="216"/>
        <v>20660.38</v>
      </c>
      <c r="U373" s="462">
        <f t="shared" si="217"/>
        <v>20660.38</v>
      </c>
      <c r="X373" s="462">
        <f t="shared" si="218"/>
        <v>20660.38</v>
      </c>
      <c r="AA373" s="462">
        <f t="shared" si="219"/>
        <v>20660.38</v>
      </c>
      <c r="AD373" s="462">
        <f t="shared" si="220"/>
        <v>20660.38</v>
      </c>
      <c r="AG373" s="462">
        <f t="shared" si="221"/>
        <v>20660.38</v>
      </c>
      <c r="AH373" s="447" t="s">
        <v>1834</v>
      </c>
      <c r="AJ373" s="462">
        <f t="shared" si="188"/>
        <v>20660.38</v>
      </c>
      <c r="AK373" s="447" t="s">
        <v>1868</v>
      </c>
      <c r="AM373" s="462">
        <f t="shared" si="189"/>
        <v>20660.38</v>
      </c>
      <c r="AN373" s="447" t="s">
        <v>1976</v>
      </c>
      <c r="AO373" s="447">
        <f>ROUND(21900/1.06,2)</f>
        <v>20660.38</v>
      </c>
      <c r="AP373" s="462">
        <f t="shared" si="190"/>
        <v>0</v>
      </c>
      <c r="AQ373" s="447" t="s">
        <v>2004</v>
      </c>
      <c r="AS373" s="459">
        <f t="shared" si="191"/>
        <v>0</v>
      </c>
      <c r="AV373" s="462">
        <f t="shared" si="192"/>
        <v>0</v>
      </c>
      <c r="AY373" s="462">
        <f t="shared" si="193"/>
        <v>0</v>
      </c>
      <c r="BB373" s="462">
        <f t="shared" si="194"/>
        <v>0</v>
      </c>
      <c r="BC373" s="447" t="s">
        <v>2204</v>
      </c>
      <c r="BE373" s="462">
        <f t="shared" si="195"/>
        <v>0</v>
      </c>
      <c r="BH373" s="462">
        <f t="shared" si="196"/>
        <v>0</v>
      </c>
      <c r="BK373" s="462">
        <f t="shared" si="197"/>
        <v>0</v>
      </c>
      <c r="BN373" s="462">
        <f t="shared" si="198"/>
        <v>0</v>
      </c>
      <c r="BQ373" s="462">
        <f t="shared" si="199"/>
        <v>0</v>
      </c>
      <c r="BT373" s="462">
        <f t="shared" si="200"/>
        <v>0</v>
      </c>
      <c r="BW373" s="462">
        <f t="shared" si="201"/>
        <v>0</v>
      </c>
      <c r="BZ373" s="462">
        <f t="shared" si="202"/>
        <v>0</v>
      </c>
      <c r="CD373" s="418" t="str">
        <f t="shared" si="203"/>
        <v>CU1054001</v>
      </c>
      <c r="CE373" s="442" t="str">
        <f t="shared" si="204"/>
        <v>2019年9月</v>
      </c>
      <c r="CF373" s="418" t="str">
        <f t="shared" si="205"/>
        <v>北京金未来clife服务费暂估</v>
      </c>
      <c r="CG373" s="418" t="str">
        <f t="shared" si="206"/>
        <v>2019年9月北京金未来clife服务费暂估</v>
      </c>
    </row>
    <row r="374" spans="2:85" s="447" customFormat="1" ht="17.25" customHeight="1">
      <c r="B374" s="447" t="str">
        <f t="shared" si="179"/>
        <v>CU1159</v>
      </c>
      <c r="C374" s="431" t="s">
        <v>755</v>
      </c>
      <c r="D374" s="367" t="s">
        <v>1722</v>
      </c>
      <c r="E374" s="367" t="s">
        <v>1837</v>
      </c>
      <c r="F374" s="439">
        <v>43709</v>
      </c>
      <c r="G374" s="448">
        <v>643123.16</v>
      </c>
      <c r="H374" s="440"/>
      <c r="I374" s="440">
        <f t="shared" si="213"/>
        <v>643123.16</v>
      </c>
      <c r="J374" s="440"/>
      <c r="L374" s="462">
        <f t="shared" si="214"/>
        <v>643123.16</v>
      </c>
      <c r="M374" s="462"/>
      <c r="N374" s="444"/>
      <c r="O374" s="462">
        <f t="shared" si="215"/>
        <v>643123.16</v>
      </c>
      <c r="R374" s="462">
        <f t="shared" si="216"/>
        <v>643123.16</v>
      </c>
      <c r="U374" s="462">
        <f t="shared" si="217"/>
        <v>643123.16</v>
      </c>
      <c r="X374" s="462">
        <f t="shared" si="218"/>
        <v>643123.16</v>
      </c>
      <c r="AA374" s="462">
        <f t="shared" si="219"/>
        <v>643123.16</v>
      </c>
      <c r="AD374" s="462">
        <f t="shared" si="220"/>
        <v>643123.16</v>
      </c>
      <c r="AG374" s="462">
        <f t="shared" si="221"/>
        <v>643123.16</v>
      </c>
      <c r="AH374" s="447" t="s">
        <v>1834</v>
      </c>
      <c r="AI374" s="462">
        <f>ROUND(340855.28*2/1.06,2)-AI316</f>
        <v>636736.52</v>
      </c>
      <c r="AJ374" s="462">
        <f t="shared" si="188"/>
        <v>6386.640000000014</v>
      </c>
      <c r="AK374" s="447" t="s">
        <v>1868</v>
      </c>
      <c r="AM374" s="462">
        <f t="shared" si="189"/>
        <v>6386.640000000014</v>
      </c>
      <c r="AN374" s="447" t="s">
        <v>1976</v>
      </c>
      <c r="AP374" s="462">
        <f t="shared" si="190"/>
        <v>6386.640000000014</v>
      </c>
      <c r="AQ374" s="447" t="s">
        <v>2004</v>
      </c>
      <c r="AS374" s="459">
        <f t="shared" si="191"/>
        <v>6386.640000000014</v>
      </c>
      <c r="AV374" s="462">
        <f t="shared" si="192"/>
        <v>6386.640000000014</v>
      </c>
      <c r="AW374" s="447" t="s">
        <v>2107</v>
      </c>
      <c r="AY374" s="462">
        <f t="shared" si="193"/>
        <v>6386.640000000014</v>
      </c>
      <c r="AZ374" s="447" t="s">
        <v>2131</v>
      </c>
      <c r="BB374" s="462">
        <f t="shared" si="194"/>
        <v>6386.640000000014</v>
      </c>
      <c r="BC374" s="447" t="s">
        <v>2204</v>
      </c>
      <c r="BD374" s="462">
        <f>BB374</f>
        <v>6386.640000000014</v>
      </c>
      <c r="BE374" s="462">
        <f t="shared" si="195"/>
        <v>0</v>
      </c>
      <c r="BF374" s="447" t="s">
        <v>2237</v>
      </c>
      <c r="BH374" s="462">
        <f t="shared" si="196"/>
        <v>0</v>
      </c>
      <c r="BK374" s="462">
        <f t="shared" si="197"/>
        <v>0</v>
      </c>
      <c r="BN374" s="462">
        <f t="shared" si="198"/>
        <v>0</v>
      </c>
      <c r="BQ374" s="462">
        <f t="shared" si="199"/>
        <v>0</v>
      </c>
      <c r="BT374" s="462">
        <f t="shared" si="200"/>
        <v>0</v>
      </c>
      <c r="BW374" s="462">
        <f t="shared" si="201"/>
        <v>0</v>
      </c>
      <c r="BZ374" s="462">
        <f t="shared" si="202"/>
        <v>0</v>
      </c>
      <c r="CD374" s="418" t="str">
        <f t="shared" si="203"/>
        <v>CU1159001</v>
      </c>
      <c r="CE374" s="442" t="str">
        <f t="shared" si="204"/>
        <v>2019年9月</v>
      </c>
      <c r="CF374" s="418" t="str">
        <f t="shared" si="205"/>
        <v>北京万国长clife服务费暂估</v>
      </c>
      <c r="CG374" s="418" t="str">
        <f t="shared" si="206"/>
        <v>2019年9月北京万国长clife服务费暂估</v>
      </c>
    </row>
    <row r="375" spans="2:85" s="447" customFormat="1" ht="17.25" customHeight="1">
      <c r="B375" s="447" t="str">
        <f t="shared" si="179"/>
        <v>CU1172</v>
      </c>
      <c r="C375" s="431" t="s">
        <v>755</v>
      </c>
      <c r="D375" s="367" t="s">
        <v>1841</v>
      </c>
      <c r="E375" s="367" t="s">
        <v>1831</v>
      </c>
      <c r="F375" s="439">
        <v>43709</v>
      </c>
      <c r="G375" s="448">
        <v>5316.5</v>
      </c>
      <c r="H375" s="440"/>
      <c r="I375" s="440">
        <f t="shared" si="213"/>
        <v>5316.5</v>
      </c>
      <c r="J375" s="440"/>
      <c r="L375" s="462">
        <f t="shared" si="214"/>
        <v>5316.5</v>
      </c>
      <c r="M375" s="462"/>
      <c r="N375" s="444"/>
      <c r="O375" s="462">
        <f t="shared" si="215"/>
        <v>5316.5</v>
      </c>
      <c r="R375" s="462">
        <f t="shared" si="216"/>
        <v>5316.5</v>
      </c>
      <c r="U375" s="462">
        <f t="shared" si="217"/>
        <v>5316.5</v>
      </c>
      <c r="X375" s="462">
        <f t="shared" si="218"/>
        <v>5316.5</v>
      </c>
      <c r="AA375" s="462">
        <f t="shared" si="219"/>
        <v>5316.5</v>
      </c>
      <c r="AD375" s="462">
        <f t="shared" si="220"/>
        <v>5316.5</v>
      </c>
      <c r="AG375" s="462">
        <f t="shared" si="221"/>
        <v>5316.5</v>
      </c>
      <c r="AH375" s="447" t="s">
        <v>1834</v>
      </c>
      <c r="AI375" s="444"/>
      <c r="AJ375" s="462">
        <f t="shared" si="188"/>
        <v>5316.5</v>
      </c>
      <c r="AK375" s="447" t="s">
        <v>1868</v>
      </c>
      <c r="AM375" s="462">
        <f t="shared" si="189"/>
        <v>5316.5</v>
      </c>
      <c r="AN375" s="447" t="s">
        <v>1976</v>
      </c>
      <c r="AP375" s="462">
        <f t="shared" si="190"/>
        <v>5316.5</v>
      </c>
      <c r="AQ375" s="447" t="s">
        <v>2004</v>
      </c>
      <c r="AS375" s="459">
        <f t="shared" si="191"/>
        <v>5316.5</v>
      </c>
      <c r="AV375" s="462">
        <f t="shared" si="192"/>
        <v>5316.5</v>
      </c>
      <c r="AW375" s="447" t="s">
        <v>2107</v>
      </c>
      <c r="AY375" s="462">
        <f t="shared" si="193"/>
        <v>5316.5</v>
      </c>
      <c r="AZ375" s="447" t="s">
        <v>2131</v>
      </c>
      <c r="BB375" s="462">
        <f t="shared" si="194"/>
        <v>5316.5</v>
      </c>
      <c r="BC375" s="447" t="s">
        <v>2204</v>
      </c>
      <c r="BD375" s="462">
        <f>BB375</f>
        <v>5316.5</v>
      </c>
      <c r="BE375" s="462">
        <f t="shared" si="195"/>
        <v>0</v>
      </c>
      <c r="BH375" s="462">
        <f t="shared" si="196"/>
        <v>0</v>
      </c>
      <c r="BK375" s="462">
        <f t="shared" si="197"/>
        <v>0</v>
      </c>
      <c r="BN375" s="462">
        <f t="shared" si="198"/>
        <v>0</v>
      </c>
      <c r="BQ375" s="462">
        <f t="shared" si="199"/>
        <v>0</v>
      </c>
      <c r="BT375" s="462">
        <f t="shared" si="200"/>
        <v>0</v>
      </c>
      <c r="BW375" s="462">
        <f t="shared" si="201"/>
        <v>0</v>
      </c>
      <c r="BZ375" s="462">
        <f t="shared" si="202"/>
        <v>0</v>
      </c>
      <c r="CD375" s="418" t="str">
        <f t="shared" si="203"/>
        <v>CU1172001</v>
      </c>
      <c r="CE375" s="442" t="str">
        <f t="shared" si="204"/>
        <v>2019年9月</v>
      </c>
      <c r="CF375" s="418" t="str">
        <f t="shared" si="205"/>
        <v>之宝（中国clife服务费暂估</v>
      </c>
      <c r="CG375" s="418" t="str">
        <f t="shared" si="206"/>
        <v>2019年9月之宝（中国clife服务费暂估</v>
      </c>
    </row>
    <row r="376" spans="2:85" s="447" customFormat="1" ht="17.25" customHeight="1">
      <c r="B376" s="447" t="str">
        <f t="shared" si="179"/>
        <v>CU1198</v>
      </c>
      <c r="C376" s="431" t="s">
        <v>755</v>
      </c>
      <c r="D376" s="367" t="s">
        <v>1538</v>
      </c>
      <c r="E376" s="367" t="s">
        <v>1537</v>
      </c>
      <c r="F376" s="439">
        <v>43709</v>
      </c>
      <c r="G376" s="448">
        <v>217113.47</v>
      </c>
      <c r="H376" s="440"/>
      <c r="I376" s="440">
        <f t="shared" si="213"/>
        <v>217113.47</v>
      </c>
      <c r="J376" s="440"/>
      <c r="L376" s="462">
        <f t="shared" si="214"/>
        <v>217113.47</v>
      </c>
      <c r="M376" s="462"/>
      <c r="N376" s="444"/>
      <c r="O376" s="462">
        <f t="shared" si="215"/>
        <v>217113.47</v>
      </c>
      <c r="R376" s="462">
        <f t="shared" si="216"/>
        <v>217113.47</v>
      </c>
      <c r="U376" s="462">
        <f t="shared" si="217"/>
        <v>217113.47</v>
      </c>
      <c r="X376" s="462">
        <f t="shared" si="218"/>
        <v>217113.47</v>
      </c>
      <c r="AA376" s="462">
        <f t="shared" si="219"/>
        <v>217113.47</v>
      </c>
      <c r="AD376" s="462">
        <f t="shared" si="220"/>
        <v>217113.47</v>
      </c>
      <c r="AG376" s="462">
        <f t="shared" si="221"/>
        <v>217113.47</v>
      </c>
      <c r="AH376" s="447" t="s">
        <v>1834</v>
      </c>
      <c r="AI376" s="447">
        <f>ROUND(200000/1.06,2)</f>
        <v>188679.25</v>
      </c>
      <c r="AJ376" s="462">
        <f t="shared" si="188"/>
        <v>28434.22</v>
      </c>
      <c r="AK376" s="447" t="s">
        <v>1868</v>
      </c>
      <c r="AL376" s="462">
        <f>AJ376</f>
        <v>28434.22</v>
      </c>
      <c r="AM376" s="462">
        <f t="shared" si="189"/>
        <v>0</v>
      </c>
      <c r="AN376" s="447" t="s">
        <v>1976</v>
      </c>
      <c r="AP376" s="462">
        <f t="shared" si="190"/>
        <v>0</v>
      </c>
      <c r="AQ376" s="447" t="s">
        <v>2004</v>
      </c>
      <c r="AS376" s="459">
        <f t="shared" si="191"/>
        <v>0</v>
      </c>
      <c r="AV376" s="462">
        <f t="shared" si="192"/>
        <v>0</v>
      </c>
      <c r="AY376" s="462">
        <f t="shared" si="193"/>
        <v>0</v>
      </c>
      <c r="BB376" s="462">
        <f t="shared" si="194"/>
        <v>0</v>
      </c>
      <c r="BC376" s="447" t="s">
        <v>2204</v>
      </c>
      <c r="BE376" s="462">
        <f t="shared" si="195"/>
        <v>0</v>
      </c>
      <c r="BH376" s="462">
        <f t="shared" si="196"/>
        <v>0</v>
      </c>
      <c r="BK376" s="462">
        <f t="shared" si="197"/>
        <v>0</v>
      </c>
      <c r="BN376" s="462">
        <f t="shared" si="198"/>
        <v>0</v>
      </c>
      <c r="BQ376" s="462">
        <f t="shared" si="199"/>
        <v>0</v>
      </c>
      <c r="BT376" s="462">
        <f t="shared" si="200"/>
        <v>0</v>
      </c>
      <c r="BW376" s="462">
        <f t="shared" si="201"/>
        <v>0</v>
      </c>
      <c r="BZ376" s="462">
        <f t="shared" si="202"/>
        <v>0</v>
      </c>
      <c r="CD376" s="418" t="str">
        <f t="shared" si="203"/>
        <v>CU1198001</v>
      </c>
      <c r="CE376" s="442" t="str">
        <f t="shared" si="204"/>
        <v>2019年9月</v>
      </c>
      <c r="CF376" s="418" t="str">
        <f t="shared" si="205"/>
        <v>通用公正技clife服务费暂估</v>
      </c>
      <c r="CG376" s="418" t="str">
        <f t="shared" si="206"/>
        <v>2019年9月通用公正技clife服务费暂估</v>
      </c>
    </row>
    <row r="377" spans="2:85" s="447" customFormat="1" ht="17.25" customHeight="1">
      <c r="B377" s="447" t="str">
        <f t="shared" si="179"/>
        <v>CU1204</v>
      </c>
      <c r="C377" s="431" t="s">
        <v>755</v>
      </c>
      <c r="D377" s="367" t="s">
        <v>1656</v>
      </c>
      <c r="E377" s="367" t="s">
        <v>1582</v>
      </c>
      <c r="F377" s="439">
        <v>43709</v>
      </c>
      <c r="G377" s="448">
        <v>42694.64</v>
      </c>
      <c r="H377" s="440"/>
      <c r="I377" s="440">
        <f t="shared" si="213"/>
        <v>42694.64</v>
      </c>
      <c r="J377" s="440"/>
      <c r="L377" s="462">
        <f t="shared" si="214"/>
        <v>42694.64</v>
      </c>
      <c r="M377" s="462"/>
      <c r="N377" s="444"/>
      <c r="O377" s="462">
        <f t="shared" si="215"/>
        <v>42694.64</v>
      </c>
      <c r="R377" s="462">
        <f t="shared" si="216"/>
        <v>42694.64</v>
      </c>
      <c r="U377" s="462">
        <f t="shared" si="217"/>
        <v>42694.64</v>
      </c>
      <c r="X377" s="462">
        <f t="shared" si="218"/>
        <v>42694.64</v>
      </c>
      <c r="AA377" s="462">
        <f t="shared" si="219"/>
        <v>42694.64</v>
      </c>
      <c r="AD377" s="462">
        <f t="shared" si="220"/>
        <v>42694.64</v>
      </c>
      <c r="AG377" s="462">
        <f t="shared" si="221"/>
        <v>42694.64</v>
      </c>
      <c r="AH377" s="447" t="s">
        <v>1834</v>
      </c>
      <c r="AJ377" s="462">
        <f t="shared" si="188"/>
        <v>42694.64</v>
      </c>
      <c r="AK377" s="447" t="s">
        <v>1868</v>
      </c>
      <c r="AM377" s="462">
        <f t="shared" si="189"/>
        <v>42694.64</v>
      </c>
      <c r="AN377" s="447" t="s">
        <v>1976</v>
      </c>
      <c r="AP377" s="462">
        <f t="shared" si="190"/>
        <v>42694.64</v>
      </c>
      <c r="AQ377" s="447" t="s">
        <v>2004</v>
      </c>
      <c r="AS377" s="459">
        <f t="shared" si="191"/>
        <v>42694.64</v>
      </c>
      <c r="AV377" s="462">
        <f t="shared" si="192"/>
        <v>42694.64</v>
      </c>
      <c r="AW377" s="447" t="s">
        <v>2107</v>
      </c>
      <c r="AY377" s="462">
        <f t="shared" si="193"/>
        <v>42694.64</v>
      </c>
      <c r="AZ377" s="447" t="s">
        <v>2131</v>
      </c>
      <c r="BB377" s="462">
        <f t="shared" si="194"/>
        <v>42694.64</v>
      </c>
      <c r="BC377" s="447" t="s">
        <v>2204</v>
      </c>
      <c r="BE377" s="462">
        <f t="shared" si="195"/>
        <v>42694.64</v>
      </c>
      <c r="BF377" s="447" t="s">
        <v>2237</v>
      </c>
      <c r="BH377" s="462">
        <f t="shared" si="196"/>
        <v>42694.64</v>
      </c>
      <c r="BI377" s="447" t="s">
        <v>2292</v>
      </c>
      <c r="BK377" s="462">
        <f t="shared" si="197"/>
        <v>42694.64</v>
      </c>
      <c r="BL377" s="447" t="s">
        <v>2339</v>
      </c>
      <c r="BM377" s="462">
        <f>BK377</f>
        <v>42694.64</v>
      </c>
      <c r="BN377" s="462">
        <f t="shared" si="198"/>
        <v>0</v>
      </c>
      <c r="BQ377" s="462">
        <f t="shared" si="199"/>
        <v>0</v>
      </c>
      <c r="BT377" s="462">
        <f t="shared" si="200"/>
        <v>0</v>
      </c>
      <c r="BW377" s="462">
        <f t="shared" si="201"/>
        <v>0</v>
      </c>
      <c r="BZ377" s="462">
        <f t="shared" si="202"/>
        <v>0</v>
      </c>
      <c r="CD377" s="418" t="str">
        <f t="shared" si="203"/>
        <v>CU1204001</v>
      </c>
      <c r="CE377" s="442" t="str">
        <f t="shared" si="204"/>
        <v>2019年9月</v>
      </c>
      <c r="CF377" s="418" t="str">
        <f t="shared" si="205"/>
        <v>固特异轮胎clife服务费暂估</v>
      </c>
      <c r="CG377" s="418" t="str">
        <f t="shared" si="206"/>
        <v>2019年9月固特异轮胎clife服务费暂估</v>
      </c>
    </row>
    <row r="378" spans="2:85" s="447" customFormat="1" ht="17.25" customHeight="1">
      <c r="B378" s="447" t="str">
        <f t="shared" si="179"/>
        <v>CU1223</v>
      </c>
      <c r="C378" s="431" t="s">
        <v>755</v>
      </c>
      <c r="D378" s="367" t="s">
        <v>1842</v>
      </c>
      <c r="E378" s="367" t="s">
        <v>1838</v>
      </c>
      <c r="F378" s="439">
        <v>43709</v>
      </c>
      <c r="G378" s="448">
        <v>23167.31</v>
      </c>
      <c r="H378" s="440"/>
      <c r="I378" s="440">
        <f t="shared" si="213"/>
        <v>23167.31</v>
      </c>
      <c r="J378" s="440"/>
      <c r="L378" s="462">
        <f t="shared" si="214"/>
        <v>23167.31</v>
      </c>
      <c r="M378" s="462"/>
      <c r="N378" s="444"/>
      <c r="O378" s="462">
        <f t="shared" si="215"/>
        <v>23167.31</v>
      </c>
      <c r="R378" s="462">
        <f t="shared" si="216"/>
        <v>23167.31</v>
      </c>
      <c r="U378" s="462">
        <f t="shared" si="217"/>
        <v>23167.31</v>
      </c>
      <c r="X378" s="462">
        <f t="shared" si="218"/>
        <v>23167.31</v>
      </c>
      <c r="AA378" s="462">
        <f t="shared" si="219"/>
        <v>23167.31</v>
      </c>
      <c r="AD378" s="462">
        <f t="shared" si="220"/>
        <v>23167.31</v>
      </c>
      <c r="AG378" s="462">
        <f t="shared" si="221"/>
        <v>23167.31</v>
      </c>
      <c r="AH378" s="447" t="s">
        <v>1834</v>
      </c>
      <c r="AJ378" s="462">
        <f t="shared" si="188"/>
        <v>23167.31</v>
      </c>
      <c r="AK378" s="447" t="s">
        <v>1868</v>
      </c>
      <c r="AM378" s="462">
        <f t="shared" si="189"/>
        <v>23167.31</v>
      </c>
      <c r="AN378" s="447" t="s">
        <v>1976</v>
      </c>
      <c r="AP378" s="462">
        <f t="shared" si="190"/>
        <v>23167.31</v>
      </c>
      <c r="AQ378" s="447" t="s">
        <v>2004</v>
      </c>
      <c r="AS378" s="459">
        <f t="shared" si="191"/>
        <v>23167.31</v>
      </c>
      <c r="AV378" s="462">
        <f t="shared" si="192"/>
        <v>23167.31</v>
      </c>
      <c r="AW378" s="447" t="s">
        <v>2107</v>
      </c>
      <c r="AY378" s="462">
        <f t="shared" si="193"/>
        <v>23167.31</v>
      </c>
      <c r="AZ378" s="447" t="s">
        <v>2131</v>
      </c>
      <c r="BB378" s="462">
        <f t="shared" si="194"/>
        <v>23167.31</v>
      </c>
      <c r="BC378" s="447" t="s">
        <v>2204</v>
      </c>
      <c r="BE378" s="462">
        <f t="shared" si="195"/>
        <v>23167.31</v>
      </c>
      <c r="BF378" s="447" t="s">
        <v>2237</v>
      </c>
      <c r="BH378" s="462">
        <f t="shared" si="196"/>
        <v>23167.31</v>
      </c>
      <c r="BI378" s="447" t="s">
        <v>2292</v>
      </c>
      <c r="BJ378" s="462">
        <f>BH378</f>
        <v>23167.31</v>
      </c>
      <c r="BK378" s="462">
        <f t="shared" si="197"/>
        <v>0</v>
      </c>
      <c r="BN378" s="462">
        <f t="shared" si="198"/>
        <v>0</v>
      </c>
      <c r="BQ378" s="462">
        <f t="shared" si="199"/>
        <v>0</v>
      </c>
      <c r="BT378" s="462">
        <f t="shared" si="200"/>
        <v>0</v>
      </c>
      <c r="BW378" s="462">
        <f t="shared" si="201"/>
        <v>0</v>
      </c>
      <c r="BZ378" s="462">
        <f t="shared" si="202"/>
        <v>0</v>
      </c>
      <c r="CD378" s="418" t="str">
        <f t="shared" si="203"/>
        <v>CU1223001</v>
      </c>
      <c r="CE378" s="442" t="str">
        <f t="shared" si="204"/>
        <v>2019年9月</v>
      </c>
      <c r="CF378" s="418" t="str">
        <f t="shared" si="205"/>
        <v>上海品盛化clife服务费暂估</v>
      </c>
      <c r="CG378" s="418" t="str">
        <f t="shared" si="206"/>
        <v>2019年9月上海品盛化clife服务费暂估</v>
      </c>
    </row>
    <row r="379" spans="2:85" s="447" customFormat="1" ht="17.25" customHeight="1">
      <c r="B379" s="447" t="str">
        <f t="shared" si="179"/>
        <v>CU1345</v>
      </c>
      <c r="C379" s="431" t="s">
        <v>755</v>
      </c>
      <c r="D379" s="367" t="s">
        <v>1843</v>
      </c>
      <c r="E379" s="367" t="s">
        <v>1839</v>
      </c>
      <c r="F379" s="439">
        <v>43709</v>
      </c>
      <c r="G379" s="448">
        <v>47502.12</v>
      </c>
      <c r="H379" s="440"/>
      <c r="I379" s="440">
        <f t="shared" si="213"/>
        <v>47502.12</v>
      </c>
      <c r="J379" s="440"/>
      <c r="L379" s="462">
        <f t="shared" si="214"/>
        <v>47502.12</v>
      </c>
      <c r="M379" s="462"/>
      <c r="N379" s="444"/>
      <c r="O379" s="462">
        <f t="shared" si="215"/>
        <v>47502.12</v>
      </c>
      <c r="R379" s="462">
        <f t="shared" si="216"/>
        <v>47502.12</v>
      </c>
      <c r="U379" s="462">
        <f t="shared" si="217"/>
        <v>47502.12</v>
      </c>
      <c r="X379" s="462">
        <f t="shared" si="218"/>
        <v>47502.12</v>
      </c>
      <c r="AA379" s="462">
        <f t="shared" si="219"/>
        <v>47502.12</v>
      </c>
      <c r="AD379" s="462">
        <f t="shared" si="220"/>
        <v>47502.12</v>
      </c>
      <c r="AG379" s="462">
        <f t="shared" si="221"/>
        <v>47502.12</v>
      </c>
      <c r="AH379" s="447" t="s">
        <v>1834</v>
      </c>
      <c r="AJ379" s="462">
        <f t="shared" si="188"/>
        <v>47502.12</v>
      </c>
      <c r="AK379" s="447" t="s">
        <v>1868</v>
      </c>
      <c r="AM379" s="462">
        <f t="shared" si="189"/>
        <v>47502.12</v>
      </c>
      <c r="AN379" s="447" t="s">
        <v>1976</v>
      </c>
      <c r="AP379" s="462">
        <f t="shared" si="190"/>
        <v>47502.12</v>
      </c>
      <c r="AQ379" s="447" t="s">
        <v>2004</v>
      </c>
      <c r="AS379" s="459">
        <f t="shared" si="191"/>
        <v>47502.12</v>
      </c>
      <c r="AV379" s="462">
        <f t="shared" si="192"/>
        <v>47502.12</v>
      </c>
      <c r="AW379" s="447" t="s">
        <v>2107</v>
      </c>
      <c r="AY379" s="462">
        <f t="shared" si="193"/>
        <v>47502.12</v>
      </c>
      <c r="AZ379" s="447" t="s">
        <v>2131</v>
      </c>
      <c r="BB379" s="462">
        <f t="shared" si="194"/>
        <v>47502.12</v>
      </c>
      <c r="BC379" s="447" t="s">
        <v>2204</v>
      </c>
      <c r="BD379" s="447">
        <f>4000+43502.12</f>
        <v>47502.12</v>
      </c>
      <c r="BE379" s="462">
        <f t="shared" si="195"/>
        <v>0</v>
      </c>
      <c r="BH379" s="462">
        <f t="shared" si="196"/>
        <v>0</v>
      </c>
      <c r="BK379" s="462">
        <f t="shared" si="197"/>
        <v>0</v>
      </c>
      <c r="BN379" s="462">
        <f t="shared" si="198"/>
        <v>0</v>
      </c>
      <c r="BQ379" s="462">
        <f t="shared" si="199"/>
        <v>0</v>
      </c>
      <c r="BT379" s="462">
        <f t="shared" si="200"/>
        <v>0</v>
      </c>
      <c r="BW379" s="462">
        <f t="shared" si="201"/>
        <v>0</v>
      </c>
      <c r="BZ379" s="462">
        <f t="shared" si="202"/>
        <v>0</v>
      </c>
      <c r="CD379" s="418" t="str">
        <f t="shared" si="203"/>
        <v>CU1345001</v>
      </c>
      <c r="CE379" s="442" t="str">
        <f t="shared" si="204"/>
        <v>2019年9月</v>
      </c>
      <c r="CF379" s="418" t="str">
        <f t="shared" si="205"/>
        <v>上海创米科clife服务费暂估</v>
      </c>
      <c r="CG379" s="418" t="str">
        <f t="shared" si="206"/>
        <v>2019年9月上海创米科clife服务费暂估</v>
      </c>
    </row>
    <row r="380" spans="2:85" s="447" customFormat="1" ht="17.25" customHeight="1">
      <c r="B380" s="447" t="str">
        <f t="shared" si="179"/>
        <v>CU1354</v>
      </c>
      <c r="C380" s="431" t="s">
        <v>755</v>
      </c>
      <c r="D380" s="367" t="s">
        <v>1723</v>
      </c>
      <c r="E380" s="367" t="s">
        <v>1840</v>
      </c>
      <c r="F380" s="439">
        <v>43709</v>
      </c>
      <c r="G380" s="448">
        <v>43687.68</v>
      </c>
      <c r="H380" s="440"/>
      <c r="I380" s="440">
        <f t="shared" si="180"/>
        <v>43687.68</v>
      </c>
      <c r="J380" s="440"/>
      <c r="L380" s="462">
        <f t="shared" si="181"/>
        <v>43687.68</v>
      </c>
      <c r="M380" s="462"/>
      <c r="N380" s="444"/>
      <c r="O380" s="462">
        <f t="shared" si="182"/>
        <v>43687.68</v>
      </c>
      <c r="R380" s="462">
        <f t="shared" si="183"/>
        <v>43687.68</v>
      </c>
      <c r="U380" s="462">
        <f t="shared" si="184"/>
        <v>43687.68</v>
      </c>
      <c r="X380" s="462">
        <f t="shared" si="185"/>
        <v>43687.68</v>
      </c>
      <c r="AA380" s="462">
        <f t="shared" si="212"/>
        <v>43687.68</v>
      </c>
      <c r="AD380" s="462">
        <f t="shared" si="186"/>
        <v>43687.68</v>
      </c>
      <c r="AG380" s="462">
        <f t="shared" si="187"/>
        <v>43687.68</v>
      </c>
      <c r="AH380" s="447" t="s">
        <v>1834</v>
      </c>
      <c r="AI380" s="462"/>
      <c r="AJ380" s="462">
        <f t="shared" si="188"/>
        <v>43687.68</v>
      </c>
      <c r="AK380" s="447" t="s">
        <v>1868</v>
      </c>
      <c r="AL380" s="462">
        <f>AJ380</f>
        <v>43687.68</v>
      </c>
      <c r="AM380" s="462">
        <f t="shared" si="189"/>
        <v>0</v>
      </c>
      <c r="AN380" s="447" t="s">
        <v>1976</v>
      </c>
      <c r="AP380" s="462">
        <f t="shared" si="190"/>
        <v>0</v>
      </c>
      <c r="AQ380" s="447" t="s">
        <v>2004</v>
      </c>
      <c r="AS380" s="459">
        <f t="shared" si="191"/>
        <v>0</v>
      </c>
      <c r="AV380" s="462">
        <f t="shared" si="192"/>
        <v>0</v>
      </c>
      <c r="AY380" s="462">
        <f t="shared" si="193"/>
        <v>0</v>
      </c>
      <c r="BB380" s="462">
        <f t="shared" si="194"/>
        <v>0</v>
      </c>
      <c r="BC380" s="447" t="s">
        <v>2204</v>
      </c>
      <c r="BE380" s="462">
        <f t="shared" si="195"/>
        <v>0</v>
      </c>
      <c r="BH380" s="462">
        <f t="shared" si="196"/>
        <v>0</v>
      </c>
      <c r="BK380" s="462">
        <f t="shared" si="197"/>
        <v>0</v>
      </c>
      <c r="BN380" s="462">
        <f t="shared" si="198"/>
        <v>0</v>
      </c>
      <c r="BQ380" s="462">
        <f t="shared" si="199"/>
        <v>0</v>
      </c>
      <c r="BT380" s="462">
        <f t="shared" si="200"/>
        <v>0</v>
      </c>
      <c r="BW380" s="462">
        <f t="shared" si="201"/>
        <v>0</v>
      </c>
      <c r="BZ380" s="462">
        <f t="shared" si="202"/>
        <v>0</v>
      </c>
      <c r="CD380" s="418" t="str">
        <f t="shared" si="203"/>
        <v>CU1354001</v>
      </c>
      <c r="CE380" s="442" t="str">
        <f t="shared" si="204"/>
        <v>2019年9月</v>
      </c>
      <c r="CF380" s="418" t="str">
        <f t="shared" si="205"/>
        <v>威内源企业clife服务费暂估</v>
      </c>
      <c r="CG380" s="418" t="str">
        <f t="shared" si="206"/>
        <v>2019年9月威内源企业clife服务费暂估</v>
      </c>
    </row>
    <row r="381" spans="2:85" s="447" customFormat="1" ht="17.25" customHeight="1">
      <c r="B381" s="447" t="str">
        <f t="shared" si="179"/>
        <v>CU1430</v>
      </c>
      <c r="C381" s="431" t="s">
        <v>755</v>
      </c>
      <c r="D381" s="367" t="s">
        <v>1847</v>
      </c>
      <c r="E381" s="367" t="s">
        <v>1844</v>
      </c>
      <c r="F381" s="439">
        <v>43709</v>
      </c>
      <c r="G381" s="448">
        <v>11946.96</v>
      </c>
      <c r="H381" s="440"/>
      <c r="I381" s="440">
        <f t="shared" si="180"/>
        <v>11946.96</v>
      </c>
      <c r="J381" s="440"/>
      <c r="L381" s="462">
        <f t="shared" si="181"/>
        <v>11946.96</v>
      </c>
      <c r="M381" s="462"/>
      <c r="N381" s="444"/>
      <c r="O381" s="462">
        <f t="shared" si="182"/>
        <v>11946.96</v>
      </c>
      <c r="R381" s="462">
        <f t="shared" si="183"/>
        <v>11946.96</v>
      </c>
      <c r="U381" s="462">
        <f t="shared" si="184"/>
        <v>11946.96</v>
      </c>
      <c r="X381" s="462">
        <f t="shared" si="185"/>
        <v>11946.96</v>
      </c>
      <c r="AA381" s="462">
        <f t="shared" si="212"/>
        <v>11946.96</v>
      </c>
      <c r="AD381" s="462">
        <f t="shared" si="186"/>
        <v>11946.96</v>
      </c>
      <c r="AG381" s="462">
        <f t="shared" si="187"/>
        <v>11946.96</v>
      </c>
      <c r="AH381" s="447" t="s">
        <v>1834</v>
      </c>
      <c r="AJ381" s="462">
        <f t="shared" si="188"/>
        <v>11946.96</v>
      </c>
      <c r="AK381" s="447" t="s">
        <v>1868</v>
      </c>
      <c r="AM381" s="462">
        <f t="shared" si="189"/>
        <v>11946.96</v>
      </c>
      <c r="AN381" s="447" t="s">
        <v>1976</v>
      </c>
      <c r="AP381" s="462">
        <f t="shared" si="190"/>
        <v>11946.96</v>
      </c>
      <c r="AQ381" s="447" t="s">
        <v>2004</v>
      </c>
      <c r="AS381" s="459">
        <f t="shared" si="191"/>
        <v>11946.96</v>
      </c>
      <c r="AV381" s="462">
        <f t="shared" si="192"/>
        <v>11946.96</v>
      </c>
      <c r="AW381" s="447" t="s">
        <v>2107</v>
      </c>
      <c r="AY381" s="462">
        <f t="shared" si="193"/>
        <v>11946.96</v>
      </c>
      <c r="AZ381" s="447" t="s">
        <v>2131</v>
      </c>
      <c r="BB381" s="462">
        <f t="shared" si="194"/>
        <v>11946.96</v>
      </c>
      <c r="BC381" s="447" t="s">
        <v>2204</v>
      </c>
      <c r="BE381" s="462">
        <f t="shared" si="195"/>
        <v>11946.96</v>
      </c>
      <c r="BF381" s="447" t="s">
        <v>2237</v>
      </c>
      <c r="BH381" s="462">
        <f t="shared" si="196"/>
        <v>11946.96</v>
      </c>
      <c r="BI381" s="447" t="s">
        <v>2292</v>
      </c>
      <c r="BK381" s="462">
        <f t="shared" si="197"/>
        <v>11946.96</v>
      </c>
      <c r="BL381" s="447" t="s">
        <v>2339</v>
      </c>
      <c r="BN381" s="462">
        <f t="shared" si="198"/>
        <v>11946.96</v>
      </c>
      <c r="BO381" s="447" t="s">
        <v>2365</v>
      </c>
      <c r="BQ381" s="462">
        <f t="shared" si="199"/>
        <v>11946.96</v>
      </c>
      <c r="BR381" s="447" t="s">
        <v>2374</v>
      </c>
      <c r="BT381" s="462">
        <f t="shared" si="200"/>
        <v>11946.96</v>
      </c>
      <c r="BU381" s="447" t="s">
        <v>2134</v>
      </c>
      <c r="BV381" s="462">
        <f>BT381</f>
        <v>11946.96</v>
      </c>
      <c r="BW381" s="462">
        <f t="shared" si="201"/>
        <v>0</v>
      </c>
      <c r="BZ381" s="462">
        <f t="shared" si="202"/>
        <v>0</v>
      </c>
      <c r="CD381" s="418" t="str">
        <f t="shared" si="203"/>
        <v>CU1430001</v>
      </c>
      <c r="CE381" s="442" t="str">
        <f t="shared" si="204"/>
        <v>2019年9月</v>
      </c>
      <c r="CF381" s="418" t="str">
        <f t="shared" si="205"/>
        <v>连云港锐巴clife服务费暂估</v>
      </c>
      <c r="CG381" s="418" t="str">
        <f t="shared" si="206"/>
        <v>2019年9月连云港锐巴clife服务费暂估</v>
      </c>
    </row>
    <row r="382" spans="2:85" s="447" customFormat="1" ht="17.25" customHeight="1">
      <c r="B382" s="447" t="str">
        <f t="shared" si="179"/>
        <v>CU1705</v>
      </c>
      <c r="C382" s="431" t="s">
        <v>755</v>
      </c>
      <c r="D382" s="367" t="s">
        <v>1848</v>
      </c>
      <c r="E382" s="367" t="s">
        <v>1845</v>
      </c>
      <c r="F382" s="439">
        <v>43709</v>
      </c>
      <c r="G382" s="448">
        <v>54975.94</v>
      </c>
      <c r="H382" s="440"/>
      <c r="I382" s="440">
        <f t="shared" si="180"/>
        <v>54975.94</v>
      </c>
      <c r="J382" s="440"/>
      <c r="L382" s="462">
        <f t="shared" si="181"/>
        <v>54975.94</v>
      </c>
      <c r="M382" s="462"/>
      <c r="N382" s="444"/>
      <c r="O382" s="462">
        <f t="shared" si="182"/>
        <v>54975.94</v>
      </c>
      <c r="R382" s="462">
        <f t="shared" si="183"/>
        <v>54975.94</v>
      </c>
      <c r="U382" s="462">
        <f t="shared" si="184"/>
        <v>54975.94</v>
      </c>
      <c r="X382" s="462">
        <f t="shared" si="185"/>
        <v>54975.94</v>
      </c>
      <c r="AA382" s="462">
        <f t="shared" si="212"/>
        <v>54975.94</v>
      </c>
      <c r="AD382" s="462">
        <f t="shared" si="186"/>
        <v>54975.94</v>
      </c>
      <c r="AG382" s="462">
        <f t="shared" si="187"/>
        <v>54975.94</v>
      </c>
      <c r="AH382" s="447" t="s">
        <v>1834</v>
      </c>
      <c r="AI382" s="447">
        <f>ROUND(54800/1.06,2)</f>
        <v>51698.11</v>
      </c>
      <c r="AJ382" s="462">
        <f t="shared" si="188"/>
        <v>3277.8300000000017</v>
      </c>
      <c r="AK382" s="447" t="s">
        <v>1868</v>
      </c>
      <c r="AM382" s="462">
        <f t="shared" si="189"/>
        <v>3277.8300000000017</v>
      </c>
      <c r="AN382" s="447" t="s">
        <v>1976</v>
      </c>
      <c r="AO382" s="460">
        <v>3277.83</v>
      </c>
      <c r="AP382" s="462">
        <f t="shared" si="190"/>
        <v>0</v>
      </c>
      <c r="AQ382" s="447" t="s">
        <v>2004</v>
      </c>
      <c r="AS382" s="459">
        <f t="shared" si="191"/>
        <v>0</v>
      </c>
      <c r="AV382" s="462">
        <f t="shared" si="192"/>
        <v>0</v>
      </c>
      <c r="AY382" s="462">
        <f t="shared" si="193"/>
        <v>0</v>
      </c>
      <c r="BB382" s="462">
        <f t="shared" si="194"/>
        <v>0</v>
      </c>
      <c r="BC382" s="447" t="s">
        <v>2204</v>
      </c>
      <c r="BE382" s="462">
        <f t="shared" si="195"/>
        <v>0</v>
      </c>
      <c r="BH382" s="462">
        <f t="shared" si="196"/>
        <v>0</v>
      </c>
      <c r="BK382" s="462">
        <f t="shared" si="197"/>
        <v>0</v>
      </c>
      <c r="BN382" s="462">
        <f t="shared" si="198"/>
        <v>0</v>
      </c>
      <c r="BQ382" s="462">
        <f t="shared" si="199"/>
        <v>0</v>
      </c>
      <c r="BT382" s="462">
        <f t="shared" si="200"/>
        <v>0</v>
      </c>
      <c r="BW382" s="462">
        <f t="shared" si="201"/>
        <v>0</v>
      </c>
      <c r="BZ382" s="462">
        <f t="shared" si="202"/>
        <v>0</v>
      </c>
      <c r="CD382" s="418" t="str">
        <f t="shared" si="203"/>
        <v>CU1705001</v>
      </c>
      <c r="CE382" s="442" t="str">
        <f t="shared" si="204"/>
        <v>2019年9月</v>
      </c>
      <c r="CF382" s="418" t="str">
        <f t="shared" si="205"/>
        <v>通标标准技clife服务费暂估</v>
      </c>
      <c r="CG382" s="418" t="str">
        <f t="shared" si="206"/>
        <v>2019年9月通标标准技clife服务费暂估</v>
      </c>
    </row>
    <row r="383" spans="2:85" s="447" customFormat="1" ht="17.25" customHeight="1">
      <c r="B383" s="447" t="str">
        <f t="shared" si="179"/>
        <v>CU1718</v>
      </c>
      <c r="C383" s="431" t="s">
        <v>755</v>
      </c>
      <c r="D383" s="367" t="s">
        <v>1849</v>
      </c>
      <c r="E383" s="367" t="s">
        <v>1846</v>
      </c>
      <c r="F383" s="439">
        <v>43709</v>
      </c>
      <c r="G383" s="448">
        <v>3512.73</v>
      </c>
      <c r="H383" s="440"/>
      <c r="I383" s="440">
        <f t="shared" si="180"/>
        <v>3512.73</v>
      </c>
      <c r="J383" s="440"/>
      <c r="L383" s="462">
        <f t="shared" si="181"/>
        <v>3512.73</v>
      </c>
      <c r="M383" s="462"/>
      <c r="N383" s="444"/>
      <c r="O383" s="462">
        <f t="shared" si="182"/>
        <v>3512.73</v>
      </c>
      <c r="R383" s="462">
        <f t="shared" si="183"/>
        <v>3512.73</v>
      </c>
      <c r="U383" s="462">
        <f t="shared" si="184"/>
        <v>3512.73</v>
      </c>
      <c r="X383" s="462">
        <f t="shared" si="185"/>
        <v>3512.73</v>
      </c>
      <c r="AA383" s="462">
        <f t="shared" si="212"/>
        <v>3512.73</v>
      </c>
      <c r="AD383" s="462">
        <f t="shared" si="186"/>
        <v>3512.73</v>
      </c>
      <c r="AG383" s="462">
        <f t="shared" si="187"/>
        <v>3512.73</v>
      </c>
      <c r="AH383" s="447" t="s">
        <v>1834</v>
      </c>
      <c r="AI383" s="447">
        <f>ROUND(3434.4/1.06,2)</f>
        <v>3240</v>
      </c>
      <c r="AJ383" s="462">
        <f t="shared" si="188"/>
        <v>272.73</v>
      </c>
      <c r="AK383" s="447" t="s">
        <v>1868</v>
      </c>
      <c r="AM383" s="462">
        <f t="shared" si="189"/>
        <v>272.73</v>
      </c>
      <c r="AN383" s="447" t="s">
        <v>1976</v>
      </c>
      <c r="AO383" s="447">
        <f>ROUND(289.09/1.06,2)</f>
        <v>272.73</v>
      </c>
      <c r="AP383" s="462">
        <f t="shared" si="190"/>
        <v>0</v>
      </c>
      <c r="AQ383" s="447" t="s">
        <v>2004</v>
      </c>
      <c r="AS383" s="459">
        <f t="shared" si="191"/>
        <v>0</v>
      </c>
      <c r="AV383" s="462">
        <f t="shared" si="192"/>
        <v>0</v>
      </c>
      <c r="AY383" s="462">
        <f t="shared" si="193"/>
        <v>0</v>
      </c>
      <c r="BB383" s="462">
        <f t="shared" si="194"/>
        <v>0</v>
      </c>
      <c r="BC383" s="447" t="s">
        <v>2204</v>
      </c>
      <c r="BE383" s="462">
        <f t="shared" si="195"/>
        <v>0</v>
      </c>
      <c r="BH383" s="462">
        <f t="shared" si="196"/>
        <v>0</v>
      </c>
      <c r="BK383" s="462">
        <f t="shared" si="197"/>
        <v>0</v>
      </c>
      <c r="BN383" s="462">
        <f t="shared" si="198"/>
        <v>0</v>
      </c>
      <c r="BQ383" s="462">
        <f t="shared" si="199"/>
        <v>0</v>
      </c>
      <c r="BT383" s="462">
        <f t="shared" si="200"/>
        <v>0</v>
      </c>
      <c r="BW383" s="462">
        <f t="shared" si="201"/>
        <v>0</v>
      </c>
      <c r="BZ383" s="462">
        <f t="shared" si="202"/>
        <v>0</v>
      </c>
      <c r="CD383" s="418" t="str">
        <f t="shared" si="203"/>
        <v>CU1718001</v>
      </c>
      <c r="CE383" s="442" t="str">
        <f t="shared" si="204"/>
        <v>2019年9月</v>
      </c>
      <c r="CF383" s="418" t="str">
        <f t="shared" si="205"/>
        <v>Worldclife服务费暂估</v>
      </c>
      <c r="CG383" s="418" t="str">
        <f t="shared" si="206"/>
        <v>2019年9月Worldclife服务费暂估</v>
      </c>
    </row>
    <row r="384" spans="2:85" s="447" customFormat="1" ht="17.25" customHeight="1">
      <c r="B384" s="447" t="str">
        <f t="shared" si="179"/>
        <v>CU0109</v>
      </c>
      <c r="C384" s="431" t="s">
        <v>755</v>
      </c>
      <c r="D384" s="367" t="s">
        <v>1642</v>
      </c>
      <c r="E384" s="367" t="s">
        <v>34</v>
      </c>
      <c r="F384" s="439">
        <v>43739</v>
      </c>
      <c r="G384" s="448">
        <v>11368</v>
      </c>
      <c r="H384" s="440"/>
      <c r="I384" s="440">
        <f t="shared" si="180"/>
        <v>11368</v>
      </c>
      <c r="J384" s="440"/>
      <c r="L384" s="462">
        <f t="shared" si="181"/>
        <v>11368</v>
      </c>
      <c r="M384" s="462"/>
      <c r="N384" s="444"/>
      <c r="O384" s="462">
        <f t="shared" si="182"/>
        <v>11368</v>
      </c>
      <c r="R384" s="462">
        <f t="shared" si="183"/>
        <v>11368</v>
      </c>
      <c r="U384" s="462">
        <f t="shared" si="184"/>
        <v>11368</v>
      </c>
      <c r="X384" s="462">
        <f t="shared" si="185"/>
        <v>11368</v>
      </c>
      <c r="AA384" s="462">
        <f t="shared" si="212"/>
        <v>11368</v>
      </c>
      <c r="AD384" s="462">
        <f t="shared" si="186"/>
        <v>11368</v>
      </c>
      <c r="AG384" s="462">
        <f t="shared" si="187"/>
        <v>11368</v>
      </c>
      <c r="AJ384" s="462">
        <f t="shared" si="188"/>
        <v>11368</v>
      </c>
      <c r="AK384" s="447" t="s">
        <v>1906</v>
      </c>
      <c r="AM384" s="462">
        <f t="shared" si="189"/>
        <v>11368</v>
      </c>
      <c r="AN384" s="447" t="s">
        <v>1977</v>
      </c>
      <c r="AP384" s="462">
        <f t="shared" si="190"/>
        <v>11368</v>
      </c>
      <c r="AQ384" s="447" t="s">
        <v>2005</v>
      </c>
      <c r="AS384" s="459">
        <f t="shared" si="191"/>
        <v>11368</v>
      </c>
      <c r="AV384" s="462">
        <f t="shared" si="192"/>
        <v>11368</v>
      </c>
      <c r="AW384" s="447" t="s">
        <v>2107</v>
      </c>
      <c r="AX384" s="462">
        <f>AV384</f>
        <v>11368</v>
      </c>
      <c r="AY384" s="462">
        <f t="shared" si="193"/>
        <v>0</v>
      </c>
      <c r="BB384" s="462">
        <f t="shared" si="194"/>
        <v>0</v>
      </c>
      <c r="BC384" s="447" t="s">
        <v>2204</v>
      </c>
      <c r="BE384" s="462">
        <f t="shared" si="195"/>
        <v>0</v>
      </c>
      <c r="BH384" s="462">
        <f t="shared" si="196"/>
        <v>0</v>
      </c>
      <c r="BK384" s="462">
        <f t="shared" si="197"/>
        <v>0</v>
      </c>
      <c r="BN384" s="462">
        <f t="shared" si="198"/>
        <v>0</v>
      </c>
      <c r="BQ384" s="462">
        <f t="shared" si="199"/>
        <v>0</v>
      </c>
      <c r="BT384" s="462">
        <f t="shared" si="200"/>
        <v>0</v>
      </c>
      <c r="BW384" s="462">
        <f t="shared" si="201"/>
        <v>0</v>
      </c>
      <c r="BZ384" s="462">
        <f t="shared" si="202"/>
        <v>0</v>
      </c>
      <c r="CD384" s="418" t="str">
        <f t="shared" si="203"/>
        <v>CU0109001</v>
      </c>
      <c r="CE384" s="442" t="str">
        <f t="shared" si="204"/>
        <v>2019年10月</v>
      </c>
      <c r="CF384" s="418" t="str">
        <f t="shared" si="205"/>
        <v>普拉达时装clife服务费暂估</v>
      </c>
      <c r="CG384" s="418" t="str">
        <f t="shared" si="206"/>
        <v>2019年10月普拉达时装clife服务费暂估</v>
      </c>
    </row>
    <row r="385" spans="2:85" s="447" customFormat="1" ht="17.25" customHeight="1">
      <c r="B385" s="447" t="str">
        <f t="shared" si="179"/>
        <v>CU0145</v>
      </c>
      <c r="C385" s="431" t="s">
        <v>755</v>
      </c>
      <c r="D385" s="367" t="s">
        <v>1451</v>
      </c>
      <c r="E385" s="367" t="s">
        <v>1323</v>
      </c>
      <c r="F385" s="439">
        <v>43739</v>
      </c>
      <c r="G385" s="448">
        <v>203323.75</v>
      </c>
      <c r="H385" s="440"/>
      <c r="I385" s="440">
        <f t="shared" si="180"/>
        <v>203323.75</v>
      </c>
      <c r="J385" s="440"/>
      <c r="L385" s="462">
        <f t="shared" si="181"/>
        <v>203323.75</v>
      </c>
      <c r="M385" s="462"/>
      <c r="N385" s="444"/>
      <c r="O385" s="462">
        <f t="shared" si="182"/>
        <v>203323.75</v>
      </c>
      <c r="R385" s="462">
        <f t="shared" si="183"/>
        <v>203323.75</v>
      </c>
      <c r="U385" s="462">
        <f t="shared" si="184"/>
        <v>203323.75</v>
      </c>
      <c r="X385" s="462">
        <f t="shared" si="185"/>
        <v>203323.75</v>
      </c>
      <c r="AA385" s="462">
        <f t="shared" si="212"/>
        <v>203323.75</v>
      </c>
      <c r="AD385" s="462">
        <f t="shared" si="186"/>
        <v>203323.75</v>
      </c>
      <c r="AG385" s="462">
        <f t="shared" si="187"/>
        <v>203323.75</v>
      </c>
      <c r="AJ385" s="462">
        <f t="shared" si="188"/>
        <v>203323.75</v>
      </c>
      <c r="AK385" s="447" t="s">
        <v>1906</v>
      </c>
      <c r="AM385" s="462">
        <f t="shared" si="189"/>
        <v>203323.75</v>
      </c>
      <c r="AN385" s="447" t="s">
        <v>1977</v>
      </c>
      <c r="AO385" s="549">
        <f>ROUND(228112/1.06,2)-AO281-AO302-73315.02</f>
        <v>124710.74</v>
      </c>
      <c r="AP385" s="462">
        <f>AM385-AO385</f>
        <v>78613.009999999995</v>
      </c>
      <c r="AQ385" s="447" t="s">
        <v>2005</v>
      </c>
      <c r="AS385" s="459">
        <f t="shared" si="191"/>
        <v>78613.009999999995</v>
      </c>
      <c r="AV385" s="462">
        <f t="shared" si="192"/>
        <v>78613.009999999995</v>
      </c>
      <c r="AW385" s="447" t="s">
        <v>2107</v>
      </c>
      <c r="AX385" s="462">
        <f>AV385</f>
        <v>78613.009999999995</v>
      </c>
      <c r="AY385" s="462">
        <f t="shared" si="193"/>
        <v>0</v>
      </c>
      <c r="BB385" s="462">
        <f t="shared" si="194"/>
        <v>0</v>
      </c>
      <c r="BC385" s="447" t="s">
        <v>2204</v>
      </c>
      <c r="BE385" s="462">
        <f t="shared" si="195"/>
        <v>0</v>
      </c>
      <c r="BH385" s="462">
        <f t="shared" si="196"/>
        <v>0</v>
      </c>
      <c r="BK385" s="462">
        <f t="shared" si="197"/>
        <v>0</v>
      </c>
      <c r="BN385" s="462">
        <f t="shared" si="198"/>
        <v>0</v>
      </c>
      <c r="BQ385" s="462">
        <f t="shared" si="199"/>
        <v>0</v>
      </c>
      <c r="BT385" s="462">
        <f t="shared" si="200"/>
        <v>0</v>
      </c>
      <c r="BW385" s="462">
        <f t="shared" si="201"/>
        <v>0</v>
      </c>
      <c r="BZ385" s="462">
        <f t="shared" si="202"/>
        <v>0</v>
      </c>
      <c r="CD385" s="418" t="str">
        <f t="shared" si="203"/>
        <v>CU0145001</v>
      </c>
      <c r="CE385" s="442" t="str">
        <f t="shared" si="204"/>
        <v>2019年10月</v>
      </c>
      <c r="CF385" s="418" t="str">
        <f t="shared" si="205"/>
        <v>锐珂亚太投clife服务费暂估</v>
      </c>
      <c r="CG385" s="418" t="str">
        <f t="shared" si="206"/>
        <v>2019年10月锐珂亚太投clife服务费暂估</v>
      </c>
    </row>
    <row r="386" spans="2:85" s="447" customFormat="1" ht="17.25" customHeight="1">
      <c r="B386" s="447" t="str">
        <f t="shared" si="179"/>
        <v>CU0296</v>
      </c>
      <c r="C386" s="431" t="s">
        <v>755</v>
      </c>
      <c r="D386" s="367" t="s">
        <v>1876</v>
      </c>
      <c r="E386" s="367" t="s">
        <v>72</v>
      </c>
      <c r="F386" s="439">
        <v>43739</v>
      </c>
      <c r="G386" s="448">
        <v>21216.92</v>
      </c>
      <c r="H386" s="440"/>
      <c r="I386" s="440">
        <f t="shared" si="180"/>
        <v>21216.92</v>
      </c>
      <c r="J386" s="440"/>
      <c r="L386" s="462">
        <f t="shared" si="181"/>
        <v>21216.92</v>
      </c>
      <c r="M386" s="462"/>
      <c r="N386" s="444"/>
      <c r="O386" s="462">
        <f t="shared" si="182"/>
        <v>21216.92</v>
      </c>
      <c r="R386" s="462">
        <f t="shared" si="183"/>
        <v>21216.92</v>
      </c>
      <c r="U386" s="462">
        <f t="shared" si="184"/>
        <v>21216.92</v>
      </c>
      <c r="X386" s="462">
        <f t="shared" si="185"/>
        <v>21216.92</v>
      </c>
      <c r="AA386" s="462">
        <f t="shared" si="212"/>
        <v>21216.92</v>
      </c>
      <c r="AD386" s="462">
        <f t="shared" si="186"/>
        <v>21216.92</v>
      </c>
      <c r="AG386" s="462">
        <f t="shared" si="187"/>
        <v>21216.92</v>
      </c>
      <c r="AJ386" s="462">
        <f t="shared" si="188"/>
        <v>21216.92</v>
      </c>
      <c r="AK386" s="447" t="s">
        <v>1906</v>
      </c>
      <c r="AM386" s="462">
        <f t="shared" si="189"/>
        <v>21216.92</v>
      </c>
      <c r="AN386" s="447" t="s">
        <v>1977</v>
      </c>
      <c r="AP386" s="462">
        <f t="shared" si="190"/>
        <v>21216.92</v>
      </c>
      <c r="AQ386" s="447" t="s">
        <v>2005</v>
      </c>
      <c r="AS386" s="459">
        <f t="shared" si="191"/>
        <v>21216.92</v>
      </c>
      <c r="AU386" s="447">
        <v>20131.5</v>
      </c>
      <c r="AV386" s="462">
        <f t="shared" si="192"/>
        <v>1085.4199999999983</v>
      </c>
      <c r="AW386" s="447" t="s">
        <v>2107</v>
      </c>
      <c r="AY386" s="462">
        <f t="shared" si="193"/>
        <v>1085.4199999999983</v>
      </c>
      <c r="AZ386" s="447" t="s">
        <v>2131</v>
      </c>
      <c r="BB386" s="462">
        <f t="shared" si="194"/>
        <v>1085.4199999999983</v>
      </c>
      <c r="BC386" s="447" t="s">
        <v>2204</v>
      </c>
      <c r="BE386" s="462">
        <f t="shared" si="195"/>
        <v>1085.4199999999983</v>
      </c>
      <c r="BF386" s="447" t="s">
        <v>2237</v>
      </c>
      <c r="BH386" s="462">
        <f t="shared" si="196"/>
        <v>1085.4199999999983</v>
      </c>
      <c r="BI386" s="447" t="s">
        <v>2292</v>
      </c>
      <c r="BK386" s="462">
        <f t="shared" si="197"/>
        <v>1085.4199999999983</v>
      </c>
      <c r="BL386" s="447" t="s">
        <v>2339</v>
      </c>
      <c r="BN386" s="462">
        <f t="shared" si="198"/>
        <v>1085.4199999999983</v>
      </c>
      <c r="BO386" s="447" t="s">
        <v>2365</v>
      </c>
      <c r="BQ386" s="462">
        <f t="shared" si="199"/>
        <v>1085.42</v>
      </c>
      <c r="BR386" s="447" t="s">
        <v>2374</v>
      </c>
      <c r="BT386" s="462">
        <f t="shared" si="200"/>
        <v>1085.42</v>
      </c>
      <c r="BU386" s="447" t="s">
        <v>2134</v>
      </c>
      <c r="BW386" s="462">
        <f t="shared" si="201"/>
        <v>1085.42</v>
      </c>
      <c r="BZ386" s="462">
        <f t="shared" si="202"/>
        <v>1085.42</v>
      </c>
      <c r="CD386" s="418" t="str">
        <f t="shared" si="203"/>
        <v>CU0296001</v>
      </c>
      <c r="CE386" s="442" t="str">
        <f t="shared" si="204"/>
        <v>2019年10月</v>
      </c>
      <c r="CF386" s="418" t="str">
        <f t="shared" si="205"/>
        <v>德莎国际货clife服务费暂估</v>
      </c>
      <c r="CG386" s="418" t="str">
        <f t="shared" si="206"/>
        <v>2019年10月德莎国际货clife服务费暂估</v>
      </c>
    </row>
    <row r="387" spans="2:85" s="447" customFormat="1" ht="17.25" customHeight="1">
      <c r="B387" s="447" t="str">
        <f t="shared" ref="B387:B450" si="222">LEFT(D387,6)</f>
        <v>CU0448</v>
      </c>
      <c r="C387" s="431" t="s">
        <v>755</v>
      </c>
      <c r="D387" s="367" t="s">
        <v>1878</v>
      </c>
      <c r="E387" s="367" t="s">
        <v>1877</v>
      </c>
      <c r="F387" s="439">
        <v>43739</v>
      </c>
      <c r="G387" s="448">
        <v>1202866.8</v>
      </c>
      <c r="H387" s="440"/>
      <c r="I387" s="440">
        <f t="shared" si="180"/>
        <v>1202866.8</v>
      </c>
      <c r="J387" s="440"/>
      <c r="L387" s="462">
        <f t="shared" si="181"/>
        <v>1202866.8</v>
      </c>
      <c r="M387" s="462"/>
      <c r="N387" s="444"/>
      <c r="O387" s="462">
        <f t="shared" si="182"/>
        <v>1202866.8</v>
      </c>
      <c r="R387" s="462">
        <f t="shared" si="183"/>
        <v>1202866.8</v>
      </c>
      <c r="U387" s="462">
        <f t="shared" si="184"/>
        <v>1202866.8</v>
      </c>
      <c r="X387" s="462">
        <f t="shared" si="185"/>
        <v>1202866.8</v>
      </c>
      <c r="AA387" s="462">
        <f t="shared" si="212"/>
        <v>1202866.8</v>
      </c>
      <c r="AD387" s="462">
        <f t="shared" si="186"/>
        <v>1202866.8</v>
      </c>
      <c r="AG387" s="462">
        <f t="shared" si="187"/>
        <v>1202866.8</v>
      </c>
      <c r="AJ387" s="462">
        <f t="shared" si="188"/>
        <v>1202866.8</v>
      </c>
      <c r="AK387" s="447" t="s">
        <v>1906</v>
      </c>
      <c r="AL387" s="462">
        <f>AJ387</f>
        <v>1202866.8</v>
      </c>
      <c r="AM387" s="462">
        <f t="shared" si="189"/>
        <v>0</v>
      </c>
      <c r="AN387" s="447" t="s">
        <v>1977</v>
      </c>
      <c r="AP387" s="462">
        <f t="shared" si="190"/>
        <v>0</v>
      </c>
      <c r="AQ387" s="447" t="s">
        <v>2005</v>
      </c>
      <c r="AS387" s="459">
        <f t="shared" si="191"/>
        <v>0</v>
      </c>
      <c r="AV387" s="462">
        <f t="shared" si="192"/>
        <v>0</v>
      </c>
      <c r="AY387" s="462">
        <f t="shared" si="193"/>
        <v>0</v>
      </c>
      <c r="BB387" s="462">
        <f t="shared" si="194"/>
        <v>0</v>
      </c>
      <c r="BC387" s="447" t="s">
        <v>2204</v>
      </c>
      <c r="BE387" s="462">
        <f t="shared" si="195"/>
        <v>0</v>
      </c>
      <c r="BH387" s="462">
        <f t="shared" si="196"/>
        <v>0</v>
      </c>
      <c r="BK387" s="462">
        <f t="shared" si="197"/>
        <v>0</v>
      </c>
      <c r="BN387" s="462">
        <f t="shared" si="198"/>
        <v>0</v>
      </c>
      <c r="BQ387" s="462">
        <f t="shared" si="199"/>
        <v>0</v>
      </c>
      <c r="BT387" s="462">
        <f t="shared" si="200"/>
        <v>0</v>
      </c>
      <c r="BW387" s="462">
        <f t="shared" si="201"/>
        <v>0</v>
      </c>
      <c r="BZ387" s="462">
        <f t="shared" si="202"/>
        <v>0</v>
      </c>
      <c r="CD387" s="418" t="str">
        <f t="shared" si="203"/>
        <v>CU0448001</v>
      </c>
      <c r="CE387" s="442" t="str">
        <f t="shared" si="204"/>
        <v>2019年10月</v>
      </c>
      <c r="CF387" s="418" t="str">
        <f t="shared" si="205"/>
        <v>蓝色光标clife服务费暂估</v>
      </c>
      <c r="CG387" s="418" t="str">
        <f t="shared" si="206"/>
        <v>2019年10月蓝色光标clife服务费暂估</v>
      </c>
    </row>
    <row r="388" spans="2:85" s="447" customFormat="1" ht="17.25" customHeight="1">
      <c r="B388" s="447" t="str">
        <f t="shared" si="222"/>
        <v>CU0460</v>
      </c>
      <c r="C388" s="431" t="s">
        <v>755</v>
      </c>
      <c r="D388" s="367" t="s">
        <v>1880</v>
      </c>
      <c r="E388" s="367" t="s">
        <v>1879</v>
      </c>
      <c r="F388" s="439">
        <v>43739</v>
      </c>
      <c r="G388" s="448">
        <v>292.64999999999998</v>
      </c>
      <c r="H388" s="440"/>
      <c r="I388" s="440">
        <f t="shared" si="180"/>
        <v>292.64999999999998</v>
      </c>
      <c r="J388" s="440"/>
      <c r="L388" s="462">
        <f t="shared" si="181"/>
        <v>292.64999999999998</v>
      </c>
      <c r="M388" s="462"/>
      <c r="N388" s="444"/>
      <c r="O388" s="462">
        <f t="shared" si="182"/>
        <v>292.64999999999998</v>
      </c>
      <c r="R388" s="462">
        <f t="shared" si="183"/>
        <v>292.64999999999998</v>
      </c>
      <c r="U388" s="462">
        <f t="shared" si="184"/>
        <v>292.64999999999998</v>
      </c>
      <c r="X388" s="462">
        <f t="shared" si="185"/>
        <v>292.64999999999998</v>
      </c>
      <c r="AA388" s="462">
        <f t="shared" si="212"/>
        <v>292.64999999999998</v>
      </c>
      <c r="AD388" s="462">
        <f t="shared" si="186"/>
        <v>292.64999999999998</v>
      </c>
      <c r="AG388" s="462">
        <f t="shared" si="187"/>
        <v>292.64999999999998</v>
      </c>
      <c r="AJ388" s="462">
        <f t="shared" ref="AJ388:AJ394" si="223">AG388-AI388</f>
        <v>292.64999999999998</v>
      </c>
      <c r="AK388" s="447" t="s">
        <v>1906</v>
      </c>
      <c r="AM388" s="462">
        <f t="shared" ref="AM388:AM456" si="224">AJ388-AL388</f>
        <v>292.64999999999998</v>
      </c>
      <c r="AN388" s="447" t="s">
        <v>1977</v>
      </c>
      <c r="AO388" s="447">
        <f>ROUND(310.21/1.06,2)</f>
        <v>292.64999999999998</v>
      </c>
      <c r="AP388" s="462">
        <f t="shared" ref="AP388:AP418" si="225">AM388-AO388</f>
        <v>0</v>
      </c>
      <c r="AQ388" s="447" t="s">
        <v>2005</v>
      </c>
      <c r="AS388" s="459">
        <f t="shared" ref="AS388:AS451" si="226">AP388-AR388</f>
        <v>0</v>
      </c>
      <c r="AV388" s="462">
        <f t="shared" ref="AV388:AV451" si="227">AS388-AU388</f>
        <v>0</v>
      </c>
      <c r="AY388" s="462">
        <f t="shared" ref="AY388:AY451" si="228">AV388-AX388</f>
        <v>0</v>
      </c>
      <c r="BB388" s="462">
        <f t="shared" ref="BB388:BB451" si="229">AY388-BA388</f>
        <v>0</v>
      </c>
      <c r="BC388" s="447" t="s">
        <v>2204</v>
      </c>
      <c r="BE388" s="462">
        <f t="shared" ref="BE388:BE451" si="230">BB388-BD388</f>
        <v>0</v>
      </c>
      <c r="BH388" s="462">
        <f t="shared" ref="BH388:BH451" si="231">BE388-BG388</f>
        <v>0</v>
      </c>
      <c r="BK388" s="462">
        <f t="shared" ref="BK388:BK451" si="232">BH388-BJ388</f>
        <v>0</v>
      </c>
      <c r="BN388" s="462">
        <f t="shared" ref="BN388:BN451" si="233">BK388-BM388</f>
        <v>0</v>
      </c>
      <c r="BQ388" s="462">
        <f t="shared" ref="BQ388:BQ451" si="234">ROUND((BN388-BP388),2)</f>
        <v>0</v>
      </c>
      <c r="BT388" s="462">
        <f t="shared" ref="BT388:BT451" si="235">ROUND((BQ388-BS388),2)</f>
        <v>0</v>
      </c>
      <c r="BW388" s="462">
        <f t="shared" ref="BW388:BW451" si="236">ROUND((BT388-BV388),2)</f>
        <v>0</v>
      </c>
      <c r="BZ388" s="462">
        <f t="shared" ref="BZ388:BZ451" si="237">ROUND((BW388-BY388),2)</f>
        <v>0</v>
      </c>
      <c r="CD388" s="418" t="str">
        <f t="shared" ref="CD388:CD451" si="238">B388&amp;$B$1</f>
        <v>CU0460001</v>
      </c>
      <c r="CE388" s="442" t="str">
        <f t="shared" ref="CE388:CE451" si="239">YEAR(F388)&amp;"年"&amp;MONTH(F388)&amp;"月"</f>
        <v>2019年10月</v>
      </c>
      <c r="CF388" s="418" t="str">
        <f t="shared" ref="CF388:CF451" si="240">LEFT(E388,5)&amp;$E$1</f>
        <v>新疆金风科clife服务费暂估</v>
      </c>
      <c r="CG388" s="418" t="str">
        <f t="shared" ref="CG388:CG451" si="241">CE388&amp;CF388</f>
        <v>2019年10月新疆金风科clife服务费暂估</v>
      </c>
    </row>
    <row r="389" spans="2:85" s="447" customFormat="1" ht="17.25" customHeight="1">
      <c r="B389" s="447" t="str">
        <f t="shared" si="222"/>
        <v>CU0531</v>
      </c>
      <c r="C389" s="431" t="s">
        <v>755</v>
      </c>
      <c r="D389" s="367" t="s">
        <v>1881</v>
      </c>
      <c r="E389" s="367" t="s">
        <v>134</v>
      </c>
      <c r="F389" s="439">
        <v>43739</v>
      </c>
      <c r="G389" s="448">
        <v>29554.2</v>
      </c>
      <c r="H389" s="440"/>
      <c r="I389" s="440">
        <f t="shared" si="180"/>
        <v>29554.2</v>
      </c>
      <c r="J389" s="440"/>
      <c r="L389" s="462">
        <f t="shared" si="181"/>
        <v>29554.2</v>
      </c>
      <c r="M389" s="462"/>
      <c r="N389" s="444"/>
      <c r="O389" s="462">
        <f t="shared" si="182"/>
        <v>29554.2</v>
      </c>
      <c r="R389" s="462">
        <f t="shared" si="183"/>
        <v>29554.2</v>
      </c>
      <c r="U389" s="462">
        <f t="shared" si="184"/>
        <v>29554.2</v>
      </c>
      <c r="X389" s="462">
        <f t="shared" si="185"/>
        <v>29554.2</v>
      </c>
      <c r="AA389" s="462">
        <f t="shared" si="212"/>
        <v>29554.2</v>
      </c>
      <c r="AD389" s="462">
        <f t="shared" si="186"/>
        <v>29554.2</v>
      </c>
      <c r="AG389" s="462">
        <f t="shared" si="187"/>
        <v>29554.2</v>
      </c>
      <c r="AJ389" s="462">
        <f t="shared" si="223"/>
        <v>29554.2</v>
      </c>
      <c r="AK389" s="447" t="s">
        <v>1906</v>
      </c>
      <c r="AM389" s="462">
        <f t="shared" si="224"/>
        <v>29554.2</v>
      </c>
      <c r="AN389" s="447" t="s">
        <v>1977</v>
      </c>
      <c r="AP389" s="462">
        <f t="shared" si="225"/>
        <v>29554.2</v>
      </c>
      <c r="AQ389" s="447" t="s">
        <v>2005</v>
      </c>
      <c r="AS389" s="459">
        <f t="shared" si="226"/>
        <v>29554.2</v>
      </c>
      <c r="AV389" s="462">
        <f t="shared" si="227"/>
        <v>29554.2</v>
      </c>
      <c r="AW389" s="447" t="s">
        <v>2107</v>
      </c>
      <c r="AX389" s="462">
        <f>100000-AX6-AX15-AX16-AX304-AX331-AX361</f>
        <v>10934.529999999999</v>
      </c>
      <c r="AY389" s="462">
        <f t="shared" si="228"/>
        <v>18619.670000000002</v>
      </c>
      <c r="AZ389" s="447" t="s">
        <v>2131</v>
      </c>
      <c r="BB389" s="462">
        <f t="shared" si="229"/>
        <v>18619.670000000002</v>
      </c>
      <c r="BC389" s="447" t="s">
        <v>2204</v>
      </c>
      <c r="BE389" s="462">
        <f t="shared" si="230"/>
        <v>18619.670000000002</v>
      </c>
      <c r="BF389" s="447" t="s">
        <v>2237</v>
      </c>
      <c r="BH389" s="462">
        <f t="shared" si="231"/>
        <v>18619.670000000002</v>
      </c>
      <c r="BI389" s="447" t="s">
        <v>2292</v>
      </c>
      <c r="BK389" s="462">
        <f t="shared" si="232"/>
        <v>18619.670000000002</v>
      </c>
      <c r="BL389" s="447" t="s">
        <v>2339</v>
      </c>
      <c r="BM389" s="462">
        <f>BK389</f>
        <v>18619.670000000002</v>
      </c>
      <c r="BN389" s="462">
        <f t="shared" si="233"/>
        <v>0</v>
      </c>
      <c r="BQ389" s="462">
        <f t="shared" si="234"/>
        <v>0</v>
      </c>
      <c r="BT389" s="462">
        <f t="shared" si="235"/>
        <v>0</v>
      </c>
      <c r="BW389" s="462">
        <f t="shared" si="236"/>
        <v>0</v>
      </c>
      <c r="BZ389" s="462">
        <f t="shared" si="237"/>
        <v>0</v>
      </c>
      <c r="CD389" s="418" t="str">
        <f t="shared" si="238"/>
        <v>CU0531001</v>
      </c>
      <c r="CE389" s="442" t="str">
        <f t="shared" si="239"/>
        <v>2019年10月</v>
      </c>
      <c r="CF389" s="418" t="str">
        <f t="shared" si="240"/>
        <v>恩思恩时尚clife服务费暂估</v>
      </c>
      <c r="CG389" s="418" t="str">
        <f t="shared" si="241"/>
        <v>2019年10月恩思恩时尚clife服务费暂估</v>
      </c>
    </row>
    <row r="390" spans="2:85" s="447" customFormat="1" ht="17.25" customHeight="1">
      <c r="B390" s="447" t="str">
        <f t="shared" si="222"/>
        <v>CU0667</v>
      </c>
      <c r="C390" s="431" t="s">
        <v>755</v>
      </c>
      <c r="D390" s="367" t="s">
        <v>1454</v>
      </c>
      <c r="E390" s="367" t="s">
        <v>168</v>
      </c>
      <c r="F390" s="439">
        <v>43739</v>
      </c>
      <c r="G390" s="448">
        <v>855.98</v>
      </c>
      <c r="H390" s="440"/>
      <c r="I390" s="440">
        <f t="shared" si="180"/>
        <v>855.98</v>
      </c>
      <c r="J390" s="440"/>
      <c r="L390" s="462">
        <f t="shared" si="181"/>
        <v>855.98</v>
      </c>
      <c r="M390" s="462"/>
      <c r="N390" s="444"/>
      <c r="O390" s="462">
        <f t="shared" si="182"/>
        <v>855.98</v>
      </c>
      <c r="R390" s="462">
        <f t="shared" si="183"/>
        <v>855.98</v>
      </c>
      <c r="U390" s="462">
        <f t="shared" si="184"/>
        <v>855.98</v>
      </c>
      <c r="X390" s="462">
        <f t="shared" si="185"/>
        <v>855.98</v>
      </c>
      <c r="AA390" s="462">
        <f t="shared" si="212"/>
        <v>855.98</v>
      </c>
      <c r="AD390" s="462">
        <f t="shared" si="186"/>
        <v>855.98</v>
      </c>
      <c r="AG390" s="462">
        <f t="shared" si="187"/>
        <v>855.98</v>
      </c>
      <c r="AJ390" s="462">
        <f t="shared" si="223"/>
        <v>855.98</v>
      </c>
      <c r="AK390" s="447" t="s">
        <v>1906</v>
      </c>
      <c r="AM390" s="462">
        <f t="shared" si="224"/>
        <v>855.98</v>
      </c>
      <c r="AN390" s="447" t="s">
        <v>1977</v>
      </c>
      <c r="AO390" s="462">
        <f>1900+909-AO305-AO336-AO363</f>
        <v>466.94000000000005</v>
      </c>
      <c r="AP390" s="462">
        <f t="shared" si="225"/>
        <v>389.03999999999996</v>
      </c>
      <c r="AQ390" s="447" t="s">
        <v>2005</v>
      </c>
      <c r="AS390" s="459">
        <f t="shared" si="226"/>
        <v>389.03999999999996</v>
      </c>
      <c r="AV390" s="462">
        <f t="shared" si="227"/>
        <v>389.03999999999996</v>
      </c>
      <c r="AW390" s="447" t="s">
        <v>2107</v>
      </c>
      <c r="AY390" s="462">
        <f t="shared" si="228"/>
        <v>389.03999999999996</v>
      </c>
      <c r="AZ390" s="447" t="s">
        <v>2131</v>
      </c>
      <c r="BA390" s="462">
        <f>AY390</f>
        <v>389.03999999999996</v>
      </c>
      <c r="BB390" s="462">
        <f t="shared" si="229"/>
        <v>0</v>
      </c>
      <c r="BC390" s="447" t="s">
        <v>2204</v>
      </c>
      <c r="BE390" s="462">
        <f t="shared" si="230"/>
        <v>0</v>
      </c>
      <c r="BH390" s="462">
        <f t="shared" si="231"/>
        <v>0</v>
      </c>
      <c r="BK390" s="462">
        <f t="shared" si="232"/>
        <v>0</v>
      </c>
      <c r="BN390" s="462">
        <f t="shared" si="233"/>
        <v>0</v>
      </c>
      <c r="BQ390" s="462">
        <f t="shared" si="234"/>
        <v>0</v>
      </c>
      <c r="BT390" s="462">
        <f t="shared" si="235"/>
        <v>0</v>
      </c>
      <c r="BW390" s="462">
        <f t="shared" si="236"/>
        <v>0</v>
      </c>
      <c r="BZ390" s="462">
        <f t="shared" si="237"/>
        <v>0</v>
      </c>
      <c r="CD390" s="418" t="str">
        <f t="shared" si="238"/>
        <v>CU0667001</v>
      </c>
      <c r="CE390" s="442" t="str">
        <f t="shared" si="239"/>
        <v>2019年10月</v>
      </c>
      <c r="CF390" s="418" t="str">
        <f t="shared" si="240"/>
        <v>北京杰迪安clife服务费暂估</v>
      </c>
      <c r="CG390" s="418" t="str">
        <f t="shared" si="241"/>
        <v>2019年10月北京杰迪安clife服务费暂估</v>
      </c>
    </row>
    <row r="391" spans="2:85" s="447" customFormat="1" ht="17.25" customHeight="1">
      <c r="B391" s="447" t="str">
        <f t="shared" si="222"/>
        <v>CU0734</v>
      </c>
      <c r="C391" s="431" t="s">
        <v>755</v>
      </c>
      <c r="D391" s="367" t="s">
        <v>1649</v>
      </c>
      <c r="E391" s="367" t="s">
        <v>1882</v>
      </c>
      <c r="F391" s="439">
        <v>43739</v>
      </c>
      <c r="G391" s="448">
        <v>156170</v>
      </c>
      <c r="H391" s="440"/>
      <c r="I391" s="440">
        <f t="shared" si="180"/>
        <v>156170</v>
      </c>
      <c r="J391" s="440"/>
      <c r="L391" s="462">
        <f t="shared" si="181"/>
        <v>156170</v>
      </c>
      <c r="M391" s="462"/>
      <c r="N391" s="444"/>
      <c r="O391" s="462">
        <f t="shared" si="182"/>
        <v>156170</v>
      </c>
      <c r="R391" s="462">
        <f t="shared" si="183"/>
        <v>156170</v>
      </c>
      <c r="U391" s="462">
        <f t="shared" si="184"/>
        <v>156170</v>
      </c>
      <c r="X391" s="462">
        <f t="shared" si="185"/>
        <v>156170</v>
      </c>
      <c r="AA391" s="462">
        <f t="shared" si="212"/>
        <v>156170</v>
      </c>
      <c r="AD391" s="462">
        <f t="shared" si="186"/>
        <v>156170</v>
      </c>
      <c r="AG391" s="462">
        <f t="shared" si="187"/>
        <v>156170</v>
      </c>
      <c r="AJ391" s="462">
        <f t="shared" si="223"/>
        <v>156170</v>
      </c>
      <c r="AK391" s="447" t="s">
        <v>1906</v>
      </c>
      <c r="AM391" s="462">
        <f t="shared" si="224"/>
        <v>156170</v>
      </c>
      <c r="AN391" s="447" t="s">
        <v>1977</v>
      </c>
      <c r="AP391" s="462">
        <f t="shared" si="225"/>
        <v>156170</v>
      </c>
      <c r="AQ391" s="447" t="s">
        <v>2005</v>
      </c>
      <c r="AS391" s="459">
        <f t="shared" si="226"/>
        <v>156170</v>
      </c>
      <c r="AU391" s="462">
        <f>ROUND(99870.32/1.06,2)-AU338</f>
        <v>93764.28</v>
      </c>
      <c r="AV391" s="462">
        <f t="shared" si="227"/>
        <v>62405.72</v>
      </c>
      <c r="AW391" s="447" t="s">
        <v>2107</v>
      </c>
      <c r="AY391" s="462">
        <f t="shared" si="228"/>
        <v>62405.72</v>
      </c>
      <c r="AZ391" s="447" t="s">
        <v>2131</v>
      </c>
      <c r="BB391" s="462">
        <f t="shared" si="229"/>
        <v>62405.72</v>
      </c>
      <c r="BC391" s="447" t="s">
        <v>2204</v>
      </c>
      <c r="BE391" s="462">
        <f t="shared" si="230"/>
        <v>62405.72</v>
      </c>
      <c r="BF391" s="447" t="s">
        <v>2237</v>
      </c>
      <c r="BH391" s="462">
        <f t="shared" si="231"/>
        <v>62405.72</v>
      </c>
      <c r="BI391" s="447" t="s">
        <v>2292</v>
      </c>
      <c r="BK391" s="462">
        <f t="shared" si="232"/>
        <v>62405.72</v>
      </c>
      <c r="BL391" s="447" t="s">
        <v>2339</v>
      </c>
      <c r="BN391" s="462">
        <f t="shared" si="233"/>
        <v>62405.72</v>
      </c>
      <c r="BO391" s="447" t="s">
        <v>2365</v>
      </c>
      <c r="BP391" s="447">
        <f>ROUND(61076.25/1.06,2)</f>
        <v>57619.1</v>
      </c>
      <c r="BQ391" s="462">
        <f t="shared" si="234"/>
        <v>4786.62</v>
      </c>
      <c r="BR391" s="447" t="s">
        <v>2374</v>
      </c>
      <c r="BT391" s="462">
        <f t="shared" si="235"/>
        <v>4786.62</v>
      </c>
      <c r="BU391" s="447" t="s">
        <v>2134</v>
      </c>
      <c r="BV391" s="462">
        <f>BT391</f>
        <v>4786.62</v>
      </c>
      <c r="BW391" s="462">
        <f t="shared" si="236"/>
        <v>0</v>
      </c>
      <c r="BZ391" s="462">
        <f t="shared" si="237"/>
        <v>0</v>
      </c>
      <c r="CD391" s="418" t="str">
        <f t="shared" si="238"/>
        <v>CU0734001</v>
      </c>
      <c r="CE391" s="442" t="str">
        <f t="shared" si="239"/>
        <v>2019年10月</v>
      </c>
      <c r="CF391" s="418" t="str">
        <f t="shared" si="240"/>
        <v>蒂森克虏伯clife服务费暂估</v>
      </c>
      <c r="CG391" s="418" t="str">
        <f t="shared" si="241"/>
        <v>2019年10月蒂森克虏伯clife服务费暂估</v>
      </c>
    </row>
    <row r="392" spans="2:85" s="447" customFormat="1" ht="17.25" customHeight="1">
      <c r="B392" s="447" t="str">
        <f t="shared" si="222"/>
        <v>CU0736</v>
      </c>
      <c r="C392" s="431" t="s">
        <v>755</v>
      </c>
      <c r="D392" s="367" t="s">
        <v>1651</v>
      </c>
      <c r="E392" s="367" t="s">
        <v>1883</v>
      </c>
      <c r="F392" s="439">
        <v>43739</v>
      </c>
      <c r="G392" s="448">
        <v>93018.87</v>
      </c>
      <c r="H392" s="440"/>
      <c r="I392" s="440">
        <f t="shared" si="180"/>
        <v>93018.87</v>
      </c>
      <c r="J392" s="440"/>
      <c r="L392" s="462">
        <f t="shared" si="181"/>
        <v>93018.87</v>
      </c>
      <c r="M392" s="462"/>
      <c r="N392" s="444"/>
      <c r="O392" s="462">
        <f t="shared" si="182"/>
        <v>93018.87</v>
      </c>
      <c r="R392" s="462">
        <f t="shared" si="183"/>
        <v>93018.87</v>
      </c>
      <c r="U392" s="462">
        <f t="shared" si="184"/>
        <v>93018.87</v>
      </c>
      <c r="X392" s="462">
        <f t="shared" si="185"/>
        <v>93018.87</v>
      </c>
      <c r="AA392" s="462">
        <f t="shared" si="212"/>
        <v>93018.87</v>
      </c>
      <c r="AD392" s="462">
        <f t="shared" si="186"/>
        <v>93018.87</v>
      </c>
      <c r="AG392" s="462">
        <f t="shared" si="187"/>
        <v>93018.87</v>
      </c>
      <c r="AJ392" s="462">
        <f t="shared" si="223"/>
        <v>93018.87</v>
      </c>
      <c r="AK392" s="447" t="s">
        <v>1906</v>
      </c>
      <c r="AL392" s="447">
        <f>ROUND(98600/1.06,2)</f>
        <v>93018.87</v>
      </c>
      <c r="AM392" s="462">
        <f t="shared" si="224"/>
        <v>0</v>
      </c>
      <c r="AN392" s="447" t="s">
        <v>1977</v>
      </c>
      <c r="AP392" s="462">
        <f t="shared" si="225"/>
        <v>0</v>
      </c>
      <c r="AQ392" s="447" t="s">
        <v>2005</v>
      </c>
      <c r="AS392" s="459">
        <f t="shared" si="226"/>
        <v>0</v>
      </c>
      <c r="AV392" s="462">
        <f t="shared" si="227"/>
        <v>0</v>
      </c>
      <c r="AY392" s="462">
        <f t="shared" si="228"/>
        <v>0</v>
      </c>
      <c r="BB392" s="462">
        <f t="shared" si="229"/>
        <v>0</v>
      </c>
      <c r="BC392" s="447" t="s">
        <v>2204</v>
      </c>
      <c r="BE392" s="462">
        <f t="shared" si="230"/>
        <v>0</v>
      </c>
      <c r="BH392" s="462">
        <f t="shared" si="231"/>
        <v>0</v>
      </c>
      <c r="BK392" s="462">
        <f t="shared" si="232"/>
        <v>0</v>
      </c>
      <c r="BN392" s="462">
        <f t="shared" si="233"/>
        <v>0</v>
      </c>
      <c r="BQ392" s="462">
        <f t="shared" si="234"/>
        <v>0</v>
      </c>
      <c r="BT392" s="462">
        <f t="shared" si="235"/>
        <v>0</v>
      </c>
      <c r="BW392" s="462">
        <f t="shared" si="236"/>
        <v>0</v>
      </c>
      <c r="BZ392" s="462">
        <f t="shared" si="237"/>
        <v>0</v>
      </c>
      <c r="CD392" s="418" t="str">
        <f t="shared" si="238"/>
        <v>CU0736001</v>
      </c>
      <c r="CE392" s="442" t="str">
        <f t="shared" si="239"/>
        <v>2019年10月</v>
      </c>
      <c r="CF392" s="418" t="str">
        <f t="shared" si="240"/>
        <v>深圳市前海clife服务费暂估</v>
      </c>
      <c r="CG392" s="418" t="str">
        <f t="shared" si="241"/>
        <v>2019年10月深圳市前海clife服务费暂估</v>
      </c>
    </row>
    <row r="393" spans="2:85" s="447" customFormat="1" ht="17.25" customHeight="1">
      <c r="B393" s="447" t="str">
        <f t="shared" si="222"/>
        <v>CU0782</v>
      </c>
      <c r="C393" s="431" t="s">
        <v>755</v>
      </c>
      <c r="D393" s="367" t="s">
        <v>1652</v>
      </c>
      <c r="E393" s="367" t="s">
        <v>1884</v>
      </c>
      <c r="F393" s="439">
        <v>43739</v>
      </c>
      <c r="G393" s="448">
        <v>734936.08</v>
      </c>
      <c r="H393" s="440"/>
      <c r="I393" s="440">
        <f t="shared" si="180"/>
        <v>734936.08</v>
      </c>
      <c r="J393" s="440"/>
      <c r="L393" s="462">
        <f t="shared" si="181"/>
        <v>734936.08</v>
      </c>
      <c r="M393" s="462"/>
      <c r="N393" s="444"/>
      <c r="O393" s="462">
        <f t="shared" si="182"/>
        <v>734936.08</v>
      </c>
      <c r="R393" s="462">
        <f t="shared" si="183"/>
        <v>734936.08</v>
      </c>
      <c r="U393" s="462">
        <f t="shared" si="184"/>
        <v>734936.08</v>
      </c>
      <c r="X393" s="462">
        <f t="shared" si="185"/>
        <v>734936.08</v>
      </c>
      <c r="AA393" s="462">
        <f t="shared" si="212"/>
        <v>734936.08</v>
      </c>
      <c r="AD393" s="462">
        <f t="shared" si="186"/>
        <v>734936.08</v>
      </c>
      <c r="AG393" s="462">
        <f t="shared" si="187"/>
        <v>734936.08</v>
      </c>
      <c r="AJ393" s="462">
        <f t="shared" si="223"/>
        <v>734936.08</v>
      </c>
      <c r="AK393" s="447" t="s">
        <v>1906</v>
      </c>
      <c r="AM393" s="462">
        <f t="shared" si="224"/>
        <v>734936.08</v>
      </c>
      <c r="AN393" s="447" t="s">
        <v>1977</v>
      </c>
      <c r="AO393" s="447">
        <v>3500</v>
      </c>
      <c r="AP393" s="462">
        <f t="shared" si="225"/>
        <v>731436.08</v>
      </c>
      <c r="AQ393" s="447" t="s">
        <v>2005</v>
      </c>
      <c r="AR393" s="462">
        <f>500000-AR307-AR340+30000+300000</f>
        <v>550406.61999999988</v>
      </c>
      <c r="AS393" s="459">
        <f t="shared" si="226"/>
        <v>181029.46000000008</v>
      </c>
      <c r="AU393" s="461">
        <f>AS393</f>
        <v>181029.46000000008</v>
      </c>
      <c r="AV393" s="462">
        <f t="shared" si="227"/>
        <v>0</v>
      </c>
      <c r="AY393" s="462">
        <f t="shared" si="228"/>
        <v>0</v>
      </c>
      <c r="BB393" s="462">
        <f t="shared" si="229"/>
        <v>0</v>
      </c>
      <c r="BC393" s="447" t="s">
        <v>2204</v>
      </c>
      <c r="BE393" s="462">
        <f t="shared" si="230"/>
        <v>0</v>
      </c>
      <c r="BH393" s="462">
        <f t="shared" si="231"/>
        <v>0</v>
      </c>
      <c r="BK393" s="462">
        <f t="shared" si="232"/>
        <v>0</v>
      </c>
      <c r="BN393" s="462">
        <f t="shared" si="233"/>
        <v>0</v>
      </c>
      <c r="BQ393" s="462">
        <f t="shared" si="234"/>
        <v>0</v>
      </c>
      <c r="BT393" s="462">
        <f t="shared" si="235"/>
        <v>0</v>
      </c>
      <c r="BW393" s="462">
        <f t="shared" si="236"/>
        <v>0</v>
      </c>
      <c r="BZ393" s="462">
        <f t="shared" si="237"/>
        <v>0</v>
      </c>
      <c r="CD393" s="418" t="str">
        <f t="shared" si="238"/>
        <v>CU0782001</v>
      </c>
      <c r="CE393" s="442" t="str">
        <f t="shared" si="239"/>
        <v>2019年10月</v>
      </c>
      <c r="CF393" s="418" t="str">
        <f t="shared" si="240"/>
        <v>天职集团clife服务费暂估</v>
      </c>
      <c r="CG393" s="418" t="str">
        <f t="shared" si="241"/>
        <v>2019年10月天职集团clife服务费暂估</v>
      </c>
    </row>
    <row r="394" spans="2:85" s="447" customFormat="1" ht="17.25" customHeight="1">
      <c r="B394" s="447" t="str">
        <f t="shared" si="222"/>
        <v>CU0812</v>
      </c>
      <c r="C394" s="431" t="s">
        <v>755</v>
      </c>
      <c r="D394" s="367" t="s">
        <v>1455</v>
      </c>
      <c r="E394" s="367" t="s">
        <v>1885</v>
      </c>
      <c r="F394" s="439">
        <v>43739</v>
      </c>
      <c r="G394" s="448">
        <v>3390.75</v>
      </c>
      <c r="H394" s="440"/>
      <c r="I394" s="440">
        <f t="shared" si="180"/>
        <v>3390.75</v>
      </c>
      <c r="J394" s="440"/>
      <c r="L394" s="462">
        <f t="shared" si="181"/>
        <v>3390.75</v>
      </c>
      <c r="M394" s="462"/>
      <c r="N394" s="444"/>
      <c r="O394" s="462">
        <f t="shared" si="182"/>
        <v>3390.75</v>
      </c>
      <c r="R394" s="462">
        <f t="shared" si="183"/>
        <v>3390.75</v>
      </c>
      <c r="U394" s="462">
        <f t="shared" si="184"/>
        <v>3390.75</v>
      </c>
      <c r="X394" s="462">
        <f t="shared" si="185"/>
        <v>3390.75</v>
      </c>
      <c r="AA394" s="462">
        <f t="shared" si="212"/>
        <v>3390.75</v>
      </c>
      <c r="AD394" s="462">
        <f t="shared" si="186"/>
        <v>3390.75</v>
      </c>
      <c r="AG394" s="462">
        <f t="shared" si="187"/>
        <v>3390.75</v>
      </c>
      <c r="AJ394" s="462">
        <f t="shared" si="223"/>
        <v>3390.75</v>
      </c>
      <c r="AK394" s="447" t="s">
        <v>1906</v>
      </c>
      <c r="AM394" s="462">
        <f t="shared" si="224"/>
        <v>3390.75</v>
      </c>
      <c r="AN394" s="447" t="s">
        <v>1977</v>
      </c>
      <c r="AP394" s="462">
        <f t="shared" si="225"/>
        <v>3390.75</v>
      </c>
      <c r="AQ394" s="447" t="s">
        <v>2005</v>
      </c>
      <c r="AS394" s="459">
        <f t="shared" si="226"/>
        <v>3390.75</v>
      </c>
      <c r="AV394" s="462">
        <f t="shared" si="227"/>
        <v>3390.75</v>
      </c>
      <c r="AW394" s="447" t="s">
        <v>2107</v>
      </c>
      <c r="AY394" s="462">
        <f t="shared" si="228"/>
        <v>3390.75</v>
      </c>
      <c r="AZ394" s="447" t="s">
        <v>2131</v>
      </c>
      <c r="BB394" s="462">
        <f t="shared" si="229"/>
        <v>3390.75</v>
      </c>
      <c r="BC394" s="447" t="s">
        <v>2204</v>
      </c>
      <c r="BE394" s="462">
        <f t="shared" si="230"/>
        <v>3390.75</v>
      </c>
      <c r="BF394" s="447" t="s">
        <v>2237</v>
      </c>
      <c r="BH394" s="462">
        <f t="shared" si="231"/>
        <v>3390.75</v>
      </c>
      <c r="BI394" s="447" t="s">
        <v>2292</v>
      </c>
      <c r="BK394" s="462">
        <f t="shared" si="232"/>
        <v>3390.75</v>
      </c>
      <c r="BL394" s="447" t="s">
        <v>2339</v>
      </c>
      <c r="BN394" s="462">
        <f t="shared" si="233"/>
        <v>3390.75</v>
      </c>
      <c r="BO394" s="447" t="s">
        <v>2365</v>
      </c>
      <c r="BP394" s="462">
        <f>BN394</f>
        <v>3390.75</v>
      </c>
      <c r="BQ394" s="462">
        <f t="shared" si="234"/>
        <v>0</v>
      </c>
      <c r="BT394" s="462">
        <f t="shared" si="235"/>
        <v>0</v>
      </c>
      <c r="BW394" s="462">
        <f t="shared" si="236"/>
        <v>0</v>
      </c>
      <c r="BZ394" s="462">
        <f t="shared" si="237"/>
        <v>0</v>
      </c>
      <c r="CD394" s="418" t="str">
        <f t="shared" si="238"/>
        <v>CU0812001</v>
      </c>
      <c r="CE394" s="442" t="str">
        <f t="shared" si="239"/>
        <v>2019年10月</v>
      </c>
      <c r="CF394" s="418" t="str">
        <f t="shared" si="240"/>
        <v>恩派clife服务费暂估</v>
      </c>
      <c r="CG394" s="418" t="str">
        <f t="shared" si="241"/>
        <v>2019年10月恩派clife服务费暂估</v>
      </c>
    </row>
    <row r="395" spans="2:85" s="447" customFormat="1" ht="17.25" customHeight="1">
      <c r="B395" s="447" t="str">
        <f t="shared" si="222"/>
        <v>CU0822</v>
      </c>
      <c r="C395" s="431" t="s">
        <v>755</v>
      </c>
      <c r="D395" s="367" t="s">
        <v>1456</v>
      </c>
      <c r="E395" s="367" t="s">
        <v>1886</v>
      </c>
      <c r="F395" s="439">
        <v>43739</v>
      </c>
      <c r="G395" s="448">
        <v>20304.77</v>
      </c>
      <c r="H395" s="440"/>
      <c r="I395" s="440">
        <f t="shared" ref="I395:I456" si="242">G395-H395</f>
        <v>20304.77</v>
      </c>
      <c r="J395" s="440"/>
      <c r="L395" s="462">
        <f t="shared" ref="L395:L456" si="243">I395-K395</f>
        <v>20304.77</v>
      </c>
      <c r="M395" s="462"/>
      <c r="N395" s="444"/>
      <c r="O395" s="462">
        <f t="shared" ref="O395:O456" si="244">L395-N395</f>
        <v>20304.77</v>
      </c>
      <c r="R395" s="462">
        <f t="shared" ref="R395:R456" si="245">O395-Q395</f>
        <v>20304.77</v>
      </c>
      <c r="U395" s="462">
        <f t="shared" ref="U395:U456" si="246">R395-T395</f>
        <v>20304.77</v>
      </c>
      <c r="X395" s="462">
        <f t="shared" ref="X395:X456" si="247">U395-W395</f>
        <v>20304.77</v>
      </c>
      <c r="AA395" s="462">
        <f t="shared" ref="AA395:AA456" si="248">X395-Z395</f>
        <v>20304.77</v>
      </c>
      <c r="AD395" s="462">
        <f t="shared" ref="AD395:AD456" si="249">AA395-AC395</f>
        <v>20304.77</v>
      </c>
      <c r="AG395" s="462">
        <f t="shared" ref="AG395:AG456" si="250">AD395-AF395</f>
        <v>20304.77</v>
      </c>
      <c r="AJ395" s="462">
        <f t="shared" ref="AJ395:AJ456" si="251">AG395-AI395</f>
        <v>20304.77</v>
      </c>
      <c r="AK395" s="447" t="s">
        <v>1906</v>
      </c>
      <c r="AM395" s="462">
        <f t="shared" si="224"/>
        <v>20304.77</v>
      </c>
      <c r="AN395" s="447" t="s">
        <v>1977</v>
      </c>
      <c r="AP395" s="462">
        <f t="shared" si="225"/>
        <v>20304.77</v>
      </c>
      <c r="AQ395" s="447" t="s">
        <v>2005</v>
      </c>
      <c r="AS395" s="459">
        <f t="shared" si="226"/>
        <v>20304.77</v>
      </c>
      <c r="AV395" s="462">
        <f t="shared" si="227"/>
        <v>20304.77</v>
      </c>
      <c r="AW395" s="447" t="s">
        <v>2107</v>
      </c>
      <c r="AY395" s="462">
        <f t="shared" si="228"/>
        <v>20304.77</v>
      </c>
      <c r="AZ395" s="447" t="s">
        <v>2131</v>
      </c>
      <c r="BB395" s="462">
        <f t="shared" si="229"/>
        <v>20304.77</v>
      </c>
      <c r="BC395" s="447" t="s">
        <v>2204</v>
      </c>
      <c r="BE395" s="462">
        <f t="shared" si="230"/>
        <v>20304.77</v>
      </c>
      <c r="BF395" s="447" t="s">
        <v>2237</v>
      </c>
      <c r="BH395" s="462">
        <f t="shared" si="231"/>
        <v>20304.77</v>
      </c>
      <c r="BI395" s="447" t="s">
        <v>2292</v>
      </c>
      <c r="BK395" s="462">
        <f t="shared" si="232"/>
        <v>20304.77</v>
      </c>
      <c r="BL395" s="447" t="s">
        <v>2339</v>
      </c>
      <c r="BN395" s="462">
        <f t="shared" si="233"/>
        <v>20304.77</v>
      </c>
      <c r="BO395" s="447" t="s">
        <v>2365</v>
      </c>
      <c r="BP395" s="462">
        <f>BN395</f>
        <v>20304.77</v>
      </c>
      <c r="BQ395" s="462">
        <f t="shared" si="234"/>
        <v>0</v>
      </c>
      <c r="BT395" s="462">
        <f t="shared" si="235"/>
        <v>0</v>
      </c>
      <c r="BW395" s="462">
        <f t="shared" si="236"/>
        <v>0</v>
      </c>
      <c r="BZ395" s="462">
        <f t="shared" si="237"/>
        <v>0</v>
      </c>
      <c r="CD395" s="418" t="str">
        <f t="shared" si="238"/>
        <v>CU0822001</v>
      </c>
      <c r="CE395" s="442" t="str">
        <f t="shared" si="239"/>
        <v>2019年10月</v>
      </c>
      <c r="CF395" s="418" t="str">
        <f t="shared" si="240"/>
        <v>美克国际家clife服务费暂估</v>
      </c>
      <c r="CG395" s="418" t="str">
        <f t="shared" si="241"/>
        <v>2019年10月美克国际家clife服务费暂估</v>
      </c>
    </row>
    <row r="396" spans="2:85" s="447" customFormat="1" ht="17.25" customHeight="1">
      <c r="B396" s="447" t="str">
        <f t="shared" si="222"/>
        <v>CU0823</v>
      </c>
      <c r="C396" s="431" t="s">
        <v>755</v>
      </c>
      <c r="D396" s="367" t="s">
        <v>1457</v>
      </c>
      <c r="E396" s="367" t="s">
        <v>1887</v>
      </c>
      <c r="F396" s="439">
        <v>43739</v>
      </c>
      <c r="G396" s="448">
        <v>68724.72</v>
      </c>
      <c r="H396" s="440"/>
      <c r="I396" s="440">
        <f t="shared" si="242"/>
        <v>68724.72</v>
      </c>
      <c r="J396" s="440"/>
      <c r="L396" s="462">
        <f t="shared" si="243"/>
        <v>68724.72</v>
      </c>
      <c r="M396" s="462"/>
      <c r="N396" s="444"/>
      <c r="O396" s="462">
        <f t="shared" si="244"/>
        <v>68724.72</v>
      </c>
      <c r="R396" s="462">
        <f t="shared" si="245"/>
        <v>68724.72</v>
      </c>
      <c r="U396" s="462">
        <f t="shared" si="246"/>
        <v>68724.72</v>
      </c>
      <c r="X396" s="462">
        <f t="shared" si="247"/>
        <v>68724.72</v>
      </c>
      <c r="AA396" s="462">
        <f t="shared" si="248"/>
        <v>68724.72</v>
      </c>
      <c r="AD396" s="462">
        <f t="shared" si="249"/>
        <v>68724.72</v>
      </c>
      <c r="AG396" s="462">
        <f t="shared" si="250"/>
        <v>68724.72</v>
      </c>
      <c r="AJ396" s="462">
        <f t="shared" si="251"/>
        <v>68724.72</v>
      </c>
      <c r="AK396" s="447" t="s">
        <v>1906</v>
      </c>
      <c r="AM396" s="462">
        <f t="shared" si="224"/>
        <v>68724.72</v>
      </c>
      <c r="AN396" s="447" t="s">
        <v>1977</v>
      </c>
      <c r="AP396" s="462">
        <f t="shared" si="225"/>
        <v>68724.72</v>
      </c>
      <c r="AQ396" s="447" t="s">
        <v>2005</v>
      </c>
      <c r="AS396" s="459">
        <f t="shared" si="226"/>
        <v>68724.72</v>
      </c>
      <c r="AV396" s="462">
        <f t="shared" si="227"/>
        <v>68724.72</v>
      </c>
      <c r="AW396" s="447" t="s">
        <v>2107</v>
      </c>
      <c r="AY396" s="462">
        <f t="shared" si="228"/>
        <v>68724.72</v>
      </c>
      <c r="AZ396" s="447" t="s">
        <v>2131</v>
      </c>
      <c r="BB396" s="462">
        <f t="shared" si="229"/>
        <v>68724.72</v>
      </c>
      <c r="BC396" s="447" t="s">
        <v>2204</v>
      </c>
      <c r="BE396" s="462">
        <f t="shared" si="230"/>
        <v>68724.72</v>
      </c>
      <c r="BF396" s="447" t="s">
        <v>2237</v>
      </c>
      <c r="BH396" s="462">
        <f t="shared" si="231"/>
        <v>68724.72</v>
      </c>
      <c r="BI396" s="447" t="s">
        <v>2292</v>
      </c>
      <c r="BK396" s="462">
        <f t="shared" si="232"/>
        <v>68724.72</v>
      </c>
      <c r="BL396" s="447" t="s">
        <v>2339</v>
      </c>
      <c r="BN396" s="462">
        <f t="shared" si="233"/>
        <v>68724.72</v>
      </c>
      <c r="BO396" s="447" t="s">
        <v>2365</v>
      </c>
      <c r="BQ396" s="462">
        <f t="shared" si="234"/>
        <v>68724.72</v>
      </c>
      <c r="BR396" s="447" t="s">
        <v>2374</v>
      </c>
      <c r="BT396" s="462">
        <f t="shared" si="235"/>
        <v>68724.72</v>
      </c>
      <c r="BU396" s="447" t="s">
        <v>2134</v>
      </c>
      <c r="BW396" s="462">
        <f t="shared" si="236"/>
        <v>68724.72</v>
      </c>
      <c r="BZ396" s="462">
        <f t="shared" si="237"/>
        <v>68724.72</v>
      </c>
      <c r="CD396" s="418" t="str">
        <f t="shared" si="238"/>
        <v>CU0823001</v>
      </c>
      <c r="CE396" s="442" t="str">
        <f t="shared" si="239"/>
        <v>2019年10月</v>
      </c>
      <c r="CF396" s="418" t="str">
        <f t="shared" si="240"/>
        <v>凯杰生物工clife服务费暂估</v>
      </c>
      <c r="CG396" s="418" t="str">
        <f t="shared" si="241"/>
        <v>2019年10月凯杰生物工clife服务费暂估</v>
      </c>
    </row>
    <row r="397" spans="2:85" s="447" customFormat="1" ht="17.25" customHeight="1">
      <c r="B397" s="447" t="str">
        <f t="shared" si="222"/>
        <v>CU0824</v>
      </c>
      <c r="C397" s="431" t="s">
        <v>755</v>
      </c>
      <c r="D397" s="367" t="s">
        <v>1458</v>
      </c>
      <c r="E397" s="367" t="s">
        <v>1888</v>
      </c>
      <c r="F397" s="439">
        <v>43739</v>
      </c>
      <c r="G397" s="448">
        <v>1337.22</v>
      </c>
      <c r="H397" s="440"/>
      <c r="I397" s="440">
        <f t="shared" si="242"/>
        <v>1337.22</v>
      </c>
      <c r="J397" s="440"/>
      <c r="L397" s="462">
        <f t="shared" si="243"/>
        <v>1337.22</v>
      </c>
      <c r="M397" s="462"/>
      <c r="N397" s="444"/>
      <c r="O397" s="462">
        <f t="shared" si="244"/>
        <v>1337.22</v>
      </c>
      <c r="R397" s="462">
        <f t="shared" si="245"/>
        <v>1337.22</v>
      </c>
      <c r="U397" s="462">
        <f t="shared" si="246"/>
        <v>1337.22</v>
      </c>
      <c r="X397" s="462">
        <f t="shared" si="247"/>
        <v>1337.22</v>
      </c>
      <c r="AA397" s="462">
        <f t="shared" si="248"/>
        <v>1337.22</v>
      </c>
      <c r="AD397" s="462">
        <f t="shared" si="249"/>
        <v>1337.22</v>
      </c>
      <c r="AG397" s="462">
        <f t="shared" si="250"/>
        <v>1337.22</v>
      </c>
      <c r="AJ397" s="462">
        <f t="shared" si="251"/>
        <v>1337.22</v>
      </c>
      <c r="AK397" s="447" t="s">
        <v>1906</v>
      </c>
      <c r="AM397" s="462">
        <f t="shared" si="224"/>
        <v>1337.22</v>
      </c>
      <c r="AN397" s="447" t="s">
        <v>1977</v>
      </c>
      <c r="AP397" s="462">
        <f t="shared" si="225"/>
        <v>1337.22</v>
      </c>
      <c r="AQ397" s="447" t="s">
        <v>2005</v>
      </c>
      <c r="AS397" s="459">
        <f t="shared" si="226"/>
        <v>1337.22</v>
      </c>
      <c r="AU397" s="462">
        <f>ROUND(21207/1.06,2)-AU269-AU311-AU367</f>
        <v>1124.6000000000004</v>
      </c>
      <c r="AV397" s="462">
        <f t="shared" si="227"/>
        <v>212.61999999999966</v>
      </c>
      <c r="AW397" s="447" t="s">
        <v>2107</v>
      </c>
      <c r="AY397" s="462">
        <f t="shared" si="228"/>
        <v>212.61999999999966</v>
      </c>
      <c r="AZ397" s="447" t="s">
        <v>2131</v>
      </c>
      <c r="BB397" s="462">
        <f t="shared" si="229"/>
        <v>212.61999999999966</v>
      </c>
      <c r="BC397" s="447" t="s">
        <v>2204</v>
      </c>
      <c r="BD397" s="462">
        <f>BB397</f>
        <v>212.61999999999966</v>
      </c>
      <c r="BE397" s="462">
        <f t="shared" si="230"/>
        <v>0</v>
      </c>
      <c r="BH397" s="462">
        <f t="shared" si="231"/>
        <v>0</v>
      </c>
      <c r="BK397" s="462">
        <f t="shared" si="232"/>
        <v>0</v>
      </c>
      <c r="BN397" s="462">
        <f t="shared" si="233"/>
        <v>0</v>
      </c>
      <c r="BQ397" s="462">
        <f t="shared" si="234"/>
        <v>0</v>
      </c>
      <c r="BT397" s="462">
        <f t="shared" si="235"/>
        <v>0</v>
      </c>
      <c r="BW397" s="462">
        <f t="shared" si="236"/>
        <v>0</v>
      </c>
      <c r="BZ397" s="462">
        <f t="shared" si="237"/>
        <v>0</v>
      </c>
      <c r="CD397" s="418" t="str">
        <f t="shared" si="238"/>
        <v>CU0824001</v>
      </c>
      <c r="CE397" s="442" t="str">
        <f t="shared" si="239"/>
        <v>2019年10月</v>
      </c>
      <c r="CF397" s="418" t="str">
        <f t="shared" si="240"/>
        <v>苏州舒尔贸clife服务费暂估</v>
      </c>
      <c r="CG397" s="418" t="str">
        <f t="shared" si="241"/>
        <v>2019年10月苏州舒尔贸clife服务费暂估</v>
      </c>
    </row>
    <row r="398" spans="2:85" s="447" customFormat="1" ht="17.25" customHeight="1">
      <c r="B398" s="447" t="str">
        <f t="shared" si="222"/>
        <v>CU0848</v>
      </c>
      <c r="C398" s="431" t="s">
        <v>755</v>
      </c>
      <c r="D398" s="367" t="s">
        <v>1462</v>
      </c>
      <c r="E398" s="367" t="s">
        <v>1889</v>
      </c>
      <c r="F398" s="439">
        <v>43739</v>
      </c>
      <c r="G398" s="448">
        <v>4029.51</v>
      </c>
      <c r="H398" s="440"/>
      <c r="I398" s="440">
        <f t="shared" si="242"/>
        <v>4029.51</v>
      </c>
      <c r="J398" s="440"/>
      <c r="L398" s="462">
        <f t="shared" si="243"/>
        <v>4029.51</v>
      </c>
      <c r="M398" s="462"/>
      <c r="N398" s="444"/>
      <c r="O398" s="462">
        <f t="shared" si="244"/>
        <v>4029.51</v>
      </c>
      <c r="R398" s="462">
        <f t="shared" si="245"/>
        <v>4029.51</v>
      </c>
      <c r="U398" s="462">
        <f t="shared" si="246"/>
        <v>4029.51</v>
      </c>
      <c r="X398" s="462">
        <f t="shared" si="247"/>
        <v>4029.51</v>
      </c>
      <c r="AA398" s="462">
        <f t="shared" si="248"/>
        <v>4029.51</v>
      </c>
      <c r="AD398" s="462">
        <f t="shared" si="249"/>
        <v>4029.51</v>
      </c>
      <c r="AG398" s="462">
        <f t="shared" si="250"/>
        <v>4029.51</v>
      </c>
      <c r="AJ398" s="462">
        <f t="shared" si="251"/>
        <v>4029.51</v>
      </c>
      <c r="AK398" s="447" t="s">
        <v>1906</v>
      </c>
      <c r="AM398" s="462">
        <f t="shared" si="224"/>
        <v>4029.51</v>
      </c>
      <c r="AN398" s="447" t="s">
        <v>1977</v>
      </c>
      <c r="AP398" s="462">
        <f t="shared" si="225"/>
        <v>4029.51</v>
      </c>
      <c r="AQ398" s="447" t="s">
        <v>2005</v>
      </c>
      <c r="AS398" s="459">
        <f t="shared" si="226"/>
        <v>4029.51</v>
      </c>
      <c r="AV398" s="462">
        <f t="shared" si="227"/>
        <v>4029.51</v>
      </c>
      <c r="AW398" s="447" t="s">
        <v>2107</v>
      </c>
      <c r="AX398" s="462">
        <f>AV398</f>
        <v>4029.51</v>
      </c>
      <c r="AY398" s="462">
        <f t="shared" si="228"/>
        <v>0</v>
      </c>
      <c r="BB398" s="462">
        <f t="shared" si="229"/>
        <v>0</v>
      </c>
      <c r="BC398" s="447" t="s">
        <v>2204</v>
      </c>
      <c r="BE398" s="462">
        <f t="shared" si="230"/>
        <v>0</v>
      </c>
      <c r="BH398" s="462">
        <f t="shared" si="231"/>
        <v>0</v>
      </c>
      <c r="BK398" s="462">
        <f t="shared" si="232"/>
        <v>0</v>
      </c>
      <c r="BN398" s="462">
        <f t="shared" si="233"/>
        <v>0</v>
      </c>
      <c r="BQ398" s="462">
        <f t="shared" si="234"/>
        <v>0</v>
      </c>
      <c r="BT398" s="462">
        <f t="shared" si="235"/>
        <v>0</v>
      </c>
      <c r="BW398" s="462">
        <f t="shared" si="236"/>
        <v>0</v>
      </c>
      <c r="BZ398" s="462">
        <f t="shared" si="237"/>
        <v>0</v>
      </c>
      <c r="CD398" s="418" t="str">
        <f t="shared" si="238"/>
        <v>CU0848001</v>
      </c>
      <c r="CE398" s="442" t="str">
        <f t="shared" si="239"/>
        <v>2019年10月</v>
      </c>
      <c r="CF398" s="418" t="str">
        <f t="shared" si="240"/>
        <v>爱德觅尔（clife服务费暂估</v>
      </c>
      <c r="CG398" s="418" t="str">
        <f t="shared" si="241"/>
        <v>2019年10月爱德觅尔（clife服务费暂估</v>
      </c>
    </row>
    <row r="399" spans="2:85" s="447" customFormat="1" ht="17.25" customHeight="1">
      <c r="B399" s="447" t="str">
        <f t="shared" si="222"/>
        <v>CU0869</v>
      </c>
      <c r="C399" s="431" t="s">
        <v>755</v>
      </c>
      <c r="D399" s="367" t="s">
        <v>1459</v>
      </c>
      <c r="E399" s="367" t="s">
        <v>1890</v>
      </c>
      <c r="F399" s="439">
        <v>43739</v>
      </c>
      <c r="G399" s="448">
        <v>120214.48</v>
      </c>
      <c r="H399" s="440"/>
      <c r="I399" s="440">
        <f t="shared" si="242"/>
        <v>120214.48</v>
      </c>
      <c r="J399" s="440"/>
      <c r="L399" s="462">
        <f t="shared" si="243"/>
        <v>120214.48</v>
      </c>
      <c r="M399" s="462"/>
      <c r="N399" s="444"/>
      <c r="O399" s="462">
        <f t="shared" si="244"/>
        <v>120214.48</v>
      </c>
      <c r="R399" s="462">
        <f t="shared" si="245"/>
        <v>120214.48</v>
      </c>
      <c r="U399" s="462">
        <f t="shared" si="246"/>
        <v>120214.48</v>
      </c>
      <c r="X399" s="462">
        <f t="shared" si="247"/>
        <v>120214.48</v>
      </c>
      <c r="AA399" s="462">
        <f t="shared" si="248"/>
        <v>120214.48</v>
      </c>
      <c r="AD399" s="462">
        <f t="shared" si="249"/>
        <v>120214.48</v>
      </c>
      <c r="AG399" s="462">
        <f t="shared" si="250"/>
        <v>120214.48</v>
      </c>
      <c r="AJ399" s="462">
        <f t="shared" si="251"/>
        <v>120214.48</v>
      </c>
      <c r="AK399" s="447" t="s">
        <v>1906</v>
      </c>
      <c r="AM399" s="462">
        <f t="shared" si="224"/>
        <v>120214.48</v>
      </c>
      <c r="AN399" s="447" t="s">
        <v>1977</v>
      </c>
      <c r="AP399" s="462">
        <f t="shared" si="225"/>
        <v>120214.48</v>
      </c>
      <c r="AQ399" s="447" t="s">
        <v>2005</v>
      </c>
      <c r="AS399" s="459">
        <f t="shared" si="226"/>
        <v>120214.48</v>
      </c>
      <c r="AV399" s="462">
        <f t="shared" si="227"/>
        <v>120214.48</v>
      </c>
      <c r="AW399" s="447" t="s">
        <v>2107</v>
      </c>
      <c r="AY399" s="462">
        <f t="shared" si="228"/>
        <v>120214.48</v>
      </c>
      <c r="AZ399" s="447" t="s">
        <v>2131</v>
      </c>
      <c r="BA399" s="462">
        <f>AY399</f>
        <v>120214.48</v>
      </c>
      <c r="BB399" s="462">
        <f t="shared" si="229"/>
        <v>0</v>
      </c>
      <c r="BC399" s="447" t="s">
        <v>2204</v>
      </c>
      <c r="BE399" s="462">
        <f t="shared" si="230"/>
        <v>0</v>
      </c>
      <c r="BH399" s="462">
        <f t="shared" si="231"/>
        <v>0</v>
      </c>
      <c r="BK399" s="462">
        <f t="shared" si="232"/>
        <v>0</v>
      </c>
      <c r="BN399" s="462">
        <f t="shared" si="233"/>
        <v>0</v>
      </c>
      <c r="BQ399" s="462">
        <f t="shared" si="234"/>
        <v>0</v>
      </c>
      <c r="BT399" s="462">
        <f t="shared" si="235"/>
        <v>0</v>
      </c>
      <c r="BW399" s="462">
        <f t="shared" si="236"/>
        <v>0</v>
      </c>
      <c r="BZ399" s="462">
        <f t="shared" si="237"/>
        <v>0</v>
      </c>
      <c r="CD399" s="418" t="str">
        <f t="shared" si="238"/>
        <v>CU0869001</v>
      </c>
      <c r="CE399" s="442" t="str">
        <f t="shared" si="239"/>
        <v>2019年10月</v>
      </c>
      <c r="CF399" s="418" t="str">
        <f t="shared" si="240"/>
        <v>智睿clife服务费暂估</v>
      </c>
      <c r="CG399" s="418" t="str">
        <f t="shared" si="241"/>
        <v>2019年10月智睿clife服务费暂估</v>
      </c>
    </row>
    <row r="400" spans="2:85" s="447" customFormat="1" ht="17.25" customHeight="1">
      <c r="B400" s="447" t="str">
        <f t="shared" si="222"/>
        <v>CU0884</v>
      </c>
      <c r="C400" s="431" t="s">
        <v>755</v>
      </c>
      <c r="D400" s="367" t="s">
        <v>1575</v>
      </c>
      <c r="E400" s="367" t="s">
        <v>1891</v>
      </c>
      <c r="F400" s="439">
        <v>43739</v>
      </c>
      <c r="G400" s="448">
        <v>9109.0400000000009</v>
      </c>
      <c r="H400" s="440"/>
      <c r="I400" s="440">
        <f t="shared" si="242"/>
        <v>9109.0400000000009</v>
      </c>
      <c r="J400" s="440"/>
      <c r="L400" s="462">
        <f t="shared" si="243"/>
        <v>9109.0400000000009</v>
      </c>
      <c r="M400" s="462"/>
      <c r="N400" s="444"/>
      <c r="O400" s="462">
        <f t="shared" si="244"/>
        <v>9109.0400000000009</v>
      </c>
      <c r="R400" s="462">
        <f t="shared" si="245"/>
        <v>9109.0400000000009</v>
      </c>
      <c r="U400" s="462">
        <f t="shared" si="246"/>
        <v>9109.0400000000009</v>
      </c>
      <c r="X400" s="462">
        <f t="shared" si="247"/>
        <v>9109.0400000000009</v>
      </c>
      <c r="AA400" s="462">
        <f t="shared" si="248"/>
        <v>9109.0400000000009</v>
      </c>
      <c r="AD400" s="462">
        <f t="shared" si="249"/>
        <v>9109.0400000000009</v>
      </c>
      <c r="AG400" s="462">
        <f t="shared" si="250"/>
        <v>9109.0400000000009</v>
      </c>
      <c r="AJ400" s="462">
        <f t="shared" si="251"/>
        <v>9109.0400000000009</v>
      </c>
      <c r="AK400" s="447" t="s">
        <v>1906</v>
      </c>
      <c r="AM400" s="462">
        <f t="shared" si="224"/>
        <v>9109.0400000000009</v>
      </c>
      <c r="AN400" s="447" t="s">
        <v>1977</v>
      </c>
      <c r="AO400" s="462">
        <f>AM400</f>
        <v>9109.0400000000009</v>
      </c>
      <c r="AP400" s="462">
        <f t="shared" si="225"/>
        <v>0</v>
      </c>
      <c r="AQ400" s="447" t="s">
        <v>2005</v>
      </c>
      <c r="AS400" s="459">
        <f t="shared" si="226"/>
        <v>0</v>
      </c>
      <c r="AV400" s="462">
        <f t="shared" si="227"/>
        <v>0</v>
      </c>
      <c r="AY400" s="462">
        <f t="shared" si="228"/>
        <v>0</v>
      </c>
      <c r="BB400" s="462">
        <f t="shared" si="229"/>
        <v>0</v>
      </c>
      <c r="BC400" s="447" t="s">
        <v>2204</v>
      </c>
      <c r="BE400" s="462">
        <f t="shared" si="230"/>
        <v>0</v>
      </c>
      <c r="BH400" s="462">
        <f t="shared" si="231"/>
        <v>0</v>
      </c>
      <c r="BK400" s="462">
        <f t="shared" si="232"/>
        <v>0</v>
      </c>
      <c r="BN400" s="462">
        <f t="shared" si="233"/>
        <v>0</v>
      </c>
      <c r="BQ400" s="462">
        <f t="shared" si="234"/>
        <v>0</v>
      </c>
      <c r="BT400" s="462">
        <f t="shared" si="235"/>
        <v>0</v>
      </c>
      <c r="BW400" s="462">
        <f t="shared" si="236"/>
        <v>0</v>
      </c>
      <c r="BZ400" s="462">
        <f t="shared" si="237"/>
        <v>0</v>
      </c>
      <c r="CD400" s="418" t="str">
        <f t="shared" si="238"/>
        <v>CU0884001</v>
      </c>
      <c r="CE400" s="442" t="str">
        <f t="shared" si="239"/>
        <v>2019年10月</v>
      </c>
      <c r="CF400" s="418" t="str">
        <f t="shared" si="240"/>
        <v>恩德斯豪斯clife服务费暂估</v>
      </c>
      <c r="CG400" s="418" t="str">
        <f t="shared" si="241"/>
        <v>2019年10月恩德斯豪斯clife服务费暂估</v>
      </c>
    </row>
    <row r="401" spans="2:85" s="447" customFormat="1" ht="17.25" customHeight="1">
      <c r="B401" s="447" t="str">
        <f t="shared" si="222"/>
        <v>CU0904</v>
      </c>
      <c r="C401" s="431" t="s">
        <v>755</v>
      </c>
      <c r="D401" s="367" t="s">
        <v>1460</v>
      </c>
      <c r="E401" s="367" t="s">
        <v>1892</v>
      </c>
      <c r="F401" s="439">
        <v>43739</v>
      </c>
      <c r="G401" s="448">
        <v>19097.02</v>
      </c>
      <c r="H401" s="440"/>
      <c r="I401" s="440">
        <f t="shared" si="242"/>
        <v>19097.02</v>
      </c>
      <c r="J401" s="440"/>
      <c r="L401" s="462">
        <f t="shared" si="243"/>
        <v>19097.02</v>
      </c>
      <c r="M401" s="462"/>
      <c r="N401" s="444"/>
      <c r="O401" s="462">
        <f t="shared" si="244"/>
        <v>19097.02</v>
      </c>
      <c r="R401" s="462">
        <f t="shared" si="245"/>
        <v>19097.02</v>
      </c>
      <c r="U401" s="462">
        <f t="shared" si="246"/>
        <v>19097.02</v>
      </c>
      <c r="X401" s="462">
        <f t="shared" si="247"/>
        <v>19097.02</v>
      </c>
      <c r="AA401" s="462">
        <f t="shared" si="248"/>
        <v>19097.02</v>
      </c>
      <c r="AD401" s="462">
        <f t="shared" si="249"/>
        <v>19097.02</v>
      </c>
      <c r="AG401" s="462">
        <f t="shared" si="250"/>
        <v>19097.02</v>
      </c>
      <c r="AJ401" s="462">
        <f t="shared" si="251"/>
        <v>19097.02</v>
      </c>
      <c r="AK401" s="447" t="s">
        <v>1906</v>
      </c>
      <c r="AM401" s="462">
        <f t="shared" si="224"/>
        <v>19097.02</v>
      </c>
      <c r="AN401" s="447" t="s">
        <v>1977</v>
      </c>
      <c r="AP401" s="462">
        <f t="shared" si="225"/>
        <v>19097.02</v>
      </c>
      <c r="AQ401" s="447" t="s">
        <v>2005</v>
      </c>
      <c r="AS401" s="459">
        <f t="shared" si="226"/>
        <v>19097.02</v>
      </c>
      <c r="AV401" s="462">
        <f t="shared" si="227"/>
        <v>19097.02</v>
      </c>
      <c r="AW401" s="447" t="s">
        <v>2107</v>
      </c>
      <c r="AY401" s="462">
        <f t="shared" si="228"/>
        <v>19097.02</v>
      </c>
      <c r="AZ401" s="447" t="s">
        <v>2131</v>
      </c>
      <c r="BB401" s="462">
        <f t="shared" si="229"/>
        <v>19097.02</v>
      </c>
      <c r="BC401" s="447" t="s">
        <v>2204</v>
      </c>
      <c r="BD401" s="462">
        <f>BB401</f>
        <v>19097.02</v>
      </c>
      <c r="BE401" s="462">
        <f t="shared" si="230"/>
        <v>0</v>
      </c>
      <c r="BF401" s="447" t="s">
        <v>2237</v>
      </c>
      <c r="BH401" s="462">
        <f t="shared" si="231"/>
        <v>0</v>
      </c>
      <c r="BK401" s="462">
        <f t="shared" si="232"/>
        <v>0</v>
      </c>
      <c r="BN401" s="462">
        <f t="shared" si="233"/>
        <v>0</v>
      </c>
      <c r="BQ401" s="462">
        <f t="shared" si="234"/>
        <v>0</v>
      </c>
      <c r="BT401" s="462">
        <f t="shared" si="235"/>
        <v>0</v>
      </c>
      <c r="BW401" s="462">
        <f t="shared" si="236"/>
        <v>0</v>
      </c>
      <c r="BZ401" s="462">
        <f t="shared" si="237"/>
        <v>0</v>
      </c>
      <c r="CD401" s="418" t="str">
        <f t="shared" si="238"/>
        <v>CU0904001</v>
      </c>
      <c r="CE401" s="442" t="str">
        <f t="shared" si="239"/>
        <v>2019年10月</v>
      </c>
      <c r="CF401" s="418" t="str">
        <f t="shared" si="240"/>
        <v>紫光集团clife服务费暂估</v>
      </c>
      <c r="CG401" s="418" t="str">
        <f t="shared" si="241"/>
        <v>2019年10月紫光集团clife服务费暂估</v>
      </c>
    </row>
    <row r="402" spans="2:85" s="447" customFormat="1" ht="17.25" customHeight="1">
      <c r="B402" s="447" t="str">
        <f t="shared" si="222"/>
        <v>CU0914</v>
      </c>
      <c r="C402" s="431" t="s">
        <v>755</v>
      </c>
      <c r="D402" s="367" t="s">
        <v>1721</v>
      </c>
      <c r="E402" s="367" t="s">
        <v>1893</v>
      </c>
      <c r="F402" s="439">
        <v>43739</v>
      </c>
      <c r="G402" s="448">
        <v>476649.09</v>
      </c>
      <c r="H402" s="440"/>
      <c r="I402" s="440">
        <f t="shared" si="242"/>
        <v>476649.09</v>
      </c>
      <c r="J402" s="440"/>
      <c r="L402" s="462">
        <f t="shared" si="243"/>
        <v>476649.09</v>
      </c>
      <c r="M402" s="462"/>
      <c r="N402" s="444"/>
      <c r="O402" s="462">
        <f t="shared" si="244"/>
        <v>476649.09</v>
      </c>
      <c r="R402" s="462">
        <f t="shared" si="245"/>
        <v>476649.09</v>
      </c>
      <c r="U402" s="462">
        <f t="shared" si="246"/>
        <v>476649.09</v>
      </c>
      <c r="X402" s="462">
        <f t="shared" si="247"/>
        <v>476649.09</v>
      </c>
      <c r="AA402" s="462">
        <f t="shared" si="248"/>
        <v>476649.09</v>
      </c>
      <c r="AD402" s="462">
        <f t="shared" si="249"/>
        <v>476649.09</v>
      </c>
      <c r="AG402" s="462">
        <f t="shared" si="250"/>
        <v>476649.09</v>
      </c>
      <c r="AJ402" s="462">
        <f t="shared" si="251"/>
        <v>476649.09</v>
      </c>
      <c r="AK402" s="447" t="s">
        <v>1906</v>
      </c>
      <c r="AL402" s="447">
        <f>ROUND(453366.51/1.06,2)</f>
        <v>427704.25</v>
      </c>
      <c r="AM402" s="462">
        <f t="shared" si="224"/>
        <v>48944.840000000026</v>
      </c>
      <c r="AN402" s="447" t="s">
        <v>1977</v>
      </c>
      <c r="AP402" s="462">
        <f t="shared" si="225"/>
        <v>48944.840000000026</v>
      </c>
      <c r="AQ402" s="447" t="s">
        <v>2005</v>
      </c>
      <c r="AS402" s="459">
        <f t="shared" si="226"/>
        <v>48944.840000000026</v>
      </c>
      <c r="AV402" s="462">
        <f t="shared" si="227"/>
        <v>48944.840000000026</v>
      </c>
      <c r="AW402" s="447" t="s">
        <v>2107</v>
      </c>
      <c r="AX402" s="462">
        <f>ROUND(35040/1.06,2)-AX314</f>
        <v>15047.766981131928</v>
      </c>
      <c r="AY402" s="462">
        <f t="shared" si="228"/>
        <v>33897.073018868097</v>
      </c>
      <c r="AZ402" s="447" t="s">
        <v>2131</v>
      </c>
      <c r="BA402" s="462">
        <f>AY402</f>
        <v>33897.073018868097</v>
      </c>
      <c r="BB402" s="462">
        <f t="shared" si="229"/>
        <v>0</v>
      </c>
      <c r="BC402" s="447" t="s">
        <v>2204</v>
      </c>
      <c r="BE402" s="462">
        <f t="shared" si="230"/>
        <v>0</v>
      </c>
      <c r="BH402" s="462">
        <f t="shared" si="231"/>
        <v>0</v>
      </c>
      <c r="BK402" s="462">
        <f t="shared" si="232"/>
        <v>0</v>
      </c>
      <c r="BN402" s="462">
        <f t="shared" si="233"/>
        <v>0</v>
      </c>
      <c r="BQ402" s="462">
        <f t="shared" si="234"/>
        <v>0</v>
      </c>
      <c r="BT402" s="462">
        <f t="shared" si="235"/>
        <v>0</v>
      </c>
      <c r="BW402" s="462">
        <f t="shared" si="236"/>
        <v>0</v>
      </c>
      <c r="BZ402" s="462">
        <f t="shared" si="237"/>
        <v>0</v>
      </c>
      <c r="CD402" s="418" t="str">
        <f t="shared" si="238"/>
        <v>CU0914001</v>
      </c>
      <c r="CE402" s="442" t="str">
        <f t="shared" si="239"/>
        <v>2019年10月</v>
      </c>
      <c r="CF402" s="418" t="str">
        <f t="shared" si="240"/>
        <v>鑫车投资（clife服务费暂估</v>
      </c>
      <c r="CG402" s="418" t="str">
        <f t="shared" si="241"/>
        <v>2019年10月鑫车投资（clife服务费暂估</v>
      </c>
    </row>
    <row r="403" spans="2:85" s="447" customFormat="1" ht="17.25" customHeight="1">
      <c r="B403" s="447" t="str">
        <f t="shared" si="222"/>
        <v>CU0937</v>
      </c>
      <c r="C403" s="431" t="s">
        <v>755</v>
      </c>
      <c r="D403" s="367" t="s">
        <v>1873</v>
      </c>
      <c r="E403" s="367" t="s">
        <v>1894</v>
      </c>
      <c r="F403" s="439">
        <v>43739</v>
      </c>
      <c r="G403" s="448">
        <v>116153.75</v>
      </c>
      <c r="H403" s="440"/>
      <c r="I403" s="440">
        <f t="shared" si="242"/>
        <v>116153.75</v>
      </c>
      <c r="J403" s="440"/>
      <c r="L403" s="462">
        <f t="shared" si="243"/>
        <v>116153.75</v>
      </c>
      <c r="M403" s="462"/>
      <c r="N403" s="444"/>
      <c r="O403" s="462">
        <f t="shared" si="244"/>
        <v>116153.75</v>
      </c>
      <c r="R403" s="462">
        <f t="shared" si="245"/>
        <v>116153.75</v>
      </c>
      <c r="U403" s="462">
        <f t="shared" si="246"/>
        <v>116153.75</v>
      </c>
      <c r="X403" s="462">
        <f t="shared" si="247"/>
        <v>116153.75</v>
      </c>
      <c r="AA403" s="462">
        <f t="shared" si="248"/>
        <v>116153.75</v>
      </c>
      <c r="AD403" s="462">
        <f t="shared" si="249"/>
        <v>116153.75</v>
      </c>
      <c r="AG403" s="462">
        <f t="shared" si="250"/>
        <v>116153.75</v>
      </c>
      <c r="AJ403" s="462">
        <f t="shared" si="251"/>
        <v>116153.75</v>
      </c>
      <c r="AK403" s="447" t="s">
        <v>1906</v>
      </c>
      <c r="AL403" s="447">
        <f>ROUND(122361.2/1.06,2)</f>
        <v>115435.09</v>
      </c>
      <c r="AM403" s="462">
        <f t="shared" si="224"/>
        <v>718.66000000000349</v>
      </c>
      <c r="AN403" s="447" t="s">
        <v>1977</v>
      </c>
      <c r="AP403" s="462">
        <f t="shared" si="225"/>
        <v>718.66000000000349</v>
      </c>
      <c r="AQ403" s="447" t="s">
        <v>2005</v>
      </c>
      <c r="AS403" s="459">
        <f t="shared" si="226"/>
        <v>718.66000000000349</v>
      </c>
      <c r="AV403" s="462">
        <f t="shared" si="227"/>
        <v>718.66000000000349</v>
      </c>
      <c r="AW403" s="447" t="s">
        <v>2107</v>
      </c>
      <c r="AY403" s="462">
        <f t="shared" si="228"/>
        <v>718.66000000000349</v>
      </c>
      <c r="AZ403" s="447" t="s">
        <v>2131</v>
      </c>
      <c r="BB403" s="462">
        <f t="shared" si="229"/>
        <v>718.66000000000349</v>
      </c>
      <c r="BC403" s="447" t="s">
        <v>2204</v>
      </c>
      <c r="BE403" s="462">
        <f t="shared" si="230"/>
        <v>718.66000000000349</v>
      </c>
      <c r="BF403" s="447" t="s">
        <v>2237</v>
      </c>
      <c r="BH403" s="462">
        <f t="shared" si="231"/>
        <v>718.66000000000349</v>
      </c>
      <c r="BI403" s="447" t="s">
        <v>2292</v>
      </c>
      <c r="BK403" s="462">
        <f t="shared" si="232"/>
        <v>718.66000000000349</v>
      </c>
      <c r="BL403" s="447" t="s">
        <v>2339</v>
      </c>
      <c r="BN403" s="462">
        <f t="shared" si="233"/>
        <v>718.66000000000349</v>
      </c>
      <c r="BO403" s="447" t="s">
        <v>2365</v>
      </c>
      <c r="BQ403" s="462">
        <f t="shared" si="234"/>
        <v>718.66</v>
      </c>
      <c r="BR403" s="447" t="s">
        <v>2374</v>
      </c>
      <c r="BT403" s="462">
        <f t="shared" si="235"/>
        <v>718.66</v>
      </c>
      <c r="BU403" s="447" t="s">
        <v>2134</v>
      </c>
      <c r="BW403" s="462">
        <f t="shared" si="236"/>
        <v>718.66</v>
      </c>
      <c r="BZ403" s="462">
        <f t="shared" si="237"/>
        <v>718.66</v>
      </c>
      <c r="CD403" s="418" t="str">
        <f t="shared" si="238"/>
        <v>CU0937001</v>
      </c>
      <c r="CE403" s="442" t="str">
        <f t="shared" si="239"/>
        <v>2019年10月</v>
      </c>
      <c r="CF403" s="418" t="str">
        <f t="shared" si="240"/>
        <v>蓝图创新投clife服务费暂估</v>
      </c>
      <c r="CG403" s="418" t="str">
        <f t="shared" si="241"/>
        <v>2019年10月蓝图创新投clife服务费暂估</v>
      </c>
    </row>
    <row r="404" spans="2:85" s="447" customFormat="1" ht="17.25" customHeight="1">
      <c r="B404" s="447" t="str">
        <f t="shared" si="222"/>
        <v>CU1016</v>
      </c>
      <c r="C404" s="431" t="s">
        <v>755</v>
      </c>
      <c r="D404" s="367" t="s">
        <v>1524</v>
      </c>
      <c r="E404" s="367" t="s">
        <v>1895</v>
      </c>
      <c r="F404" s="439">
        <v>43739</v>
      </c>
      <c r="G404" s="448">
        <v>14512.01</v>
      </c>
      <c r="H404" s="440"/>
      <c r="I404" s="440">
        <f t="shared" si="242"/>
        <v>14512.01</v>
      </c>
      <c r="J404" s="440"/>
      <c r="L404" s="462">
        <f t="shared" si="243"/>
        <v>14512.01</v>
      </c>
      <c r="M404" s="462"/>
      <c r="N404" s="444"/>
      <c r="O404" s="462">
        <f t="shared" si="244"/>
        <v>14512.01</v>
      </c>
      <c r="R404" s="462">
        <f t="shared" si="245"/>
        <v>14512.01</v>
      </c>
      <c r="U404" s="462">
        <f t="shared" si="246"/>
        <v>14512.01</v>
      </c>
      <c r="X404" s="462">
        <f t="shared" si="247"/>
        <v>14512.01</v>
      </c>
      <c r="AA404" s="462">
        <f t="shared" si="248"/>
        <v>14512.01</v>
      </c>
      <c r="AD404" s="462">
        <f t="shared" si="249"/>
        <v>14512.01</v>
      </c>
      <c r="AG404" s="462">
        <f t="shared" si="250"/>
        <v>14512.01</v>
      </c>
      <c r="AJ404" s="462">
        <f t="shared" si="251"/>
        <v>14512.01</v>
      </c>
      <c r="AK404" s="447" t="s">
        <v>1906</v>
      </c>
      <c r="AM404" s="462">
        <f t="shared" si="224"/>
        <v>14512.01</v>
      </c>
      <c r="AN404" s="447" t="s">
        <v>1977</v>
      </c>
      <c r="AP404" s="462">
        <f t="shared" si="225"/>
        <v>14512.01</v>
      </c>
      <c r="AQ404" s="447" t="s">
        <v>2005</v>
      </c>
      <c r="AS404" s="459">
        <f t="shared" si="226"/>
        <v>14512.01</v>
      </c>
      <c r="AV404" s="462">
        <f t="shared" si="227"/>
        <v>14512.01</v>
      </c>
      <c r="AW404" s="447" t="s">
        <v>2107</v>
      </c>
      <c r="AX404" s="462">
        <f>ROUND(AV404,2)</f>
        <v>14512.01</v>
      </c>
      <c r="AY404" s="462">
        <f t="shared" si="228"/>
        <v>0</v>
      </c>
      <c r="BB404" s="462">
        <f t="shared" si="229"/>
        <v>0</v>
      </c>
      <c r="BC404" s="447" t="s">
        <v>2204</v>
      </c>
      <c r="BE404" s="462">
        <f t="shared" si="230"/>
        <v>0</v>
      </c>
      <c r="BH404" s="462">
        <f t="shared" si="231"/>
        <v>0</v>
      </c>
      <c r="BK404" s="462">
        <f t="shared" si="232"/>
        <v>0</v>
      </c>
      <c r="BN404" s="462">
        <f t="shared" si="233"/>
        <v>0</v>
      </c>
      <c r="BQ404" s="462">
        <f t="shared" si="234"/>
        <v>0</v>
      </c>
      <c r="BT404" s="462">
        <f t="shared" si="235"/>
        <v>0</v>
      </c>
      <c r="BW404" s="462">
        <f t="shared" si="236"/>
        <v>0</v>
      </c>
      <c r="BZ404" s="462">
        <f t="shared" si="237"/>
        <v>0</v>
      </c>
      <c r="CD404" s="418" t="str">
        <f t="shared" si="238"/>
        <v>CU1016001</v>
      </c>
      <c r="CE404" s="442" t="str">
        <f t="shared" si="239"/>
        <v>2019年10月</v>
      </c>
      <c r="CF404" s="418" t="str">
        <f t="shared" si="240"/>
        <v>乔治阿玛尼clife服务费暂估</v>
      </c>
      <c r="CG404" s="418" t="str">
        <f t="shared" si="241"/>
        <v>2019年10月乔治阿玛尼clife服务费暂估</v>
      </c>
    </row>
    <row r="405" spans="2:85" s="447" customFormat="1" ht="17.25" customHeight="1">
      <c r="B405" s="447" t="str">
        <f t="shared" si="222"/>
        <v>CU1075</v>
      </c>
      <c r="C405" s="431" t="s">
        <v>755</v>
      </c>
      <c r="D405" s="367" t="s">
        <v>1874</v>
      </c>
      <c r="E405" s="367" t="s">
        <v>1896</v>
      </c>
      <c r="F405" s="439">
        <v>43739</v>
      </c>
      <c r="G405" s="448">
        <v>36663.25</v>
      </c>
      <c r="H405" s="440"/>
      <c r="I405" s="440">
        <f t="shared" si="242"/>
        <v>36663.25</v>
      </c>
      <c r="J405" s="440"/>
      <c r="L405" s="462">
        <f t="shared" si="243"/>
        <v>36663.25</v>
      </c>
      <c r="M405" s="462"/>
      <c r="N405" s="444"/>
      <c r="O405" s="462">
        <f t="shared" si="244"/>
        <v>36663.25</v>
      </c>
      <c r="R405" s="462">
        <f t="shared" si="245"/>
        <v>36663.25</v>
      </c>
      <c r="U405" s="462">
        <f t="shared" si="246"/>
        <v>36663.25</v>
      </c>
      <c r="X405" s="462">
        <f t="shared" si="247"/>
        <v>36663.25</v>
      </c>
      <c r="AA405" s="462">
        <f t="shared" si="248"/>
        <v>36663.25</v>
      </c>
      <c r="AD405" s="462">
        <f t="shared" si="249"/>
        <v>36663.25</v>
      </c>
      <c r="AG405" s="462">
        <f t="shared" si="250"/>
        <v>36663.25</v>
      </c>
      <c r="AJ405" s="462">
        <f t="shared" si="251"/>
        <v>36663.25</v>
      </c>
      <c r="AK405" s="447" t="s">
        <v>1906</v>
      </c>
      <c r="AL405" s="462">
        <f>AJ405</f>
        <v>36663.25</v>
      </c>
      <c r="AM405" s="462">
        <f t="shared" si="224"/>
        <v>0</v>
      </c>
      <c r="AN405" s="447" t="s">
        <v>1977</v>
      </c>
      <c r="AP405" s="462">
        <f t="shared" si="225"/>
        <v>0</v>
      </c>
      <c r="AQ405" s="447" t="s">
        <v>2005</v>
      </c>
      <c r="AS405" s="459">
        <f t="shared" si="226"/>
        <v>0</v>
      </c>
      <c r="AV405" s="462">
        <f t="shared" si="227"/>
        <v>0</v>
      </c>
      <c r="AY405" s="462">
        <f t="shared" si="228"/>
        <v>0</v>
      </c>
      <c r="BB405" s="462">
        <f t="shared" si="229"/>
        <v>0</v>
      </c>
      <c r="BC405" s="447" t="s">
        <v>2204</v>
      </c>
      <c r="BE405" s="462">
        <f t="shared" si="230"/>
        <v>0</v>
      </c>
      <c r="BH405" s="462">
        <f t="shared" si="231"/>
        <v>0</v>
      </c>
      <c r="BK405" s="462">
        <f t="shared" si="232"/>
        <v>0</v>
      </c>
      <c r="BN405" s="462">
        <f t="shared" si="233"/>
        <v>0</v>
      </c>
      <c r="BQ405" s="462">
        <f t="shared" si="234"/>
        <v>0</v>
      </c>
      <c r="BT405" s="462">
        <f t="shared" si="235"/>
        <v>0</v>
      </c>
      <c r="BW405" s="462">
        <f t="shared" si="236"/>
        <v>0</v>
      </c>
      <c r="BZ405" s="462">
        <f t="shared" si="237"/>
        <v>0</v>
      </c>
      <c r="CD405" s="418" t="str">
        <f t="shared" si="238"/>
        <v>CU1075001</v>
      </c>
      <c r="CE405" s="442" t="str">
        <f t="shared" si="239"/>
        <v>2019年10月</v>
      </c>
      <c r="CF405" s="418" t="str">
        <f t="shared" si="240"/>
        <v>上海盈努惠clife服务费暂估</v>
      </c>
      <c r="CG405" s="418" t="str">
        <f t="shared" si="241"/>
        <v>2019年10月上海盈努惠clife服务费暂估</v>
      </c>
    </row>
    <row r="406" spans="2:85" s="447" customFormat="1" ht="17.25" customHeight="1">
      <c r="B406" s="447" t="str">
        <f t="shared" si="222"/>
        <v>CU1155</v>
      </c>
      <c r="C406" s="431" t="s">
        <v>755</v>
      </c>
      <c r="D406" s="367" t="s">
        <v>1698</v>
      </c>
      <c r="E406" s="367" t="s">
        <v>1897</v>
      </c>
      <c r="F406" s="439">
        <v>43739</v>
      </c>
      <c r="G406" s="448">
        <v>98.56</v>
      </c>
      <c r="H406" s="440"/>
      <c r="I406" s="440">
        <f t="shared" si="242"/>
        <v>98.56</v>
      </c>
      <c r="J406" s="440"/>
      <c r="L406" s="462">
        <f t="shared" si="243"/>
        <v>98.56</v>
      </c>
      <c r="M406" s="462"/>
      <c r="N406" s="444"/>
      <c r="O406" s="462">
        <f t="shared" si="244"/>
        <v>98.56</v>
      </c>
      <c r="R406" s="462">
        <f t="shared" si="245"/>
        <v>98.56</v>
      </c>
      <c r="U406" s="462">
        <f t="shared" si="246"/>
        <v>98.56</v>
      </c>
      <c r="X406" s="462">
        <f t="shared" si="247"/>
        <v>98.56</v>
      </c>
      <c r="AA406" s="462">
        <f t="shared" si="248"/>
        <v>98.56</v>
      </c>
      <c r="AD406" s="462">
        <f t="shared" si="249"/>
        <v>98.56</v>
      </c>
      <c r="AG406" s="462">
        <f t="shared" si="250"/>
        <v>98.56</v>
      </c>
      <c r="AJ406" s="462">
        <f t="shared" si="251"/>
        <v>98.56</v>
      </c>
      <c r="AK406" s="447" t="s">
        <v>1906</v>
      </c>
      <c r="AM406" s="462">
        <f t="shared" si="224"/>
        <v>98.56</v>
      </c>
      <c r="AN406" s="447" t="s">
        <v>1977</v>
      </c>
      <c r="AO406" s="447">
        <v>72</v>
      </c>
      <c r="AP406" s="462">
        <f t="shared" si="225"/>
        <v>26.560000000000002</v>
      </c>
      <c r="AQ406" s="447" t="s">
        <v>2005</v>
      </c>
      <c r="AS406" s="459">
        <f t="shared" si="226"/>
        <v>26.560000000000002</v>
      </c>
      <c r="AV406" s="462">
        <f t="shared" si="227"/>
        <v>26.560000000000002</v>
      </c>
      <c r="AW406" s="447" t="s">
        <v>2107</v>
      </c>
      <c r="AY406" s="462">
        <f t="shared" si="228"/>
        <v>26.560000000000002</v>
      </c>
      <c r="AZ406" s="447" t="s">
        <v>2131</v>
      </c>
      <c r="BB406" s="462">
        <f t="shared" si="229"/>
        <v>26.560000000000002</v>
      </c>
      <c r="BC406" s="447" t="s">
        <v>2204</v>
      </c>
      <c r="BE406" s="462">
        <f t="shared" si="230"/>
        <v>26.560000000000002</v>
      </c>
      <c r="BF406" s="447" t="s">
        <v>2237</v>
      </c>
      <c r="BH406" s="462">
        <f t="shared" si="231"/>
        <v>26.560000000000002</v>
      </c>
      <c r="BI406" s="447" t="s">
        <v>2292</v>
      </c>
      <c r="BK406" s="462">
        <f t="shared" si="232"/>
        <v>26.560000000000002</v>
      </c>
      <c r="BL406" s="447" t="s">
        <v>2339</v>
      </c>
      <c r="BN406" s="462">
        <f t="shared" si="233"/>
        <v>26.560000000000002</v>
      </c>
      <c r="BO406" s="447" t="s">
        <v>2365</v>
      </c>
      <c r="BQ406" s="462">
        <f t="shared" si="234"/>
        <v>26.56</v>
      </c>
      <c r="BR406" s="447" t="s">
        <v>2374</v>
      </c>
      <c r="BT406" s="462">
        <f t="shared" si="235"/>
        <v>26.56</v>
      </c>
      <c r="BU406" s="447" t="s">
        <v>2134</v>
      </c>
      <c r="BW406" s="462">
        <f t="shared" si="236"/>
        <v>26.56</v>
      </c>
      <c r="BZ406" s="462">
        <f t="shared" si="237"/>
        <v>26.56</v>
      </c>
      <c r="CD406" s="418" t="str">
        <f t="shared" si="238"/>
        <v>CU1155001</v>
      </c>
      <c r="CE406" s="442" t="str">
        <f t="shared" si="239"/>
        <v>2019年10月</v>
      </c>
      <c r="CF406" s="418" t="str">
        <f t="shared" si="240"/>
        <v>艾蒙斯特朗clife服务费暂估</v>
      </c>
      <c r="CG406" s="418" t="str">
        <f t="shared" si="241"/>
        <v>2019年10月艾蒙斯特朗clife服务费暂估</v>
      </c>
    </row>
    <row r="407" spans="2:85" s="447" customFormat="1" ht="17.25" customHeight="1">
      <c r="B407" s="447" t="str">
        <f t="shared" si="222"/>
        <v>CU1198</v>
      </c>
      <c r="C407" s="431" t="s">
        <v>755</v>
      </c>
      <c r="D407" s="367" t="s">
        <v>1538</v>
      </c>
      <c r="E407" s="453" t="s">
        <v>1733</v>
      </c>
      <c r="F407" s="454">
        <v>43739</v>
      </c>
      <c r="G407" s="455">
        <v>390694.27</v>
      </c>
      <c r="H407" s="440"/>
      <c r="I407" s="440">
        <f t="shared" si="242"/>
        <v>390694.27</v>
      </c>
      <c r="J407" s="440"/>
      <c r="L407" s="462">
        <f t="shared" si="243"/>
        <v>390694.27</v>
      </c>
      <c r="M407" s="462"/>
      <c r="N407" s="444"/>
      <c r="O407" s="462">
        <f t="shared" si="244"/>
        <v>390694.27</v>
      </c>
      <c r="R407" s="462">
        <f t="shared" si="245"/>
        <v>390694.27</v>
      </c>
      <c r="U407" s="462">
        <f t="shared" si="246"/>
        <v>390694.27</v>
      </c>
      <c r="X407" s="462">
        <f t="shared" si="247"/>
        <v>390694.27</v>
      </c>
      <c r="AA407" s="462">
        <f t="shared" si="248"/>
        <v>390694.27</v>
      </c>
      <c r="AD407" s="462">
        <f t="shared" si="249"/>
        <v>390694.27</v>
      </c>
      <c r="AG407" s="462">
        <f t="shared" si="250"/>
        <v>390694.27</v>
      </c>
      <c r="AJ407" s="462">
        <f t="shared" si="251"/>
        <v>390694.27</v>
      </c>
      <c r="AK407" s="447" t="s">
        <v>1906</v>
      </c>
      <c r="AL407" s="462">
        <f>ROUND((346200+51116.4+179428.92)/1.06,2)-AL317-AL353-AL376</f>
        <v>376844.41999999993</v>
      </c>
      <c r="AM407" s="461">
        <f t="shared" si="224"/>
        <v>13849.850000000093</v>
      </c>
      <c r="AN407" s="548" t="s">
        <v>370</v>
      </c>
      <c r="AO407" s="548"/>
      <c r="AP407" s="461">
        <f t="shared" si="225"/>
        <v>13849.850000000093</v>
      </c>
      <c r="AQ407" s="548" t="s">
        <v>369</v>
      </c>
      <c r="AR407" s="548">
        <v>13849.85</v>
      </c>
      <c r="AS407" s="461">
        <f t="shared" si="226"/>
        <v>9.276845958083868E-11</v>
      </c>
      <c r="AV407" s="462">
        <f t="shared" si="227"/>
        <v>9.276845958083868E-11</v>
      </c>
      <c r="AY407" s="462">
        <f t="shared" si="228"/>
        <v>9.276845958083868E-11</v>
      </c>
      <c r="BB407" s="462">
        <f t="shared" si="229"/>
        <v>9.276845958083868E-11</v>
      </c>
      <c r="BC407" s="447" t="s">
        <v>2204</v>
      </c>
      <c r="BE407" s="462">
        <f t="shared" si="230"/>
        <v>9.276845958083868E-11</v>
      </c>
      <c r="BH407" s="462">
        <f t="shared" si="231"/>
        <v>9.276845958083868E-11</v>
      </c>
      <c r="BK407" s="462">
        <f t="shared" si="232"/>
        <v>9.276845958083868E-11</v>
      </c>
      <c r="BN407" s="462">
        <f t="shared" si="233"/>
        <v>9.276845958083868E-11</v>
      </c>
      <c r="BQ407" s="462">
        <f t="shared" si="234"/>
        <v>0</v>
      </c>
      <c r="BT407" s="462">
        <f t="shared" si="235"/>
        <v>0</v>
      </c>
      <c r="BW407" s="462">
        <f t="shared" si="236"/>
        <v>0</v>
      </c>
      <c r="BZ407" s="462">
        <f t="shared" si="237"/>
        <v>0</v>
      </c>
      <c r="CD407" s="418" t="str">
        <f t="shared" si="238"/>
        <v>CU1198001</v>
      </c>
      <c r="CE407" s="442" t="str">
        <f t="shared" si="239"/>
        <v>2019年10月</v>
      </c>
      <c r="CF407" s="418" t="str">
        <f t="shared" si="240"/>
        <v>通用公正技clife服务费暂估</v>
      </c>
      <c r="CG407" s="418" t="str">
        <f t="shared" si="241"/>
        <v>2019年10月通用公正技clife服务费暂估</v>
      </c>
    </row>
    <row r="408" spans="2:85" s="447" customFormat="1" ht="17.25" customHeight="1">
      <c r="B408" s="447" t="str">
        <f t="shared" si="222"/>
        <v>CU1223</v>
      </c>
      <c r="C408" s="431" t="s">
        <v>755</v>
      </c>
      <c r="D408" s="367" t="s">
        <v>1842</v>
      </c>
      <c r="E408" s="367" t="s">
        <v>1898</v>
      </c>
      <c r="F408" s="439">
        <v>43739</v>
      </c>
      <c r="G408" s="448">
        <v>20176.32</v>
      </c>
      <c r="H408" s="440"/>
      <c r="I408" s="440">
        <f t="shared" si="242"/>
        <v>20176.32</v>
      </c>
      <c r="J408" s="440"/>
      <c r="L408" s="462">
        <f t="shared" si="243"/>
        <v>20176.32</v>
      </c>
      <c r="M408" s="462"/>
      <c r="N408" s="444"/>
      <c r="O408" s="462">
        <f t="shared" si="244"/>
        <v>20176.32</v>
      </c>
      <c r="R408" s="462">
        <f t="shared" si="245"/>
        <v>20176.32</v>
      </c>
      <c r="U408" s="462">
        <f t="shared" si="246"/>
        <v>20176.32</v>
      </c>
      <c r="X408" s="462">
        <f t="shared" si="247"/>
        <v>20176.32</v>
      </c>
      <c r="AA408" s="462">
        <f t="shared" si="248"/>
        <v>20176.32</v>
      </c>
      <c r="AD408" s="462">
        <f t="shared" si="249"/>
        <v>20176.32</v>
      </c>
      <c r="AG408" s="462">
        <f t="shared" si="250"/>
        <v>20176.32</v>
      </c>
      <c r="AJ408" s="462">
        <f t="shared" si="251"/>
        <v>20176.32</v>
      </c>
      <c r="AK408" s="447" t="s">
        <v>1906</v>
      </c>
      <c r="AM408" s="462">
        <f t="shared" si="224"/>
        <v>20176.32</v>
      </c>
      <c r="AN408" s="447" t="s">
        <v>1977</v>
      </c>
      <c r="AP408" s="462">
        <f t="shared" si="225"/>
        <v>20176.32</v>
      </c>
      <c r="AQ408" s="447" t="s">
        <v>2005</v>
      </c>
      <c r="AS408" s="459">
        <f t="shared" si="226"/>
        <v>20176.32</v>
      </c>
      <c r="AV408" s="462">
        <f t="shared" si="227"/>
        <v>20176.32</v>
      </c>
      <c r="AW408" s="447" t="s">
        <v>2107</v>
      </c>
      <c r="AY408" s="462">
        <f t="shared" si="228"/>
        <v>20176.32</v>
      </c>
      <c r="AZ408" s="447" t="s">
        <v>2131</v>
      </c>
      <c r="BB408" s="462">
        <f t="shared" si="229"/>
        <v>20176.32</v>
      </c>
      <c r="BC408" s="447" t="s">
        <v>2204</v>
      </c>
      <c r="BE408" s="462">
        <f t="shared" si="230"/>
        <v>20176.32</v>
      </c>
      <c r="BF408" s="447" t="s">
        <v>2237</v>
      </c>
      <c r="BH408" s="462">
        <f t="shared" si="231"/>
        <v>20176.32</v>
      </c>
      <c r="BI408" s="447" t="s">
        <v>2292</v>
      </c>
      <c r="BJ408" s="462">
        <f>BH408</f>
        <v>20176.32</v>
      </c>
      <c r="BK408" s="462">
        <f t="shared" si="232"/>
        <v>0</v>
      </c>
      <c r="BN408" s="462">
        <f t="shared" si="233"/>
        <v>0</v>
      </c>
      <c r="BQ408" s="462">
        <f t="shared" si="234"/>
        <v>0</v>
      </c>
      <c r="BT408" s="462">
        <f t="shared" si="235"/>
        <v>0</v>
      </c>
      <c r="BW408" s="462">
        <f t="shared" si="236"/>
        <v>0</v>
      </c>
      <c r="BZ408" s="462">
        <f t="shared" si="237"/>
        <v>0</v>
      </c>
      <c r="CD408" s="418" t="str">
        <f t="shared" si="238"/>
        <v>CU1223001</v>
      </c>
      <c r="CE408" s="442" t="str">
        <f t="shared" si="239"/>
        <v>2019年10月</v>
      </c>
      <c r="CF408" s="418" t="str">
        <f t="shared" si="240"/>
        <v>上海品盛化clife服务费暂估</v>
      </c>
      <c r="CG408" s="418" t="str">
        <f t="shared" si="241"/>
        <v>2019年10月上海品盛化clife服务费暂估</v>
      </c>
    </row>
    <row r="409" spans="2:85" s="447" customFormat="1" ht="17.25" customHeight="1">
      <c r="B409" s="447" t="str">
        <f t="shared" si="222"/>
        <v>CU1345</v>
      </c>
      <c r="C409" s="431" t="s">
        <v>755</v>
      </c>
      <c r="D409" s="367" t="s">
        <v>1843</v>
      </c>
      <c r="E409" s="367" t="s">
        <v>1899</v>
      </c>
      <c r="F409" s="439">
        <v>43739</v>
      </c>
      <c r="G409" s="448">
        <v>125119.99</v>
      </c>
      <c r="H409" s="440"/>
      <c r="I409" s="440">
        <f t="shared" si="242"/>
        <v>125119.99</v>
      </c>
      <c r="J409" s="440"/>
      <c r="L409" s="462">
        <f t="shared" si="243"/>
        <v>125119.99</v>
      </c>
      <c r="M409" s="462"/>
      <c r="N409" s="444"/>
      <c r="O409" s="462">
        <f t="shared" si="244"/>
        <v>125119.99</v>
      </c>
      <c r="R409" s="462">
        <f t="shared" si="245"/>
        <v>125119.99</v>
      </c>
      <c r="U409" s="462">
        <f t="shared" si="246"/>
        <v>125119.99</v>
      </c>
      <c r="X409" s="462">
        <f t="shared" si="247"/>
        <v>125119.99</v>
      </c>
      <c r="AA409" s="462">
        <f t="shared" si="248"/>
        <v>125119.99</v>
      </c>
      <c r="AD409" s="462">
        <f t="shared" si="249"/>
        <v>125119.99</v>
      </c>
      <c r="AG409" s="462">
        <f t="shared" si="250"/>
        <v>125119.99</v>
      </c>
      <c r="AJ409" s="462">
        <f t="shared" si="251"/>
        <v>125119.99</v>
      </c>
      <c r="AK409" s="447" t="s">
        <v>1906</v>
      </c>
      <c r="AL409" s="447">
        <f>ROUND(76100/1.06,2)</f>
        <v>71792.45</v>
      </c>
      <c r="AM409" s="462">
        <f t="shared" si="224"/>
        <v>53327.540000000008</v>
      </c>
      <c r="AN409" s="447" t="s">
        <v>1977</v>
      </c>
      <c r="AP409" s="462">
        <f t="shared" si="225"/>
        <v>53327.540000000008</v>
      </c>
      <c r="AQ409" s="447" t="s">
        <v>2005</v>
      </c>
      <c r="AS409" s="459">
        <f t="shared" si="226"/>
        <v>53327.540000000008</v>
      </c>
      <c r="AV409" s="462">
        <f t="shared" si="227"/>
        <v>53327.540000000008</v>
      </c>
      <c r="AW409" s="447" t="s">
        <v>2107</v>
      </c>
      <c r="AY409" s="462">
        <f t="shared" si="228"/>
        <v>53327.540000000008</v>
      </c>
      <c r="AZ409" s="447" t="s">
        <v>2131</v>
      </c>
      <c r="BB409" s="462">
        <f t="shared" si="229"/>
        <v>53327.540000000008</v>
      </c>
      <c r="BC409" s="447" t="s">
        <v>2204</v>
      </c>
      <c r="BD409" s="462">
        <f>BB409</f>
        <v>53327.540000000008</v>
      </c>
      <c r="BE409" s="462">
        <f t="shared" si="230"/>
        <v>0</v>
      </c>
      <c r="BH409" s="462">
        <f t="shared" si="231"/>
        <v>0</v>
      </c>
      <c r="BK409" s="462">
        <f t="shared" si="232"/>
        <v>0</v>
      </c>
      <c r="BN409" s="462">
        <f t="shared" si="233"/>
        <v>0</v>
      </c>
      <c r="BQ409" s="462">
        <f t="shared" si="234"/>
        <v>0</v>
      </c>
      <c r="BT409" s="462">
        <f t="shared" si="235"/>
        <v>0</v>
      </c>
      <c r="BW409" s="462">
        <f t="shared" si="236"/>
        <v>0</v>
      </c>
      <c r="BZ409" s="462">
        <f t="shared" si="237"/>
        <v>0</v>
      </c>
      <c r="CD409" s="418" t="str">
        <f t="shared" si="238"/>
        <v>CU1345001</v>
      </c>
      <c r="CE409" s="442" t="str">
        <f t="shared" si="239"/>
        <v>2019年10月</v>
      </c>
      <c r="CF409" s="418" t="str">
        <f t="shared" si="240"/>
        <v>上海创米科clife服务费暂估</v>
      </c>
      <c r="CG409" s="418" t="str">
        <f t="shared" si="241"/>
        <v>2019年10月上海创米科clife服务费暂估</v>
      </c>
    </row>
    <row r="410" spans="2:85" s="447" customFormat="1" ht="17.25" customHeight="1">
      <c r="B410" s="447" t="str">
        <f t="shared" si="222"/>
        <v>CU1354</v>
      </c>
      <c r="C410" s="431" t="s">
        <v>755</v>
      </c>
      <c r="D410" s="367" t="s">
        <v>1723</v>
      </c>
      <c r="E410" s="367" t="s">
        <v>1900</v>
      </c>
      <c r="F410" s="439">
        <v>43739</v>
      </c>
      <c r="G410" s="448">
        <v>49779.27</v>
      </c>
      <c r="H410" s="440"/>
      <c r="I410" s="440">
        <f t="shared" si="242"/>
        <v>49779.27</v>
      </c>
      <c r="J410" s="440"/>
      <c r="L410" s="462">
        <f t="shared" si="243"/>
        <v>49779.27</v>
      </c>
      <c r="M410" s="462"/>
      <c r="N410" s="444"/>
      <c r="O410" s="462">
        <f t="shared" si="244"/>
        <v>49779.27</v>
      </c>
      <c r="R410" s="462">
        <f t="shared" si="245"/>
        <v>49779.27</v>
      </c>
      <c r="U410" s="462">
        <f t="shared" si="246"/>
        <v>49779.27</v>
      </c>
      <c r="X410" s="462">
        <f t="shared" si="247"/>
        <v>49779.27</v>
      </c>
      <c r="AA410" s="462">
        <f t="shared" si="248"/>
        <v>49779.27</v>
      </c>
      <c r="AD410" s="462">
        <f t="shared" si="249"/>
        <v>49779.27</v>
      </c>
      <c r="AG410" s="462">
        <f t="shared" si="250"/>
        <v>49779.27</v>
      </c>
      <c r="AJ410" s="462">
        <f t="shared" si="251"/>
        <v>49779.27</v>
      </c>
      <c r="AK410" s="447" t="s">
        <v>1906</v>
      </c>
      <c r="AL410" s="462">
        <f>ROUND(144711.24/1.06,2)-AL319-AL380</f>
        <v>47077.640000000007</v>
      </c>
      <c r="AM410" s="462">
        <f t="shared" si="224"/>
        <v>2701.6299999999901</v>
      </c>
      <c r="AN410" s="447" t="s">
        <v>1977</v>
      </c>
      <c r="AP410" s="462">
        <f t="shared" si="225"/>
        <v>2701.6299999999901</v>
      </c>
      <c r="AQ410" s="447" t="s">
        <v>2005</v>
      </c>
      <c r="AS410" s="459">
        <f t="shared" si="226"/>
        <v>2701.6299999999901</v>
      </c>
      <c r="AV410" s="462">
        <f t="shared" si="227"/>
        <v>2701.6299999999901</v>
      </c>
      <c r="AW410" s="447" t="s">
        <v>2107</v>
      </c>
      <c r="AY410" s="462">
        <f t="shared" si="228"/>
        <v>2701.6299999999901</v>
      </c>
      <c r="AZ410" s="447" t="s">
        <v>2131</v>
      </c>
      <c r="BB410" s="462">
        <f t="shared" si="229"/>
        <v>2701.6299999999901</v>
      </c>
      <c r="BC410" s="447" t="s">
        <v>2204</v>
      </c>
      <c r="BE410" s="462">
        <f t="shared" si="230"/>
        <v>2701.6299999999901</v>
      </c>
      <c r="BF410" s="447" t="s">
        <v>2237</v>
      </c>
      <c r="BH410" s="462">
        <f t="shared" si="231"/>
        <v>2701.6299999999901</v>
      </c>
      <c r="BI410" s="447" t="s">
        <v>2292</v>
      </c>
      <c r="BK410" s="462">
        <f t="shared" si="232"/>
        <v>2701.6299999999901</v>
      </c>
      <c r="BL410" s="447" t="s">
        <v>2339</v>
      </c>
      <c r="BN410" s="462">
        <f t="shared" si="233"/>
        <v>2701.6299999999901</v>
      </c>
      <c r="BO410" s="447" t="s">
        <v>2365</v>
      </c>
      <c r="BP410" s="462">
        <f>BN410</f>
        <v>2701.6299999999901</v>
      </c>
      <c r="BQ410" s="462">
        <f t="shared" si="234"/>
        <v>0</v>
      </c>
      <c r="BT410" s="462">
        <f t="shared" si="235"/>
        <v>0</v>
      </c>
      <c r="BW410" s="462">
        <f t="shared" si="236"/>
        <v>0</v>
      </c>
      <c r="BZ410" s="462">
        <f t="shared" si="237"/>
        <v>0</v>
      </c>
      <c r="CD410" s="418" t="str">
        <f t="shared" si="238"/>
        <v>CU1354001</v>
      </c>
      <c r="CE410" s="442" t="str">
        <f t="shared" si="239"/>
        <v>2019年10月</v>
      </c>
      <c r="CF410" s="418" t="str">
        <f t="shared" si="240"/>
        <v>威内源企业clife服务费暂估</v>
      </c>
      <c r="CG410" s="418" t="str">
        <f t="shared" si="241"/>
        <v>2019年10月威内源企业clife服务费暂估</v>
      </c>
    </row>
    <row r="411" spans="2:85" s="447" customFormat="1" ht="17.25" customHeight="1">
      <c r="B411" s="447" t="str">
        <f t="shared" si="222"/>
        <v>CU1375</v>
      </c>
      <c r="C411" s="431" t="s">
        <v>755</v>
      </c>
      <c r="D411" s="367" t="s">
        <v>1677</v>
      </c>
      <c r="E411" s="367" t="s">
        <v>1901</v>
      </c>
      <c r="F411" s="439">
        <v>43739</v>
      </c>
      <c r="G411" s="448">
        <v>160835.47</v>
      </c>
      <c r="H411" s="440"/>
      <c r="I411" s="440">
        <f t="shared" si="242"/>
        <v>160835.47</v>
      </c>
      <c r="J411" s="440"/>
      <c r="L411" s="462">
        <f t="shared" si="243"/>
        <v>160835.47</v>
      </c>
      <c r="M411" s="462"/>
      <c r="N411" s="444"/>
      <c r="O411" s="462">
        <f t="shared" si="244"/>
        <v>160835.47</v>
      </c>
      <c r="R411" s="462">
        <f t="shared" si="245"/>
        <v>160835.47</v>
      </c>
      <c r="U411" s="462">
        <f t="shared" si="246"/>
        <v>160835.47</v>
      </c>
      <c r="X411" s="462">
        <f t="shared" si="247"/>
        <v>160835.47</v>
      </c>
      <c r="AA411" s="462">
        <f t="shared" si="248"/>
        <v>160835.47</v>
      </c>
      <c r="AD411" s="462">
        <f t="shared" si="249"/>
        <v>160835.47</v>
      </c>
      <c r="AG411" s="462">
        <f t="shared" si="250"/>
        <v>160835.47</v>
      </c>
      <c r="AJ411" s="462">
        <f t="shared" si="251"/>
        <v>160835.47</v>
      </c>
      <c r="AK411" s="447" t="s">
        <v>1906</v>
      </c>
      <c r="AM411" s="462">
        <f t="shared" si="224"/>
        <v>160835.47</v>
      </c>
      <c r="AN411" s="447" t="s">
        <v>1977</v>
      </c>
      <c r="AP411" s="462">
        <f t="shared" si="225"/>
        <v>160835.47</v>
      </c>
      <c r="AQ411" s="447" t="s">
        <v>2005</v>
      </c>
      <c r="AS411" s="459">
        <f t="shared" si="226"/>
        <v>160835.47</v>
      </c>
      <c r="AV411" s="462">
        <f t="shared" si="227"/>
        <v>160835.47</v>
      </c>
      <c r="AW411" s="447" t="s">
        <v>2107</v>
      </c>
      <c r="AY411" s="462">
        <f t="shared" si="228"/>
        <v>160835.47</v>
      </c>
      <c r="AZ411" s="447" t="s">
        <v>2131</v>
      </c>
      <c r="BB411" s="462">
        <f t="shared" si="229"/>
        <v>160835.47</v>
      </c>
      <c r="BC411" s="447" t="s">
        <v>2204</v>
      </c>
      <c r="BE411" s="462">
        <f t="shared" si="230"/>
        <v>160835.47</v>
      </c>
      <c r="BF411" s="447" t="s">
        <v>2237</v>
      </c>
      <c r="BH411" s="462">
        <f t="shared" si="231"/>
        <v>160835.47</v>
      </c>
      <c r="BI411" s="447" t="s">
        <v>2292</v>
      </c>
      <c r="BK411" s="462">
        <f t="shared" si="232"/>
        <v>160835.47</v>
      </c>
      <c r="BL411" s="447" t="s">
        <v>2339</v>
      </c>
      <c r="BM411" s="447">
        <f>ROUND(94752.61/1.06,2)</f>
        <v>89389.25</v>
      </c>
      <c r="BN411" s="462">
        <f t="shared" si="233"/>
        <v>71446.22</v>
      </c>
      <c r="BO411" s="447" t="s">
        <v>2365</v>
      </c>
      <c r="BQ411" s="462">
        <f t="shared" si="234"/>
        <v>71446.22</v>
      </c>
      <c r="BR411" s="447" t="s">
        <v>2374</v>
      </c>
      <c r="BT411" s="462">
        <f t="shared" si="235"/>
        <v>71446.22</v>
      </c>
      <c r="BU411" s="447" t="s">
        <v>2134</v>
      </c>
      <c r="BV411" s="462">
        <f>BT411</f>
        <v>71446.22</v>
      </c>
      <c r="BW411" s="462">
        <f t="shared" si="236"/>
        <v>0</v>
      </c>
      <c r="BZ411" s="462">
        <f t="shared" si="237"/>
        <v>0</v>
      </c>
      <c r="CD411" s="418" t="str">
        <f t="shared" si="238"/>
        <v>CU1375001</v>
      </c>
      <c r="CE411" s="442" t="str">
        <f t="shared" si="239"/>
        <v>2019年10月</v>
      </c>
      <c r="CF411" s="418" t="str">
        <f t="shared" si="240"/>
        <v>上海库润信clife服务费暂估</v>
      </c>
      <c r="CG411" s="418" t="str">
        <f t="shared" si="241"/>
        <v>2019年10月上海库润信clife服务费暂估</v>
      </c>
    </row>
    <row r="412" spans="2:85" s="447" customFormat="1" ht="17.25" customHeight="1">
      <c r="B412" s="447" t="str">
        <f t="shared" si="222"/>
        <v>CU1430</v>
      </c>
      <c r="C412" s="431" t="s">
        <v>755</v>
      </c>
      <c r="D412" s="367" t="s">
        <v>1847</v>
      </c>
      <c r="E412" s="367" t="s">
        <v>1902</v>
      </c>
      <c r="F412" s="439">
        <v>43739</v>
      </c>
      <c r="G412" s="448">
        <v>7520.17</v>
      </c>
      <c r="H412" s="440"/>
      <c r="I412" s="440">
        <f t="shared" si="242"/>
        <v>7520.17</v>
      </c>
      <c r="J412" s="440"/>
      <c r="L412" s="462">
        <f t="shared" si="243"/>
        <v>7520.17</v>
      </c>
      <c r="M412" s="462"/>
      <c r="N412" s="444"/>
      <c r="O412" s="462">
        <f t="shared" si="244"/>
        <v>7520.17</v>
      </c>
      <c r="R412" s="462">
        <f t="shared" si="245"/>
        <v>7520.17</v>
      </c>
      <c r="U412" s="462">
        <f t="shared" si="246"/>
        <v>7520.17</v>
      </c>
      <c r="X412" s="462">
        <f t="shared" si="247"/>
        <v>7520.17</v>
      </c>
      <c r="AA412" s="462">
        <f t="shared" si="248"/>
        <v>7520.17</v>
      </c>
      <c r="AD412" s="462">
        <f t="shared" si="249"/>
        <v>7520.17</v>
      </c>
      <c r="AG412" s="462">
        <f t="shared" si="250"/>
        <v>7520.17</v>
      </c>
      <c r="AJ412" s="462">
        <f t="shared" si="251"/>
        <v>7520.17</v>
      </c>
      <c r="AK412" s="447" t="s">
        <v>1906</v>
      </c>
      <c r="AM412" s="462">
        <f t="shared" si="224"/>
        <v>7520.17</v>
      </c>
      <c r="AN412" s="447" t="s">
        <v>1977</v>
      </c>
      <c r="AP412" s="462">
        <f t="shared" si="225"/>
        <v>7520.17</v>
      </c>
      <c r="AQ412" s="447" t="s">
        <v>2005</v>
      </c>
      <c r="AS412" s="459">
        <f t="shared" si="226"/>
        <v>7520.17</v>
      </c>
      <c r="AV412" s="462">
        <f t="shared" si="227"/>
        <v>7520.17</v>
      </c>
      <c r="AW412" s="447" t="s">
        <v>2107</v>
      </c>
      <c r="AY412" s="462">
        <f t="shared" si="228"/>
        <v>7520.17</v>
      </c>
      <c r="AZ412" s="447" t="s">
        <v>2131</v>
      </c>
      <c r="BB412" s="462">
        <f t="shared" si="229"/>
        <v>7520.17</v>
      </c>
      <c r="BC412" s="447" t="s">
        <v>2204</v>
      </c>
      <c r="BE412" s="462">
        <f t="shared" si="230"/>
        <v>7520.17</v>
      </c>
      <c r="BF412" s="447" t="s">
        <v>2237</v>
      </c>
      <c r="BH412" s="462">
        <f t="shared" si="231"/>
        <v>7520.17</v>
      </c>
      <c r="BI412" s="447" t="s">
        <v>2292</v>
      </c>
      <c r="BK412" s="462">
        <f t="shared" si="232"/>
        <v>7520.17</v>
      </c>
      <c r="BL412" s="447" t="s">
        <v>2339</v>
      </c>
      <c r="BN412" s="462">
        <f t="shared" si="233"/>
        <v>7520.17</v>
      </c>
      <c r="BO412" s="447" t="s">
        <v>2365</v>
      </c>
      <c r="BQ412" s="462">
        <f t="shared" si="234"/>
        <v>7520.17</v>
      </c>
      <c r="BR412" s="447" t="s">
        <v>2374</v>
      </c>
      <c r="BT412" s="462">
        <f t="shared" si="235"/>
        <v>7520.17</v>
      </c>
      <c r="BU412" s="447" t="s">
        <v>2134</v>
      </c>
      <c r="BV412" s="462">
        <f>BT412</f>
        <v>7520.17</v>
      </c>
      <c r="BW412" s="462">
        <f t="shared" si="236"/>
        <v>0</v>
      </c>
      <c r="BZ412" s="462">
        <f t="shared" si="237"/>
        <v>0</v>
      </c>
      <c r="CD412" s="418" t="str">
        <f t="shared" si="238"/>
        <v>CU1430001</v>
      </c>
      <c r="CE412" s="442" t="str">
        <f t="shared" si="239"/>
        <v>2019年10月</v>
      </c>
      <c r="CF412" s="418" t="str">
        <f t="shared" si="240"/>
        <v>连云港锐巴clife服务费暂估</v>
      </c>
      <c r="CG412" s="418" t="str">
        <f t="shared" si="241"/>
        <v>2019年10月连云港锐巴clife服务费暂估</v>
      </c>
    </row>
    <row r="413" spans="2:85" s="447" customFormat="1" ht="17.25" customHeight="1">
      <c r="B413" s="447" t="str">
        <f t="shared" si="222"/>
        <v>CU1705</v>
      </c>
      <c r="C413" s="431" t="s">
        <v>755</v>
      </c>
      <c r="D413" s="367" t="s">
        <v>1848</v>
      </c>
      <c r="E413" s="367" t="s">
        <v>1903</v>
      </c>
      <c r="F413" s="439">
        <v>43739</v>
      </c>
      <c r="G413" s="448">
        <v>11792.6</v>
      </c>
      <c r="H413" s="440"/>
      <c r="I413" s="440">
        <f t="shared" si="242"/>
        <v>11792.6</v>
      </c>
      <c r="J413" s="440"/>
      <c r="L413" s="462">
        <f t="shared" si="243"/>
        <v>11792.6</v>
      </c>
      <c r="M413" s="462"/>
      <c r="N413" s="444"/>
      <c r="O413" s="462">
        <f t="shared" si="244"/>
        <v>11792.6</v>
      </c>
      <c r="R413" s="462">
        <f t="shared" si="245"/>
        <v>11792.6</v>
      </c>
      <c r="U413" s="462">
        <f t="shared" si="246"/>
        <v>11792.6</v>
      </c>
      <c r="X413" s="462">
        <f t="shared" si="247"/>
        <v>11792.6</v>
      </c>
      <c r="AA413" s="462">
        <f t="shared" si="248"/>
        <v>11792.6</v>
      </c>
      <c r="AD413" s="462">
        <f t="shared" si="249"/>
        <v>11792.6</v>
      </c>
      <c r="AG413" s="462">
        <f t="shared" si="250"/>
        <v>11792.6</v>
      </c>
      <c r="AJ413" s="462">
        <f t="shared" si="251"/>
        <v>11792.6</v>
      </c>
      <c r="AK413" s="447" t="s">
        <v>1906</v>
      </c>
      <c r="AM413" s="462">
        <f t="shared" si="224"/>
        <v>11792.6</v>
      </c>
      <c r="AN413" s="447" t="s">
        <v>1977</v>
      </c>
      <c r="AO413" s="460">
        <v>11792.6</v>
      </c>
      <c r="AP413" s="462">
        <f t="shared" si="225"/>
        <v>0</v>
      </c>
      <c r="AQ413" s="447" t="s">
        <v>2005</v>
      </c>
      <c r="AS413" s="459">
        <f t="shared" si="226"/>
        <v>0</v>
      </c>
      <c r="AV413" s="462">
        <f t="shared" si="227"/>
        <v>0</v>
      </c>
      <c r="AY413" s="462">
        <f t="shared" si="228"/>
        <v>0</v>
      </c>
      <c r="BB413" s="462">
        <f t="shared" si="229"/>
        <v>0</v>
      </c>
      <c r="BC413" s="447" t="s">
        <v>2204</v>
      </c>
      <c r="BE413" s="462">
        <f t="shared" si="230"/>
        <v>0</v>
      </c>
      <c r="BH413" s="462">
        <f t="shared" si="231"/>
        <v>0</v>
      </c>
      <c r="BK413" s="462">
        <f t="shared" si="232"/>
        <v>0</v>
      </c>
      <c r="BN413" s="462">
        <f t="shared" si="233"/>
        <v>0</v>
      </c>
      <c r="BQ413" s="462">
        <f t="shared" si="234"/>
        <v>0</v>
      </c>
      <c r="BT413" s="462">
        <f t="shared" si="235"/>
        <v>0</v>
      </c>
      <c r="BW413" s="462">
        <f t="shared" si="236"/>
        <v>0</v>
      </c>
      <c r="BZ413" s="462">
        <f t="shared" si="237"/>
        <v>0</v>
      </c>
      <c r="CD413" s="418" t="str">
        <f t="shared" si="238"/>
        <v>CU1705001</v>
      </c>
      <c r="CE413" s="442" t="str">
        <f t="shared" si="239"/>
        <v>2019年10月</v>
      </c>
      <c r="CF413" s="418" t="str">
        <f t="shared" si="240"/>
        <v>通标标准技clife服务费暂估</v>
      </c>
      <c r="CG413" s="418" t="str">
        <f t="shared" si="241"/>
        <v>2019年10月通标标准技clife服务费暂估</v>
      </c>
    </row>
    <row r="414" spans="2:85" s="447" customFormat="1" ht="17.25" customHeight="1">
      <c r="B414" s="447" t="str">
        <f t="shared" si="222"/>
        <v>CU1718</v>
      </c>
      <c r="C414" s="431" t="s">
        <v>755</v>
      </c>
      <c r="D414" s="367" t="s">
        <v>1849</v>
      </c>
      <c r="E414" s="367" t="s">
        <v>1904</v>
      </c>
      <c r="F414" s="439">
        <v>43739</v>
      </c>
      <c r="G414" s="448">
        <v>104302.38</v>
      </c>
      <c r="H414" s="440"/>
      <c r="I414" s="440">
        <f t="shared" si="242"/>
        <v>104302.38</v>
      </c>
      <c r="J414" s="440"/>
      <c r="L414" s="462">
        <f t="shared" si="243"/>
        <v>104302.38</v>
      </c>
      <c r="M414" s="462"/>
      <c r="N414" s="444"/>
      <c r="O414" s="462">
        <f t="shared" si="244"/>
        <v>104302.38</v>
      </c>
      <c r="R414" s="462">
        <f t="shared" si="245"/>
        <v>104302.38</v>
      </c>
      <c r="U414" s="462">
        <f t="shared" si="246"/>
        <v>104302.38</v>
      </c>
      <c r="X414" s="462">
        <f t="shared" si="247"/>
        <v>104302.38</v>
      </c>
      <c r="AA414" s="462">
        <f t="shared" si="248"/>
        <v>104302.38</v>
      </c>
      <c r="AD414" s="462">
        <f t="shared" si="249"/>
        <v>104302.38</v>
      </c>
      <c r="AG414" s="462">
        <f t="shared" si="250"/>
        <v>104302.38</v>
      </c>
      <c r="AJ414" s="462">
        <f t="shared" si="251"/>
        <v>104302.38</v>
      </c>
      <c r="AK414" s="447" t="s">
        <v>1906</v>
      </c>
      <c r="AM414" s="462">
        <f t="shared" si="224"/>
        <v>104302.38</v>
      </c>
      <c r="AN414" s="447" t="s">
        <v>1977</v>
      </c>
      <c r="AO414" s="447">
        <f>ROUND(110849.52/1.06,2)-272.64</f>
        <v>104302.38</v>
      </c>
      <c r="AP414" s="462">
        <f t="shared" si="225"/>
        <v>0</v>
      </c>
      <c r="AQ414" s="447" t="s">
        <v>2005</v>
      </c>
      <c r="AS414" s="459">
        <f t="shared" si="226"/>
        <v>0</v>
      </c>
      <c r="AV414" s="462">
        <f t="shared" si="227"/>
        <v>0</v>
      </c>
      <c r="AY414" s="462">
        <f t="shared" si="228"/>
        <v>0</v>
      </c>
      <c r="BB414" s="462">
        <f t="shared" si="229"/>
        <v>0</v>
      </c>
      <c r="BC414" s="447" t="s">
        <v>2204</v>
      </c>
      <c r="BE414" s="462">
        <f t="shared" si="230"/>
        <v>0</v>
      </c>
      <c r="BH414" s="462">
        <f t="shared" si="231"/>
        <v>0</v>
      </c>
      <c r="BK414" s="462">
        <f t="shared" si="232"/>
        <v>0</v>
      </c>
      <c r="BN414" s="462">
        <f t="shared" si="233"/>
        <v>0</v>
      </c>
      <c r="BQ414" s="462">
        <f t="shared" si="234"/>
        <v>0</v>
      </c>
      <c r="BT414" s="462">
        <f t="shared" si="235"/>
        <v>0</v>
      </c>
      <c r="BW414" s="462">
        <f t="shared" si="236"/>
        <v>0</v>
      </c>
      <c r="BZ414" s="462">
        <f t="shared" si="237"/>
        <v>0</v>
      </c>
      <c r="CD414" s="418" t="str">
        <f t="shared" si="238"/>
        <v>CU1718001</v>
      </c>
      <c r="CE414" s="442" t="str">
        <f t="shared" si="239"/>
        <v>2019年10月</v>
      </c>
      <c r="CF414" s="418" t="str">
        <f t="shared" si="240"/>
        <v>Worldclife服务费暂估</v>
      </c>
      <c r="CG414" s="418" t="str">
        <f t="shared" si="241"/>
        <v>2019年10月Worldclife服务费暂估</v>
      </c>
    </row>
    <row r="415" spans="2:85" s="447" customFormat="1" ht="17.25" customHeight="1">
      <c r="B415" s="447" t="str">
        <f t="shared" si="222"/>
        <v>CU1745</v>
      </c>
      <c r="C415" s="431" t="s">
        <v>755</v>
      </c>
      <c r="D415" s="367" t="s">
        <v>1875</v>
      </c>
      <c r="E415" s="367" t="s">
        <v>1905</v>
      </c>
      <c r="F415" s="439">
        <v>43739</v>
      </c>
      <c r="G415" s="448">
        <v>1464.2</v>
      </c>
      <c r="H415" s="440"/>
      <c r="I415" s="440">
        <f t="shared" si="242"/>
        <v>1464.2</v>
      </c>
      <c r="J415" s="440"/>
      <c r="L415" s="462">
        <f t="shared" si="243"/>
        <v>1464.2</v>
      </c>
      <c r="M415" s="462"/>
      <c r="N415" s="444"/>
      <c r="O415" s="462">
        <f t="shared" si="244"/>
        <v>1464.2</v>
      </c>
      <c r="R415" s="462">
        <f t="shared" si="245"/>
        <v>1464.2</v>
      </c>
      <c r="U415" s="462">
        <f t="shared" si="246"/>
        <v>1464.2</v>
      </c>
      <c r="X415" s="462">
        <f t="shared" si="247"/>
        <v>1464.2</v>
      </c>
      <c r="AA415" s="462">
        <f t="shared" si="248"/>
        <v>1464.2</v>
      </c>
      <c r="AD415" s="462">
        <f t="shared" si="249"/>
        <v>1464.2</v>
      </c>
      <c r="AG415" s="462">
        <f t="shared" si="250"/>
        <v>1464.2</v>
      </c>
      <c r="AJ415" s="462">
        <f t="shared" si="251"/>
        <v>1464.2</v>
      </c>
      <c r="AK415" s="447" t="s">
        <v>1906</v>
      </c>
      <c r="AM415" s="462">
        <f t="shared" si="224"/>
        <v>1464.2</v>
      </c>
      <c r="AN415" s="447" t="s">
        <v>1977</v>
      </c>
      <c r="AP415" s="462">
        <f t="shared" si="225"/>
        <v>1464.2</v>
      </c>
      <c r="AQ415" s="447" t="s">
        <v>2005</v>
      </c>
      <c r="AS415" s="459">
        <f t="shared" si="226"/>
        <v>1464.2</v>
      </c>
      <c r="AV415" s="462">
        <f t="shared" si="227"/>
        <v>1464.2</v>
      </c>
      <c r="AW415" s="447" t="s">
        <v>2107</v>
      </c>
      <c r="AY415" s="462">
        <f t="shared" si="228"/>
        <v>1464.2</v>
      </c>
      <c r="AZ415" s="447" t="s">
        <v>2131</v>
      </c>
      <c r="BB415" s="462">
        <f t="shared" si="229"/>
        <v>1464.2</v>
      </c>
      <c r="BC415" s="447" t="s">
        <v>2204</v>
      </c>
      <c r="BD415" s="462">
        <f>BB415</f>
        <v>1464.2</v>
      </c>
      <c r="BE415" s="462">
        <f t="shared" si="230"/>
        <v>0</v>
      </c>
      <c r="BH415" s="462">
        <f t="shared" si="231"/>
        <v>0</v>
      </c>
      <c r="BK415" s="462">
        <f t="shared" si="232"/>
        <v>0</v>
      </c>
      <c r="BN415" s="462">
        <f t="shared" si="233"/>
        <v>0</v>
      </c>
      <c r="BQ415" s="462">
        <f t="shared" si="234"/>
        <v>0</v>
      </c>
      <c r="BT415" s="462">
        <f t="shared" si="235"/>
        <v>0</v>
      </c>
      <c r="BW415" s="462">
        <f t="shared" si="236"/>
        <v>0</v>
      </c>
      <c r="BZ415" s="462">
        <f t="shared" si="237"/>
        <v>0</v>
      </c>
      <c r="CD415" s="418" t="str">
        <f t="shared" si="238"/>
        <v>CU1745001</v>
      </c>
      <c r="CE415" s="442" t="str">
        <f t="shared" si="239"/>
        <v>2019年10月</v>
      </c>
      <c r="CF415" s="418" t="str">
        <f t="shared" si="240"/>
        <v>格林机床（clife服务费暂估</v>
      </c>
      <c r="CG415" s="418" t="str">
        <f t="shared" si="241"/>
        <v>2019年10月格林机床（clife服务费暂估</v>
      </c>
    </row>
    <row r="416" spans="2:85" s="447" customFormat="1" ht="17.25" customHeight="1">
      <c r="B416" s="447" t="str">
        <f t="shared" si="222"/>
        <v>CU0093</v>
      </c>
      <c r="C416" s="431" t="s">
        <v>755</v>
      </c>
      <c r="D416" s="367" t="s">
        <v>1832</v>
      </c>
      <c r="E416" s="367" t="s">
        <v>32</v>
      </c>
      <c r="F416" s="439">
        <v>43770</v>
      </c>
      <c r="G416" s="448">
        <v>640.26</v>
      </c>
      <c r="H416" s="440"/>
      <c r="I416" s="440">
        <f t="shared" si="242"/>
        <v>640.26</v>
      </c>
      <c r="J416" s="440"/>
      <c r="L416" s="462">
        <f t="shared" si="243"/>
        <v>640.26</v>
      </c>
      <c r="M416" s="462"/>
      <c r="N416" s="444"/>
      <c r="O416" s="462">
        <f t="shared" si="244"/>
        <v>640.26</v>
      </c>
      <c r="R416" s="462">
        <f t="shared" si="245"/>
        <v>640.26</v>
      </c>
      <c r="U416" s="462">
        <f t="shared" si="246"/>
        <v>640.26</v>
      </c>
      <c r="X416" s="462">
        <f t="shared" si="247"/>
        <v>640.26</v>
      </c>
      <c r="AA416" s="462">
        <f t="shared" si="248"/>
        <v>640.26</v>
      </c>
      <c r="AD416" s="462">
        <f t="shared" si="249"/>
        <v>640.26</v>
      </c>
      <c r="AG416" s="462">
        <f t="shared" si="250"/>
        <v>640.26</v>
      </c>
      <c r="AJ416" s="462">
        <f t="shared" si="251"/>
        <v>640.26</v>
      </c>
      <c r="AM416" s="462">
        <f t="shared" si="224"/>
        <v>640.26</v>
      </c>
      <c r="AN416" s="447" t="s">
        <v>1993</v>
      </c>
      <c r="AP416" s="462">
        <f t="shared" si="225"/>
        <v>640.26</v>
      </c>
      <c r="AQ416" s="447" t="s">
        <v>2006</v>
      </c>
      <c r="AS416" s="459">
        <f t="shared" si="226"/>
        <v>640.26</v>
      </c>
      <c r="AV416" s="462">
        <f t="shared" si="227"/>
        <v>640.26</v>
      </c>
      <c r="AW416" s="447" t="s">
        <v>2107</v>
      </c>
      <c r="AY416" s="462">
        <f t="shared" si="228"/>
        <v>640.26</v>
      </c>
      <c r="AZ416" s="447" t="s">
        <v>2131</v>
      </c>
      <c r="BB416" s="462">
        <f t="shared" si="229"/>
        <v>640.26</v>
      </c>
      <c r="BC416" s="447" t="s">
        <v>2204</v>
      </c>
      <c r="BD416" s="462">
        <f>BB416</f>
        <v>640.26</v>
      </c>
      <c r="BE416" s="462">
        <f t="shared" si="230"/>
        <v>0</v>
      </c>
      <c r="BH416" s="462">
        <f t="shared" si="231"/>
        <v>0</v>
      </c>
      <c r="BK416" s="462">
        <f t="shared" si="232"/>
        <v>0</v>
      </c>
      <c r="BN416" s="462">
        <f t="shared" si="233"/>
        <v>0</v>
      </c>
      <c r="BQ416" s="462">
        <f t="shared" si="234"/>
        <v>0</v>
      </c>
      <c r="BT416" s="462">
        <f t="shared" si="235"/>
        <v>0</v>
      </c>
      <c r="BW416" s="462">
        <f t="shared" si="236"/>
        <v>0</v>
      </c>
      <c r="BZ416" s="462">
        <f t="shared" si="237"/>
        <v>0</v>
      </c>
      <c r="CD416" s="418" t="str">
        <f t="shared" si="238"/>
        <v>CU0093001</v>
      </c>
      <c r="CE416" s="442" t="str">
        <f t="shared" si="239"/>
        <v>2019年11月</v>
      </c>
      <c r="CF416" s="418" t="str">
        <f t="shared" si="240"/>
        <v>日立保险代clife服务费暂估</v>
      </c>
      <c r="CG416" s="418" t="str">
        <f t="shared" si="241"/>
        <v>2019年11月日立保险代clife服务费暂估</v>
      </c>
    </row>
    <row r="417" spans="2:85" s="447" customFormat="1" ht="17.25" customHeight="1">
      <c r="B417" s="447" t="str">
        <f t="shared" si="222"/>
        <v>CU0109</v>
      </c>
      <c r="C417" s="431" t="s">
        <v>755</v>
      </c>
      <c r="D417" s="367" t="s">
        <v>1642</v>
      </c>
      <c r="E417" s="367" t="s">
        <v>34</v>
      </c>
      <c r="F417" s="439">
        <v>43770</v>
      </c>
      <c r="G417" s="448">
        <v>47948.07</v>
      </c>
      <c r="H417" s="440"/>
      <c r="I417" s="440">
        <f t="shared" si="242"/>
        <v>47948.07</v>
      </c>
      <c r="J417" s="440"/>
      <c r="L417" s="462">
        <f t="shared" si="243"/>
        <v>47948.07</v>
      </c>
      <c r="M417" s="462"/>
      <c r="N417" s="444"/>
      <c r="O417" s="462">
        <f t="shared" si="244"/>
        <v>47948.07</v>
      </c>
      <c r="R417" s="462">
        <f t="shared" si="245"/>
        <v>47948.07</v>
      </c>
      <c r="U417" s="462">
        <f t="shared" si="246"/>
        <v>47948.07</v>
      </c>
      <c r="X417" s="462">
        <f t="shared" si="247"/>
        <v>47948.07</v>
      </c>
      <c r="AA417" s="462">
        <f t="shared" si="248"/>
        <v>47948.07</v>
      </c>
      <c r="AD417" s="462">
        <f t="shared" si="249"/>
        <v>47948.07</v>
      </c>
      <c r="AG417" s="462">
        <f t="shared" si="250"/>
        <v>47948.07</v>
      </c>
      <c r="AJ417" s="462">
        <f t="shared" si="251"/>
        <v>47948.07</v>
      </c>
      <c r="AM417" s="462">
        <f t="shared" si="224"/>
        <v>47948.07</v>
      </c>
      <c r="AN417" s="447" t="s">
        <v>1993</v>
      </c>
      <c r="AP417" s="462">
        <f t="shared" si="225"/>
        <v>47948.07</v>
      </c>
      <c r="AQ417" s="447" t="s">
        <v>2006</v>
      </c>
      <c r="AS417" s="459">
        <f t="shared" si="226"/>
        <v>47948.07</v>
      </c>
      <c r="AV417" s="462">
        <f t="shared" si="227"/>
        <v>47948.07</v>
      </c>
      <c r="AW417" s="447" t="s">
        <v>2107</v>
      </c>
      <c r="AX417" s="462">
        <f>AV417</f>
        <v>47948.07</v>
      </c>
      <c r="AY417" s="462">
        <f t="shared" si="228"/>
        <v>0</v>
      </c>
      <c r="BB417" s="462">
        <f t="shared" si="229"/>
        <v>0</v>
      </c>
      <c r="BC417" s="447" t="s">
        <v>2204</v>
      </c>
      <c r="BE417" s="462">
        <f t="shared" si="230"/>
        <v>0</v>
      </c>
      <c r="BH417" s="462">
        <f t="shared" si="231"/>
        <v>0</v>
      </c>
      <c r="BK417" s="462">
        <f t="shared" si="232"/>
        <v>0</v>
      </c>
      <c r="BN417" s="462">
        <f t="shared" si="233"/>
        <v>0</v>
      </c>
      <c r="BQ417" s="462">
        <f t="shared" si="234"/>
        <v>0</v>
      </c>
      <c r="BT417" s="462">
        <f t="shared" si="235"/>
        <v>0</v>
      </c>
      <c r="BW417" s="462">
        <f t="shared" si="236"/>
        <v>0</v>
      </c>
      <c r="BZ417" s="462">
        <f t="shared" si="237"/>
        <v>0</v>
      </c>
      <c r="CD417" s="418" t="str">
        <f t="shared" si="238"/>
        <v>CU0109001</v>
      </c>
      <c r="CE417" s="442" t="str">
        <f t="shared" si="239"/>
        <v>2019年11月</v>
      </c>
      <c r="CF417" s="418" t="str">
        <f t="shared" si="240"/>
        <v>普拉达时装clife服务费暂估</v>
      </c>
      <c r="CG417" s="418" t="str">
        <f t="shared" si="241"/>
        <v>2019年11月普拉达时装clife服务费暂估</v>
      </c>
    </row>
    <row r="418" spans="2:85" s="447" customFormat="1" ht="17.25" customHeight="1">
      <c r="B418" s="447" t="str">
        <f t="shared" si="222"/>
        <v>CU0145</v>
      </c>
      <c r="C418" s="431" t="s">
        <v>755</v>
      </c>
      <c r="D418" s="367" t="s">
        <v>1992</v>
      </c>
      <c r="E418" s="367" t="s">
        <v>1323</v>
      </c>
      <c r="F418" s="439">
        <v>43770</v>
      </c>
      <c r="G418" s="448">
        <v>480876.62</v>
      </c>
      <c r="H418" s="440"/>
      <c r="I418" s="440">
        <f t="shared" si="242"/>
        <v>480876.62</v>
      </c>
      <c r="J418" s="440"/>
      <c r="L418" s="462">
        <f t="shared" si="243"/>
        <v>480876.62</v>
      </c>
      <c r="M418" s="462"/>
      <c r="N418" s="444"/>
      <c r="O418" s="462">
        <f t="shared" si="244"/>
        <v>480876.62</v>
      </c>
      <c r="R418" s="462">
        <f t="shared" si="245"/>
        <v>480876.62</v>
      </c>
      <c r="U418" s="462">
        <f t="shared" si="246"/>
        <v>480876.62</v>
      </c>
      <c r="X418" s="462">
        <f t="shared" si="247"/>
        <v>480876.62</v>
      </c>
      <c r="AA418" s="462">
        <f t="shared" si="248"/>
        <v>480876.62</v>
      </c>
      <c r="AD418" s="462">
        <f t="shared" si="249"/>
        <v>480876.62</v>
      </c>
      <c r="AG418" s="462">
        <f t="shared" si="250"/>
        <v>480876.62</v>
      </c>
      <c r="AJ418" s="462">
        <f t="shared" si="251"/>
        <v>480876.62</v>
      </c>
      <c r="AM418" s="462">
        <f t="shared" si="224"/>
        <v>480876.62</v>
      </c>
      <c r="AN418" s="447" t="s">
        <v>1993</v>
      </c>
      <c r="AP418" s="462">
        <f t="shared" si="225"/>
        <v>480876.62</v>
      </c>
      <c r="AQ418" s="447" t="s">
        <v>2006</v>
      </c>
      <c r="AS418" s="459">
        <f t="shared" si="226"/>
        <v>480876.62</v>
      </c>
      <c r="AV418" s="462">
        <f t="shared" si="227"/>
        <v>480876.62</v>
      </c>
      <c r="AW418" s="447" t="s">
        <v>2107</v>
      </c>
      <c r="AX418" s="462">
        <f>181625.8-AX385+50000</f>
        <v>153012.78999999998</v>
      </c>
      <c r="AY418" s="462">
        <f t="shared" si="228"/>
        <v>327863.83</v>
      </c>
      <c r="AZ418" s="447" t="s">
        <v>2131</v>
      </c>
      <c r="BA418" s="462">
        <f>AY418</f>
        <v>327863.83</v>
      </c>
      <c r="BB418" s="462">
        <f t="shared" si="229"/>
        <v>0</v>
      </c>
      <c r="BC418" s="447" t="s">
        <v>2204</v>
      </c>
      <c r="BE418" s="462">
        <f t="shared" si="230"/>
        <v>0</v>
      </c>
      <c r="BH418" s="462">
        <f t="shared" si="231"/>
        <v>0</v>
      </c>
      <c r="BK418" s="462">
        <f t="shared" si="232"/>
        <v>0</v>
      </c>
      <c r="BN418" s="462">
        <f t="shared" si="233"/>
        <v>0</v>
      </c>
      <c r="BQ418" s="462">
        <f t="shared" si="234"/>
        <v>0</v>
      </c>
      <c r="BT418" s="462">
        <f t="shared" si="235"/>
        <v>0</v>
      </c>
      <c r="BW418" s="462">
        <f t="shared" si="236"/>
        <v>0</v>
      </c>
      <c r="BZ418" s="462">
        <f t="shared" si="237"/>
        <v>0</v>
      </c>
      <c r="CD418" s="418" t="str">
        <f t="shared" si="238"/>
        <v>CU0145001</v>
      </c>
      <c r="CE418" s="442" t="str">
        <f t="shared" si="239"/>
        <v>2019年11月</v>
      </c>
      <c r="CF418" s="418" t="str">
        <f t="shared" si="240"/>
        <v>锐珂亚太投clife服务费暂估</v>
      </c>
      <c r="CG418" s="418" t="str">
        <f t="shared" si="241"/>
        <v>2019年11月锐珂亚太投clife服务费暂估</v>
      </c>
    </row>
    <row r="419" spans="2:85" s="447" customFormat="1" ht="17.25" customHeight="1">
      <c r="B419" s="447" t="str">
        <f t="shared" si="222"/>
        <v>CU0182</v>
      </c>
      <c r="C419" s="431" t="s">
        <v>755</v>
      </c>
      <c r="D419" s="367" t="s">
        <v>1452</v>
      </c>
      <c r="E419" s="367" t="s">
        <v>821</v>
      </c>
      <c r="F419" s="439">
        <v>43770</v>
      </c>
      <c r="G419" s="448">
        <v>3102.67</v>
      </c>
      <c r="H419" s="440"/>
      <c r="I419" s="440">
        <f t="shared" ref="I419:I455" si="252">G419-H419</f>
        <v>3102.67</v>
      </c>
      <c r="J419" s="440"/>
      <c r="L419" s="462">
        <f t="shared" ref="L419:L455" si="253">I419-K419</f>
        <v>3102.67</v>
      </c>
      <c r="M419" s="462"/>
      <c r="N419" s="444"/>
      <c r="O419" s="462">
        <f t="shared" ref="O419:O455" si="254">L419-N419</f>
        <v>3102.67</v>
      </c>
      <c r="R419" s="462">
        <f t="shared" ref="R419:R455" si="255">O419-Q419</f>
        <v>3102.67</v>
      </c>
      <c r="U419" s="462">
        <f t="shared" ref="U419:U455" si="256">R419-T419</f>
        <v>3102.67</v>
      </c>
      <c r="X419" s="462">
        <f t="shared" ref="X419:X455" si="257">U419-W419</f>
        <v>3102.67</v>
      </c>
      <c r="AA419" s="462">
        <f t="shared" ref="AA419:AA455" si="258">X419-Z419</f>
        <v>3102.67</v>
      </c>
      <c r="AD419" s="462">
        <f t="shared" ref="AD419:AD455" si="259">AA419-AC419</f>
        <v>3102.67</v>
      </c>
      <c r="AG419" s="462">
        <f t="shared" ref="AG419:AG455" si="260">AD419-AF419</f>
        <v>3102.67</v>
      </c>
      <c r="AJ419" s="462">
        <f t="shared" ref="AJ419:AJ455" si="261">AG419-AI419</f>
        <v>3102.67</v>
      </c>
      <c r="AM419" s="462">
        <f t="shared" ref="AM419:AM455" si="262">AJ419-AL419</f>
        <v>3102.67</v>
      </c>
      <c r="AN419" s="447" t="s">
        <v>1993</v>
      </c>
      <c r="AP419" s="462">
        <f t="shared" ref="AP419:AP455" si="263">AM419-AO419</f>
        <v>3102.67</v>
      </c>
      <c r="AQ419" s="447" t="s">
        <v>2006</v>
      </c>
      <c r="AS419" s="459">
        <f t="shared" si="226"/>
        <v>3102.67</v>
      </c>
      <c r="AV419" s="462">
        <f t="shared" si="227"/>
        <v>3102.67</v>
      </c>
      <c r="AW419" s="447" t="s">
        <v>2107</v>
      </c>
      <c r="AY419" s="462">
        <f t="shared" si="228"/>
        <v>3102.67</v>
      </c>
      <c r="AZ419" s="447" t="s">
        <v>2131</v>
      </c>
      <c r="BB419" s="462">
        <f t="shared" si="229"/>
        <v>3102.67</v>
      </c>
      <c r="BC419" s="447" t="s">
        <v>2204</v>
      </c>
      <c r="BE419" s="462">
        <f t="shared" si="230"/>
        <v>3102.67</v>
      </c>
      <c r="BF419" s="447" t="s">
        <v>2237</v>
      </c>
      <c r="BH419" s="462">
        <f t="shared" si="231"/>
        <v>3102.67</v>
      </c>
      <c r="BI419" s="447" t="s">
        <v>2292</v>
      </c>
      <c r="BK419" s="462">
        <f t="shared" si="232"/>
        <v>3102.67</v>
      </c>
      <c r="BL419" s="447" t="s">
        <v>2339</v>
      </c>
      <c r="BN419" s="462">
        <f t="shared" si="233"/>
        <v>3102.67</v>
      </c>
      <c r="BO419" s="447" t="s">
        <v>2365</v>
      </c>
      <c r="BQ419" s="462">
        <f t="shared" si="234"/>
        <v>3102.67</v>
      </c>
      <c r="BR419" s="447" t="s">
        <v>2374</v>
      </c>
      <c r="BT419" s="462">
        <f t="shared" si="235"/>
        <v>3102.67</v>
      </c>
      <c r="BU419" s="447" t="s">
        <v>2134</v>
      </c>
      <c r="BW419" s="462">
        <f t="shared" si="236"/>
        <v>3102.67</v>
      </c>
      <c r="BZ419" s="462">
        <f t="shared" si="237"/>
        <v>3102.67</v>
      </c>
      <c r="CD419" s="418" t="str">
        <f t="shared" si="238"/>
        <v>CU0182001</v>
      </c>
      <c r="CE419" s="442" t="str">
        <f t="shared" si="239"/>
        <v>2019年11月</v>
      </c>
      <c r="CF419" s="418" t="str">
        <f t="shared" si="240"/>
        <v>阿姆斯壮（clife服务费暂估</v>
      </c>
      <c r="CG419" s="418" t="str">
        <f t="shared" si="241"/>
        <v>2019年11月阿姆斯壮（clife服务费暂估</v>
      </c>
    </row>
    <row r="420" spans="2:85" s="447" customFormat="1" ht="17.25" customHeight="1">
      <c r="B420" s="447" t="str">
        <f t="shared" si="222"/>
        <v>CU0238</v>
      </c>
      <c r="C420" s="431" t="s">
        <v>755</v>
      </c>
      <c r="D420" s="367" t="s">
        <v>1987</v>
      </c>
      <c r="E420" s="367" t="s">
        <v>54</v>
      </c>
      <c r="F420" s="439">
        <v>43770</v>
      </c>
      <c r="G420" s="448">
        <v>490</v>
      </c>
      <c r="H420" s="440"/>
      <c r="I420" s="440">
        <f t="shared" ref="I420:I438" si="264">G420-H420</f>
        <v>490</v>
      </c>
      <c r="J420" s="440"/>
      <c r="L420" s="462">
        <f t="shared" ref="L420:L438" si="265">I420-K420</f>
        <v>490</v>
      </c>
      <c r="M420" s="462"/>
      <c r="N420" s="444"/>
      <c r="O420" s="462">
        <f t="shared" ref="O420:O438" si="266">L420-N420</f>
        <v>490</v>
      </c>
      <c r="R420" s="462">
        <f t="shared" ref="R420:R438" si="267">O420-Q420</f>
        <v>490</v>
      </c>
      <c r="U420" s="462">
        <f t="shared" ref="U420:U438" si="268">R420-T420</f>
        <v>490</v>
      </c>
      <c r="X420" s="462">
        <f t="shared" ref="X420:X438" si="269">U420-W420</f>
        <v>490</v>
      </c>
      <c r="AA420" s="462">
        <f t="shared" ref="AA420:AA438" si="270">X420-Z420</f>
        <v>490</v>
      </c>
      <c r="AD420" s="462">
        <f t="shared" ref="AD420:AD438" si="271">AA420-AC420</f>
        <v>490</v>
      </c>
      <c r="AG420" s="462">
        <f t="shared" ref="AG420:AG438" si="272">AD420-AF420</f>
        <v>490</v>
      </c>
      <c r="AJ420" s="462">
        <f t="shared" ref="AJ420:AJ438" si="273">AG420-AI420</f>
        <v>490</v>
      </c>
      <c r="AM420" s="462">
        <f t="shared" ref="AM420:AM438" si="274">AJ420-AL420</f>
        <v>490</v>
      </c>
      <c r="AN420" s="447" t="s">
        <v>1993</v>
      </c>
      <c r="AP420" s="462">
        <f t="shared" ref="AP420:AP438" si="275">AM420-AO420</f>
        <v>490</v>
      </c>
      <c r="AQ420" s="447" t="s">
        <v>2006</v>
      </c>
      <c r="AS420" s="459">
        <f t="shared" si="226"/>
        <v>490</v>
      </c>
      <c r="AV420" s="462">
        <f t="shared" si="227"/>
        <v>490</v>
      </c>
      <c r="AW420" s="447" t="s">
        <v>2107</v>
      </c>
      <c r="AY420" s="462">
        <f t="shared" si="228"/>
        <v>490</v>
      </c>
      <c r="AZ420" s="447" t="s">
        <v>2131</v>
      </c>
      <c r="BB420" s="462">
        <f t="shared" si="229"/>
        <v>490</v>
      </c>
      <c r="BC420" s="447" t="s">
        <v>2204</v>
      </c>
      <c r="BE420" s="462">
        <f t="shared" si="230"/>
        <v>490</v>
      </c>
      <c r="BF420" s="447" t="s">
        <v>2237</v>
      </c>
      <c r="BH420" s="462">
        <f t="shared" si="231"/>
        <v>490</v>
      </c>
      <c r="BI420" s="447" t="s">
        <v>2292</v>
      </c>
      <c r="BK420" s="462">
        <f t="shared" si="232"/>
        <v>490</v>
      </c>
      <c r="BL420" s="447" t="s">
        <v>2339</v>
      </c>
      <c r="BN420" s="462">
        <f t="shared" si="233"/>
        <v>490</v>
      </c>
      <c r="BO420" s="447" t="s">
        <v>2365</v>
      </c>
      <c r="BQ420" s="462">
        <f t="shared" si="234"/>
        <v>490</v>
      </c>
      <c r="BR420" s="447" t="s">
        <v>2374</v>
      </c>
      <c r="BS420" s="462">
        <f>BQ420</f>
        <v>490</v>
      </c>
      <c r="BT420" s="462">
        <f t="shared" si="235"/>
        <v>0</v>
      </c>
      <c r="BW420" s="462">
        <f t="shared" si="236"/>
        <v>0</v>
      </c>
      <c r="BZ420" s="462">
        <f t="shared" si="237"/>
        <v>0</v>
      </c>
      <c r="CD420" s="418" t="str">
        <f t="shared" si="238"/>
        <v>CU0238001</v>
      </c>
      <c r="CE420" s="442" t="str">
        <f t="shared" si="239"/>
        <v>2019年11月</v>
      </c>
      <c r="CF420" s="418" t="str">
        <f t="shared" si="240"/>
        <v>丘奇鞋业（clife服务费暂估</v>
      </c>
      <c r="CG420" s="418" t="str">
        <f t="shared" si="241"/>
        <v>2019年11月丘奇鞋业（clife服务费暂估</v>
      </c>
    </row>
    <row r="421" spans="2:85" s="447" customFormat="1" ht="17.25" customHeight="1">
      <c r="B421" s="447" t="str">
        <f t="shared" si="222"/>
        <v>CU0285</v>
      </c>
      <c r="C421" s="431" t="s">
        <v>755</v>
      </c>
      <c r="D421" s="367" t="s">
        <v>1643</v>
      </c>
      <c r="E421" s="367" t="s">
        <v>1313</v>
      </c>
      <c r="F421" s="439">
        <v>43770</v>
      </c>
      <c r="G421" s="448">
        <v>5724.26</v>
      </c>
      <c r="H421" s="440"/>
      <c r="I421" s="440">
        <f t="shared" si="264"/>
        <v>5724.26</v>
      </c>
      <c r="J421" s="440"/>
      <c r="L421" s="462">
        <f t="shared" si="265"/>
        <v>5724.26</v>
      </c>
      <c r="M421" s="462"/>
      <c r="N421" s="444"/>
      <c r="O421" s="462">
        <f t="shared" si="266"/>
        <v>5724.26</v>
      </c>
      <c r="R421" s="462">
        <f t="shared" si="267"/>
        <v>5724.26</v>
      </c>
      <c r="U421" s="462">
        <f t="shared" si="268"/>
        <v>5724.26</v>
      </c>
      <c r="X421" s="462">
        <f t="shared" si="269"/>
        <v>5724.26</v>
      </c>
      <c r="AA421" s="462">
        <f t="shared" si="270"/>
        <v>5724.26</v>
      </c>
      <c r="AD421" s="462">
        <f t="shared" si="271"/>
        <v>5724.26</v>
      </c>
      <c r="AG421" s="462">
        <f t="shared" si="272"/>
        <v>5724.26</v>
      </c>
      <c r="AJ421" s="462">
        <f t="shared" si="273"/>
        <v>5724.26</v>
      </c>
      <c r="AM421" s="462">
        <f t="shared" si="274"/>
        <v>5724.26</v>
      </c>
      <c r="AN421" s="447" t="s">
        <v>1993</v>
      </c>
      <c r="AP421" s="462">
        <f t="shared" si="275"/>
        <v>5724.26</v>
      </c>
      <c r="AQ421" s="447" t="s">
        <v>2006</v>
      </c>
      <c r="AS421" s="459">
        <f t="shared" si="226"/>
        <v>5724.26</v>
      </c>
      <c r="AV421" s="462">
        <f t="shared" si="227"/>
        <v>5724.26</v>
      </c>
      <c r="AW421" s="447" t="s">
        <v>2107</v>
      </c>
      <c r="AY421" s="462">
        <f t="shared" si="228"/>
        <v>5724.26</v>
      </c>
      <c r="AZ421" s="447" t="s">
        <v>2131</v>
      </c>
      <c r="BB421" s="462">
        <f t="shared" si="229"/>
        <v>5724.26</v>
      </c>
      <c r="BC421" s="447" t="s">
        <v>2204</v>
      </c>
      <c r="BE421" s="462">
        <f t="shared" si="230"/>
        <v>5724.26</v>
      </c>
      <c r="BF421" s="447" t="s">
        <v>2237</v>
      </c>
      <c r="BH421" s="462">
        <f t="shared" si="231"/>
        <v>5724.26</v>
      </c>
      <c r="BI421" s="447" t="s">
        <v>2292</v>
      </c>
      <c r="BK421" s="462">
        <f t="shared" si="232"/>
        <v>5724.26</v>
      </c>
      <c r="BL421" s="447" t="s">
        <v>2339</v>
      </c>
      <c r="BM421" s="462">
        <f>BK421</f>
        <v>5724.26</v>
      </c>
      <c r="BN421" s="462">
        <f t="shared" si="233"/>
        <v>0</v>
      </c>
      <c r="BQ421" s="462">
        <f t="shared" si="234"/>
        <v>0</v>
      </c>
      <c r="BT421" s="462">
        <f t="shared" si="235"/>
        <v>0</v>
      </c>
      <c r="BW421" s="462">
        <f t="shared" si="236"/>
        <v>0</v>
      </c>
      <c r="BZ421" s="462">
        <f t="shared" si="237"/>
        <v>0</v>
      </c>
      <c r="CD421" s="418" t="str">
        <f t="shared" si="238"/>
        <v>CU0285001</v>
      </c>
      <c r="CE421" s="442" t="str">
        <f t="shared" si="239"/>
        <v>2019年11月</v>
      </c>
      <c r="CF421" s="418" t="str">
        <f t="shared" si="240"/>
        <v>文思海辉clife服务费暂估</v>
      </c>
      <c r="CG421" s="418" t="str">
        <f t="shared" si="241"/>
        <v>2019年11月文思海辉clife服务费暂估</v>
      </c>
    </row>
    <row r="422" spans="2:85" s="447" customFormat="1" ht="17.25" customHeight="1">
      <c r="B422" s="447" t="str">
        <f t="shared" si="222"/>
        <v>CU0289</v>
      </c>
      <c r="C422" s="431" t="s">
        <v>755</v>
      </c>
      <c r="D422" s="367" t="s">
        <v>1644</v>
      </c>
      <c r="E422" s="367" t="s">
        <v>19</v>
      </c>
      <c r="F422" s="439">
        <v>43770</v>
      </c>
      <c r="G422" s="448">
        <v>1930.5</v>
      </c>
      <c r="H422" s="440"/>
      <c r="I422" s="440">
        <f t="shared" si="264"/>
        <v>1930.5</v>
      </c>
      <c r="J422" s="440"/>
      <c r="L422" s="462">
        <f t="shared" si="265"/>
        <v>1930.5</v>
      </c>
      <c r="M422" s="462"/>
      <c r="N422" s="444"/>
      <c r="O422" s="462">
        <f t="shared" si="266"/>
        <v>1930.5</v>
      </c>
      <c r="R422" s="462">
        <f t="shared" si="267"/>
        <v>1930.5</v>
      </c>
      <c r="U422" s="462">
        <f t="shared" si="268"/>
        <v>1930.5</v>
      </c>
      <c r="X422" s="462">
        <f t="shared" si="269"/>
        <v>1930.5</v>
      </c>
      <c r="AA422" s="462">
        <f t="shared" si="270"/>
        <v>1930.5</v>
      </c>
      <c r="AD422" s="462">
        <f t="shared" si="271"/>
        <v>1930.5</v>
      </c>
      <c r="AG422" s="462">
        <f t="shared" si="272"/>
        <v>1930.5</v>
      </c>
      <c r="AJ422" s="462">
        <f t="shared" si="273"/>
        <v>1930.5</v>
      </c>
      <c r="AM422" s="462">
        <f t="shared" si="274"/>
        <v>1930.5</v>
      </c>
      <c r="AN422" s="447" t="s">
        <v>1993</v>
      </c>
      <c r="AP422" s="462">
        <f t="shared" si="275"/>
        <v>1930.5</v>
      </c>
      <c r="AQ422" s="447" t="s">
        <v>2006</v>
      </c>
      <c r="AR422" s="447">
        <f>ROUND((1191+3052.8+90+775+2126)/1.06,2)+764+211+12681+1032+452-20034.78</f>
        <v>1930.5</v>
      </c>
      <c r="AS422" s="459">
        <f t="shared" si="226"/>
        <v>0</v>
      </c>
      <c r="AV422" s="462">
        <f t="shared" si="227"/>
        <v>0</v>
      </c>
      <c r="AY422" s="462">
        <f t="shared" si="228"/>
        <v>0</v>
      </c>
      <c r="BB422" s="462">
        <f t="shared" si="229"/>
        <v>0</v>
      </c>
      <c r="BC422" s="447" t="s">
        <v>2204</v>
      </c>
      <c r="BE422" s="462">
        <f t="shared" si="230"/>
        <v>0</v>
      </c>
      <c r="BH422" s="462">
        <f t="shared" si="231"/>
        <v>0</v>
      </c>
      <c r="BK422" s="462">
        <f t="shared" si="232"/>
        <v>0</v>
      </c>
      <c r="BN422" s="462">
        <f t="shared" si="233"/>
        <v>0</v>
      </c>
      <c r="BQ422" s="462">
        <f t="shared" si="234"/>
        <v>0</v>
      </c>
      <c r="BT422" s="462">
        <f t="shared" si="235"/>
        <v>0</v>
      </c>
      <c r="BW422" s="462">
        <f t="shared" si="236"/>
        <v>0</v>
      </c>
      <c r="BZ422" s="462">
        <f t="shared" si="237"/>
        <v>0</v>
      </c>
      <c r="CD422" s="418" t="str">
        <f t="shared" si="238"/>
        <v>CU0289001</v>
      </c>
      <c r="CE422" s="442" t="str">
        <f t="shared" si="239"/>
        <v>2019年11月</v>
      </c>
      <c r="CF422" s="418" t="str">
        <f t="shared" si="240"/>
        <v>拉格代尔商clife服务费暂估</v>
      </c>
      <c r="CG422" s="418" t="str">
        <f t="shared" si="241"/>
        <v>2019年11月拉格代尔商clife服务费暂估</v>
      </c>
    </row>
    <row r="423" spans="2:85" s="447" customFormat="1" ht="17.25" customHeight="1">
      <c r="B423" s="447" t="str">
        <f t="shared" si="222"/>
        <v>CU0296</v>
      </c>
      <c r="C423" s="431" t="s">
        <v>755</v>
      </c>
      <c r="D423" s="367" t="s">
        <v>1988</v>
      </c>
      <c r="E423" s="367" t="s">
        <v>72</v>
      </c>
      <c r="F423" s="439">
        <v>43770</v>
      </c>
      <c r="G423" s="448">
        <v>66.040000000000006</v>
      </c>
      <c r="H423" s="440"/>
      <c r="I423" s="440">
        <f t="shared" si="264"/>
        <v>66.040000000000006</v>
      </c>
      <c r="J423" s="440"/>
      <c r="L423" s="462">
        <f t="shared" si="265"/>
        <v>66.040000000000006</v>
      </c>
      <c r="M423" s="462"/>
      <c r="N423" s="444"/>
      <c r="O423" s="462">
        <f t="shared" si="266"/>
        <v>66.040000000000006</v>
      </c>
      <c r="R423" s="462">
        <f t="shared" si="267"/>
        <v>66.040000000000006</v>
      </c>
      <c r="U423" s="462">
        <f t="shared" si="268"/>
        <v>66.040000000000006</v>
      </c>
      <c r="X423" s="462">
        <f t="shared" si="269"/>
        <v>66.040000000000006</v>
      </c>
      <c r="AA423" s="462">
        <f t="shared" si="270"/>
        <v>66.040000000000006</v>
      </c>
      <c r="AD423" s="462">
        <f t="shared" si="271"/>
        <v>66.040000000000006</v>
      </c>
      <c r="AG423" s="462">
        <f t="shared" si="272"/>
        <v>66.040000000000006</v>
      </c>
      <c r="AJ423" s="462">
        <f t="shared" si="273"/>
        <v>66.040000000000006</v>
      </c>
      <c r="AM423" s="462">
        <f t="shared" si="274"/>
        <v>66.040000000000006</v>
      </c>
      <c r="AN423" s="447" t="s">
        <v>1993</v>
      </c>
      <c r="AP423" s="462">
        <f t="shared" si="275"/>
        <v>66.040000000000006</v>
      </c>
      <c r="AQ423" s="447" t="s">
        <v>2006</v>
      </c>
      <c r="AS423" s="459">
        <f t="shared" si="226"/>
        <v>66.040000000000006</v>
      </c>
      <c r="AV423" s="462">
        <f t="shared" si="227"/>
        <v>66.040000000000006</v>
      </c>
      <c r="AW423" s="447" t="s">
        <v>2107</v>
      </c>
      <c r="AY423" s="462">
        <f t="shared" si="228"/>
        <v>66.040000000000006</v>
      </c>
      <c r="AZ423" s="447" t="s">
        <v>2131</v>
      </c>
      <c r="BB423" s="462">
        <f t="shared" si="229"/>
        <v>66.040000000000006</v>
      </c>
      <c r="BC423" s="447" t="s">
        <v>2204</v>
      </c>
      <c r="BE423" s="462">
        <f t="shared" si="230"/>
        <v>66.040000000000006</v>
      </c>
      <c r="BF423" s="447" t="s">
        <v>2237</v>
      </c>
      <c r="BH423" s="462">
        <f t="shared" si="231"/>
        <v>66.040000000000006</v>
      </c>
      <c r="BI423" s="447" t="s">
        <v>2292</v>
      </c>
      <c r="BK423" s="462">
        <f t="shared" si="232"/>
        <v>66.040000000000006</v>
      </c>
      <c r="BL423" s="447" t="s">
        <v>2339</v>
      </c>
      <c r="BN423" s="462">
        <f t="shared" si="233"/>
        <v>66.040000000000006</v>
      </c>
      <c r="BO423" s="447" t="s">
        <v>2365</v>
      </c>
      <c r="BQ423" s="462">
        <f t="shared" si="234"/>
        <v>66.040000000000006</v>
      </c>
      <c r="BR423" s="447" t="s">
        <v>2374</v>
      </c>
      <c r="BT423" s="462">
        <f t="shared" si="235"/>
        <v>66.040000000000006</v>
      </c>
      <c r="BU423" s="447" t="s">
        <v>2134</v>
      </c>
      <c r="BW423" s="462">
        <f t="shared" si="236"/>
        <v>66.040000000000006</v>
      </c>
      <c r="BZ423" s="462">
        <f t="shared" si="237"/>
        <v>66.040000000000006</v>
      </c>
      <c r="CD423" s="418" t="str">
        <f t="shared" si="238"/>
        <v>CU0296001</v>
      </c>
      <c r="CE423" s="442" t="str">
        <f t="shared" si="239"/>
        <v>2019年11月</v>
      </c>
      <c r="CF423" s="418" t="str">
        <f t="shared" si="240"/>
        <v>德莎国际货clife服务费暂估</v>
      </c>
      <c r="CG423" s="418" t="str">
        <f t="shared" si="241"/>
        <v>2019年11月德莎国际货clife服务费暂估</v>
      </c>
    </row>
    <row r="424" spans="2:85" s="447" customFormat="1" ht="17.25" customHeight="1">
      <c r="B424" s="447" t="str">
        <f t="shared" si="222"/>
        <v>CU0460</v>
      </c>
      <c r="C424" s="431" t="s">
        <v>755</v>
      </c>
      <c r="D424" s="367" t="s">
        <v>1646</v>
      </c>
      <c r="E424" s="367" t="s">
        <v>1637</v>
      </c>
      <c r="F424" s="439">
        <v>43770</v>
      </c>
      <c r="G424" s="448">
        <v>1788.53</v>
      </c>
      <c r="H424" s="440"/>
      <c r="I424" s="440">
        <f t="shared" si="264"/>
        <v>1788.53</v>
      </c>
      <c r="J424" s="440"/>
      <c r="L424" s="462">
        <f t="shared" si="265"/>
        <v>1788.53</v>
      </c>
      <c r="M424" s="462"/>
      <c r="N424" s="444"/>
      <c r="O424" s="462">
        <f t="shared" si="266"/>
        <v>1788.53</v>
      </c>
      <c r="R424" s="462">
        <f t="shared" si="267"/>
        <v>1788.53</v>
      </c>
      <c r="U424" s="462">
        <f t="shared" si="268"/>
        <v>1788.53</v>
      </c>
      <c r="X424" s="462">
        <f t="shared" si="269"/>
        <v>1788.53</v>
      </c>
      <c r="AA424" s="462">
        <f t="shared" si="270"/>
        <v>1788.53</v>
      </c>
      <c r="AD424" s="462">
        <f t="shared" si="271"/>
        <v>1788.53</v>
      </c>
      <c r="AG424" s="462">
        <f t="shared" si="272"/>
        <v>1788.53</v>
      </c>
      <c r="AJ424" s="462">
        <f t="shared" si="273"/>
        <v>1788.53</v>
      </c>
      <c r="AM424" s="462">
        <f t="shared" si="274"/>
        <v>1788.53</v>
      </c>
      <c r="AN424" s="447" t="s">
        <v>1993</v>
      </c>
      <c r="AP424" s="462">
        <f t="shared" si="275"/>
        <v>1788.53</v>
      </c>
      <c r="AQ424" s="447" t="s">
        <v>2006</v>
      </c>
      <c r="AS424" s="459">
        <f t="shared" si="226"/>
        <v>1788.53</v>
      </c>
      <c r="AV424" s="462">
        <f t="shared" si="227"/>
        <v>1788.53</v>
      </c>
      <c r="AW424" s="447" t="s">
        <v>2107</v>
      </c>
      <c r="AY424" s="462">
        <f t="shared" si="228"/>
        <v>1788.53</v>
      </c>
      <c r="AZ424" s="447" t="s">
        <v>2131</v>
      </c>
      <c r="BB424" s="462">
        <f t="shared" si="229"/>
        <v>1788.53</v>
      </c>
      <c r="BC424" s="447" t="s">
        <v>2204</v>
      </c>
      <c r="BE424" s="462">
        <f t="shared" si="230"/>
        <v>1788.53</v>
      </c>
      <c r="BF424" s="447" t="s">
        <v>2237</v>
      </c>
      <c r="BH424" s="462">
        <f t="shared" si="231"/>
        <v>1788.53</v>
      </c>
      <c r="BI424" s="447" t="s">
        <v>2292</v>
      </c>
      <c r="BK424" s="462">
        <f t="shared" si="232"/>
        <v>1788.53</v>
      </c>
      <c r="BL424" s="447" t="s">
        <v>2339</v>
      </c>
      <c r="BN424" s="462">
        <f t="shared" si="233"/>
        <v>1788.53</v>
      </c>
      <c r="BO424" s="447" t="s">
        <v>2365</v>
      </c>
      <c r="BQ424" s="462">
        <f t="shared" si="234"/>
        <v>1788.53</v>
      </c>
      <c r="BR424" s="447" t="s">
        <v>2374</v>
      </c>
      <c r="BS424" s="462">
        <f>BQ424</f>
        <v>1788.53</v>
      </c>
      <c r="BT424" s="462">
        <f t="shared" si="235"/>
        <v>0</v>
      </c>
      <c r="BW424" s="462">
        <f t="shared" si="236"/>
        <v>0</v>
      </c>
      <c r="BZ424" s="462">
        <f t="shared" si="237"/>
        <v>0</v>
      </c>
      <c r="CD424" s="418" t="str">
        <f t="shared" si="238"/>
        <v>CU0460001</v>
      </c>
      <c r="CE424" s="442" t="str">
        <f t="shared" si="239"/>
        <v>2019年11月</v>
      </c>
      <c r="CF424" s="418" t="str">
        <f t="shared" si="240"/>
        <v>新疆金风科clife服务费暂估</v>
      </c>
      <c r="CG424" s="418" t="str">
        <f t="shared" si="241"/>
        <v>2019年11月新疆金风科clife服务费暂估</v>
      </c>
    </row>
    <row r="425" spans="2:85" s="447" customFormat="1" ht="17.25" customHeight="1">
      <c r="B425" s="447" t="str">
        <f t="shared" si="222"/>
        <v>CU0468</v>
      </c>
      <c r="C425" s="431" t="s">
        <v>755</v>
      </c>
      <c r="D425" s="367" t="s">
        <v>1572</v>
      </c>
      <c r="E425" s="367" t="s">
        <v>128</v>
      </c>
      <c r="F425" s="439">
        <v>43770</v>
      </c>
      <c r="G425" s="448">
        <v>319.41000000000003</v>
      </c>
      <c r="H425" s="440"/>
      <c r="I425" s="440">
        <f t="shared" si="264"/>
        <v>319.41000000000003</v>
      </c>
      <c r="J425" s="440"/>
      <c r="L425" s="462">
        <f t="shared" si="265"/>
        <v>319.41000000000003</v>
      </c>
      <c r="M425" s="462"/>
      <c r="N425" s="444"/>
      <c r="O425" s="462">
        <f t="shared" si="266"/>
        <v>319.41000000000003</v>
      </c>
      <c r="R425" s="462">
        <f t="shared" si="267"/>
        <v>319.41000000000003</v>
      </c>
      <c r="U425" s="462">
        <f t="shared" si="268"/>
        <v>319.41000000000003</v>
      </c>
      <c r="X425" s="462">
        <f t="shared" si="269"/>
        <v>319.41000000000003</v>
      </c>
      <c r="AA425" s="462">
        <f t="shared" si="270"/>
        <v>319.41000000000003</v>
      </c>
      <c r="AD425" s="462">
        <f t="shared" si="271"/>
        <v>319.41000000000003</v>
      </c>
      <c r="AG425" s="462">
        <f t="shared" si="272"/>
        <v>319.41000000000003</v>
      </c>
      <c r="AJ425" s="462">
        <f t="shared" si="273"/>
        <v>319.41000000000003</v>
      </c>
      <c r="AM425" s="462">
        <f t="shared" si="274"/>
        <v>319.41000000000003</v>
      </c>
      <c r="AN425" s="447" t="s">
        <v>1993</v>
      </c>
      <c r="AP425" s="462">
        <f t="shared" si="275"/>
        <v>319.41000000000003</v>
      </c>
      <c r="AQ425" s="447" t="s">
        <v>2006</v>
      </c>
      <c r="AS425" s="459">
        <f t="shared" si="226"/>
        <v>319.41000000000003</v>
      </c>
      <c r="AV425" s="462">
        <f t="shared" si="227"/>
        <v>319.41000000000003</v>
      </c>
      <c r="AW425" s="447" t="s">
        <v>2107</v>
      </c>
      <c r="AY425" s="462">
        <f t="shared" si="228"/>
        <v>319.41000000000003</v>
      </c>
      <c r="AZ425" s="447" t="s">
        <v>2131</v>
      </c>
      <c r="BB425" s="462">
        <f t="shared" si="229"/>
        <v>319.41000000000003</v>
      </c>
      <c r="BC425" s="447" t="s">
        <v>2204</v>
      </c>
      <c r="BE425" s="462">
        <f t="shared" si="230"/>
        <v>319.41000000000003</v>
      </c>
      <c r="BF425" s="447" t="s">
        <v>2237</v>
      </c>
      <c r="BH425" s="462">
        <f t="shared" si="231"/>
        <v>319.41000000000003</v>
      </c>
      <c r="BI425" s="447" t="s">
        <v>2292</v>
      </c>
      <c r="BK425" s="462">
        <f t="shared" si="232"/>
        <v>319.41000000000003</v>
      </c>
      <c r="BL425" s="447" t="s">
        <v>2339</v>
      </c>
      <c r="BN425" s="462">
        <f t="shared" si="233"/>
        <v>319.41000000000003</v>
      </c>
      <c r="BO425" s="447" t="s">
        <v>2365</v>
      </c>
      <c r="BQ425" s="462">
        <f t="shared" si="234"/>
        <v>319.41000000000003</v>
      </c>
      <c r="BR425" s="447" t="s">
        <v>2374</v>
      </c>
      <c r="BS425" s="462">
        <f>ROUND((202945.99+2871.88)/1.06,2)-BS3-BS33-BS257-BS330</f>
        <v>319.41000000000076</v>
      </c>
      <c r="BT425" s="462">
        <f t="shared" si="235"/>
        <v>0</v>
      </c>
      <c r="BW425" s="462">
        <f t="shared" si="236"/>
        <v>0</v>
      </c>
      <c r="BZ425" s="462">
        <f t="shared" si="237"/>
        <v>0</v>
      </c>
      <c r="CD425" s="418" t="str">
        <f t="shared" si="238"/>
        <v>CU0468001</v>
      </c>
      <c r="CE425" s="442" t="str">
        <f t="shared" si="239"/>
        <v>2019年11月</v>
      </c>
      <c r="CF425" s="418" t="str">
        <f t="shared" si="240"/>
        <v>包商银行股clife服务费暂估</v>
      </c>
      <c r="CG425" s="418" t="str">
        <f t="shared" si="241"/>
        <v>2019年11月包商银行股clife服务费暂估</v>
      </c>
    </row>
    <row r="426" spans="2:85" s="447" customFormat="1" ht="17.25" customHeight="1">
      <c r="B426" s="447" t="str">
        <f t="shared" si="222"/>
        <v>CU0531</v>
      </c>
      <c r="C426" s="431" t="s">
        <v>755</v>
      </c>
      <c r="D426" s="367" t="s">
        <v>1453</v>
      </c>
      <c r="E426" s="367" t="s">
        <v>134</v>
      </c>
      <c r="F426" s="439">
        <v>43770</v>
      </c>
      <c r="G426" s="448">
        <v>30795.43</v>
      </c>
      <c r="H426" s="440"/>
      <c r="I426" s="440">
        <f t="shared" si="264"/>
        <v>30795.43</v>
      </c>
      <c r="J426" s="440"/>
      <c r="L426" s="462">
        <f t="shared" si="265"/>
        <v>30795.43</v>
      </c>
      <c r="M426" s="462"/>
      <c r="N426" s="444"/>
      <c r="O426" s="462">
        <f t="shared" si="266"/>
        <v>30795.43</v>
      </c>
      <c r="R426" s="462">
        <f t="shared" si="267"/>
        <v>30795.43</v>
      </c>
      <c r="U426" s="462">
        <f t="shared" si="268"/>
        <v>30795.43</v>
      </c>
      <c r="X426" s="462">
        <f t="shared" si="269"/>
        <v>30795.43</v>
      </c>
      <c r="AA426" s="462">
        <f t="shared" si="270"/>
        <v>30795.43</v>
      </c>
      <c r="AD426" s="462">
        <f t="shared" si="271"/>
        <v>30795.43</v>
      </c>
      <c r="AG426" s="462">
        <f t="shared" si="272"/>
        <v>30795.43</v>
      </c>
      <c r="AJ426" s="462">
        <f t="shared" si="273"/>
        <v>30795.43</v>
      </c>
      <c r="AM426" s="462">
        <f t="shared" si="274"/>
        <v>30795.43</v>
      </c>
      <c r="AN426" s="447" t="s">
        <v>1993</v>
      </c>
      <c r="AP426" s="462">
        <f t="shared" si="275"/>
        <v>30795.43</v>
      </c>
      <c r="AQ426" s="447" t="s">
        <v>2006</v>
      </c>
      <c r="AS426" s="459">
        <f t="shared" si="226"/>
        <v>30795.43</v>
      </c>
      <c r="AV426" s="462">
        <f t="shared" si="227"/>
        <v>30795.43</v>
      </c>
      <c r="AW426" s="447" t="s">
        <v>2107</v>
      </c>
      <c r="AY426" s="462">
        <f t="shared" si="228"/>
        <v>30795.43</v>
      </c>
      <c r="AZ426" s="447" t="s">
        <v>2131</v>
      </c>
      <c r="BB426" s="462">
        <f t="shared" si="229"/>
        <v>30795.43</v>
      </c>
      <c r="BC426" s="447" t="s">
        <v>2204</v>
      </c>
      <c r="BE426" s="462">
        <f t="shared" si="230"/>
        <v>30795.43</v>
      </c>
      <c r="BF426" s="447" t="s">
        <v>2237</v>
      </c>
      <c r="BH426" s="462">
        <f t="shared" si="231"/>
        <v>30795.43</v>
      </c>
      <c r="BI426" s="447" t="s">
        <v>2292</v>
      </c>
      <c r="BK426" s="462">
        <f t="shared" si="232"/>
        <v>30795.43</v>
      </c>
      <c r="BL426" s="447" t="s">
        <v>2339</v>
      </c>
      <c r="BM426" s="462">
        <f>47965-BM389</f>
        <v>29345.329999999998</v>
      </c>
      <c r="BN426" s="462">
        <f t="shared" si="233"/>
        <v>1450.1000000000022</v>
      </c>
      <c r="BO426" s="447" t="s">
        <v>2365</v>
      </c>
      <c r="BQ426" s="462">
        <f t="shared" si="234"/>
        <v>1450.1</v>
      </c>
      <c r="BR426" s="447" t="s">
        <v>2374</v>
      </c>
      <c r="BT426" s="462">
        <f t="shared" si="235"/>
        <v>1450.1</v>
      </c>
      <c r="BU426" s="447" t="s">
        <v>2134</v>
      </c>
      <c r="BV426" s="462">
        <f>BT426</f>
        <v>1450.1</v>
      </c>
      <c r="BW426" s="462">
        <f t="shared" si="236"/>
        <v>0</v>
      </c>
      <c r="BZ426" s="462">
        <f t="shared" si="237"/>
        <v>0</v>
      </c>
      <c r="CD426" s="418" t="str">
        <f t="shared" si="238"/>
        <v>CU0531001</v>
      </c>
      <c r="CE426" s="442" t="str">
        <f t="shared" si="239"/>
        <v>2019年11月</v>
      </c>
      <c r="CF426" s="418" t="str">
        <f t="shared" si="240"/>
        <v>恩思恩时尚clife服务费暂估</v>
      </c>
      <c r="CG426" s="418" t="str">
        <f t="shared" si="241"/>
        <v>2019年11月恩思恩时尚clife服务费暂估</v>
      </c>
    </row>
    <row r="427" spans="2:85" s="447" customFormat="1" ht="17.25" customHeight="1">
      <c r="B427" s="447" t="str">
        <f t="shared" si="222"/>
        <v>CU0636</v>
      </c>
      <c r="C427" s="431" t="s">
        <v>755</v>
      </c>
      <c r="D427" s="367" t="s">
        <v>1759</v>
      </c>
      <c r="E427" s="367" t="s">
        <v>23</v>
      </c>
      <c r="F427" s="439">
        <v>43770</v>
      </c>
      <c r="G427" s="448">
        <v>4.67</v>
      </c>
      <c r="H427" s="440"/>
      <c r="I427" s="440">
        <f t="shared" si="264"/>
        <v>4.67</v>
      </c>
      <c r="J427" s="440"/>
      <c r="L427" s="462">
        <f t="shared" si="265"/>
        <v>4.67</v>
      </c>
      <c r="M427" s="462"/>
      <c r="N427" s="444"/>
      <c r="O427" s="462">
        <f t="shared" si="266"/>
        <v>4.67</v>
      </c>
      <c r="R427" s="462">
        <f t="shared" si="267"/>
        <v>4.67</v>
      </c>
      <c r="U427" s="462">
        <f t="shared" si="268"/>
        <v>4.67</v>
      </c>
      <c r="X427" s="462">
        <f t="shared" si="269"/>
        <v>4.67</v>
      </c>
      <c r="AA427" s="462">
        <f t="shared" si="270"/>
        <v>4.67</v>
      </c>
      <c r="AD427" s="462">
        <f t="shared" si="271"/>
        <v>4.67</v>
      </c>
      <c r="AG427" s="462">
        <f t="shared" si="272"/>
        <v>4.67</v>
      </c>
      <c r="AJ427" s="462">
        <f t="shared" si="273"/>
        <v>4.67</v>
      </c>
      <c r="AM427" s="462">
        <f t="shared" si="274"/>
        <v>4.67</v>
      </c>
      <c r="AN427" s="447" t="s">
        <v>1993</v>
      </c>
      <c r="AP427" s="462">
        <f t="shared" si="275"/>
        <v>4.67</v>
      </c>
      <c r="AQ427" s="447" t="s">
        <v>2006</v>
      </c>
      <c r="AS427" s="459">
        <f t="shared" si="226"/>
        <v>4.67</v>
      </c>
      <c r="AV427" s="462">
        <f t="shared" si="227"/>
        <v>4.67</v>
      </c>
      <c r="AW427" s="447" t="s">
        <v>2107</v>
      </c>
      <c r="AY427" s="462">
        <f t="shared" si="228"/>
        <v>4.67</v>
      </c>
      <c r="AZ427" s="447" t="s">
        <v>2131</v>
      </c>
      <c r="BB427" s="462">
        <f t="shared" si="229"/>
        <v>4.67</v>
      </c>
      <c r="BC427" s="447" t="s">
        <v>2204</v>
      </c>
      <c r="BD427" s="462">
        <f>BB427</f>
        <v>4.67</v>
      </c>
      <c r="BE427" s="462">
        <f t="shared" si="230"/>
        <v>0</v>
      </c>
      <c r="BH427" s="462">
        <f t="shared" si="231"/>
        <v>0</v>
      </c>
      <c r="BK427" s="462">
        <f t="shared" si="232"/>
        <v>0</v>
      </c>
      <c r="BN427" s="462">
        <f t="shared" si="233"/>
        <v>0</v>
      </c>
      <c r="BQ427" s="462">
        <f t="shared" si="234"/>
        <v>0</v>
      </c>
      <c r="BT427" s="462">
        <f t="shared" si="235"/>
        <v>0</v>
      </c>
      <c r="BW427" s="462">
        <f t="shared" si="236"/>
        <v>0</v>
      </c>
      <c r="BZ427" s="462">
        <f t="shared" si="237"/>
        <v>0</v>
      </c>
      <c r="CD427" s="418" t="str">
        <f t="shared" si="238"/>
        <v>CU0636001</v>
      </c>
      <c r="CE427" s="442" t="str">
        <f t="shared" si="239"/>
        <v>2019年11月</v>
      </c>
      <c r="CF427" s="418" t="str">
        <f t="shared" si="240"/>
        <v>巴丽（上海clife服务费暂估</v>
      </c>
      <c r="CG427" s="418" t="str">
        <f t="shared" si="241"/>
        <v>2019年11月巴丽（上海clife服务费暂估</v>
      </c>
    </row>
    <row r="428" spans="2:85" s="447" customFormat="1" ht="17.25" customHeight="1">
      <c r="B428" s="447" t="str">
        <f t="shared" si="222"/>
        <v>CU0667</v>
      </c>
      <c r="C428" s="431" t="s">
        <v>755</v>
      </c>
      <c r="D428" s="367" t="s">
        <v>1454</v>
      </c>
      <c r="E428" s="367" t="s">
        <v>168</v>
      </c>
      <c r="F428" s="439">
        <v>43770</v>
      </c>
      <c r="G428" s="448">
        <v>864.8</v>
      </c>
      <c r="H428" s="440"/>
      <c r="I428" s="440">
        <f t="shared" si="264"/>
        <v>864.8</v>
      </c>
      <c r="J428" s="440"/>
      <c r="L428" s="462">
        <f t="shared" si="265"/>
        <v>864.8</v>
      </c>
      <c r="M428" s="462"/>
      <c r="N428" s="444"/>
      <c r="O428" s="462">
        <f t="shared" si="266"/>
        <v>864.8</v>
      </c>
      <c r="R428" s="462">
        <f t="shared" si="267"/>
        <v>864.8</v>
      </c>
      <c r="U428" s="462">
        <f t="shared" si="268"/>
        <v>864.8</v>
      </c>
      <c r="X428" s="462">
        <f t="shared" si="269"/>
        <v>864.8</v>
      </c>
      <c r="AA428" s="462">
        <f t="shared" si="270"/>
        <v>864.8</v>
      </c>
      <c r="AD428" s="462">
        <f t="shared" si="271"/>
        <v>864.8</v>
      </c>
      <c r="AG428" s="462">
        <f t="shared" si="272"/>
        <v>864.8</v>
      </c>
      <c r="AJ428" s="459">
        <f t="shared" si="273"/>
        <v>864.8</v>
      </c>
      <c r="AM428" s="462">
        <f t="shared" si="274"/>
        <v>864.8</v>
      </c>
      <c r="AN428" s="447" t="s">
        <v>1993</v>
      </c>
      <c r="AP428" s="462">
        <f t="shared" si="275"/>
        <v>864.8</v>
      </c>
      <c r="AQ428" s="447" t="s">
        <v>2006</v>
      </c>
      <c r="AS428" s="459">
        <f t="shared" si="226"/>
        <v>864.8</v>
      </c>
      <c r="AV428" s="462">
        <f t="shared" si="227"/>
        <v>864.8</v>
      </c>
      <c r="AW428" s="447" t="s">
        <v>2107</v>
      </c>
      <c r="AY428" s="462">
        <f t="shared" si="228"/>
        <v>864.8</v>
      </c>
      <c r="AZ428" s="447" t="s">
        <v>2131</v>
      </c>
      <c r="BA428" s="462">
        <f>AY428</f>
        <v>864.8</v>
      </c>
      <c r="BB428" s="462">
        <f t="shared" si="229"/>
        <v>0</v>
      </c>
      <c r="BC428" s="447" t="s">
        <v>2204</v>
      </c>
      <c r="BE428" s="462">
        <f t="shared" si="230"/>
        <v>0</v>
      </c>
      <c r="BH428" s="462">
        <f t="shared" si="231"/>
        <v>0</v>
      </c>
      <c r="BK428" s="462">
        <f t="shared" si="232"/>
        <v>0</v>
      </c>
      <c r="BN428" s="462">
        <f t="shared" si="233"/>
        <v>0</v>
      </c>
      <c r="BQ428" s="462">
        <f t="shared" si="234"/>
        <v>0</v>
      </c>
      <c r="BT428" s="462">
        <f t="shared" si="235"/>
        <v>0</v>
      </c>
      <c r="BW428" s="462">
        <f t="shared" si="236"/>
        <v>0</v>
      </c>
      <c r="BZ428" s="462">
        <f t="shared" si="237"/>
        <v>0</v>
      </c>
      <c r="CD428" s="418" t="str">
        <f t="shared" si="238"/>
        <v>CU0667001</v>
      </c>
      <c r="CE428" s="442" t="str">
        <f t="shared" si="239"/>
        <v>2019年11月</v>
      </c>
      <c r="CF428" s="418" t="str">
        <f t="shared" si="240"/>
        <v>北京杰迪安clife服务费暂估</v>
      </c>
      <c r="CG428" s="418" t="str">
        <f t="shared" si="241"/>
        <v>2019年11月北京杰迪安clife服务费暂估</v>
      </c>
    </row>
    <row r="429" spans="2:85" s="447" customFormat="1" ht="17.25" customHeight="1">
      <c r="B429" s="447" t="str">
        <f t="shared" si="222"/>
        <v>CU0734</v>
      </c>
      <c r="C429" s="431" t="s">
        <v>755</v>
      </c>
      <c r="D429" s="367" t="s">
        <v>1649</v>
      </c>
      <c r="E429" s="367" t="s">
        <v>1639</v>
      </c>
      <c r="F429" s="439">
        <v>43770</v>
      </c>
      <c r="G429" s="448">
        <v>403.77</v>
      </c>
      <c r="H429" s="440"/>
      <c r="I429" s="440">
        <f t="shared" si="264"/>
        <v>403.77</v>
      </c>
      <c r="J429" s="440"/>
      <c r="L429" s="462">
        <f t="shared" si="265"/>
        <v>403.77</v>
      </c>
      <c r="M429" s="462"/>
      <c r="N429" s="444"/>
      <c r="O429" s="462">
        <f t="shared" si="266"/>
        <v>403.77</v>
      </c>
      <c r="R429" s="462">
        <f t="shared" si="267"/>
        <v>403.77</v>
      </c>
      <c r="U429" s="462">
        <f t="shared" si="268"/>
        <v>403.77</v>
      </c>
      <c r="X429" s="462">
        <f t="shared" si="269"/>
        <v>403.77</v>
      </c>
      <c r="AA429" s="462">
        <f t="shared" si="270"/>
        <v>403.77</v>
      </c>
      <c r="AD429" s="462">
        <f t="shared" si="271"/>
        <v>403.77</v>
      </c>
      <c r="AG429" s="462">
        <f t="shared" si="272"/>
        <v>403.77</v>
      </c>
      <c r="AJ429" s="462">
        <f t="shared" si="273"/>
        <v>403.77</v>
      </c>
      <c r="AM429" s="462">
        <f t="shared" si="274"/>
        <v>403.77</v>
      </c>
      <c r="AN429" s="447" t="s">
        <v>1993</v>
      </c>
      <c r="AP429" s="462">
        <f t="shared" si="275"/>
        <v>403.77</v>
      </c>
      <c r="AQ429" s="447" t="s">
        <v>2006</v>
      </c>
      <c r="AS429" s="459">
        <f t="shared" si="226"/>
        <v>403.77</v>
      </c>
      <c r="AV429" s="462">
        <f t="shared" si="227"/>
        <v>403.77</v>
      </c>
      <c r="AW429" s="447" t="s">
        <v>2107</v>
      </c>
      <c r="AY429" s="462">
        <f t="shared" si="228"/>
        <v>403.77</v>
      </c>
      <c r="AZ429" s="447" t="s">
        <v>2131</v>
      </c>
      <c r="BB429" s="462">
        <f t="shared" si="229"/>
        <v>403.77</v>
      </c>
      <c r="BC429" s="447" t="s">
        <v>2204</v>
      </c>
      <c r="BE429" s="462">
        <f t="shared" si="230"/>
        <v>403.77</v>
      </c>
      <c r="BF429" s="447" t="s">
        <v>2237</v>
      </c>
      <c r="BH429" s="462">
        <f t="shared" si="231"/>
        <v>403.77</v>
      </c>
      <c r="BI429" s="447" t="s">
        <v>2292</v>
      </c>
      <c r="BK429" s="462">
        <f t="shared" si="232"/>
        <v>403.77</v>
      </c>
      <c r="BL429" s="447" t="s">
        <v>2339</v>
      </c>
      <c r="BN429" s="462">
        <f t="shared" si="233"/>
        <v>403.77</v>
      </c>
      <c r="BO429" s="447" t="s">
        <v>2365</v>
      </c>
      <c r="BQ429" s="462">
        <f t="shared" si="234"/>
        <v>403.77</v>
      </c>
      <c r="BR429" s="447" t="s">
        <v>2374</v>
      </c>
      <c r="BT429" s="462">
        <f t="shared" si="235"/>
        <v>403.77</v>
      </c>
      <c r="BU429" s="447" t="s">
        <v>2134</v>
      </c>
      <c r="BV429" s="462">
        <f>BT429</f>
        <v>403.77</v>
      </c>
      <c r="BW429" s="462">
        <f t="shared" si="236"/>
        <v>0</v>
      </c>
      <c r="BZ429" s="462">
        <f t="shared" si="237"/>
        <v>0</v>
      </c>
      <c r="CD429" s="418" t="str">
        <f t="shared" si="238"/>
        <v>CU0734001</v>
      </c>
      <c r="CE429" s="442" t="str">
        <f t="shared" si="239"/>
        <v>2019年11月</v>
      </c>
      <c r="CF429" s="418" t="str">
        <f t="shared" si="240"/>
        <v>蒂森克虏伯clife服务费暂估</v>
      </c>
      <c r="CG429" s="418" t="str">
        <f t="shared" si="241"/>
        <v>2019年11月蒂森克虏伯clife服务费暂估</v>
      </c>
    </row>
    <row r="430" spans="2:85" s="447" customFormat="1" ht="17.25" customHeight="1">
      <c r="B430" s="447" t="str">
        <f t="shared" si="222"/>
        <v>CU0782</v>
      </c>
      <c r="C430" s="431" t="s">
        <v>755</v>
      </c>
      <c r="D430" s="367" t="s">
        <v>1652</v>
      </c>
      <c r="E430" s="367" t="s">
        <v>194</v>
      </c>
      <c r="F430" s="439">
        <v>43770</v>
      </c>
      <c r="G430" s="448">
        <v>6227.48</v>
      </c>
      <c r="H430" s="440"/>
      <c r="I430" s="440">
        <f t="shared" si="264"/>
        <v>6227.48</v>
      </c>
      <c r="J430" s="440"/>
      <c r="L430" s="462">
        <f t="shared" si="265"/>
        <v>6227.48</v>
      </c>
      <c r="M430" s="462"/>
      <c r="N430" s="444"/>
      <c r="O430" s="462">
        <f t="shared" si="266"/>
        <v>6227.48</v>
      </c>
      <c r="R430" s="462">
        <f t="shared" si="267"/>
        <v>6227.48</v>
      </c>
      <c r="U430" s="462">
        <f t="shared" si="268"/>
        <v>6227.48</v>
      </c>
      <c r="X430" s="462">
        <f t="shared" si="269"/>
        <v>6227.48</v>
      </c>
      <c r="AA430" s="462">
        <f t="shared" si="270"/>
        <v>6227.48</v>
      </c>
      <c r="AD430" s="462">
        <f t="shared" si="271"/>
        <v>6227.48</v>
      </c>
      <c r="AG430" s="462">
        <f t="shared" si="272"/>
        <v>6227.48</v>
      </c>
      <c r="AJ430" s="462">
        <f t="shared" si="273"/>
        <v>6227.48</v>
      </c>
      <c r="AM430" s="462">
        <f t="shared" si="274"/>
        <v>6227.48</v>
      </c>
      <c r="AN430" s="447" t="s">
        <v>1993</v>
      </c>
      <c r="AP430" s="462">
        <f t="shared" si="275"/>
        <v>6227.48</v>
      </c>
      <c r="AQ430" s="447" t="s">
        <v>2006</v>
      </c>
      <c r="AS430" s="459">
        <f t="shared" si="226"/>
        <v>6227.48</v>
      </c>
      <c r="AU430" s="461">
        <f>AS430</f>
        <v>6227.48</v>
      </c>
      <c r="AV430" s="462">
        <f t="shared" si="227"/>
        <v>0</v>
      </c>
      <c r="AY430" s="462">
        <f t="shared" si="228"/>
        <v>0</v>
      </c>
      <c r="BB430" s="462">
        <f t="shared" si="229"/>
        <v>0</v>
      </c>
      <c r="BC430" s="447" t="s">
        <v>2204</v>
      </c>
      <c r="BE430" s="462">
        <f t="shared" si="230"/>
        <v>0</v>
      </c>
      <c r="BH430" s="462">
        <f t="shared" si="231"/>
        <v>0</v>
      </c>
      <c r="BK430" s="462">
        <f t="shared" si="232"/>
        <v>0</v>
      </c>
      <c r="BN430" s="462">
        <f t="shared" si="233"/>
        <v>0</v>
      </c>
      <c r="BQ430" s="462">
        <f t="shared" si="234"/>
        <v>0</v>
      </c>
      <c r="BT430" s="462">
        <f t="shared" si="235"/>
        <v>0</v>
      </c>
      <c r="BW430" s="462">
        <f t="shared" si="236"/>
        <v>0</v>
      </c>
      <c r="BZ430" s="462">
        <f t="shared" si="237"/>
        <v>0</v>
      </c>
      <c r="CD430" s="418" t="str">
        <f t="shared" si="238"/>
        <v>CU0782001</v>
      </c>
      <c r="CE430" s="442" t="str">
        <f t="shared" si="239"/>
        <v>2019年11月</v>
      </c>
      <c r="CF430" s="418" t="str">
        <f t="shared" si="240"/>
        <v>天职集团clife服务费暂估</v>
      </c>
      <c r="CG430" s="418" t="str">
        <f t="shared" si="241"/>
        <v>2019年11月天职集团clife服务费暂估</v>
      </c>
    </row>
    <row r="431" spans="2:85" s="447" customFormat="1" ht="17.25" customHeight="1">
      <c r="B431" s="447" t="str">
        <f t="shared" si="222"/>
        <v>CU0812</v>
      </c>
      <c r="C431" s="431" t="s">
        <v>755</v>
      </c>
      <c r="D431" s="367" t="s">
        <v>1455</v>
      </c>
      <c r="E431" s="367" t="s">
        <v>1315</v>
      </c>
      <c r="F431" s="439">
        <v>43770</v>
      </c>
      <c r="G431" s="448">
        <v>3035.82</v>
      </c>
      <c r="H431" s="440"/>
      <c r="I431" s="440">
        <f t="shared" si="264"/>
        <v>3035.82</v>
      </c>
      <c r="J431" s="440"/>
      <c r="L431" s="462">
        <f t="shared" si="265"/>
        <v>3035.82</v>
      </c>
      <c r="M431" s="462"/>
      <c r="N431" s="444"/>
      <c r="O431" s="462">
        <f t="shared" si="266"/>
        <v>3035.82</v>
      </c>
      <c r="R431" s="462">
        <f t="shared" si="267"/>
        <v>3035.82</v>
      </c>
      <c r="U431" s="462">
        <f t="shared" si="268"/>
        <v>3035.82</v>
      </c>
      <c r="X431" s="462">
        <f t="shared" si="269"/>
        <v>3035.82</v>
      </c>
      <c r="AA431" s="462">
        <f t="shared" si="270"/>
        <v>3035.82</v>
      </c>
      <c r="AD431" s="462">
        <f t="shared" si="271"/>
        <v>3035.82</v>
      </c>
      <c r="AG431" s="462">
        <f t="shared" si="272"/>
        <v>3035.82</v>
      </c>
      <c r="AJ431" s="462">
        <f t="shared" si="273"/>
        <v>3035.82</v>
      </c>
      <c r="AM431" s="462">
        <f t="shared" si="274"/>
        <v>3035.82</v>
      </c>
      <c r="AN431" s="447" t="s">
        <v>1993</v>
      </c>
      <c r="AP431" s="462">
        <f t="shared" si="275"/>
        <v>3035.82</v>
      </c>
      <c r="AQ431" s="447" t="s">
        <v>2006</v>
      </c>
      <c r="AS431" s="459">
        <f t="shared" si="226"/>
        <v>3035.82</v>
      </c>
      <c r="AV431" s="462">
        <f t="shared" si="227"/>
        <v>3035.82</v>
      </c>
      <c r="AW431" s="447" t="s">
        <v>2107</v>
      </c>
      <c r="AY431" s="462">
        <f t="shared" si="228"/>
        <v>3035.82</v>
      </c>
      <c r="AZ431" s="447" t="s">
        <v>2131</v>
      </c>
      <c r="BB431" s="462">
        <f t="shared" si="229"/>
        <v>3035.82</v>
      </c>
      <c r="BC431" s="447" t="s">
        <v>2204</v>
      </c>
      <c r="BE431" s="462">
        <f t="shared" si="230"/>
        <v>3035.82</v>
      </c>
      <c r="BF431" s="447" t="s">
        <v>2237</v>
      </c>
      <c r="BH431" s="462">
        <f t="shared" si="231"/>
        <v>3035.82</v>
      </c>
      <c r="BI431" s="447" t="s">
        <v>2292</v>
      </c>
      <c r="BK431" s="462">
        <f t="shared" si="232"/>
        <v>3035.82</v>
      </c>
      <c r="BL431" s="447" t="s">
        <v>2339</v>
      </c>
      <c r="BN431" s="462">
        <f t="shared" si="233"/>
        <v>3035.82</v>
      </c>
      <c r="BO431" s="447" t="s">
        <v>2365</v>
      </c>
      <c r="BP431" s="462">
        <f>BN431</f>
        <v>3035.82</v>
      </c>
      <c r="BQ431" s="462">
        <f t="shared" si="234"/>
        <v>0</v>
      </c>
      <c r="BT431" s="462">
        <f t="shared" si="235"/>
        <v>0</v>
      </c>
      <c r="BW431" s="462">
        <f t="shared" si="236"/>
        <v>0</v>
      </c>
      <c r="BZ431" s="462">
        <f t="shared" si="237"/>
        <v>0</v>
      </c>
      <c r="CD431" s="418" t="str">
        <f t="shared" si="238"/>
        <v>CU0812001</v>
      </c>
      <c r="CE431" s="442" t="str">
        <f t="shared" si="239"/>
        <v>2019年11月</v>
      </c>
      <c r="CF431" s="418" t="str">
        <f t="shared" si="240"/>
        <v>恩派clife服务费暂估</v>
      </c>
      <c r="CG431" s="418" t="str">
        <f t="shared" si="241"/>
        <v>2019年11月恩派clife服务费暂估</v>
      </c>
    </row>
    <row r="432" spans="2:85" s="447" customFormat="1" ht="17.25" customHeight="1">
      <c r="B432" s="447" t="str">
        <f t="shared" si="222"/>
        <v>CU0822</v>
      </c>
      <c r="C432" s="431" t="s">
        <v>755</v>
      </c>
      <c r="D432" s="367" t="s">
        <v>1456</v>
      </c>
      <c r="E432" s="367" t="s">
        <v>239</v>
      </c>
      <c r="F432" s="439">
        <v>43770</v>
      </c>
      <c r="G432" s="448">
        <v>18939.41</v>
      </c>
      <c r="H432" s="440"/>
      <c r="I432" s="440">
        <f t="shared" si="264"/>
        <v>18939.41</v>
      </c>
      <c r="J432" s="440"/>
      <c r="L432" s="462">
        <f t="shared" si="265"/>
        <v>18939.41</v>
      </c>
      <c r="M432" s="462"/>
      <c r="N432" s="444"/>
      <c r="O432" s="462">
        <f t="shared" si="266"/>
        <v>18939.41</v>
      </c>
      <c r="R432" s="462">
        <f t="shared" si="267"/>
        <v>18939.41</v>
      </c>
      <c r="U432" s="462">
        <f t="shared" si="268"/>
        <v>18939.41</v>
      </c>
      <c r="X432" s="462">
        <f t="shared" si="269"/>
        <v>18939.41</v>
      </c>
      <c r="AA432" s="462">
        <f t="shared" si="270"/>
        <v>18939.41</v>
      </c>
      <c r="AD432" s="462">
        <f t="shared" si="271"/>
        <v>18939.41</v>
      </c>
      <c r="AG432" s="462">
        <f t="shared" si="272"/>
        <v>18939.41</v>
      </c>
      <c r="AJ432" s="462">
        <f t="shared" si="273"/>
        <v>18939.41</v>
      </c>
      <c r="AM432" s="462">
        <f t="shared" si="274"/>
        <v>18939.41</v>
      </c>
      <c r="AN432" s="447" t="s">
        <v>1993</v>
      </c>
      <c r="AP432" s="462">
        <f t="shared" si="275"/>
        <v>18939.41</v>
      </c>
      <c r="AQ432" s="447" t="s">
        <v>2006</v>
      </c>
      <c r="AS432" s="459">
        <f t="shared" si="226"/>
        <v>18939.41</v>
      </c>
      <c r="AV432" s="462">
        <f t="shared" si="227"/>
        <v>18939.41</v>
      </c>
      <c r="AW432" s="447" t="s">
        <v>2107</v>
      </c>
      <c r="AY432" s="462">
        <f t="shared" si="228"/>
        <v>18939.41</v>
      </c>
      <c r="AZ432" s="447" t="s">
        <v>2131</v>
      </c>
      <c r="BB432" s="462">
        <f t="shared" si="229"/>
        <v>18939.41</v>
      </c>
      <c r="BC432" s="447" t="s">
        <v>2204</v>
      </c>
      <c r="BE432" s="462">
        <f t="shared" si="230"/>
        <v>18939.41</v>
      </c>
      <c r="BF432" s="447" t="s">
        <v>2237</v>
      </c>
      <c r="BH432" s="462">
        <f t="shared" si="231"/>
        <v>18939.41</v>
      </c>
      <c r="BI432" s="447" t="s">
        <v>2292</v>
      </c>
      <c r="BK432" s="462">
        <f t="shared" si="232"/>
        <v>18939.41</v>
      </c>
      <c r="BL432" s="447" t="s">
        <v>2339</v>
      </c>
      <c r="BN432" s="462">
        <f t="shared" si="233"/>
        <v>18939.41</v>
      </c>
      <c r="BO432" s="447" t="s">
        <v>2365</v>
      </c>
      <c r="BP432" s="462">
        <f>BN432</f>
        <v>18939.41</v>
      </c>
      <c r="BQ432" s="462">
        <f t="shared" si="234"/>
        <v>0</v>
      </c>
      <c r="BT432" s="462">
        <f t="shared" si="235"/>
        <v>0</v>
      </c>
      <c r="BW432" s="462">
        <f t="shared" si="236"/>
        <v>0</v>
      </c>
      <c r="BZ432" s="462">
        <f t="shared" si="237"/>
        <v>0</v>
      </c>
      <c r="CD432" s="418" t="str">
        <f t="shared" si="238"/>
        <v>CU0822001</v>
      </c>
      <c r="CE432" s="442" t="str">
        <f t="shared" si="239"/>
        <v>2019年11月</v>
      </c>
      <c r="CF432" s="418" t="str">
        <f t="shared" si="240"/>
        <v>美克国际家clife服务费暂估</v>
      </c>
      <c r="CG432" s="418" t="str">
        <f t="shared" si="241"/>
        <v>2019年11月美克国际家clife服务费暂估</v>
      </c>
    </row>
    <row r="433" spans="2:85" s="447" customFormat="1" ht="17.25" customHeight="1">
      <c r="B433" s="447" t="str">
        <f t="shared" si="222"/>
        <v>CU0823</v>
      </c>
      <c r="C433" s="431" t="s">
        <v>755</v>
      </c>
      <c r="D433" s="367" t="s">
        <v>1457</v>
      </c>
      <c r="E433" s="367" t="s">
        <v>581</v>
      </c>
      <c r="F433" s="439">
        <v>43770</v>
      </c>
      <c r="G433" s="448">
        <v>9266.06</v>
      </c>
      <c r="H433" s="440"/>
      <c r="I433" s="440">
        <f t="shared" si="264"/>
        <v>9266.06</v>
      </c>
      <c r="J433" s="440"/>
      <c r="L433" s="462">
        <f t="shared" si="265"/>
        <v>9266.06</v>
      </c>
      <c r="M433" s="462"/>
      <c r="N433" s="444"/>
      <c r="O433" s="462">
        <f t="shared" si="266"/>
        <v>9266.06</v>
      </c>
      <c r="R433" s="462">
        <f t="shared" si="267"/>
        <v>9266.06</v>
      </c>
      <c r="U433" s="462">
        <f t="shared" si="268"/>
        <v>9266.06</v>
      </c>
      <c r="X433" s="462">
        <f t="shared" si="269"/>
        <v>9266.06</v>
      </c>
      <c r="AA433" s="462">
        <f t="shared" si="270"/>
        <v>9266.06</v>
      </c>
      <c r="AD433" s="462">
        <f t="shared" si="271"/>
        <v>9266.06</v>
      </c>
      <c r="AG433" s="462">
        <f t="shared" si="272"/>
        <v>9266.06</v>
      </c>
      <c r="AJ433" s="462">
        <f t="shared" si="273"/>
        <v>9266.06</v>
      </c>
      <c r="AM433" s="462">
        <f t="shared" si="274"/>
        <v>9266.06</v>
      </c>
      <c r="AN433" s="447" t="s">
        <v>1993</v>
      </c>
      <c r="AP433" s="462">
        <f t="shared" si="275"/>
        <v>9266.06</v>
      </c>
      <c r="AQ433" s="447" t="s">
        <v>2006</v>
      </c>
      <c r="AS433" s="459">
        <f t="shared" si="226"/>
        <v>9266.06</v>
      </c>
      <c r="AV433" s="462">
        <f t="shared" si="227"/>
        <v>9266.06</v>
      </c>
      <c r="AW433" s="447" t="s">
        <v>2107</v>
      </c>
      <c r="AY433" s="462">
        <f t="shared" si="228"/>
        <v>9266.06</v>
      </c>
      <c r="AZ433" s="447" t="s">
        <v>2131</v>
      </c>
      <c r="BB433" s="462">
        <f t="shared" si="229"/>
        <v>9266.06</v>
      </c>
      <c r="BC433" s="447" t="s">
        <v>2204</v>
      </c>
      <c r="BE433" s="462">
        <f t="shared" si="230"/>
        <v>9266.06</v>
      </c>
      <c r="BF433" s="447" t="s">
        <v>2237</v>
      </c>
      <c r="BH433" s="462">
        <f t="shared" si="231"/>
        <v>9266.06</v>
      </c>
      <c r="BI433" s="447" t="s">
        <v>2292</v>
      </c>
      <c r="BK433" s="462">
        <f t="shared" si="232"/>
        <v>9266.06</v>
      </c>
      <c r="BL433" s="447" t="s">
        <v>2339</v>
      </c>
      <c r="BN433" s="462">
        <f t="shared" si="233"/>
        <v>9266.06</v>
      </c>
      <c r="BO433" s="447" t="s">
        <v>2365</v>
      </c>
      <c r="BQ433" s="462">
        <f t="shared" si="234"/>
        <v>9266.06</v>
      </c>
      <c r="BR433" s="447" t="s">
        <v>2374</v>
      </c>
      <c r="BT433" s="462">
        <f t="shared" si="235"/>
        <v>9266.06</v>
      </c>
      <c r="BU433" s="447" t="s">
        <v>2134</v>
      </c>
      <c r="BW433" s="462">
        <f t="shared" si="236"/>
        <v>9266.06</v>
      </c>
      <c r="BZ433" s="462">
        <f t="shared" si="237"/>
        <v>9266.06</v>
      </c>
      <c r="CD433" s="418" t="str">
        <f t="shared" si="238"/>
        <v>CU0823001</v>
      </c>
      <c r="CE433" s="442" t="str">
        <f t="shared" si="239"/>
        <v>2019年11月</v>
      </c>
      <c r="CF433" s="418" t="str">
        <f t="shared" si="240"/>
        <v>凯杰生物工clife服务费暂估</v>
      </c>
      <c r="CG433" s="418" t="str">
        <f t="shared" si="241"/>
        <v>2019年11月凯杰生物工clife服务费暂估</v>
      </c>
    </row>
    <row r="434" spans="2:85" s="447" customFormat="1" ht="17.25" customHeight="1">
      <c r="B434" s="447" t="str">
        <f t="shared" si="222"/>
        <v>CU0824</v>
      </c>
      <c r="C434" s="431" t="s">
        <v>755</v>
      </c>
      <c r="D434" s="367" t="s">
        <v>1458</v>
      </c>
      <c r="E434" s="367" t="s">
        <v>1292</v>
      </c>
      <c r="F434" s="439">
        <v>43770</v>
      </c>
      <c r="G434" s="448">
        <v>1064.0899999999999</v>
      </c>
      <c r="H434" s="440"/>
      <c r="I434" s="440">
        <f t="shared" si="264"/>
        <v>1064.0899999999999</v>
      </c>
      <c r="J434" s="440"/>
      <c r="L434" s="462">
        <f t="shared" si="265"/>
        <v>1064.0899999999999</v>
      </c>
      <c r="M434" s="462"/>
      <c r="N434" s="444"/>
      <c r="O434" s="462">
        <f t="shared" si="266"/>
        <v>1064.0899999999999</v>
      </c>
      <c r="R434" s="462">
        <f t="shared" si="267"/>
        <v>1064.0899999999999</v>
      </c>
      <c r="U434" s="462">
        <f t="shared" si="268"/>
        <v>1064.0899999999999</v>
      </c>
      <c r="X434" s="462">
        <f t="shared" si="269"/>
        <v>1064.0899999999999</v>
      </c>
      <c r="AA434" s="462">
        <f t="shared" si="270"/>
        <v>1064.0899999999999</v>
      </c>
      <c r="AD434" s="462">
        <f t="shared" si="271"/>
        <v>1064.0899999999999</v>
      </c>
      <c r="AG434" s="462">
        <f t="shared" si="272"/>
        <v>1064.0899999999999</v>
      </c>
      <c r="AJ434" s="462">
        <f t="shared" si="273"/>
        <v>1064.0899999999999</v>
      </c>
      <c r="AM434" s="462">
        <f t="shared" si="274"/>
        <v>1064.0899999999999</v>
      </c>
      <c r="AN434" s="447" t="s">
        <v>1993</v>
      </c>
      <c r="AP434" s="462">
        <f t="shared" si="275"/>
        <v>1064.0899999999999</v>
      </c>
      <c r="AQ434" s="447" t="s">
        <v>2006</v>
      </c>
      <c r="AS434" s="459">
        <f t="shared" si="226"/>
        <v>1064.0899999999999</v>
      </c>
      <c r="AU434" s="462"/>
      <c r="AV434" s="462">
        <f t="shared" si="227"/>
        <v>1064.0899999999999</v>
      </c>
      <c r="AW434" s="447" t="s">
        <v>2107</v>
      </c>
      <c r="AY434" s="462">
        <f t="shared" si="228"/>
        <v>1064.0899999999999</v>
      </c>
      <c r="AZ434" s="447" t="s">
        <v>2131</v>
      </c>
      <c r="BB434" s="462">
        <f t="shared" si="229"/>
        <v>1064.0899999999999</v>
      </c>
      <c r="BC434" s="447" t="s">
        <v>2204</v>
      </c>
      <c r="BD434" s="462">
        <f>BB434</f>
        <v>1064.0899999999999</v>
      </c>
      <c r="BE434" s="462">
        <f t="shared" si="230"/>
        <v>0</v>
      </c>
      <c r="BH434" s="462">
        <f t="shared" si="231"/>
        <v>0</v>
      </c>
      <c r="BK434" s="462">
        <f t="shared" si="232"/>
        <v>0</v>
      </c>
      <c r="BN434" s="462">
        <f t="shared" si="233"/>
        <v>0</v>
      </c>
      <c r="BQ434" s="462">
        <f t="shared" si="234"/>
        <v>0</v>
      </c>
      <c r="BT434" s="462">
        <f t="shared" si="235"/>
        <v>0</v>
      </c>
      <c r="BW434" s="462">
        <f t="shared" si="236"/>
        <v>0</v>
      </c>
      <c r="BZ434" s="462">
        <f t="shared" si="237"/>
        <v>0</v>
      </c>
      <c r="CD434" s="418" t="str">
        <f t="shared" si="238"/>
        <v>CU0824001</v>
      </c>
      <c r="CE434" s="442" t="str">
        <f t="shared" si="239"/>
        <v>2019年11月</v>
      </c>
      <c r="CF434" s="418" t="str">
        <f t="shared" si="240"/>
        <v>苏州舒尔贸clife服务费暂估</v>
      </c>
      <c r="CG434" s="418" t="str">
        <f t="shared" si="241"/>
        <v>2019年11月苏州舒尔贸clife服务费暂估</v>
      </c>
    </row>
    <row r="435" spans="2:85" s="447" customFormat="1" ht="17.25" customHeight="1">
      <c r="B435" s="447" t="str">
        <f t="shared" si="222"/>
        <v>CU0848</v>
      </c>
      <c r="C435" s="431" t="s">
        <v>755</v>
      </c>
      <c r="D435" s="367" t="s">
        <v>1462</v>
      </c>
      <c r="E435" s="367" t="s">
        <v>1830</v>
      </c>
      <c r="F435" s="439">
        <v>43770</v>
      </c>
      <c r="G435" s="448">
        <v>11576.57</v>
      </c>
      <c r="H435" s="440"/>
      <c r="I435" s="440">
        <f t="shared" si="264"/>
        <v>11576.57</v>
      </c>
      <c r="J435" s="440"/>
      <c r="L435" s="462">
        <f t="shared" si="265"/>
        <v>11576.57</v>
      </c>
      <c r="M435" s="462"/>
      <c r="N435" s="444"/>
      <c r="O435" s="462">
        <f t="shared" si="266"/>
        <v>11576.57</v>
      </c>
      <c r="R435" s="462">
        <f t="shared" si="267"/>
        <v>11576.57</v>
      </c>
      <c r="U435" s="462">
        <f t="shared" si="268"/>
        <v>11576.57</v>
      </c>
      <c r="X435" s="462">
        <f t="shared" si="269"/>
        <v>11576.57</v>
      </c>
      <c r="AA435" s="462">
        <f t="shared" si="270"/>
        <v>11576.57</v>
      </c>
      <c r="AD435" s="462">
        <f t="shared" si="271"/>
        <v>11576.57</v>
      </c>
      <c r="AG435" s="462">
        <f t="shared" si="272"/>
        <v>11576.57</v>
      </c>
      <c r="AJ435" s="462">
        <f t="shared" si="273"/>
        <v>11576.57</v>
      </c>
      <c r="AM435" s="462">
        <f t="shared" si="274"/>
        <v>11576.57</v>
      </c>
      <c r="AN435" s="447" t="s">
        <v>1993</v>
      </c>
      <c r="AP435" s="462">
        <f t="shared" si="275"/>
        <v>11576.57</v>
      </c>
      <c r="AQ435" s="447" t="s">
        <v>2006</v>
      </c>
      <c r="AS435" s="459">
        <f t="shared" si="226"/>
        <v>11576.57</v>
      </c>
      <c r="AV435" s="462">
        <f t="shared" si="227"/>
        <v>11576.57</v>
      </c>
      <c r="AW435" s="447" t="s">
        <v>2107</v>
      </c>
      <c r="AX435" s="462">
        <f>AV435</f>
        <v>11576.57</v>
      </c>
      <c r="AY435" s="462">
        <f t="shared" si="228"/>
        <v>0</v>
      </c>
      <c r="BB435" s="462">
        <f t="shared" si="229"/>
        <v>0</v>
      </c>
      <c r="BC435" s="447" t="s">
        <v>2204</v>
      </c>
      <c r="BE435" s="462">
        <f t="shared" si="230"/>
        <v>0</v>
      </c>
      <c r="BH435" s="462">
        <f t="shared" si="231"/>
        <v>0</v>
      </c>
      <c r="BK435" s="462">
        <f t="shared" si="232"/>
        <v>0</v>
      </c>
      <c r="BN435" s="462">
        <f t="shared" si="233"/>
        <v>0</v>
      </c>
      <c r="BQ435" s="462">
        <f t="shared" si="234"/>
        <v>0</v>
      </c>
      <c r="BT435" s="462">
        <f t="shared" si="235"/>
        <v>0</v>
      </c>
      <c r="BW435" s="462">
        <f t="shared" si="236"/>
        <v>0</v>
      </c>
      <c r="BZ435" s="462">
        <f t="shared" si="237"/>
        <v>0</v>
      </c>
      <c r="CD435" s="418" t="str">
        <f t="shared" si="238"/>
        <v>CU0848001</v>
      </c>
      <c r="CE435" s="442" t="str">
        <f t="shared" si="239"/>
        <v>2019年11月</v>
      </c>
      <c r="CF435" s="418" t="str">
        <f t="shared" si="240"/>
        <v>爱德觅尔（clife服务费暂估</v>
      </c>
      <c r="CG435" s="418" t="str">
        <f t="shared" si="241"/>
        <v>2019年11月爱德觅尔（clife服务费暂估</v>
      </c>
    </row>
    <row r="436" spans="2:85" s="447" customFormat="1" ht="17.25" customHeight="1">
      <c r="B436" s="447" t="str">
        <f t="shared" si="222"/>
        <v>CU0869</v>
      </c>
      <c r="C436" s="431" t="s">
        <v>755</v>
      </c>
      <c r="D436" s="367" t="s">
        <v>1459</v>
      </c>
      <c r="E436" s="367" t="s">
        <v>1469</v>
      </c>
      <c r="F436" s="439">
        <v>43770</v>
      </c>
      <c r="G436" s="448">
        <v>63319.27</v>
      </c>
      <c r="H436" s="440"/>
      <c r="I436" s="440">
        <f t="shared" si="264"/>
        <v>63319.27</v>
      </c>
      <c r="J436" s="440"/>
      <c r="L436" s="462">
        <f t="shared" si="265"/>
        <v>63319.27</v>
      </c>
      <c r="M436" s="462"/>
      <c r="N436" s="444"/>
      <c r="O436" s="462">
        <f t="shared" si="266"/>
        <v>63319.27</v>
      </c>
      <c r="R436" s="462">
        <f t="shared" si="267"/>
        <v>63319.27</v>
      </c>
      <c r="U436" s="462">
        <f t="shared" si="268"/>
        <v>63319.27</v>
      </c>
      <c r="X436" s="462">
        <f t="shared" si="269"/>
        <v>63319.27</v>
      </c>
      <c r="AA436" s="462">
        <f t="shared" si="270"/>
        <v>63319.27</v>
      </c>
      <c r="AD436" s="462">
        <f t="shared" si="271"/>
        <v>63319.27</v>
      </c>
      <c r="AG436" s="462">
        <f t="shared" si="272"/>
        <v>63319.27</v>
      </c>
      <c r="AJ436" s="462">
        <f t="shared" si="273"/>
        <v>63319.27</v>
      </c>
      <c r="AM436" s="462">
        <f t="shared" si="274"/>
        <v>63319.27</v>
      </c>
      <c r="AN436" s="447" t="s">
        <v>1993</v>
      </c>
      <c r="AP436" s="462">
        <f t="shared" si="275"/>
        <v>63319.27</v>
      </c>
      <c r="AQ436" s="447" t="s">
        <v>2006</v>
      </c>
      <c r="AS436" s="459">
        <f t="shared" si="226"/>
        <v>63319.27</v>
      </c>
      <c r="AV436" s="462">
        <f t="shared" si="227"/>
        <v>63319.27</v>
      </c>
      <c r="AW436" s="447" t="s">
        <v>2107</v>
      </c>
      <c r="AY436" s="462">
        <f t="shared" si="228"/>
        <v>63319.27</v>
      </c>
      <c r="AZ436" s="447" t="s">
        <v>2131</v>
      </c>
      <c r="BA436" s="462">
        <f>AY436</f>
        <v>63319.27</v>
      </c>
      <c r="BB436" s="462">
        <f t="shared" si="229"/>
        <v>0</v>
      </c>
      <c r="BC436" s="447" t="s">
        <v>2204</v>
      </c>
      <c r="BE436" s="462">
        <f t="shared" si="230"/>
        <v>0</v>
      </c>
      <c r="BH436" s="462">
        <f t="shared" si="231"/>
        <v>0</v>
      </c>
      <c r="BK436" s="462">
        <f t="shared" si="232"/>
        <v>0</v>
      </c>
      <c r="BN436" s="462">
        <f t="shared" si="233"/>
        <v>0</v>
      </c>
      <c r="BQ436" s="462">
        <f t="shared" si="234"/>
        <v>0</v>
      </c>
      <c r="BT436" s="462">
        <f t="shared" si="235"/>
        <v>0</v>
      </c>
      <c r="BW436" s="462">
        <f t="shared" si="236"/>
        <v>0</v>
      </c>
      <c r="BZ436" s="462">
        <f t="shared" si="237"/>
        <v>0</v>
      </c>
      <c r="CD436" s="418" t="str">
        <f t="shared" si="238"/>
        <v>CU0869001</v>
      </c>
      <c r="CE436" s="442" t="str">
        <f t="shared" si="239"/>
        <v>2019年11月</v>
      </c>
      <c r="CF436" s="418" t="str">
        <f t="shared" si="240"/>
        <v>智睿clife服务费暂估</v>
      </c>
      <c r="CG436" s="418" t="str">
        <f t="shared" si="241"/>
        <v>2019年11月智睿clife服务费暂估</v>
      </c>
    </row>
    <row r="437" spans="2:85" s="447" customFormat="1" ht="17.25" customHeight="1">
      <c r="B437" s="447" t="str">
        <f t="shared" si="222"/>
        <v>CU0884</v>
      </c>
      <c r="C437" s="431" t="s">
        <v>755</v>
      </c>
      <c r="D437" s="367" t="s">
        <v>1575</v>
      </c>
      <c r="E437" s="453" t="s">
        <v>1528</v>
      </c>
      <c r="F437" s="454">
        <v>43770</v>
      </c>
      <c r="G437" s="455">
        <v>16505.939999999999</v>
      </c>
      <c r="H437" s="440"/>
      <c r="I437" s="440">
        <f t="shared" si="264"/>
        <v>16505.939999999999</v>
      </c>
      <c r="J437" s="440"/>
      <c r="L437" s="462">
        <f t="shared" si="265"/>
        <v>16505.939999999999</v>
      </c>
      <c r="M437" s="462"/>
      <c r="N437" s="444"/>
      <c r="O437" s="462">
        <f t="shared" si="266"/>
        <v>16505.939999999999</v>
      </c>
      <c r="R437" s="462">
        <f t="shared" si="267"/>
        <v>16505.939999999999</v>
      </c>
      <c r="U437" s="462">
        <f t="shared" si="268"/>
        <v>16505.939999999999</v>
      </c>
      <c r="X437" s="462">
        <f t="shared" si="269"/>
        <v>16505.939999999999</v>
      </c>
      <c r="AA437" s="462">
        <f t="shared" si="270"/>
        <v>16505.939999999999</v>
      </c>
      <c r="AD437" s="462">
        <f t="shared" si="271"/>
        <v>16505.939999999999</v>
      </c>
      <c r="AG437" s="462">
        <f t="shared" si="272"/>
        <v>16505.939999999999</v>
      </c>
      <c r="AJ437" s="462">
        <f t="shared" si="273"/>
        <v>16505.939999999999</v>
      </c>
      <c r="AM437" s="461">
        <f t="shared" si="274"/>
        <v>16505.939999999999</v>
      </c>
      <c r="AN437" s="548" t="s">
        <v>2040</v>
      </c>
      <c r="AO437" s="461">
        <f>ROUND(25372.25/1.06,2)-AO400</f>
        <v>14827.04</v>
      </c>
      <c r="AP437" s="461">
        <f t="shared" si="275"/>
        <v>1678.8999999999978</v>
      </c>
      <c r="AQ437" s="548" t="s">
        <v>2041</v>
      </c>
      <c r="AR437" s="548">
        <v>1678.9</v>
      </c>
      <c r="AS437" s="459">
        <f t="shared" si="226"/>
        <v>-2.2737367544323206E-12</v>
      </c>
      <c r="AV437" s="462">
        <f t="shared" si="227"/>
        <v>-2.2737367544323206E-12</v>
      </c>
      <c r="AY437" s="462">
        <f t="shared" si="228"/>
        <v>-2.2737367544323206E-12</v>
      </c>
      <c r="BB437" s="462">
        <f t="shared" si="229"/>
        <v>-2.2737367544323206E-12</v>
      </c>
      <c r="BC437" s="447" t="s">
        <v>2204</v>
      </c>
      <c r="BE437" s="462">
        <f t="shared" si="230"/>
        <v>-2.2737367544323206E-12</v>
      </c>
      <c r="BH437" s="462">
        <f t="shared" si="231"/>
        <v>-2.2737367544323206E-12</v>
      </c>
      <c r="BK437" s="462">
        <f t="shared" si="232"/>
        <v>-2.2737367544323206E-12</v>
      </c>
      <c r="BN437" s="462">
        <f t="shared" si="233"/>
        <v>-2.2737367544323206E-12</v>
      </c>
      <c r="BQ437" s="462">
        <f t="shared" si="234"/>
        <v>0</v>
      </c>
      <c r="BT437" s="462">
        <f t="shared" si="235"/>
        <v>0</v>
      </c>
      <c r="BW437" s="462">
        <f t="shared" si="236"/>
        <v>0</v>
      </c>
      <c r="BZ437" s="462">
        <f t="shared" si="237"/>
        <v>0</v>
      </c>
      <c r="CD437" s="418" t="str">
        <f t="shared" si="238"/>
        <v>CU0884001</v>
      </c>
      <c r="CE437" s="442" t="str">
        <f t="shared" si="239"/>
        <v>2019年11月</v>
      </c>
      <c r="CF437" s="418" t="str">
        <f t="shared" si="240"/>
        <v>恩德斯豪斯clife服务费暂估</v>
      </c>
      <c r="CG437" s="418" t="str">
        <f t="shared" si="241"/>
        <v>2019年11月恩德斯豪斯clife服务费暂估</v>
      </c>
    </row>
    <row r="438" spans="2:85" s="447" customFormat="1" ht="17.25" customHeight="1">
      <c r="B438" s="447" t="str">
        <f t="shared" si="222"/>
        <v>CU0904</v>
      </c>
      <c r="C438" s="431" t="s">
        <v>755</v>
      </c>
      <c r="D438" s="367" t="s">
        <v>1460</v>
      </c>
      <c r="E438" s="367" t="s">
        <v>1316</v>
      </c>
      <c r="F438" s="439">
        <v>43770</v>
      </c>
      <c r="G438" s="448">
        <v>73859.95</v>
      </c>
      <c r="H438" s="440"/>
      <c r="I438" s="440">
        <f t="shared" si="264"/>
        <v>73859.95</v>
      </c>
      <c r="J438" s="440"/>
      <c r="L438" s="462">
        <f t="shared" si="265"/>
        <v>73859.95</v>
      </c>
      <c r="M438" s="462"/>
      <c r="N438" s="444"/>
      <c r="O438" s="462">
        <f t="shared" si="266"/>
        <v>73859.95</v>
      </c>
      <c r="R438" s="462">
        <f t="shared" si="267"/>
        <v>73859.95</v>
      </c>
      <c r="U438" s="462">
        <f t="shared" si="268"/>
        <v>73859.95</v>
      </c>
      <c r="X438" s="462">
        <f t="shared" si="269"/>
        <v>73859.95</v>
      </c>
      <c r="AA438" s="462">
        <f t="shared" si="270"/>
        <v>73859.95</v>
      </c>
      <c r="AD438" s="462">
        <f t="shared" si="271"/>
        <v>73859.95</v>
      </c>
      <c r="AG438" s="462">
        <f t="shared" si="272"/>
        <v>73859.95</v>
      </c>
      <c r="AJ438" s="462">
        <f t="shared" si="273"/>
        <v>73859.95</v>
      </c>
      <c r="AM438" s="462">
        <f t="shared" si="274"/>
        <v>73859.95</v>
      </c>
      <c r="AN438" s="447" t="s">
        <v>1993</v>
      </c>
      <c r="AP438" s="462">
        <f t="shared" si="275"/>
        <v>73859.95</v>
      </c>
      <c r="AQ438" s="447" t="s">
        <v>2006</v>
      </c>
      <c r="AS438" s="459">
        <f t="shared" si="226"/>
        <v>73859.95</v>
      </c>
      <c r="AV438" s="462">
        <f t="shared" si="227"/>
        <v>73859.95</v>
      </c>
      <c r="AW438" s="447" t="s">
        <v>2107</v>
      </c>
      <c r="AY438" s="462">
        <f t="shared" si="228"/>
        <v>73859.95</v>
      </c>
      <c r="AZ438" s="447" t="s">
        <v>2131</v>
      </c>
      <c r="BB438" s="462">
        <f t="shared" si="229"/>
        <v>73859.95</v>
      </c>
      <c r="BC438" s="447" t="s">
        <v>2204</v>
      </c>
      <c r="BD438" s="462">
        <f>BB438</f>
        <v>73859.95</v>
      </c>
      <c r="BE438" s="462">
        <f t="shared" si="230"/>
        <v>0</v>
      </c>
      <c r="BF438" s="447" t="s">
        <v>2237</v>
      </c>
      <c r="BH438" s="462">
        <f t="shared" si="231"/>
        <v>0</v>
      </c>
      <c r="BK438" s="462">
        <f t="shared" si="232"/>
        <v>0</v>
      </c>
      <c r="BN438" s="462">
        <f t="shared" si="233"/>
        <v>0</v>
      </c>
      <c r="BQ438" s="462">
        <f t="shared" si="234"/>
        <v>0</v>
      </c>
      <c r="BT438" s="462">
        <f t="shared" si="235"/>
        <v>0</v>
      </c>
      <c r="BW438" s="462">
        <f t="shared" si="236"/>
        <v>0</v>
      </c>
      <c r="BZ438" s="462">
        <f t="shared" si="237"/>
        <v>0</v>
      </c>
      <c r="CD438" s="418" t="str">
        <f t="shared" si="238"/>
        <v>CU0904001</v>
      </c>
      <c r="CE438" s="442" t="str">
        <f t="shared" si="239"/>
        <v>2019年11月</v>
      </c>
      <c r="CF438" s="418" t="str">
        <f t="shared" si="240"/>
        <v>紫光集团clife服务费暂估</v>
      </c>
      <c r="CG438" s="418" t="str">
        <f t="shared" si="241"/>
        <v>2019年11月紫光集团clife服务费暂估</v>
      </c>
    </row>
    <row r="439" spans="2:85" s="447" customFormat="1" ht="17.25" customHeight="1">
      <c r="B439" s="447" t="str">
        <f t="shared" si="222"/>
        <v>CU0914</v>
      </c>
      <c r="C439" s="431" t="s">
        <v>755</v>
      </c>
      <c r="D439" s="367" t="s">
        <v>1721</v>
      </c>
      <c r="E439" s="367" t="s">
        <v>1535</v>
      </c>
      <c r="F439" s="439">
        <v>43770</v>
      </c>
      <c r="G439" s="448">
        <v>62603.77</v>
      </c>
      <c r="H439" s="440"/>
      <c r="I439" s="440">
        <f t="shared" si="252"/>
        <v>62603.77</v>
      </c>
      <c r="J439" s="440"/>
      <c r="L439" s="462">
        <f t="shared" si="253"/>
        <v>62603.77</v>
      </c>
      <c r="M439" s="462"/>
      <c r="N439" s="444"/>
      <c r="O439" s="462">
        <f t="shared" si="254"/>
        <v>62603.77</v>
      </c>
      <c r="R439" s="462">
        <f t="shared" si="255"/>
        <v>62603.77</v>
      </c>
      <c r="U439" s="462">
        <f t="shared" si="256"/>
        <v>62603.77</v>
      </c>
      <c r="X439" s="462">
        <f t="shared" si="257"/>
        <v>62603.77</v>
      </c>
      <c r="AA439" s="462">
        <f t="shared" si="258"/>
        <v>62603.77</v>
      </c>
      <c r="AD439" s="462">
        <f t="shared" si="259"/>
        <v>62603.77</v>
      </c>
      <c r="AG439" s="462">
        <f t="shared" si="260"/>
        <v>62603.77</v>
      </c>
      <c r="AJ439" s="462">
        <f t="shared" si="261"/>
        <v>62603.77</v>
      </c>
      <c r="AM439" s="462">
        <f t="shared" si="262"/>
        <v>62603.77</v>
      </c>
      <c r="AN439" s="447" t="s">
        <v>1993</v>
      </c>
      <c r="AP439" s="462">
        <f t="shared" si="263"/>
        <v>62603.77</v>
      </c>
      <c r="AQ439" s="447" t="s">
        <v>2006</v>
      </c>
      <c r="AS439" s="459">
        <f t="shared" si="226"/>
        <v>62603.77</v>
      </c>
      <c r="AV439" s="462">
        <f t="shared" si="227"/>
        <v>62603.77</v>
      </c>
      <c r="AW439" s="447" t="s">
        <v>2107</v>
      </c>
      <c r="AY439" s="462">
        <f t="shared" si="228"/>
        <v>62603.77</v>
      </c>
      <c r="AZ439" s="447" t="s">
        <v>2131</v>
      </c>
      <c r="BA439" s="462">
        <f>AY439</f>
        <v>62603.77</v>
      </c>
      <c r="BB439" s="462">
        <f t="shared" si="229"/>
        <v>0</v>
      </c>
      <c r="BC439" s="447" t="s">
        <v>2204</v>
      </c>
      <c r="BE439" s="462">
        <f t="shared" si="230"/>
        <v>0</v>
      </c>
      <c r="BH439" s="462">
        <f t="shared" si="231"/>
        <v>0</v>
      </c>
      <c r="BK439" s="462">
        <f t="shared" si="232"/>
        <v>0</v>
      </c>
      <c r="BN439" s="462">
        <f t="shared" si="233"/>
        <v>0</v>
      </c>
      <c r="BQ439" s="462">
        <f t="shared" si="234"/>
        <v>0</v>
      </c>
      <c r="BT439" s="462">
        <f t="shared" si="235"/>
        <v>0</v>
      </c>
      <c r="BW439" s="462">
        <f t="shared" si="236"/>
        <v>0</v>
      </c>
      <c r="BZ439" s="462">
        <f t="shared" si="237"/>
        <v>0</v>
      </c>
      <c r="CD439" s="418" t="str">
        <f t="shared" si="238"/>
        <v>CU0914001</v>
      </c>
      <c r="CE439" s="442" t="str">
        <f t="shared" si="239"/>
        <v>2019年11月</v>
      </c>
      <c r="CF439" s="418" t="str">
        <f t="shared" si="240"/>
        <v>鑫车投资（clife服务费暂估</v>
      </c>
      <c r="CG439" s="418" t="str">
        <f t="shared" si="241"/>
        <v>2019年11月鑫车投资（clife服务费暂估</v>
      </c>
    </row>
    <row r="440" spans="2:85" s="447" customFormat="1" ht="17.25" customHeight="1">
      <c r="B440" s="447" t="str">
        <f t="shared" si="222"/>
        <v>CU1013</v>
      </c>
      <c r="C440" s="431" t="s">
        <v>755</v>
      </c>
      <c r="D440" s="367" t="s">
        <v>1653</v>
      </c>
      <c r="E440" s="367" t="s">
        <v>1468</v>
      </c>
      <c r="F440" s="439">
        <v>43770</v>
      </c>
      <c r="G440" s="448">
        <v>42.97</v>
      </c>
      <c r="H440" s="440"/>
      <c r="I440" s="440">
        <f t="shared" si="252"/>
        <v>42.97</v>
      </c>
      <c r="J440" s="440"/>
      <c r="L440" s="462">
        <f t="shared" si="253"/>
        <v>42.97</v>
      </c>
      <c r="M440" s="462"/>
      <c r="N440" s="444"/>
      <c r="O440" s="462">
        <f t="shared" si="254"/>
        <v>42.97</v>
      </c>
      <c r="R440" s="462">
        <f t="shared" si="255"/>
        <v>42.97</v>
      </c>
      <c r="U440" s="462">
        <f t="shared" si="256"/>
        <v>42.97</v>
      </c>
      <c r="X440" s="462">
        <f t="shared" si="257"/>
        <v>42.97</v>
      </c>
      <c r="AA440" s="462">
        <f t="shared" si="258"/>
        <v>42.97</v>
      </c>
      <c r="AD440" s="462">
        <f t="shared" si="259"/>
        <v>42.97</v>
      </c>
      <c r="AG440" s="462">
        <f t="shared" si="260"/>
        <v>42.97</v>
      </c>
      <c r="AJ440" s="462">
        <f t="shared" si="261"/>
        <v>42.97</v>
      </c>
      <c r="AM440" s="462">
        <f t="shared" si="262"/>
        <v>42.97</v>
      </c>
      <c r="AN440" s="447" t="s">
        <v>1993</v>
      </c>
      <c r="AP440" s="462">
        <f t="shared" si="263"/>
        <v>42.97</v>
      </c>
      <c r="AQ440" s="447" t="s">
        <v>2006</v>
      </c>
      <c r="AS440" s="459">
        <f t="shared" si="226"/>
        <v>42.97</v>
      </c>
      <c r="AV440" s="462">
        <f t="shared" si="227"/>
        <v>42.97</v>
      </c>
      <c r="AW440" s="447" t="s">
        <v>2107</v>
      </c>
      <c r="AX440" s="447">
        <v>42.97</v>
      </c>
      <c r="AY440" s="462">
        <f t="shared" si="228"/>
        <v>0</v>
      </c>
      <c r="BB440" s="462">
        <f t="shared" si="229"/>
        <v>0</v>
      </c>
      <c r="BC440" s="447" t="s">
        <v>2204</v>
      </c>
      <c r="BE440" s="462">
        <f t="shared" si="230"/>
        <v>0</v>
      </c>
      <c r="BH440" s="462">
        <f t="shared" si="231"/>
        <v>0</v>
      </c>
      <c r="BK440" s="462">
        <f t="shared" si="232"/>
        <v>0</v>
      </c>
      <c r="BN440" s="462">
        <f t="shared" si="233"/>
        <v>0</v>
      </c>
      <c r="BQ440" s="462">
        <f t="shared" si="234"/>
        <v>0</v>
      </c>
      <c r="BT440" s="462">
        <f t="shared" si="235"/>
        <v>0</v>
      </c>
      <c r="BW440" s="462">
        <f t="shared" si="236"/>
        <v>0</v>
      </c>
      <c r="BZ440" s="462">
        <f t="shared" si="237"/>
        <v>0</v>
      </c>
      <c r="CD440" s="418" t="str">
        <f t="shared" si="238"/>
        <v>CU1013001</v>
      </c>
      <c r="CE440" s="442" t="str">
        <f t="shared" si="239"/>
        <v>2019年11月</v>
      </c>
      <c r="CF440" s="418" t="str">
        <f t="shared" si="240"/>
        <v>喜利得（中clife服务费暂估</v>
      </c>
      <c r="CG440" s="418" t="str">
        <f t="shared" si="241"/>
        <v>2019年11月喜利得（中clife服务费暂估</v>
      </c>
    </row>
    <row r="441" spans="2:85" s="447" customFormat="1" ht="17.25" customHeight="1">
      <c r="B441" s="447" t="str">
        <f t="shared" si="222"/>
        <v>CU1015</v>
      </c>
      <c r="C441" s="431" t="s">
        <v>755</v>
      </c>
      <c r="D441" s="367" t="s">
        <v>1989</v>
      </c>
      <c r="E441" s="367" t="s">
        <v>1983</v>
      </c>
      <c r="F441" s="439">
        <v>43770</v>
      </c>
      <c r="G441" s="448">
        <v>2777343.04</v>
      </c>
      <c r="H441" s="440"/>
      <c r="I441" s="440">
        <f t="shared" si="252"/>
        <v>2777343.04</v>
      </c>
      <c r="J441" s="440"/>
      <c r="L441" s="462">
        <f t="shared" si="253"/>
        <v>2777343.04</v>
      </c>
      <c r="M441" s="462"/>
      <c r="N441" s="444"/>
      <c r="O441" s="462">
        <f t="shared" si="254"/>
        <v>2777343.04</v>
      </c>
      <c r="R441" s="462">
        <f t="shared" si="255"/>
        <v>2777343.04</v>
      </c>
      <c r="U441" s="462">
        <f t="shared" si="256"/>
        <v>2777343.04</v>
      </c>
      <c r="X441" s="462">
        <f t="shared" si="257"/>
        <v>2777343.04</v>
      </c>
      <c r="AA441" s="462">
        <f t="shared" si="258"/>
        <v>2777343.04</v>
      </c>
      <c r="AD441" s="462">
        <f t="shared" si="259"/>
        <v>2777343.04</v>
      </c>
      <c r="AG441" s="462">
        <f t="shared" si="260"/>
        <v>2777343.04</v>
      </c>
      <c r="AJ441" s="462">
        <f t="shared" si="261"/>
        <v>2777343.04</v>
      </c>
      <c r="AM441" s="462">
        <f t="shared" si="262"/>
        <v>2777343.04</v>
      </c>
      <c r="AN441" s="447" t="s">
        <v>1993</v>
      </c>
      <c r="AP441" s="462">
        <f t="shared" si="263"/>
        <v>2777343.04</v>
      </c>
      <c r="AQ441" s="447" t="s">
        <v>2006</v>
      </c>
      <c r="AR441" s="447">
        <v>2777343.04</v>
      </c>
      <c r="AS441" s="459">
        <f t="shared" si="226"/>
        <v>0</v>
      </c>
      <c r="AV441" s="462">
        <f t="shared" si="227"/>
        <v>0</v>
      </c>
      <c r="AY441" s="462">
        <f t="shared" si="228"/>
        <v>0</v>
      </c>
      <c r="BB441" s="462">
        <f t="shared" si="229"/>
        <v>0</v>
      </c>
      <c r="BC441" s="447" t="s">
        <v>2204</v>
      </c>
      <c r="BE441" s="462">
        <f t="shared" si="230"/>
        <v>0</v>
      </c>
      <c r="BH441" s="462">
        <f t="shared" si="231"/>
        <v>0</v>
      </c>
      <c r="BK441" s="462">
        <f t="shared" si="232"/>
        <v>0</v>
      </c>
      <c r="BN441" s="462">
        <f t="shared" si="233"/>
        <v>0</v>
      </c>
      <c r="BQ441" s="462">
        <f t="shared" si="234"/>
        <v>0</v>
      </c>
      <c r="BT441" s="462">
        <f t="shared" si="235"/>
        <v>0</v>
      </c>
      <c r="BW441" s="462">
        <f t="shared" si="236"/>
        <v>0</v>
      </c>
      <c r="BZ441" s="462">
        <f t="shared" si="237"/>
        <v>0</v>
      </c>
      <c r="CD441" s="418" t="str">
        <f t="shared" si="238"/>
        <v>CU1015001</v>
      </c>
      <c r="CE441" s="442" t="str">
        <f t="shared" si="239"/>
        <v>2019年11月</v>
      </c>
      <c r="CF441" s="418" t="str">
        <f t="shared" si="240"/>
        <v>上海德筑企clife服务费暂估</v>
      </c>
      <c r="CG441" s="418" t="str">
        <f t="shared" si="241"/>
        <v>2019年11月上海德筑企clife服务费暂估</v>
      </c>
    </row>
    <row r="442" spans="2:85" s="447" customFormat="1" ht="17.25" customHeight="1">
      <c r="B442" s="447" t="str">
        <f t="shared" si="222"/>
        <v>CU1016</v>
      </c>
      <c r="C442" s="431" t="s">
        <v>755</v>
      </c>
      <c r="D442" s="367" t="s">
        <v>1524</v>
      </c>
      <c r="E442" s="367" t="s">
        <v>1536</v>
      </c>
      <c r="F442" s="439">
        <v>43770</v>
      </c>
      <c r="G442" s="448">
        <v>13772.51</v>
      </c>
      <c r="H442" s="440"/>
      <c r="I442" s="440">
        <f t="shared" si="252"/>
        <v>13772.51</v>
      </c>
      <c r="J442" s="440"/>
      <c r="L442" s="462">
        <f t="shared" si="253"/>
        <v>13772.51</v>
      </c>
      <c r="M442" s="462"/>
      <c r="N442" s="444"/>
      <c r="O442" s="462">
        <f t="shared" si="254"/>
        <v>13772.51</v>
      </c>
      <c r="R442" s="462">
        <f t="shared" si="255"/>
        <v>13772.51</v>
      </c>
      <c r="U442" s="462">
        <f t="shared" si="256"/>
        <v>13772.51</v>
      </c>
      <c r="X442" s="462">
        <f t="shared" si="257"/>
        <v>13772.51</v>
      </c>
      <c r="AA442" s="462">
        <f t="shared" si="258"/>
        <v>13772.51</v>
      </c>
      <c r="AD442" s="462">
        <f t="shared" si="259"/>
        <v>13772.51</v>
      </c>
      <c r="AG442" s="462">
        <f t="shared" si="260"/>
        <v>13772.51</v>
      </c>
      <c r="AJ442" s="462">
        <f t="shared" si="261"/>
        <v>13772.51</v>
      </c>
      <c r="AM442" s="462">
        <f>AJ442-AL442</f>
        <v>13772.51</v>
      </c>
      <c r="AN442" s="447" t="s">
        <v>1993</v>
      </c>
      <c r="AP442" s="462">
        <f>AM442-AO442</f>
        <v>13772.51</v>
      </c>
      <c r="AQ442" s="447" t="s">
        <v>2006</v>
      </c>
      <c r="AS442" s="459">
        <f t="shared" si="226"/>
        <v>13772.51</v>
      </c>
      <c r="AV442" s="462">
        <f t="shared" si="227"/>
        <v>13772.51</v>
      </c>
      <c r="AW442" s="447" t="s">
        <v>2107</v>
      </c>
      <c r="AX442" s="447">
        <f>100000-AX372-AX404</f>
        <v>4280.6200000000044</v>
      </c>
      <c r="AY442" s="462">
        <f t="shared" si="228"/>
        <v>9491.8899999999958</v>
      </c>
      <c r="AZ442" s="447" t="s">
        <v>2131</v>
      </c>
      <c r="BA442" s="462">
        <f>AY442</f>
        <v>9491.8899999999958</v>
      </c>
      <c r="BB442" s="462">
        <f t="shared" si="229"/>
        <v>0</v>
      </c>
      <c r="BC442" s="447" t="s">
        <v>2204</v>
      </c>
      <c r="BE442" s="462">
        <f t="shared" si="230"/>
        <v>0</v>
      </c>
      <c r="BH442" s="462">
        <f t="shared" si="231"/>
        <v>0</v>
      </c>
      <c r="BK442" s="462">
        <f t="shared" si="232"/>
        <v>0</v>
      </c>
      <c r="BN442" s="462">
        <f t="shared" si="233"/>
        <v>0</v>
      </c>
      <c r="BQ442" s="462">
        <f t="shared" si="234"/>
        <v>0</v>
      </c>
      <c r="BT442" s="462">
        <f t="shared" si="235"/>
        <v>0</v>
      </c>
      <c r="BW442" s="462">
        <f t="shared" si="236"/>
        <v>0</v>
      </c>
      <c r="BZ442" s="462">
        <f t="shared" si="237"/>
        <v>0</v>
      </c>
      <c r="CD442" s="418" t="str">
        <f t="shared" si="238"/>
        <v>CU1016001</v>
      </c>
      <c r="CE442" s="442" t="str">
        <f t="shared" si="239"/>
        <v>2019年11月</v>
      </c>
      <c r="CF442" s="418" t="str">
        <f t="shared" si="240"/>
        <v>乔治阿玛尼clife服务费暂估</v>
      </c>
      <c r="CG442" s="418" t="str">
        <f t="shared" si="241"/>
        <v>2019年11月乔治阿玛尼clife服务费暂估</v>
      </c>
    </row>
    <row r="443" spans="2:85" s="447" customFormat="1" ht="17.25" customHeight="1">
      <c r="B443" s="447" t="str">
        <f t="shared" si="222"/>
        <v>CU1155</v>
      </c>
      <c r="C443" s="431" t="s">
        <v>755</v>
      </c>
      <c r="D443" s="367" t="s">
        <v>1698</v>
      </c>
      <c r="E443" s="367" t="s">
        <v>1681</v>
      </c>
      <c r="F443" s="439">
        <v>43770</v>
      </c>
      <c r="G443" s="448">
        <v>298.68</v>
      </c>
      <c r="H443" s="440"/>
      <c r="I443" s="440">
        <f t="shared" si="252"/>
        <v>298.68</v>
      </c>
      <c r="J443" s="440"/>
      <c r="L443" s="462">
        <f t="shared" si="253"/>
        <v>298.68</v>
      </c>
      <c r="M443" s="462"/>
      <c r="N443" s="444"/>
      <c r="O443" s="462">
        <f t="shared" si="254"/>
        <v>298.68</v>
      </c>
      <c r="R443" s="462">
        <f t="shared" si="255"/>
        <v>298.68</v>
      </c>
      <c r="U443" s="462">
        <f t="shared" si="256"/>
        <v>298.68</v>
      </c>
      <c r="X443" s="462">
        <f t="shared" si="257"/>
        <v>298.68</v>
      </c>
      <c r="AA443" s="462">
        <f t="shared" si="258"/>
        <v>298.68</v>
      </c>
      <c r="AD443" s="462">
        <f t="shared" si="259"/>
        <v>298.68</v>
      </c>
      <c r="AG443" s="462">
        <f t="shared" si="260"/>
        <v>298.68</v>
      </c>
      <c r="AJ443" s="462">
        <f t="shared" si="261"/>
        <v>298.68</v>
      </c>
      <c r="AM443" s="462">
        <f t="shared" si="262"/>
        <v>298.68</v>
      </c>
      <c r="AN443" s="447" t="s">
        <v>1993</v>
      </c>
      <c r="AP443" s="462">
        <f t="shared" si="263"/>
        <v>298.68</v>
      </c>
      <c r="AQ443" s="447" t="s">
        <v>2006</v>
      </c>
      <c r="AS443" s="459">
        <f t="shared" si="226"/>
        <v>298.68</v>
      </c>
      <c r="AV443" s="462">
        <f t="shared" si="227"/>
        <v>298.68</v>
      </c>
      <c r="AW443" s="447" t="s">
        <v>2107</v>
      </c>
      <c r="AY443" s="462">
        <f t="shared" si="228"/>
        <v>298.68</v>
      </c>
      <c r="AZ443" s="447" t="s">
        <v>2131</v>
      </c>
      <c r="BB443" s="462">
        <f t="shared" si="229"/>
        <v>298.68</v>
      </c>
      <c r="BC443" s="447" t="s">
        <v>2204</v>
      </c>
      <c r="BE443" s="462">
        <f t="shared" si="230"/>
        <v>298.68</v>
      </c>
      <c r="BF443" s="447" t="s">
        <v>2237</v>
      </c>
      <c r="BH443" s="462">
        <f t="shared" si="231"/>
        <v>298.68</v>
      </c>
      <c r="BI443" s="447" t="s">
        <v>2292</v>
      </c>
      <c r="BK443" s="462">
        <f t="shared" si="232"/>
        <v>298.68</v>
      </c>
      <c r="BL443" s="447" t="s">
        <v>2339</v>
      </c>
      <c r="BN443" s="462">
        <f t="shared" si="233"/>
        <v>298.68</v>
      </c>
      <c r="BO443" s="447" t="s">
        <v>2365</v>
      </c>
      <c r="BQ443" s="462">
        <f t="shared" si="234"/>
        <v>298.68</v>
      </c>
      <c r="BR443" s="447" t="s">
        <v>2374</v>
      </c>
      <c r="BT443" s="462">
        <f t="shared" si="235"/>
        <v>298.68</v>
      </c>
      <c r="BU443" s="447" t="s">
        <v>2134</v>
      </c>
      <c r="BW443" s="462">
        <f t="shared" si="236"/>
        <v>298.68</v>
      </c>
      <c r="BZ443" s="462">
        <f t="shared" si="237"/>
        <v>298.68</v>
      </c>
      <c r="CD443" s="418" t="str">
        <f t="shared" si="238"/>
        <v>CU1155001</v>
      </c>
      <c r="CE443" s="442" t="str">
        <f t="shared" si="239"/>
        <v>2019年11月</v>
      </c>
      <c r="CF443" s="418" t="str">
        <f t="shared" si="240"/>
        <v>艾蒙斯特朗clife服务费暂估</v>
      </c>
      <c r="CG443" s="418" t="str">
        <f t="shared" si="241"/>
        <v>2019年11月艾蒙斯特朗clife服务费暂估</v>
      </c>
    </row>
    <row r="444" spans="2:85" s="447" customFormat="1" ht="17.25" customHeight="1">
      <c r="B444" s="447" t="str">
        <f t="shared" si="222"/>
        <v>CU1159</v>
      </c>
      <c r="C444" s="431" t="s">
        <v>755</v>
      </c>
      <c r="D444" s="367" t="s">
        <v>1722</v>
      </c>
      <c r="E444" s="367" t="s">
        <v>1837</v>
      </c>
      <c r="F444" s="439">
        <v>43770</v>
      </c>
      <c r="G444" s="448">
        <v>331103.46999999997</v>
      </c>
      <c r="H444" s="440"/>
      <c r="I444" s="440">
        <f t="shared" si="252"/>
        <v>331103.46999999997</v>
      </c>
      <c r="J444" s="440"/>
      <c r="L444" s="462">
        <f t="shared" si="253"/>
        <v>331103.46999999997</v>
      </c>
      <c r="M444" s="462"/>
      <c r="N444" s="444"/>
      <c r="O444" s="462">
        <f t="shared" si="254"/>
        <v>331103.46999999997</v>
      </c>
      <c r="R444" s="462">
        <f t="shared" si="255"/>
        <v>331103.46999999997</v>
      </c>
      <c r="U444" s="462">
        <f t="shared" si="256"/>
        <v>331103.46999999997</v>
      </c>
      <c r="X444" s="462">
        <f t="shared" si="257"/>
        <v>331103.46999999997</v>
      </c>
      <c r="AA444" s="462">
        <f t="shared" si="258"/>
        <v>331103.46999999997</v>
      </c>
      <c r="AD444" s="462">
        <f t="shared" si="259"/>
        <v>331103.46999999997</v>
      </c>
      <c r="AG444" s="462">
        <f t="shared" si="260"/>
        <v>331103.46999999997</v>
      </c>
      <c r="AJ444" s="462">
        <f t="shared" si="261"/>
        <v>331103.46999999997</v>
      </c>
      <c r="AM444" s="462">
        <f t="shared" si="262"/>
        <v>331103.46999999997</v>
      </c>
      <c r="AN444" s="447" t="s">
        <v>1993</v>
      </c>
      <c r="AO444" s="447">
        <v>331103.46999999997</v>
      </c>
      <c r="AP444" s="462">
        <f t="shared" si="263"/>
        <v>0</v>
      </c>
      <c r="AQ444" s="447" t="s">
        <v>2006</v>
      </c>
      <c r="AS444" s="459">
        <f t="shared" si="226"/>
        <v>0</v>
      </c>
      <c r="AV444" s="462">
        <f t="shared" si="227"/>
        <v>0</v>
      </c>
      <c r="AY444" s="462">
        <f t="shared" si="228"/>
        <v>0</v>
      </c>
      <c r="BB444" s="462">
        <f t="shared" si="229"/>
        <v>0</v>
      </c>
      <c r="BC444" s="447" t="s">
        <v>2204</v>
      </c>
      <c r="BE444" s="462">
        <f t="shared" si="230"/>
        <v>0</v>
      </c>
      <c r="BH444" s="462">
        <f t="shared" si="231"/>
        <v>0</v>
      </c>
      <c r="BK444" s="462">
        <f t="shared" si="232"/>
        <v>0</v>
      </c>
      <c r="BN444" s="462">
        <f t="shared" si="233"/>
        <v>0</v>
      </c>
      <c r="BQ444" s="462">
        <f t="shared" si="234"/>
        <v>0</v>
      </c>
      <c r="BT444" s="462">
        <f t="shared" si="235"/>
        <v>0</v>
      </c>
      <c r="BW444" s="462">
        <f t="shared" si="236"/>
        <v>0</v>
      </c>
      <c r="BZ444" s="462">
        <f t="shared" si="237"/>
        <v>0</v>
      </c>
      <c r="CD444" s="418" t="str">
        <f t="shared" si="238"/>
        <v>CU1159001</v>
      </c>
      <c r="CE444" s="442" t="str">
        <f t="shared" si="239"/>
        <v>2019年11月</v>
      </c>
      <c r="CF444" s="418" t="str">
        <f t="shared" si="240"/>
        <v>北京万国长clife服务费暂估</v>
      </c>
      <c r="CG444" s="418" t="str">
        <f t="shared" si="241"/>
        <v>2019年11月北京万国长clife服务费暂估</v>
      </c>
    </row>
    <row r="445" spans="2:85" s="447" customFormat="1" ht="17.25" customHeight="1">
      <c r="B445" s="447" t="str">
        <f t="shared" si="222"/>
        <v>CU1198</v>
      </c>
      <c r="C445" s="431" t="s">
        <v>755</v>
      </c>
      <c r="D445" s="367" t="s">
        <v>1538</v>
      </c>
      <c r="E445" s="367" t="s">
        <v>1537</v>
      </c>
      <c r="F445" s="439">
        <v>43770</v>
      </c>
      <c r="G445" s="448">
        <v>261139.33</v>
      </c>
      <c r="H445" s="440"/>
      <c r="I445" s="440">
        <f t="shared" si="252"/>
        <v>261139.33</v>
      </c>
      <c r="J445" s="440"/>
      <c r="L445" s="462">
        <f t="shared" si="253"/>
        <v>261139.33</v>
      </c>
      <c r="M445" s="462"/>
      <c r="N445" s="444"/>
      <c r="O445" s="462">
        <f t="shared" si="254"/>
        <v>261139.33</v>
      </c>
      <c r="R445" s="462">
        <f t="shared" si="255"/>
        <v>261139.33</v>
      </c>
      <c r="U445" s="462">
        <f t="shared" si="256"/>
        <v>261139.33</v>
      </c>
      <c r="X445" s="462">
        <f t="shared" si="257"/>
        <v>261139.33</v>
      </c>
      <c r="AA445" s="462">
        <f t="shared" si="258"/>
        <v>261139.33</v>
      </c>
      <c r="AD445" s="462">
        <f t="shared" si="259"/>
        <v>261139.33</v>
      </c>
      <c r="AG445" s="462">
        <f t="shared" si="260"/>
        <v>261139.33</v>
      </c>
      <c r="AJ445" s="462">
        <f t="shared" si="261"/>
        <v>261139.33</v>
      </c>
      <c r="AM445" s="462">
        <f t="shared" si="262"/>
        <v>261139.33</v>
      </c>
      <c r="AN445" s="447" t="s">
        <v>1993</v>
      </c>
      <c r="AO445" s="459">
        <f>AM445</f>
        <v>261139.33</v>
      </c>
      <c r="AP445" s="462">
        <f t="shared" si="263"/>
        <v>0</v>
      </c>
      <c r="AQ445" s="447" t="s">
        <v>2006</v>
      </c>
      <c r="AS445" s="459">
        <f t="shared" si="226"/>
        <v>0</v>
      </c>
      <c r="AV445" s="462">
        <f t="shared" si="227"/>
        <v>0</v>
      </c>
      <c r="AY445" s="462">
        <f t="shared" si="228"/>
        <v>0</v>
      </c>
      <c r="BB445" s="462">
        <f t="shared" si="229"/>
        <v>0</v>
      </c>
      <c r="BC445" s="447" t="s">
        <v>2204</v>
      </c>
      <c r="BE445" s="462">
        <f t="shared" si="230"/>
        <v>0</v>
      </c>
      <c r="BH445" s="462">
        <f t="shared" si="231"/>
        <v>0</v>
      </c>
      <c r="BK445" s="462">
        <f t="shared" si="232"/>
        <v>0</v>
      </c>
      <c r="BN445" s="462">
        <f t="shared" si="233"/>
        <v>0</v>
      </c>
      <c r="BQ445" s="462">
        <f t="shared" si="234"/>
        <v>0</v>
      </c>
      <c r="BT445" s="462">
        <f t="shared" si="235"/>
        <v>0</v>
      </c>
      <c r="BW445" s="462">
        <f t="shared" si="236"/>
        <v>0</v>
      </c>
      <c r="BZ445" s="462">
        <f t="shared" si="237"/>
        <v>0</v>
      </c>
      <c r="CD445" s="418" t="str">
        <f t="shared" si="238"/>
        <v>CU1198001</v>
      </c>
      <c r="CE445" s="442" t="str">
        <f t="shared" si="239"/>
        <v>2019年11月</v>
      </c>
      <c r="CF445" s="418" t="str">
        <f t="shared" si="240"/>
        <v>通用公正技clife服务费暂估</v>
      </c>
      <c r="CG445" s="418" t="str">
        <f t="shared" si="241"/>
        <v>2019年11月通用公正技clife服务费暂估</v>
      </c>
    </row>
    <row r="446" spans="2:85" s="447" customFormat="1" ht="17.25" customHeight="1">
      <c r="B446" s="447" t="str">
        <f t="shared" si="222"/>
        <v>CU1204</v>
      </c>
      <c r="C446" s="431" t="s">
        <v>755</v>
      </c>
      <c r="D446" s="367" t="s">
        <v>1656</v>
      </c>
      <c r="E446" s="367" t="s">
        <v>1582</v>
      </c>
      <c r="F446" s="439">
        <v>43770</v>
      </c>
      <c r="G446" s="448">
        <v>112881.48</v>
      </c>
      <c r="H446" s="440"/>
      <c r="I446" s="440">
        <f t="shared" si="252"/>
        <v>112881.48</v>
      </c>
      <c r="J446" s="440"/>
      <c r="L446" s="462">
        <f t="shared" si="253"/>
        <v>112881.48</v>
      </c>
      <c r="M446" s="462"/>
      <c r="N446" s="444"/>
      <c r="O446" s="462">
        <f t="shared" si="254"/>
        <v>112881.48</v>
      </c>
      <c r="R446" s="462">
        <f t="shared" si="255"/>
        <v>112881.48</v>
      </c>
      <c r="U446" s="462">
        <f t="shared" si="256"/>
        <v>112881.48</v>
      </c>
      <c r="X446" s="462">
        <f t="shared" si="257"/>
        <v>112881.48</v>
      </c>
      <c r="AA446" s="462">
        <f t="shared" si="258"/>
        <v>112881.48</v>
      </c>
      <c r="AD446" s="462">
        <f t="shared" si="259"/>
        <v>112881.48</v>
      </c>
      <c r="AG446" s="462">
        <f t="shared" si="260"/>
        <v>112881.48</v>
      </c>
      <c r="AJ446" s="462">
        <f t="shared" si="261"/>
        <v>112881.48</v>
      </c>
      <c r="AM446" s="462">
        <f t="shared" si="262"/>
        <v>112881.48</v>
      </c>
      <c r="AN446" s="447" t="s">
        <v>1993</v>
      </c>
      <c r="AP446" s="462">
        <f t="shared" si="263"/>
        <v>112881.48</v>
      </c>
      <c r="AQ446" s="447" t="s">
        <v>2006</v>
      </c>
      <c r="AS446" s="459">
        <f t="shared" si="226"/>
        <v>112881.48</v>
      </c>
      <c r="AV446" s="462">
        <f t="shared" si="227"/>
        <v>112881.48</v>
      </c>
      <c r="AW446" s="447" t="s">
        <v>2107</v>
      </c>
      <c r="AY446" s="462">
        <f t="shared" si="228"/>
        <v>112881.48</v>
      </c>
      <c r="AZ446" s="447" t="s">
        <v>2131</v>
      </c>
      <c r="BB446" s="462">
        <f t="shared" si="229"/>
        <v>112881.48</v>
      </c>
      <c r="BC446" s="447" t="s">
        <v>2204</v>
      </c>
      <c r="BE446" s="462">
        <f t="shared" si="230"/>
        <v>112881.48</v>
      </c>
      <c r="BF446" s="447" t="s">
        <v>2237</v>
      </c>
      <c r="BH446" s="462">
        <f t="shared" si="231"/>
        <v>112881.48</v>
      </c>
      <c r="BI446" s="447" t="s">
        <v>2292</v>
      </c>
      <c r="BK446" s="462">
        <f t="shared" si="232"/>
        <v>112881.48</v>
      </c>
      <c r="BL446" s="447" t="s">
        <v>2339</v>
      </c>
      <c r="BM446" s="462">
        <f>200000-BM318-BM354-BM377+23033.7</f>
        <v>112881.47999999998</v>
      </c>
      <c r="BN446" s="462">
        <f t="shared" si="233"/>
        <v>0</v>
      </c>
      <c r="BQ446" s="462">
        <f t="shared" si="234"/>
        <v>0</v>
      </c>
      <c r="BT446" s="462">
        <f t="shared" si="235"/>
        <v>0</v>
      </c>
      <c r="BW446" s="462">
        <f t="shared" si="236"/>
        <v>0</v>
      </c>
      <c r="BZ446" s="462">
        <f t="shared" si="237"/>
        <v>0</v>
      </c>
      <c r="CD446" s="418" t="str">
        <f t="shared" si="238"/>
        <v>CU1204001</v>
      </c>
      <c r="CE446" s="442" t="str">
        <f t="shared" si="239"/>
        <v>2019年11月</v>
      </c>
      <c r="CF446" s="418" t="str">
        <f t="shared" si="240"/>
        <v>固特异轮胎clife服务费暂估</v>
      </c>
      <c r="CG446" s="418" t="str">
        <f t="shared" si="241"/>
        <v>2019年11月固特异轮胎clife服务费暂估</v>
      </c>
    </row>
    <row r="447" spans="2:85" s="447" customFormat="1" ht="17.25" customHeight="1">
      <c r="B447" s="447" t="str">
        <f t="shared" si="222"/>
        <v>CU1223</v>
      </c>
      <c r="C447" s="431" t="s">
        <v>755</v>
      </c>
      <c r="D447" s="367" t="s">
        <v>1842</v>
      </c>
      <c r="E447" s="367" t="s">
        <v>1838</v>
      </c>
      <c r="F447" s="439">
        <v>43770</v>
      </c>
      <c r="G447" s="448">
        <v>15194.51</v>
      </c>
      <c r="H447" s="440"/>
      <c r="I447" s="440">
        <f t="shared" si="252"/>
        <v>15194.51</v>
      </c>
      <c r="J447" s="440"/>
      <c r="L447" s="462">
        <f t="shared" si="253"/>
        <v>15194.51</v>
      </c>
      <c r="M447" s="462"/>
      <c r="N447" s="444"/>
      <c r="O447" s="462">
        <f t="shared" si="254"/>
        <v>15194.51</v>
      </c>
      <c r="R447" s="462">
        <f t="shared" si="255"/>
        <v>15194.51</v>
      </c>
      <c r="U447" s="462">
        <f t="shared" si="256"/>
        <v>15194.51</v>
      </c>
      <c r="X447" s="462">
        <f t="shared" si="257"/>
        <v>15194.51</v>
      </c>
      <c r="AA447" s="462">
        <f t="shared" si="258"/>
        <v>15194.51</v>
      </c>
      <c r="AD447" s="462">
        <f t="shared" si="259"/>
        <v>15194.51</v>
      </c>
      <c r="AG447" s="462">
        <f t="shared" si="260"/>
        <v>15194.51</v>
      </c>
      <c r="AJ447" s="462">
        <f t="shared" si="261"/>
        <v>15194.51</v>
      </c>
      <c r="AM447" s="462">
        <f t="shared" si="262"/>
        <v>15194.51</v>
      </c>
      <c r="AN447" s="447" t="s">
        <v>1993</v>
      </c>
      <c r="AP447" s="462">
        <f t="shared" si="263"/>
        <v>15194.51</v>
      </c>
      <c r="AQ447" s="447" t="s">
        <v>2006</v>
      </c>
      <c r="AS447" s="459">
        <f t="shared" si="226"/>
        <v>15194.51</v>
      </c>
      <c r="AV447" s="462">
        <f t="shared" si="227"/>
        <v>15194.51</v>
      </c>
      <c r="AW447" s="447" t="s">
        <v>2107</v>
      </c>
      <c r="AY447" s="462">
        <f t="shared" si="228"/>
        <v>15194.51</v>
      </c>
      <c r="AZ447" s="447" t="s">
        <v>2131</v>
      </c>
      <c r="BB447" s="462">
        <f t="shared" si="229"/>
        <v>15194.51</v>
      </c>
      <c r="BC447" s="447" t="s">
        <v>2204</v>
      </c>
      <c r="BE447" s="462">
        <f t="shared" si="230"/>
        <v>15194.51</v>
      </c>
      <c r="BF447" s="447" t="s">
        <v>2237</v>
      </c>
      <c r="BH447" s="462">
        <f t="shared" si="231"/>
        <v>15194.51</v>
      </c>
      <c r="BI447" s="447" t="s">
        <v>2292</v>
      </c>
      <c r="BJ447" s="462">
        <f>BH447</f>
        <v>15194.51</v>
      </c>
      <c r="BK447" s="462">
        <f t="shared" si="232"/>
        <v>0</v>
      </c>
      <c r="BN447" s="462">
        <f t="shared" si="233"/>
        <v>0</v>
      </c>
      <c r="BQ447" s="462">
        <f t="shared" si="234"/>
        <v>0</v>
      </c>
      <c r="BT447" s="462">
        <f t="shared" si="235"/>
        <v>0</v>
      </c>
      <c r="BW447" s="462">
        <f t="shared" si="236"/>
        <v>0</v>
      </c>
      <c r="BZ447" s="462">
        <f t="shared" si="237"/>
        <v>0</v>
      </c>
      <c r="CD447" s="418" t="str">
        <f t="shared" si="238"/>
        <v>CU1223001</v>
      </c>
      <c r="CE447" s="442" t="str">
        <f t="shared" si="239"/>
        <v>2019年11月</v>
      </c>
      <c r="CF447" s="418" t="str">
        <f t="shared" si="240"/>
        <v>上海品盛化clife服务费暂估</v>
      </c>
      <c r="CG447" s="418" t="str">
        <f t="shared" si="241"/>
        <v>2019年11月上海品盛化clife服务费暂估</v>
      </c>
    </row>
    <row r="448" spans="2:85" s="447" customFormat="1" ht="17.25" customHeight="1">
      <c r="B448" s="447" t="str">
        <f t="shared" si="222"/>
        <v>CU1354</v>
      </c>
      <c r="C448" s="431" t="s">
        <v>755</v>
      </c>
      <c r="D448" s="367" t="s">
        <v>1723</v>
      </c>
      <c r="E448" s="367" t="s">
        <v>1840</v>
      </c>
      <c r="F448" s="439">
        <v>43770</v>
      </c>
      <c r="G448" s="448">
        <v>21227.919999999998</v>
      </c>
      <c r="H448" s="440"/>
      <c r="I448" s="440">
        <f t="shared" si="252"/>
        <v>21227.919999999998</v>
      </c>
      <c r="J448" s="440"/>
      <c r="L448" s="462">
        <f t="shared" si="253"/>
        <v>21227.919999999998</v>
      </c>
      <c r="M448" s="462"/>
      <c r="N448" s="444"/>
      <c r="O448" s="462">
        <f t="shared" si="254"/>
        <v>21227.919999999998</v>
      </c>
      <c r="R448" s="462">
        <f t="shared" si="255"/>
        <v>21227.919999999998</v>
      </c>
      <c r="U448" s="462">
        <f t="shared" si="256"/>
        <v>21227.919999999998</v>
      </c>
      <c r="X448" s="462">
        <f t="shared" si="257"/>
        <v>21227.919999999998</v>
      </c>
      <c r="AA448" s="462">
        <f t="shared" si="258"/>
        <v>21227.919999999998</v>
      </c>
      <c r="AD448" s="462">
        <f t="shared" si="259"/>
        <v>21227.919999999998</v>
      </c>
      <c r="AG448" s="462">
        <f t="shared" si="260"/>
        <v>21227.919999999998</v>
      </c>
      <c r="AJ448" s="462">
        <f t="shared" si="261"/>
        <v>21227.919999999998</v>
      </c>
      <c r="AM448" s="462">
        <f t="shared" si="262"/>
        <v>21227.919999999998</v>
      </c>
      <c r="AN448" s="447" t="s">
        <v>1993</v>
      </c>
      <c r="AP448" s="462">
        <f t="shared" si="263"/>
        <v>21227.919999999998</v>
      </c>
      <c r="AQ448" s="447" t="s">
        <v>2006</v>
      </c>
      <c r="AS448" s="459">
        <f t="shared" si="226"/>
        <v>21227.919999999998</v>
      </c>
      <c r="AV448" s="462">
        <f t="shared" si="227"/>
        <v>21227.919999999998</v>
      </c>
      <c r="AW448" s="447" t="s">
        <v>2107</v>
      </c>
      <c r="AY448" s="462">
        <f t="shared" si="228"/>
        <v>21227.919999999998</v>
      </c>
      <c r="AZ448" s="447" t="s">
        <v>2131</v>
      </c>
      <c r="BB448" s="462">
        <f t="shared" si="229"/>
        <v>21227.919999999998</v>
      </c>
      <c r="BC448" s="447" t="s">
        <v>2204</v>
      </c>
      <c r="BE448" s="462">
        <f t="shared" si="230"/>
        <v>21227.919999999998</v>
      </c>
      <c r="BF448" s="447" t="s">
        <v>2237</v>
      </c>
      <c r="BH448" s="462">
        <f t="shared" si="231"/>
        <v>21227.919999999998</v>
      </c>
      <c r="BI448" s="447" t="s">
        <v>2292</v>
      </c>
      <c r="BK448" s="462">
        <f t="shared" si="232"/>
        <v>21227.919999999998</v>
      </c>
      <c r="BL448" s="447" t="s">
        <v>2339</v>
      </c>
      <c r="BN448" s="462">
        <f t="shared" si="233"/>
        <v>21227.919999999998</v>
      </c>
      <c r="BO448" s="447" t="s">
        <v>2365</v>
      </c>
      <c r="BP448" s="462">
        <f>BN448</f>
        <v>21227.919999999998</v>
      </c>
      <c r="BQ448" s="462">
        <f t="shared" si="234"/>
        <v>0</v>
      </c>
      <c r="BT448" s="462">
        <f t="shared" si="235"/>
        <v>0</v>
      </c>
      <c r="BW448" s="462">
        <f t="shared" si="236"/>
        <v>0</v>
      </c>
      <c r="BZ448" s="462">
        <f t="shared" si="237"/>
        <v>0</v>
      </c>
      <c r="CD448" s="418" t="str">
        <f t="shared" si="238"/>
        <v>CU1354001</v>
      </c>
      <c r="CE448" s="442" t="str">
        <f t="shared" si="239"/>
        <v>2019年11月</v>
      </c>
      <c r="CF448" s="418" t="str">
        <f t="shared" si="240"/>
        <v>威内源企业clife服务费暂估</v>
      </c>
      <c r="CG448" s="418" t="str">
        <f t="shared" si="241"/>
        <v>2019年11月威内源企业clife服务费暂估</v>
      </c>
    </row>
    <row r="449" spans="2:85" s="447" customFormat="1" ht="17.25" customHeight="1">
      <c r="B449" s="447" t="str">
        <f t="shared" si="222"/>
        <v>CU1375</v>
      </c>
      <c r="C449" s="431" t="s">
        <v>755</v>
      </c>
      <c r="D449" s="367" t="s">
        <v>1677</v>
      </c>
      <c r="E449" s="367" t="s">
        <v>1676</v>
      </c>
      <c r="F449" s="439">
        <v>43770</v>
      </c>
      <c r="G449" s="448">
        <v>10580.53</v>
      </c>
      <c r="H449" s="440"/>
      <c r="I449" s="440">
        <f t="shared" si="252"/>
        <v>10580.53</v>
      </c>
      <c r="J449" s="440"/>
      <c r="L449" s="462">
        <f t="shared" si="253"/>
        <v>10580.53</v>
      </c>
      <c r="M449" s="462"/>
      <c r="N449" s="444"/>
      <c r="O449" s="462">
        <f t="shared" si="254"/>
        <v>10580.53</v>
      </c>
      <c r="R449" s="462">
        <f t="shared" si="255"/>
        <v>10580.53</v>
      </c>
      <c r="U449" s="462">
        <f t="shared" si="256"/>
        <v>10580.53</v>
      </c>
      <c r="X449" s="462">
        <f t="shared" si="257"/>
        <v>10580.53</v>
      </c>
      <c r="AA449" s="462">
        <f t="shared" si="258"/>
        <v>10580.53</v>
      </c>
      <c r="AD449" s="462">
        <f t="shared" si="259"/>
        <v>10580.53</v>
      </c>
      <c r="AG449" s="462">
        <f t="shared" si="260"/>
        <v>10580.53</v>
      </c>
      <c r="AJ449" s="462">
        <f t="shared" si="261"/>
        <v>10580.53</v>
      </c>
      <c r="AM449" s="462">
        <f t="shared" si="262"/>
        <v>10580.53</v>
      </c>
      <c r="AN449" s="447" t="s">
        <v>1993</v>
      </c>
      <c r="AP449" s="462">
        <f t="shared" si="263"/>
        <v>10580.53</v>
      </c>
      <c r="AQ449" s="447" t="s">
        <v>2006</v>
      </c>
      <c r="AS449" s="459">
        <f t="shared" si="226"/>
        <v>10580.53</v>
      </c>
      <c r="AV449" s="462">
        <f t="shared" si="227"/>
        <v>10580.53</v>
      </c>
      <c r="AW449" s="447" t="s">
        <v>2107</v>
      </c>
      <c r="AY449" s="462">
        <f t="shared" si="228"/>
        <v>10580.53</v>
      </c>
      <c r="AZ449" s="447" t="s">
        <v>2131</v>
      </c>
      <c r="BB449" s="462">
        <f t="shared" si="229"/>
        <v>10580.53</v>
      </c>
      <c r="BC449" s="447" t="s">
        <v>2204</v>
      </c>
      <c r="BE449" s="462">
        <f t="shared" si="230"/>
        <v>10580.53</v>
      </c>
      <c r="BF449" s="447" t="s">
        <v>2237</v>
      </c>
      <c r="BH449" s="462">
        <f t="shared" si="231"/>
        <v>10580.53</v>
      </c>
      <c r="BI449" s="447" t="s">
        <v>2292</v>
      </c>
      <c r="BK449" s="462">
        <f t="shared" si="232"/>
        <v>10580.53</v>
      </c>
      <c r="BL449" s="447" t="s">
        <v>2339</v>
      </c>
      <c r="BN449" s="462">
        <f t="shared" si="233"/>
        <v>10580.53</v>
      </c>
      <c r="BO449" s="447" t="s">
        <v>2365</v>
      </c>
      <c r="BQ449" s="462">
        <f t="shared" si="234"/>
        <v>10580.53</v>
      </c>
      <c r="BR449" s="447" t="s">
        <v>2374</v>
      </c>
      <c r="BT449" s="462">
        <f t="shared" si="235"/>
        <v>10580.53</v>
      </c>
      <c r="BU449" s="447" t="s">
        <v>2134</v>
      </c>
      <c r="BV449" s="462">
        <f>BT449</f>
        <v>10580.53</v>
      </c>
      <c r="BW449" s="462">
        <f t="shared" si="236"/>
        <v>0</v>
      </c>
      <c r="BZ449" s="462">
        <f t="shared" si="237"/>
        <v>0</v>
      </c>
      <c r="CD449" s="418" t="str">
        <f t="shared" si="238"/>
        <v>CU1375001</v>
      </c>
      <c r="CE449" s="442" t="str">
        <f t="shared" si="239"/>
        <v>2019年11月</v>
      </c>
      <c r="CF449" s="418" t="str">
        <f t="shared" si="240"/>
        <v>上海库润信clife服务费暂估</v>
      </c>
      <c r="CG449" s="418" t="str">
        <f t="shared" si="241"/>
        <v>2019年11月上海库润信clife服务费暂估</v>
      </c>
    </row>
    <row r="450" spans="2:85" s="447" customFormat="1" ht="17.25" customHeight="1">
      <c r="B450" s="447" t="str">
        <f t="shared" si="222"/>
        <v>CU1430</v>
      </c>
      <c r="C450" s="431" t="s">
        <v>755</v>
      </c>
      <c r="D450" s="367" t="s">
        <v>1847</v>
      </c>
      <c r="E450" s="367" t="s">
        <v>1844</v>
      </c>
      <c r="F450" s="439">
        <v>43770</v>
      </c>
      <c r="G450" s="448">
        <v>8049.08</v>
      </c>
      <c r="H450" s="440"/>
      <c r="I450" s="440">
        <f t="shared" si="252"/>
        <v>8049.08</v>
      </c>
      <c r="J450" s="440"/>
      <c r="L450" s="462">
        <f t="shared" si="253"/>
        <v>8049.08</v>
      </c>
      <c r="M450" s="462"/>
      <c r="N450" s="444"/>
      <c r="O450" s="462">
        <f t="shared" si="254"/>
        <v>8049.08</v>
      </c>
      <c r="R450" s="462">
        <f t="shared" si="255"/>
        <v>8049.08</v>
      </c>
      <c r="U450" s="462">
        <f t="shared" si="256"/>
        <v>8049.08</v>
      </c>
      <c r="X450" s="462">
        <f t="shared" si="257"/>
        <v>8049.08</v>
      </c>
      <c r="AA450" s="462">
        <f t="shared" si="258"/>
        <v>8049.08</v>
      </c>
      <c r="AD450" s="462">
        <f t="shared" si="259"/>
        <v>8049.08</v>
      </c>
      <c r="AG450" s="462">
        <f t="shared" si="260"/>
        <v>8049.08</v>
      </c>
      <c r="AJ450" s="462">
        <f t="shared" si="261"/>
        <v>8049.08</v>
      </c>
      <c r="AM450" s="462">
        <f t="shared" si="262"/>
        <v>8049.08</v>
      </c>
      <c r="AN450" s="447" t="s">
        <v>1993</v>
      </c>
      <c r="AP450" s="462">
        <f t="shared" si="263"/>
        <v>8049.08</v>
      </c>
      <c r="AQ450" s="447" t="s">
        <v>2006</v>
      </c>
      <c r="AS450" s="459">
        <f t="shared" si="226"/>
        <v>8049.08</v>
      </c>
      <c r="AV450" s="462">
        <f t="shared" si="227"/>
        <v>8049.08</v>
      </c>
      <c r="AW450" s="447" t="s">
        <v>2107</v>
      </c>
      <c r="AY450" s="462">
        <f t="shared" si="228"/>
        <v>8049.08</v>
      </c>
      <c r="AZ450" s="447" t="s">
        <v>2131</v>
      </c>
      <c r="BB450" s="462">
        <f t="shared" si="229"/>
        <v>8049.08</v>
      </c>
      <c r="BC450" s="447" t="s">
        <v>2204</v>
      </c>
      <c r="BE450" s="462">
        <f t="shared" si="230"/>
        <v>8049.08</v>
      </c>
      <c r="BF450" s="447" t="s">
        <v>2237</v>
      </c>
      <c r="BH450" s="462">
        <f t="shared" si="231"/>
        <v>8049.08</v>
      </c>
      <c r="BI450" s="447" t="s">
        <v>2292</v>
      </c>
      <c r="BK450" s="462">
        <f t="shared" si="232"/>
        <v>8049.08</v>
      </c>
      <c r="BL450" s="447" t="s">
        <v>2339</v>
      </c>
      <c r="BN450" s="462">
        <f t="shared" si="233"/>
        <v>8049.08</v>
      </c>
      <c r="BO450" s="447" t="s">
        <v>2365</v>
      </c>
      <c r="BQ450" s="462">
        <f t="shared" si="234"/>
        <v>8049.08</v>
      </c>
      <c r="BR450" s="447" t="s">
        <v>2374</v>
      </c>
      <c r="BT450" s="462">
        <f t="shared" si="235"/>
        <v>8049.08</v>
      </c>
      <c r="BU450" s="447" t="s">
        <v>2134</v>
      </c>
      <c r="BV450" s="462">
        <f>BT450</f>
        <v>8049.08</v>
      </c>
      <c r="BW450" s="462">
        <f t="shared" si="236"/>
        <v>0</v>
      </c>
      <c r="BZ450" s="462">
        <f t="shared" si="237"/>
        <v>0</v>
      </c>
      <c r="CD450" s="418" t="str">
        <f t="shared" si="238"/>
        <v>CU1430001</v>
      </c>
      <c r="CE450" s="442" t="str">
        <f t="shared" si="239"/>
        <v>2019年11月</v>
      </c>
      <c r="CF450" s="418" t="str">
        <f t="shared" si="240"/>
        <v>连云港锐巴clife服务费暂估</v>
      </c>
      <c r="CG450" s="418" t="str">
        <f t="shared" si="241"/>
        <v>2019年11月连云港锐巴clife服务费暂估</v>
      </c>
    </row>
    <row r="451" spans="2:85" s="447" customFormat="1" ht="17.25" customHeight="1">
      <c r="B451" s="447" t="str">
        <f t="shared" ref="B451:B514" si="276">LEFT(D451,6)</f>
        <v>CU1705</v>
      </c>
      <c r="C451" s="431" t="s">
        <v>755</v>
      </c>
      <c r="D451" s="367" t="s">
        <v>1848</v>
      </c>
      <c r="E451" s="367" t="s">
        <v>1845</v>
      </c>
      <c r="F451" s="439">
        <v>43770</v>
      </c>
      <c r="G451" s="448">
        <v>149786.69</v>
      </c>
      <c r="H451" s="440"/>
      <c r="I451" s="440">
        <f t="shared" si="252"/>
        <v>149786.69</v>
      </c>
      <c r="J451" s="440"/>
      <c r="L451" s="462">
        <f t="shared" si="253"/>
        <v>149786.69</v>
      </c>
      <c r="M451" s="462"/>
      <c r="N451" s="444"/>
      <c r="O451" s="462">
        <f t="shared" si="254"/>
        <v>149786.69</v>
      </c>
      <c r="R451" s="462">
        <f t="shared" si="255"/>
        <v>149786.69</v>
      </c>
      <c r="U451" s="462">
        <f t="shared" si="256"/>
        <v>149786.69</v>
      </c>
      <c r="X451" s="462">
        <f t="shared" si="257"/>
        <v>149786.69</v>
      </c>
      <c r="AA451" s="462">
        <f t="shared" si="258"/>
        <v>149786.69</v>
      </c>
      <c r="AD451" s="462">
        <f t="shared" si="259"/>
        <v>149786.69</v>
      </c>
      <c r="AG451" s="462">
        <f t="shared" si="260"/>
        <v>149786.69</v>
      </c>
      <c r="AJ451" s="462">
        <f t="shared" si="261"/>
        <v>149786.69</v>
      </c>
      <c r="AM451" s="462">
        <f t="shared" si="262"/>
        <v>149786.69</v>
      </c>
      <c r="AN451" s="447" t="s">
        <v>1993</v>
      </c>
      <c r="AO451" s="460">
        <v>149786.69</v>
      </c>
      <c r="AP451" s="462">
        <f>AM451-AO451</f>
        <v>0</v>
      </c>
      <c r="AQ451" s="447" t="s">
        <v>2006</v>
      </c>
      <c r="AS451" s="459">
        <f t="shared" si="226"/>
        <v>0</v>
      </c>
      <c r="AV451" s="462">
        <f t="shared" si="227"/>
        <v>0</v>
      </c>
      <c r="AY451" s="462">
        <f t="shared" si="228"/>
        <v>0</v>
      </c>
      <c r="BB451" s="462">
        <f t="shared" si="229"/>
        <v>0</v>
      </c>
      <c r="BC451" s="447" t="s">
        <v>2204</v>
      </c>
      <c r="BE451" s="462">
        <f t="shared" si="230"/>
        <v>0</v>
      </c>
      <c r="BH451" s="462">
        <f t="shared" si="231"/>
        <v>0</v>
      </c>
      <c r="BK451" s="462">
        <f t="shared" si="232"/>
        <v>0</v>
      </c>
      <c r="BN451" s="462">
        <f t="shared" si="233"/>
        <v>0</v>
      </c>
      <c r="BQ451" s="462">
        <f t="shared" si="234"/>
        <v>0</v>
      </c>
      <c r="BT451" s="462">
        <f t="shared" si="235"/>
        <v>0</v>
      </c>
      <c r="BW451" s="462">
        <f t="shared" si="236"/>
        <v>0</v>
      </c>
      <c r="BZ451" s="462">
        <f t="shared" si="237"/>
        <v>0</v>
      </c>
      <c r="CD451" s="418" t="str">
        <f t="shared" si="238"/>
        <v>CU1705001</v>
      </c>
      <c r="CE451" s="442" t="str">
        <f t="shared" si="239"/>
        <v>2019年11月</v>
      </c>
      <c r="CF451" s="418" t="str">
        <f t="shared" si="240"/>
        <v>通标标准技clife服务费暂估</v>
      </c>
      <c r="CG451" s="418" t="str">
        <f t="shared" si="241"/>
        <v>2019年11月通标标准技clife服务费暂估</v>
      </c>
    </row>
    <row r="452" spans="2:85" s="447" customFormat="1" ht="17.25" customHeight="1">
      <c r="B452" s="447" t="str">
        <f t="shared" si="276"/>
        <v>CU1718</v>
      </c>
      <c r="C452" s="431" t="s">
        <v>755</v>
      </c>
      <c r="D452" s="367" t="s">
        <v>1849</v>
      </c>
      <c r="E452" s="367" t="s">
        <v>1984</v>
      </c>
      <c r="F452" s="439">
        <v>43770</v>
      </c>
      <c r="G452" s="448">
        <v>36333.47</v>
      </c>
      <c r="H452" s="440"/>
      <c r="I452" s="440">
        <f t="shared" si="252"/>
        <v>36333.47</v>
      </c>
      <c r="J452" s="440"/>
      <c r="L452" s="462">
        <f t="shared" si="253"/>
        <v>36333.47</v>
      </c>
      <c r="M452" s="462"/>
      <c r="N452" s="444"/>
      <c r="O452" s="462">
        <f t="shared" si="254"/>
        <v>36333.47</v>
      </c>
      <c r="R452" s="462">
        <f t="shared" si="255"/>
        <v>36333.47</v>
      </c>
      <c r="U452" s="462">
        <f t="shared" si="256"/>
        <v>36333.47</v>
      </c>
      <c r="X452" s="462">
        <f t="shared" si="257"/>
        <v>36333.47</v>
      </c>
      <c r="AA452" s="462">
        <f t="shared" si="258"/>
        <v>36333.47</v>
      </c>
      <c r="AD452" s="462">
        <f t="shared" si="259"/>
        <v>36333.47</v>
      </c>
      <c r="AG452" s="462">
        <f t="shared" si="260"/>
        <v>36333.47</v>
      </c>
      <c r="AJ452" s="462">
        <f t="shared" si="261"/>
        <v>36333.47</v>
      </c>
      <c r="AM452" s="462">
        <f t="shared" si="262"/>
        <v>36333.47</v>
      </c>
      <c r="AN452" s="447" t="s">
        <v>1993</v>
      </c>
      <c r="AO452" s="447">
        <f>ROUND((270+1073+27472.75+9582)/1.06,2)</f>
        <v>36224.29</v>
      </c>
      <c r="AP452" s="462">
        <f t="shared" si="263"/>
        <v>109.18000000000029</v>
      </c>
      <c r="AQ452" s="447" t="s">
        <v>2006</v>
      </c>
      <c r="AS452" s="459">
        <f t="shared" ref="AS452:AS484" si="277">AP452-AR452</f>
        <v>109.18000000000029</v>
      </c>
      <c r="AV452" s="462">
        <f t="shared" ref="AV452:AV484" si="278">AS452-AU452</f>
        <v>109.18000000000029</v>
      </c>
      <c r="AW452" s="447" t="s">
        <v>2107</v>
      </c>
      <c r="AX452" s="462">
        <f>AV452</f>
        <v>109.18000000000029</v>
      </c>
      <c r="AY452" s="462">
        <f t="shared" ref="AY452:AY484" si="279">AV452-AX452</f>
        <v>0</v>
      </c>
      <c r="BB452" s="462">
        <f t="shared" ref="BB452:BB484" si="280">AY452-BA452</f>
        <v>0</v>
      </c>
      <c r="BC452" s="447" t="s">
        <v>2204</v>
      </c>
      <c r="BE452" s="462">
        <f t="shared" ref="BE452:BE515" si="281">BB452-BD452</f>
        <v>0</v>
      </c>
      <c r="BH452" s="462">
        <f t="shared" ref="BH452:BH515" si="282">BE452-BG452</f>
        <v>0</v>
      </c>
      <c r="BK452" s="462">
        <f t="shared" ref="BK452:BK515" si="283">BH452-BJ452</f>
        <v>0</v>
      </c>
      <c r="BN452" s="462">
        <f t="shared" ref="BN452:BN515" si="284">BK452-BM452</f>
        <v>0</v>
      </c>
      <c r="BQ452" s="462">
        <f t="shared" ref="BQ452:BQ515" si="285">ROUND((BN452-BP452),2)</f>
        <v>0</v>
      </c>
      <c r="BT452" s="462">
        <f t="shared" ref="BT452:BT515" si="286">ROUND((BQ452-BS452),2)</f>
        <v>0</v>
      </c>
      <c r="BW452" s="462">
        <f t="shared" ref="BW452:BW515" si="287">ROUND((BT452-BV452),2)</f>
        <v>0</v>
      </c>
      <c r="BZ452" s="462">
        <f t="shared" ref="BZ452:BZ515" si="288">ROUND((BW452-BY452),2)</f>
        <v>0</v>
      </c>
      <c r="CD452" s="418" t="str">
        <f t="shared" ref="CD452:CD515" si="289">B452&amp;$B$1</f>
        <v>CU1718001</v>
      </c>
      <c r="CE452" s="442" t="str">
        <f t="shared" ref="CE452:CE515" si="290">YEAR(F452)&amp;"年"&amp;MONTH(F452)&amp;"月"</f>
        <v>2019年11月</v>
      </c>
      <c r="CF452" s="418" t="str">
        <f t="shared" ref="CF452:CF515" si="291">LEFT(E452,5)&amp;$E$1</f>
        <v>Worldclife服务费暂估</v>
      </c>
      <c r="CG452" s="418" t="str">
        <f t="shared" ref="CG452:CG515" si="292">CE452&amp;CF452</f>
        <v>2019年11月Worldclife服务费暂估</v>
      </c>
    </row>
    <row r="453" spans="2:85" s="447" customFormat="1" ht="17.25" customHeight="1">
      <c r="B453" s="447" t="str">
        <f t="shared" si="276"/>
        <v>CU1780</v>
      </c>
      <c r="C453" s="431" t="s">
        <v>755</v>
      </c>
      <c r="D453" s="367" t="s">
        <v>1990</v>
      </c>
      <c r="E453" s="367" t="s">
        <v>1985</v>
      </c>
      <c r="F453" s="439">
        <v>43770</v>
      </c>
      <c r="G453" s="448">
        <v>137.29</v>
      </c>
      <c r="H453" s="440"/>
      <c r="I453" s="440">
        <f t="shared" si="252"/>
        <v>137.29</v>
      </c>
      <c r="J453" s="440"/>
      <c r="L453" s="462">
        <f t="shared" si="253"/>
        <v>137.29</v>
      </c>
      <c r="M453" s="462"/>
      <c r="N453" s="444"/>
      <c r="O453" s="462">
        <f t="shared" si="254"/>
        <v>137.29</v>
      </c>
      <c r="R453" s="462">
        <f t="shared" si="255"/>
        <v>137.29</v>
      </c>
      <c r="U453" s="462">
        <f t="shared" si="256"/>
        <v>137.29</v>
      </c>
      <c r="X453" s="462">
        <f t="shared" si="257"/>
        <v>137.29</v>
      </c>
      <c r="AA453" s="462">
        <f t="shared" si="258"/>
        <v>137.29</v>
      </c>
      <c r="AD453" s="462">
        <f t="shared" si="259"/>
        <v>137.29</v>
      </c>
      <c r="AG453" s="462">
        <f t="shared" si="260"/>
        <v>137.29</v>
      </c>
      <c r="AJ453" s="462">
        <f t="shared" si="261"/>
        <v>137.29</v>
      </c>
      <c r="AM453" s="462">
        <f t="shared" si="262"/>
        <v>137.29</v>
      </c>
      <c r="AN453" s="447" t="s">
        <v>1993</v>
      </c>
      <c r="AP453" s="462">
        <f t="shared" si="263"/>
        <v>137.29</v>
      </c>
      <c r="AQ453" s="447" t="s">
        <v>2006</v>
      </c>
      <c r="AS453" s="459">
        <f t="shared" si="277"/>
        <v>137.29</v>
      </c>
      <c r="AV453" s="462">
        <f t="shared" si="278"/>
        <v>137.29</v>
      </c>
      <c r="AW453" s="447" t="s">
        <v>2107</v>
      </c>
      <c r="AY453" s="462">
        <f t="shared" si="279"/>
        <v>137.29</v>
      </c>
      <c r="AZ453" s="447" t="s">
        <v>2131</v>
      </c>
      <c r="BA453" s="462">
        <f>AY453</f>
        <v>137.29</v>
      </c>
      <c r="BB453" s="462">
        <f t="shared" si="280"/>
        <v>0</v>
      </c>
      <c r="BC453" s="447" t="s">
        <v>2204</v>
      </c>
      <c r="BE453" s="462">
        <f t="shared" si="281"/>
        <v>0</v>
      </c>
      <c r="BH453" s="462">
        <f t="shared" si="282"/>
        <v>0</v>
      </c>
      <c r="BK453" s="462">
        <f t="shared" si="283"/>
        <v>0</v>
      </c>
      <c r="BN453" s="462">
        <f t="shared" si="284"/>
        <v>0</v>
      </c>
      <c r="BQ453" s="462">
        <f t="shared" si="285"/>
        <v>0</v>
      </c>
      <c r="BT453" s="462">
        <f t="shared" si="286"/>
        <v>0</v>
      </c>
      <c r="BW453" s="462">
        <f t="shared" si="287"/>
        <v>0</v>
      </c>
      <c r="BZ453" s="462">
        <f t="shared" si="288"/>
        <v>0</v>
      </c>
      <c r="CD453" s="418" t="str">
        <f t="shared" si="289"/>
        <v>CU1780001</v>
      </c>
      <c r="CE453" s="442" t="str">
        <f t="shared" si="290"/>
        <v>2019年11月</v>
      </c>
      <c r="CF453" s="418" t="str">
        <f t="shared" si="291"/>
        <v>博泽汽车技clife服务费暂估</v>
      </c>
      <c r="CG453" s="418" t="str">
        <f t="shared" si="292"/>
        <v>2019年11月博泽汽车技clife服务费暂估</v>
      </c>
    </row>
    <row r="454" spans="2:85" s="447" customFormat="1" ht="17.25" customHeight="1">
      <c r="B454" s="447" t="str">
        <f t="shared" si="276"/>
        <v>CU1785</v>
      </c>
      <c r="C454" s="431" t="s">
        <v>755</v>
      </c>
      <c r="D454" s="367" t="s">
        <v>1991</v>
      </c>
      <c r="E454" s="367" t="s">
        <v>1986</v>
      </c>
      <c r="F454" s="439">
        <v>43770</v>
      </c>
      <c r="G454" s="448">
        <v>600943.38</v>
      </c>
      <c r="H454" s="440"/>
      <c r="I454" s="440">
        <f t="shared" si="252"/>
        <v>600943.38</v>
      </c>
      <c r="J454" s="440"/>
      <c r="L454" s="462">
        <f t="shared" si="253"/>
        <v>600943.38</v>
      </c>
      <c r="M454" s="462"/>
      <c r="N454" s="444"/>
      <c r="O454" s="462">
        <f t="shared" si="254"/>
        <v>600943.38</v>
      </c>
      <c r="R454" s="462">
        <f t="shared" si="255"/>
        <v>600943.38</v>
      </c>
      <c r="U454" s="462">
        <f t="shared" si="256"/>
        <v>600943.38</v>
      </c>
      <c r="X454" s="462">
        <f t="shared" si="257"/>
        <v>600943.38</v>
      </c>
      <c r="AA454" s="462">
        <f t="shared" si="258"/>
        <v>600943.38</v>
      </c>
      <c r="AD454" s="462">
        <f t="shared" si="259"/>
        <v>600943.38</v>
      </c>
      <c r="AG454" s="462">
        <f t="shared" si="260"/>
        <v>600943.38</v>
      </c>
      <c r="AJ454" s="462">
        <f t="shared" si="261"/>
        <v>600943.38</v>
      </c>
      <c r="AM454" s="462">
        <f t="shared" si="262"/>
        <v>600943.38</v>
      </c>
      <c r="AN454" s="447" t="s">
        <v>1993</v>
      </c>
      <c r="AO454" s="447">
        <v>600943.38</v>
      </c>
      <c r="AP454" s="462">
        <f t="shared" si="263"/>
        <v>0</v>
      </c>
      <c r="AQ454" s="447" t="s">
        <v>2006</v>
      </c>
      <c r="AS454" s="459">
        <f t="shared" si="277"/>
        <v>0</v>
      </c>
      <c r="AV454" s="462">
        <f t="shared" si="278"/>
        <v>0</v>
      </c>
      <c r="AY454" s="462">
        <f t="shared" si="279"/>
        <v>0</v>
      </c>
      <c r="BB454" s="462">
        <f t="shared" si="280"/>
        <v>0</v>
      </c>
      <c r="BC454" s="447" t="s">
        <v>2204</v>
      </c>
      <c r="BE454" s="462">
        <f t="shared" si="281"/>
        <v>0</v>
      </c>
      <c r="BH454" s="462">
        <f t="shared" si="282"/>
        <v>0</v>
      </c>
      <c r="BK454" s="462">
        <f t="shared" si="283"/>
        <v>0</v>
      </c>
      <c r="BN454" s="462">
        <f t="shared" si="284"/>
        <v>0</v>
      </c>
      <c r="BQ454" s="462">
        <f t="shared" si="285"/>
        <v>0</v>
      </c>
      <c r="BT454" s="462">
        <f t="shared" si="286"/>
        <v>0</v>
      </c>
      <c r="BW454" s="462">
        <f t="shared" si="287"/>
        <v>0</v>
      </c>
      <c r="BZ454" s="462">
        <f t="shared" si="288"/>
        <v>0</v>
      </c>
      <c r="CD454" s="418" t="str">
        <f t="shared" si="289"/>
        <v>CU1785001</v>
      </c>
      <c r="CE454" s="442" t="str">
        <f t="shared" si="290"/>
        <v>2019年11月</v>
      </c>
      <c r="CF454" s="418" t="str">
        <f t="shared" si="291"/>
        <v>上海紫竹高clife服务费暂估</v>
      </c>
      <c r="CG454" s="418" t="str">
        <f t="shared" si="292"/>
        <v>2019年11月上海紫竹高clife服务费暂估</v>
      </c>
    </row>
    <row r="455" spans="2:85" s="447" customFormat="1" ht="17.25" customHeight="1">
      <c r="B455" s="447" t="str">
        <f t="shared" si="276"/>
        <v>CU0017</v>
      </c>
      <c r="C455" s="431" t="s">
        <v>755</v>
      </c>
      <c r="D455" s="367" t="s">
        <v>2024</v>
      </c>
      <c r="E455" s="456" t="s">
        <v>2018</v>
      </c>
      <c r="F455" s="457">
        <v>43800</v>
      </c>
      <c r="G455" s="430">
        <v>6792.45</v>
      </c>
      <c r="H455" s="440"/>
      <c r="I455" s="440">
        <f t="shared" si="252"/>
        <v>6792.45</v>
      </c>
      <c r="J455" s="440"/>
      <c r="L455" s="462">
        <f t="shared" si="253"/>
        <v>6792.45</v>
      </c>
      <c r="M455" s="462"/>
      <c r="N455" s="444"/>
      <c r="O455" s="462">
        <f t="shared" si="254"/>
        <v>6792.45</v>
      </c>
      <c r="R455" s="462">
        <f t="shared" si="255"/>
        <v>6792.45</v>
      </c>
      <c r="U455" s="462">
        <f t="shared" si="256"/>
        <v>6792.45</v>
      </c>
      <c r="X455" s="462">
        <f t="shared" si="257"/>
        <v>6792.45</v>
      </c>
      <c r="AA455" s="462">
        <f t="shared" si="258"/>
        <v>6792.45</v>
      </c>
      <c r="AD455" s="462">
        <f t="shared" si="259"/>
        <v>6792.45</v>
      </c>
      <c r="AG455" s="462">
        <f t="shared" si="260"/>
        <v>6792.45</v>
      </c>
      <c r="AJ455" s="462">
        <f t="shared" si="261"/>
        <v>6792.45</v>
      </c>
      <c r="AM455" s="459">
        <f t="shared" si="262"/>
        <v>6792.45</v>
      </c>
      <c r="AN455" s="460"/>
      <c r="AO455" s="460"/>
      <c r="AP455" s="459">
        <f t="shared" si="263"/>
        <v>6792.45</v>
      </c>
      <c r="AQ455" s="460"/>
      <c r="AR455" s="460"/>
      <c r="AS455" s="459">
        <f t="shared" si="277"/>
        <v>6792.45</v>
      </c>
      <c r="AV455" s="462">
        <f t="shared" si="278"/>
        <v>6792.45</v>
      </c>
      <c r="AW455" s="447" t="s">
        <v>2107</v>
      </c>
      <c r="AY455" s="462">
        <f t="shared" si="279"/>
        <v>6792.45</v>
      </c>
      <c r="AZ455" s="447" t="s">
        <v>2131</v>
      </c>
      <c r="BA455" s="462">
        <f>AY455</f>
        <v>6792.45</v>
      </c>
      <c r="BB455" s="462">
        <f t="shared" si="280"/>
        <v>0</v>
      </c>
      <c r="BC455" s="447" t="s">
        <v>2204</v>
      </c>
      <c r="BE455" s="462">
        <f t="shared" si="281"/>
        <v>0</v>
      </c>
      <c r="BH455" s="462">
        <f t="shared" si="282"/>
        <v>0</v>
      </c>
      <c r="BK455" s="462">
        <f t="shared" si="283"/>
        <v>0</v>
      </c>
      <c r="BN455" s="462">
        <f t="shared" si="284"/>
        <v>0</v>
      </c>
      <c r="BQ455" s="462">
        <f t="shared" si="285"/>
        <v>0</v>
      </c>
      <c r="BT455" s="462">
        <f t="shared" si="286"/>
        <v>0</v>
      </c>
      <c r="BW455" s="462">
        <f t="shared" si="287"/>
        <v>0</v>
      </c>
      <c r="BZ455" s="462">
        <f t="shared" si="288"/>
        <v>0</v>
      </c>
      <c r="CD455" s="418" t="str">
        <f t="shared" si="289"/>
        <v>CU0017001</v>
      </c>
      <c r="CE455" s="442" t="str">
        <f t="shared" si="290"/>
        <v>2019年12月</v>
      </c>
      <c r="CF455" s="418" t="str">
        <f t="shared" si="291"/>
        <v>易趋宏挤压clife服务费暂估</v>
      </c>
      <c r="CG455" s="418" t="str">
        <f t="shared" si="292"/>
        <v>2019年12月易趋宏挤压clife服务费暂估</v>
      </c>
    </row>
    <row r="456" spans="2:85" s="447" customFormat="1" ht="17.25" customHeight="1">
      <c r="B456" s="447" t="str">
        <f t="shared" si="276"/>
        <v>CU0093</v>
      </c>
      <c r="C456" s="431" t="s">
        <v>755</v>
      </c>
      <c r="D456" s="367" t="s">
        <v>1832</v>
      </c>
      <c r="E456" s="456" t="s">
        <v>32</v>
      </c>
      <c r="F456" s="457">
        <v>43800</v>
      </c>
      <c r="G456" s="430">
        <v>8109.92</v>
      </c>
      <c r="H456" s="440"/>
      <c r="I456" s="440">
        <f t="shared" si="242"/>
        <v>8109.92</v>
      </c>
      <c r="J456" s="440"/>
      <c r="L456" s="462">
        <f t="shared" si="243"/>
        <v>8109.92</v>
      </c>
      <c r="M456" s="462"/>
      <c r="N456" s="444"/>
      <c r="O456" s="462">
        <f t="shared" si="244"/>
        <v>8109.92</v>
      </c>
      <c r="R456" s="462">
        <f t="shared" si="245"/>
        <v>8109.92</v>
      </c>
      <c r="U456" s="462">
        <f t="shared" si="246"/>
        <v>8109.92</v>
      </c>
      <c r="X456" s="462">
        <f t="shared" si="247"/>
        <v>8109.92</v>
      </c>
      <c r="AA456" s="462">
        <f t="shared" si="248"/>
        <v>8109.92</v>
      </c>
      <c r="AD456" s="462">
        <f t="shared" si="249"/>
        <v>8109.92</v>
      </c>
      <c r="AG456" s="462">
        <f t="shared" si="250"/>
        <v>8109.92</v>
      </c>
      <c r="AJ456" s="462">
        <f t="shared" si="251"/>
        <v>8109.92</v>
      </c>
      <c r="AM456" s="459">
        <f t="shared" si="224"/>
        <v>8109.92</v>
      </c>
      <c r="AN456" s="460"/>
      <c r="AO456" s="460"/>
      <c r="AP456" s="459">
        <f>AM456-AO456</f>
        <v>8109.92</v>
      </c>
      <c r="AQ456" s="460"/>
      <c r="AR456" s="460"/>
      <c r="AS456" s="459">
        <f t="shared" si="277"/>
        <v>8109.92</v>
      </c>
      <c r="AV456" s="462">
        <f t="shared" si="278"/>
        <v>8109.92</v>
      </c>
      <c r="AW456" s="447" t="s">
        <v>2107</v>
      </c>
      <c r="AY456" s="462">
        <f t="shared" si="279"/>
        <v>8109.92</v>
      </c>
      <c r="AZ456" s="447" t="s">
        <v>2131</v>
      </c>
      <c r="BB456" s="462">
        <f t="shared" si="280"/>
        <v>8109.92</v>
      </c>
      <c r="BC456" s="447" t="s">
        <v>2204</v>
      </c>
      <c r="BD456" s="462">
        <f>652+13548.6-BD321-BD356-BD416+139.15</f>
        <v>8109.9199999999983</v>
      </c>
      <c r="BE456" s="462">
        <f t="shared" si="281"/>
        <v>0</v>
      </c>
      <c r="BH456" s="462">
        <f t="shared" si="282"/>
        <v>0</v>
      </c>
      <c r="BK456" s="462">
        <f t="shared" si="283"/>
        <v>0</v>
      </c>
      <c r="BN456" s="462">
        <f t="shared" si="284"/>
        <v>0</v>
      </c>
      <c r="BQ456" s="462">
        <f t="shared" si="285"/>
        <v>0</v>
      </c>
      <c r="BT456" s="462">
        <f t="shared" si="286"/>
        <v>0</v>
      </c>
      <c r="BW456" s="462">
        <f t="shared" si="287"/>
        <v>0</v>
      </c>
      <c r="BZ456" s="462">
        <f t="shared" si="288"/>
        <v>0</v>
      </c>
      <c r="CD456" s="418" t="str">
        <f t="shared" si="289"/>
        <v>CU0093001</v>
      </c>
      <c r="CE456" s="442" t="str">
        <f t="shared" si="290"/>
        <v>2019年12月</v>
      </c>
      <c r="CF456" s="418" t="str">
        <f t="shared" si="291"/>
        <v>日立保险代clife服务费暂估</v>
      </c>
      <c r="CG456" s="418" t="str">
        <f t="shared" si="292"/>
        <v>2019年12月日立保险代clife服务费暂估</v>
      </c>
    </row>
    <row r="457" spans="2:85" s="447" customFormat="1" ht="17.25" customHeight="1">
      <c r="B457" s="447" t="str">
        <f t="shared" si="276"/>
        <v>CU0109</v>
      </c>
      <c r="C457" s="431" t="s">
        <v>755</v>
      </c>
      <c r="D457" s="367" t="s">
        <v>1642</v>
      </c>
      <c r="E457" s="456" t="s">
        <v>34</v>
      </c>
      <c r="F457" s="457">
        <v>43800</v>
      </c>
      <c r="G457" s="430">
        <v>249935.39</v>
      </c>
      <c r="H457" s="440"/>
      <c r="I457" s="440">
        <f t="shared" ref="I457:I484" si="293">G457-H457</f>
        <v>249935.39</v>
      </c>
      <c r="J457" s="440"/>
      <c r="L457" s="462">
        <f t="shared" ref="L457:L484" si="294">I457-K457</f>
        <v>249935.39</v>
      </c>
      <c r="M457" s="462"/>
      <c r="N457" s="444"/>
      <c r="O457" s="462">
        <f t="shared" ref="O457:O484" si="295">L457-N457</f>
        <v>249935.39</v>
      </c>
      <c r="R457" s="462">
        <f t="shared" ref="R457:R484" si="296">O457-Q457</f>
        <v>249935.39</v>
      </c>
      <c r="U457" s="462">
        <f t="shared" ref="U457:U484" si="297">R457-T457</f>
        <v>249935.39</v>
      </c>
      <c r="X457" s="462">
        <f t="shared" ref="X457:X484" si="298">U457-W457</f>
        <v>249935.39</v>
      </c>
      <c r="AA457" s="462">
        <f t="shared" ref="AA457:AA484" si="299">X457-Z457</f>
        <v>249935.39</v>
      </c>
      <c r="AD457" s="462">
        <f t="shared" ref="AD457:AD484" si="300">AA457-AC457</f>
        <v>249935.39</v>
      </c>
      <c r="AG457" s="462">
        <f t="shared" ref="AG457:AG484" si="301">AD457-AF457</f>
        <v>249935.39</v>
      </c>
      <c r="AJ457" s="462">
        <f t="shared" ref="AJ457:AJ484" si="302">AG457-AI457</f>
        <v>249935.39</v>
      </c>
      <c r="AM457" s="459">
        <f t="shared" ref="AM457:AM484" si="303">AJ457-AL457</f>
        <v>249935.39</v>
      </c>
      <c r="AN457" s="460"/>
      <c r="AO457" s="460"/>
      <c r="AP457" s="459">
        <f t="shared" ref="AP457:AP484" si="304">AM457-AO457</f>
        <v>249935.39</v>
      </c>
      <c r="AQ457" s="460"/>
      <c r="AR457" s="460"/>
      <c r="AS457" s="459">
        <f t="shared" si="277"/>
        <v>249935.39</v>
      </c>
      <c r="AV457" s="462">
        <f t="shared" si="278"/>
        <v>249935.39</v>
      </c>
      <c r="AW457" s="447" t="s">
        <v>2107</v>
      </c>
      <c r="AX457" s="447">
        <f>200000-AX322-AX384-AX417</f>
        <v>65443.030000000006</v>
      </c>
      <c r="AY457" s="462">
        <f t="shared" si="279"/>
        <v>184492.36000000002</v>
      </c>
      <c r="AZ457" s="447" t="s">
        <v>2131</v>
      </c>
      <c r="BA457" s="462">
        <f>AY457</f>
        <v>184492.36000000002</v>
      </c>
      <c r="BB457" s="462">
        <f t="shared" si="280"/>
        <v>0</v>
      </c>
      <c r="BC457" s="447" t="s">
        <v>2204</v>
      </c>
      <c r="BE457" s="462">
        <f t="shared" si="281"/>
        <v>0</v>
      </c>
      <c r="BH457" s="462">
        <f t="shared" si="282"/>
        <v>0</v>
      </c>
      <c r="BK457" s="462">
        <f t="shared" si="283"/>
        <v>0</v>
      </c>
      <c r="BN457" s="462">
        <f t="shared" si="284"/>
        <v>0</v>
      </c>
      <c r="BQ457" s="462">
        <f t="shared" si="285"/>
        <v>0</v>
      </c>
      <c r="BT457" s="462">
        <f t="shared" si="286"/>
        <v>0</v>
      </c>
      <c r="BW457" s="462">
        <f t="shared" si="287"/>
        <v>0</v>
      </c>
      <c r="BZ457" s="462">
        <f t="shared" si="288"/>
        <v>0</v>
      </c>
      <c r="CD457" s="418" t="str">
        <f t="shared" si="289"/>
        <v>CU0109001</v>
      </c>
      <c r="CE457" s="442" t="str">
        <f t="shared" si="290"/>
        <v>2019年12月</v>
      </c>
      <c r="CF457" s="418" t="str">
        <f t="shared" si="291"/>
        <v>普拉达时装clife服务费暂估</v>
      </c>
      <c r="CG457" s="418" t="str">
        <f t="shared" si="292"/>
        <v>2019年12月普拉达时装clife服务费暂估</v>
      </c>
    </row>
    <row r="458" spans="2:85" s="447" customFormat="1" ht="17.25" customHeight="1">
      <c r="B458" s="447" t="str">
        <f t="shared" si="276"/>
        <v>CU0145</v>
      </c>
      <c r="C458" s="431" t="s">
        <v>755</v>
      </c>
      <c r="D458" s="367" t="s">
        <v>1451</v>
      </c>
      <c r="E458" s="456" t="s">
        <v>2071</v>
      </c>
      <c r="F458" s="457">
        <v>43800</v>
      </c>
      <c r="G458" s="430">
        <v>16726.14</v>
      </c>
      <c r="H458" s="440"/>
      <c r="I458" s="440">
        <f t="shared" si="293"/>
        <v>16726.14</v>
      </c>
      <c r="J458" s="440"/>
      <c r="L458" s="462">
        <f t="shared" si="294"/>
        <v>16726.14</v>
      </c>
      <c r="M458" s="462"/>
      <c r="N458" s="444"/>
      <c r="O458" s="462">
        <f t="shared" si="295"/>
        <v>16726.14</v>
      </c>
      <c r="R458" s="462">
        <f t="shared" si="296"/>
        <v>16726.14</v>
      </c>
      <c r="U458" s="462">
        <f t="shared" si="297"/>
        <v>16726.14</v>
      </c>
      <c r="X458" s="462">
        <f t="shared" si="298"/>
        <v>16726.14</v>
      </c>
      <c r="AA458" s="462">
        <f t="shared" si="299"/>
        <v>16726.14</v>
      </c>
      <c r="AD458" s="462">
        <f t="shared" si="300"/>
        <v>16726.14</v>
      </c>
      <c r="AG458" s="462">
        <f t="shared" si="301"/>
        <v>16726.14</v>
      </c>
      <c r="AJ458" s="462">
        <f t="shared" si="302"/>
        <v>16726.14</v>
      </c>
      <c r="AM458" s="459">
        <f t="shared" si="303"/>
        <v>16726.14</v>
      </c>
      <c r="AN458" s="460"/>
      <c r="AO458" s="460"/>
      <c r="AP458" s="459">
        <f t="shared" si="304"/>
        <v>16726.14</v>
      </c>
      <c r="AQ458" s="460"/>
      <c r="AR458" s="460"/>
      <c r="AS458" s="459">
        <f t="shared" si="277"/>
        <v>16726.14</v>
      </c>
      <c r="AV458" s="462">
        <f t="shared" si="278"/>
        <v>16726.14</v>
      </c>
      <c r="AW458" s="447" t="s">
        <v>2107</v>
      </c>
      <c r="AY458" s="462">
        <f t="shared" si="279"/>
        <v>16726.14</v>
      </c>
      <c r="AZ458" s="447" t="s">
        <v>2131</v>
      </c>
      <c r="BA458" s="462">
        <f>AY458</f>
        <v>16726.14</v>
      </c>
      <c r="BB458" s="462">
        <f t="shared" si="280"/>
        <v>0</v>
      </c>
      <c r="BC458" s="447" t="s">
        <v>2204</v>
      </c>
      <c r="BE458" s="462">
        <f t="shared" si="281"/>
        <v>0</v>
      </c>
      <c r="BH458" s="462">
        <f t="shared" si="282"/>
        <v>0</v>
      </c>
      <c r="BK458" s="462">
        <f t="shared" si="283"/>
        <v>0</v>
      </c>
      <c r="BN458" s="462">
        <f t="shared" si="284"/>
        <v>0</v>
      </c>
      <c r="BQ458" s="462">
        <f t="shared" si="285"/>
        <v>0</v>
      </c>
      <c r="BT458" s="462">
        <f t="shared" si="286"/>
        <v>0</v>
      </c>
      <c r="BW458" s="462">
        <f t="shared" si="287"/>
        <v>0</v>
      </c>
      <c r="BZ458" s="462">
        <f t="shared" si="288"/>
        <v>0</v>
      </c>
      <c r="CD458" s="418" t="str">
        <f t="shared" si="289"/>
        <v>CU0145001</v>
      </c>
      <c r="CE458" s="442" t="str">
        <f t="shared" si="290"/>
        <v>2019年12月</v>
      </c>
      <c r="CF458" s="418" t="str">
        <f t="shared" si="291"/>
        <v>锐珂亚太投clife服务费暂估</v>
      </c>
      <c r="CG458" s="418" t="str">
        <f t="shared" si="292"/>
        <v>2019年12月锐珂亚太投clife服务费暂估</v>
      </c>
    </row>
    <row r="459" spans="2:85" s="447" customFormat="1" ht="17.25" customHeight="1">
      <c r="B459" s="447" t="str">
        <f t="shared" si="276"/>
        <v>CU0182</v>
      </c>
      <c r="C459" s="431" t="s">
        <v>755</v>
      </c>
      <c r="D459" s="367" t="s">
        <v>1452</v>
      </c>
      <c r="E459" s="456" t="s">
        <v>821</v>
      </c>
      <c r="F459" s="457">
        <v>43800</v>
      </c>
      <c r="G459" s="430">
        <v>1427.11</v>
      </c>
      <c r="H459" s="440"/>
      <c r="I459" s="440">
        <f t="shared" si="293"/>
        <v>1427.11</v>
      </c>
      <c r="J459" s="440"/>
      <c r="L459" s="462">
        <f t="shared" si="294"/>
        <v>1427.11</v>
      </c>
      <c r="M459" s="462"/>
      <c r="N459" s="444"/>
      <c r="O459" s="462">
        <f t="shared" si="295"/>
        <v>1427.11</v>
      </c>
      <c r="R459" s="462">
        <f t="shared" si="296"/>
        <v>1427.11</v>
      </c>
      <c r="U459" s="462">
        <f t="shared" si="297"/>
        <v>1427.11</v>
      </c>
      <c r="X459" s="462">
        <f t="shared" si="298"/>
        <v>1427.11</v>
      </c>
      <c r="AA459" s="462">
        <f t="shared" si="299"/>
        <v>1427.11</v>
      </c>
      <c r="AD459" s="462">
        <f t="shared" si="300"/>
        <v>1427.11</v>
      </c>
      <c r="AG459" s="462">
        <f t="shared" si="301"/>
        <v>1427.11</v>
      </c>
      <c r="AJ459" s="462">
        <f t="shared" si="302"/>
        <v>1427.11</v>
      </c>
      <c r="AM459" s="459">
        <f t="shared" si="303"/>
        <v>1427.11</v>
      </c>
      <c r="AN459" s="460"/>
      <c r="AO459" s="460"/>
      <c r="AP459" s="459">
        <f t="shared" si="304"/>
        <v>1427.11</v>
      </c>
      <c r="AQ459" s="460"/>
      <c r="AR459" s="460"/>
      <c r="AS459" s="459">
        <f t="shared" si="277"/>
        <v>1427.11</v>
      </c>
      <c r="AV459" s="462">
        <f t="shared" si="278"/>
        <v>1427.11</v>
      </c>
      <c r="AW459" s="447" t="s">
        <v>2107</v>
      </c>
      <c r="AY459" s="462">
        <f t="shared" si="279"/>
        <v>1427.11</v>
      </c>
      <c r="AZ459" s="447" t="s">
        <v>2131</v>
      </c>
      <c r="BB459" s="462">
        <f t="shared" si="280"/>
        <v>1427.11</v>
      </c>
      <c r="BC459" s="447" t="s">
        <v>2204</v>
      </c>
      <c r="BE459" s="462">
        <f t="shared" si="281"/>
        <v>1427.11</v>
      </c>
      <c r="BF459" s="447" t="s">
        <v>2237</v>
      </c>
      <c r="BH459" s="462">
        <f t="shared" si="282"/>
        <v>1427.11</v>
      </c>
      <c r="BI459" s="447" t="s">
        <v>2292</v>
      </c>
      <c r="BK459" s="462">
        <f t="shared" si="283"/>
        <v>1427.11</v>
      </c>
      <c r="BL459" s="447" t="s">
        <v>2339</v>
      </c>
      <c r="BN459" s="462">
        <f t="shared" si="284"/>
        <v>1427.11</v>
      </c>
      <c r="BO459" s="447" t="s">
        <v>2365</v>
      </c>
      <c r="BQ459" s="462">
        <f t="shared" si="285"/>
        <v>1427.11</v>
      </c>
      <c r="BR459" s="447" t="s">
        <v>2374</v>
      </c>
      <c r="BT459" s="462">
        <f t="shared" si="286"/>
        <v>1427.11</v>
      </c>
      <c r="BU459" s="447" t="s">
        <v>2134</v>
      </c>
      <c r="BW459" s="462">
        <f t="shared" si="287"/>
        <v>1427.11</v>
      </c>
      <c r="BZ459" s="462">
        <f t="shared" si="288"/>
        <v>1427.11</v>
      </c>
      <c r="CD459" s="418" t="str">
        <f t="shared" si="289"/>
        <v>CU0182001</v>
      </c>
      <c r="CE459" s="442" t="str">
        <f t="shared" si="290"/>
        <v>2019年12月</v>
      </c>
      <c r="CF459" s="418" t="str">
        <f t="shared" si="291"/>
        <v>阿姆斯壮（clife服务费暂估</v>
      </c>
      <c r="CG459" s="418" t="str">
        <f t="shared" si="292"/>
        <v>2019年12月阿姆斯壮（clife服务费暂估</v>
      </c>
    </row>
    <row r="460" spans="2:85" s="447" customFormat="1" ht="17.25" customHeight="1">
      <c r="B460" s="447" t="str">
        <f t="shared" si="276"/>
        <v>CU0238</v>
      </c>
      <c r="C460" s="431" t="s">
        <v>755</v>
      </c>
      <c r="D460" s="367" t="s">
        <v>1987</v>
      </c>
      <c r="E460" s="456" t="s">
        <v>54</v>
      </c>
      <c r="F460" s="457">
        <v>43800</v>
      </c>
      <c r="G460" s="430">
        <v>4653</v>
      </c>
      <c r="H460" s="440"/>
      <c r="I460" s="440">
        <f t="shared" si="293"/>
        <v>4653</v>
      </c>
      <c r="J460" s="440"/>
      <c r="L460" s="462">
        <f t="shared" si="294"/>
        <v>4653</v>
      </c>
      <c r="M460" s="462"/>
      <c r="N460" s="444"/>
      <c r="O460" s="462">
        <f t="shared" si="295"/>
        <v>4653</v>
      </c>
      <c r="R460" s="462">
        <f t="shared" si="296"/>
        <v>4653</v>
      </c>
      <c r="U460" s="462">
        <f t="shared" si="297"/>
        <v>4653</v>
      </c>
      <c r="X460" s="462">
        <f t="shared" si="298"/>
        <v>4653</v>
      </c>
      <c r="AA460" s="462">
        <f t="shared" si="299"/>
        <v>4653</v>
      </c>
      <c r="AD460" s="462">
        <f t="shared" si="300"/>
        <v>4653</v>
      </c>
      <c r="AG460" s="462">
        <f t="shared" si="301"/>
        <v>4653</v>
      </c>
      <c r="AJ460" s="462">
        <f t="shared" si="302"/>
        <v>4653</v>
      </c>
      <c r="AM460" s="459">
        <f t="shared" si="303"/>
        <v>4653</v>
      </c>
      <c r="AN460" s="460"/>
      <c r="AO460" s="460"/>
      <c r="AP460" s="459">
        <f t="shared" si="304"/>
        <v>4653</v>
      </c>
      <c r="AQ460" s="460"/>
      <c r="AR460" s="460"/>
      <c r="AS460" s="459">
        <f t="shared" si="277"/>
        <v>4653</v>
      </c>
      <c r="AV460" s="462">
        <f t="shared" si="278"/>
        <v>4653</v>
      </c>
      <c r="AW460" s="447" t="s">
        <v>2107</v>
      </c>
      <c r="AY460" s="462">
        <f t="shared" si="279"/>
        <v>4653</v>
      </c>
      <c r="AZ460" s="447" t="s">
        <v>2131</v>
      </c>
      <c r="BB460" s="462">
        <f t="shared" si="280"/>
        <v>4653</v>
      </c>
      <c r="BC460" s="447" t="s">
        <v>2204</v>
      </c>
      <c r="BE460" s="462">
        <f t="shared" si="281"/>
        <v>4653</v>
      </c>
      <c r="BF460" s="447" t="s">
        <v>2237</v>
      </c>
      <c r="BH460" s="462">
        <f t="shared" si="282"/>
        <v>4653</v>
      </c>
      <c r="BI460" s="447" t="s">
        <v>2292</v>
      </c>
      <c r="BK460" s="462">
        <f t="shared" si="283"/>
        <v>4653</v>
      </c>
      <c r="BL460" s="447" t="s">
        <v>2339</v>
      </c>
      <c r="BN460" s="462">
        <f t="shared" si="284"/>
        <v>4653</v>
      </c>
      <c r="BO460" s="447" t="s">
        <v>2365</v>
      </c>
      <c r="BQ460" s="462">
        <f t="shared" si="285"/>
        <v>4653</v>
      </c>
      <c r="BR460" s="447" t="s">
        <v>2374</v>
      </c>
      <c r="BS460" s="462">
        <f>BQ460</f>
        <v>4653</v>
      </c>
      <c r="BT460" s="462">
        <f t="shared" si="286"/>
        <v>0</v>
      </c>
      <c r="BW460" s="462">
        <f t="shared" si="287"/>
        <v>0</v>
      </c>
      <c r="BZ460" s="462">
        <f t="shared" si="288"/>
        <v>0</v>
      </c>
      <c r="CD460" s="418" t="str">
        <f t="shared" si="289"/>
        <v>CU0238001</v>
      </c>
      <c r="CE460" s="442" t="str">
        <f t="shared" si="290"/>
        <v>2019年12月</v>
      </c>
      <c r="CF460" s="418" t="str">
        <f t="shared" si="291"/>
        <v>丘奇鞋业（clife服务费暂估</v>
      </c>
      <c r="CG460" s="418" t="str">
        <f t="shared" si="292"/>
        <v>2019年12月丘奇鞋业（clife服务费暂估</v>
      </c>
    </row>
    <row r="461" spans="2:85" s="447" customFormat="1" ht="17.25" customHeight="1">
      <c r="B461" s="447" t="str">
        <f t="shared" si="276"/>
        <v>CU0351</v>
      </c>
      <c r="C461" s="431" t="s">
        <v>755</v>
      </c>
      <c r="D461" s="367" t="s">
        <v>1571</v>
      </c>
      <c r="E461" s="456" t="s">
        <v>80</v>
      </c>
      <c r="F461" s="457">
        <v>43800</v>
      </c>
      <c r="G461" s="430">
        <v>22842.75</v>
      </c>
      <c r="H461" s="440"/>
      <c r="I461" s="440">
        <f t="shared" si="293"/>
        <v>22842.75</v>
      </c>
      <c r="J461" s="440"/>
      <c r="L461" s="462">
        <f t="shared" si="294"/>
        <v>22842.75</v>
      </c>
      <c r="M461" s="462"/>
      <c r="N461" s="444"/>
      <c r="O461" s="462">
        <f t="shared" si="295"/>
        <v>22842.75</v>
      </c>
      <c r="R461" s="462">
        <f t="shared" si="296"/>
        <v>22842.75</v>
      </c>
      <c r="U461" s="462">
        <f t="shared" si="297"/>
        <v>22842.75</v>
      </c>
      <c r="X461" s="462">
        <f t="shared" si="298"/>
        <v>22842.75</v>
      </c>
      <c r="AA461" s="462">
        <f t="shared" si="299"/>
        <v>22842.75</v>
      </c>
      <c r="AD461" s="462">
        <f t="shared" si="300"/>
        <v>22842.75</v>
      </c>
      <c r="AG461" s="462">
        <f t="shared" si="301"/>
        <v>22842.75</v>
      </c>
      <c r="AJ461" s="462">
        <f t="shared" si="302"/>
        <v>22842.75</v>
      </c>
      <c r="AM461" s="459">
        <f t="shared" si="303"/>
        <v>22842.75</v>
      </c>
      <c r="AN461" s="460"/>
      <c r="AO461" s="460"/>
      <c r="AP461" s="459">
        <f t="shared" si="304"/>
        <v>22842.75</v>
      </c>
      <c r="AQ461" s="460"/>
      <c r="AR461" s="460"/>
      <c r="AS461" s="459">
        <f t="shared" si="277"/>
        <v>22842.75</v>
      </c>
      <c r="AV461" s="462">
        <f t="shared" si="278"/>
        <v>22842.75</v>
      </c>
      <c r="AW461" s="447" t="s">
        <v>2107</v>
      </c>
      <c r="AY461" s="462">
        <f t="shared" si="279"/>
        <v>22842.75</v>
      </c>
      <c r="AZ461" s="447" t="s">
        <v>2131</v>
      </c>
      <c r="BA461" s="462">
        <f>AY461</f>
        <v>22842.75</v>
      </c>
      <c r="BB461" s="462">
        <f t="shared" si="280"/>
        <v>0</v>
      </c>
      <c r="BC461" s="447" t="s">
        <v>2204</v>
      </c>
      <c r="BE461" s="462">
        <f t="shared" si="281"/>
        <v>0</v>
      </c>
      <c r="BH461" s="462">
        <f t="shared" si="282"/>
        <v>0</v>
      </c>
      <c r="BK461" s="462">
        <f t="shared" si="283"/>
        <v>0</v>
      </c>
      <c r="BN461" s="462">
        <f t="shared" si="284"/>
        <v>0</v>
      </c>
      <c r="BQ461" s="462">
        <f t="shared" si="285"/>
        <v>0</v>
      </c>
      <c r="BT461" s="462">
        <f t="shared" si="286"/>
        <v>0</v>
      </c>
      <c r="BW461" s="462">
        <f t="shared" si="287"/>
        <v>0</v>
      </c>
      <c r="BZ461" s="462">
        <f t="shared" si="288"/>
        <v>0</v>
      </c>
      <c r="CD461" s="418" t="str">
        <f t="shared" si="289"/>
        <v>CU0351001</v>
      </c>
      <c r="CE461" s="442" t="str">
        <f t="shared" si="290"/>
        <v>2019年12月</v>
      </c>
      <c r="CF461" s="418" t="str">
        <f t="shared" si="291"/>
        <v>克鲁勃clife服务费暂估</v>
      </c>
      <c r="CG461" s="418" t="str">
        <f t="shared" si="292"/>
        <v>2019年12月克鲁勃clife服务费暂估</v>
      </c>
    </row>
    <row r="462" spans="2:85" s="447" customFormat="1" ht="17.25" customHeight="1">
      <c r="B462" s="447" t="str">
        <f t="shared" si="276"/>
        <v>CU0460</v>
      </c>
      <c r="C462" s="431" t="s">
        <v>755</v>
      </c>
      <c r="D462" s="367" t="s">
        <v>1646</v>
      </c>
      <c r="E462" s="456" t="s">
        <v>1637</v>
      </c>
      <c r="F462" s="457">
        <v>43800</v>
      </c>
      <c r="G462" s="430">
        <v>34348.33</v>
      </c>
      <c r="H462" s="440"/>
      <c r="I462" s="440">
        <f t="shared" si="293"/>
        <v>34348.33</v>
      </c>
      <c r="J462" s="440"/>
      <c r="L462" s="462">
        <f t="shared" si="294"/>
        <v>34348.33</v>
      </c>
      <c r="M462" s="462"/>
      <c r="N462" s="444"/>
      <c r="O462" s="462">
        <f t="shared" si="295"/>
        <v>34348.33</v>
      </c>
      <c r="R462" s="462">
        <f t="shared" si="296"/>
        <v>34348.33</v>
      </c>
      <c r="U462" s="462">
        <f t="shared" si="297"/>
        <v>34348.33</v>
      </c>
      <c r="X462" s="462">
        <f t="shared" si="298"/>
        <v>34348.33</v>
      </c>
      <c r="AA462" s="462">
        <f t="shared" si="299"/>
        <v>34348.33</v>
      </c>
      <c r="AD462" s="462">
        <f t="shared" si="300"/>
        <v>34348.33</v>
      </c>
      <c r="AG462" s="462">
        <f t="shared" si="301"/>
        <v>34348.33</v>
      </c>
      <c r="AJ462" s="462">
        <f t="shared" si="302"/>
        <v>34348.33</v>
      </c>
      <c r="AM462" s="459">
        <f t="shared" si="303"/>
        <v>34348.33</v>
      </c>
      <c r="AN462" s="460"/>
      <c r="AO462" s="460"/>
      <c r="AP462" s="459">
        <f t="shared" si="304"/>
        <v>34348.33</v>
      </c>
      <c r="AQ462" s="460"/>
      <c r="AR462" s="460"/>
      <c r="AS462" s="459">
        <f t="shared" si="277"/>
        <v>34348.33</v>
      </c>
      <c r="AV462" s="462">
        <f t="shared" si="278"/>
        <v>34348.33</v>
      </c>
      <c r="AW462" s="447" t="s">
        <v>2107</v>
      </c>
      <c r="AY462" s="462">
        <f t="shared" si="279"/>
        <v>34348.33</v>
      </c>
      <c r="AZ462" s="447" t="s">
        <v>2131</v>
      </c>
      <c r="BB462" s="462">
        <f t="shared" si="280"/>
        <v>34348.33</v>
      </c>
      <c r="BC462" s="447" t="s">
        <v>2204</v>
      </c>
      <c r="BE462" s="462">
        <f t="shared" si="281"/>
        <v>34348.33</v>
      </c>
      <c r="BF462" s="447" t="s">
        <v>2237</v>
      </c>
      <c r="BH462" s="462">
        <f t="shared" si="282"/>
        <v>34348.33</v>
      </c>
      <c r="BI462" s="447" t="s">
        <v>2292</v>
      </c>
      <c r="BK462" s="462">
        <f t="shared" si="283"/>
        <v>34348.33</v>
      </c>
      <c r="BL462" s="447" t="s">
        <v>2339</v>
      </c>
      <c r="BN462" s="462">
        <f t="shared" si="284"/>
        <v>34348.33</v>
      </c>
      <c r="BO462" s="447" t="s">
        <v>2365</v>
      </c>
      <c r="BQ462" s="462">
        <f t="shared" si="285"/>
        <v>34348.33</v>
      </c>
      <c r="BR462" s="447" t="s">
        <v>2374</v>
      </c>
      <c r="BS462" s="462">
        <f>ROUND((58002.98+820.8)/1.06,2)-BS256-BS286-BS329-BS424</f>
        <v>34348.33</v>
      </c>
      <c r="BT462" s="462">
        <f t="shared" si="286"/>
        <v>0</v>
      </c>
      <c r="BW462" s="462">
        <f t="shared" si="287"/>
        <v>0</v>
      </c>
      <c r="BZ462" s="462">
        <f t="shared" si="288"/>
        <v>0</v>
      </c>
      <c r="CD462" s="418" t="str">
        <f t="shared" si="289"/>
        <v>CU0460001</v>
      </c>
      <c r="CE462" s="442" t="str">
        <f t="shared" si="290"/>
        <v>2019年12月</v>
      </c>
      <c r="CF462" s="418" t="str">
        <f t="shared" si="291"/>
        <v>新疆金风科clife服务费暂估</v>
      </c>
      <c r="CG462" s="418" t="str">
        <f t="shared" si="292"/>
        <v>2019年12月新疆金风科clife服务费暂估</v>
      </c>
    </row>
    <row r="463" spans="2:85" s="447" customFormat="1" ht="17.25" customHeight="1">
      <c r="B463" s="447" t="str">
        <f t="shared" si="276"/>
        <v>CU0531</v>
      </c>
      <c r="C463" s="431" t="s">
        <v>755</v>
      </c>
      <c r="D463" s="367" t="s">
        <v>1453</v>
      </c>
      <c r="E463" s="456" t="s">
        <v>363</v>
      </c>
      <c r="F463" s="457">
        <v>43800</v>
      </c>
      <c r="G463" s="430">
        <v>77841.789999999994</v>
      </c>
      <c r="H463" s="440"/>
      <c r="I463" s="440">
        <f t="shared" si="293"/>
        <v>77841.789999999994</v>
      </c>
      <c r="J463" s="440"/>
      <c r="L463" s="462">
        <f t="shared" si="294"/>
        <v>77841.789999999994</v>
      </c>
      <c r="M463" s="462"/>
      <c r="N463" s="444"/>
      <c r="O463" s="462">
        <f t="shared" si="295"/>
        <v>77841.789999999994</v>
      </c>
      <c r="R463" s="462">
        <f t="shared" si="296"/>
        <v>77841.789999999994</v>
      </c>
      <c r="U463" s="462">
        <f t="shared" si="297"/>
        <v>77841.789999999994</v>
      </c>
      <c r="X463" s="462">
        <f t="shared" si="298"/>
        <v>77841.789999999994</v>
      </c>
      <c r="AA463" s="462">
        <f t="shared" si="299"/>
        <v>77841.789999999994</v>
      </c>
      <c r="AD463" s="462">
        <f t="shared" si="300"/>
        <v>77841.789999999994</v>
      </c>
      <c r="AG463" s="462">
        <f t="shared" si="301"/>
        <v>77841.789999999994</v>
      </c>
      <c r="AJ463" s="462">
        <f t="shared" si="302"/>
        <v>77841.789999999994</v>
      </c>
      <c r="AM463" s="459">
        <f t="shared" si="303"/>
        <v>77841.789999999994</v>
      </c>
      <c r="AN463" s="460"/>
      <c r="AO463" s="460"/>
      <c r="AP463" s="459">
        <f t="shared" si="304"/>
        <v>77841.789999999994</v>
      </c>
      <c r="AQ463" s="460"/>
      <c r="AR463" s="460"/>
      <c r="AS463" s="459">
        <f t="shared" si="277"/>
        <v>77841.789999999994</v>
      </c>
      <c r="AV463" s="462">
        <f t="shared" si="278"/>
        <v>77841.789999999994</v>
      </c>
      <c r="AW463" s="447" t="s">
        <v>2107</v>
      </c>
      <c r="AY463" s="462">
        <f t="shared" si="279"/>
        <v>77841.789999999994</v>
      </c>
      <c r="AZ463" s="447" t="s">
        <v>2131</v>
      </c>
      <c r="BB463" s="462">
        <f t="shared" si="280"/>
        <v>77841.789999999994</v>
      </c>
      <c r="BC463" s="447" t="s">
        <v>2204</v>
      </c>
      <c r="BE463" s="462">
        <f t="shared" si="281"/>
        <v>77841.789999999994</v>
      </c>
      <c r="BF463" s="447" t="s">
        <v>2237</v>
      </c>
      <c r="BH463" s="462">
        <f t="shared" si="282"/>
        <v>77841.789999999994</v>
      </c>
      <c r="BI463" s="447" t="s">
        <v>2292</v>
      </c>
      <c r="BK463" s="462">
        <f t="shared" si="283"/>
        <v>77841.789999999994</v>
      </c>
      <c r="BL463" s="447" t="s">
        <v>2339</v>
      </c>
      <c r="BN463" s="462">
        <f t="shared" si="284"/>
        <v>77841.789999999994</v>
      </c>
      <c r="BO463" s="447" t="s">
        <v>2365</v>
      </c>
      <c r="BQ463" s="462">
        <f t="shared" si="285"/>
        <v>77841.789999999994</v>
      </c>
      <c r="BR463" s="447" t="s">
        <v>2374</v>
      </c>
      <c r="BT463" s="462">
        <f t="shared" si="286"/>
        <v>77841.789999999994</v>
      </c>
      <c r="BU463" s="447" t="s">
        <v>2134</v>
      </c>
      <c r="BV463" s="462">
        <f>BT463</f>
        <v>77841.789999999994</v>
      </c>
      <c r="BW463" s="462">
        <f t="shared" si="287"/>
        <v>0</v>
      </c>
      <c r="BZ463" s="462">
        <f t="shared" si="288"/>
        <v>0</v>
      </c>
      <c r="CD463" s="418" t="str">
        <f t="shared" si="289"/>
        <v>CU0531001</v>
      </c>
      <c r="CE463" s="442" t="str">
        <f t="shared" si="290"/>
        <v>2019年12月</v>
      </c>
      <c r="CF463" s="418" t="str">
        <f t="shared" si="291"/>
        <v>恩思恩时尚clife服务费暂估</v>
      </c>
      <c r="CG463" s="418" t="str">
        <f t="shared" si="292"/>
        <v>2019年12月恩思恩时尚clife服务费暂估</v>
      </c>
    </row>
    <row r="464" spans="2:85" s="447" customFormat="1" ht="17.25" customHeight="1">
      <c r="B464" s="447" t="str">
        <f t="shared" si="276"/>
        <v>CU0562</v>
      </c>
      <c r="C464" s="431" t="s">
        <v>755</v>
      </c>
      <c r="D464" s="367" t="s">
        <v>2025</v>
      </c>
      <c r="E464" s="456" t="s">
        <v>1804</v>
      </c>
      <c r="F464" s="457">
        <v>43800</v>
      </c>
      <c r="G464" s="430">
        <v>10664.95</v>
      </c>
      <c r="H464" s="440"/>
      <c r="I464" s="440">
        <f t="shared" si="293"/>
        <v>10664.95</v>
      </c>
      <c r="J464" s="440"/>
      <c r="L464" s="462">
        <f t="shared" si="294"/>
        <v>10664.95</v>
      </c>
      <c r="M464" s="462"/>
      <c r="N464" s="444"/>
      <c r="O464" s="462">
        <f t="shared" si="295"/>
        <v>10664.95</v>
      </c>
      <c r="R464" s="462">
        <f t="shared" si="296"/>
        <v>10664.95</v>
      </c>
      <c r="U464" s="462">
        <f t="shared" si="297"/>
        <v>10664.95</v>
      </c>
      <c r="X464" s="462">
        <f t="shared" si="298"/>
        <v>10664.95</v>
      </c>
      <c r="AA464" s="462">
        <f t="shared" si="299"/>
        <v>10664.95</v>
      </c>
      <c r="AD464" s="462">
        <f t="shared" si="300"/>
        <v>10664.95</v>
      </c>
      <c r="AG464" s="462">
        <f t="shared" si="301"/>
        <v>10664.95</v>
      </c>
      <c r="AJ464" s="462">
        <f t="shared" si="302"/>
        <v>10664.95</v>
      </c>
      <c r="AM464" s="459">
        <f t="shared" si="303"/>
        <v>10664.95</v>
      </c>
      <c r="AN464" s="460"/>
      <c r="AO464" s="460"/>
      <c r="AP464" s="459">
        <f t="shared" si="304"/>
        <v>10664.95</v>
      </c>
      <c r="AQ464" s="460"/>
      <c r="AR464" s="460"/>
      <c r="AS464" s="459">
        <f t="shared" si="277"/>
        <v>10664.95</v>
      </c>
      <c r="AV464" s="462">
        <f t="shared" si="278"/>
        <v>10664.95</v>
      </c>
      <c r="AW464" s="447" t="s">
        <v>2107</v>
      </c>
      <c r="AY464" s="462">
        <f t="shared" si="279"/>
        <v>10664.95</v>
      </c>
      <c r="AZ464" s="447" t="s">
        <v>2131</v>
      </c>
      <c r="BB464" s="462">
        <f t="shared" si="280"/>
        <v>10664.95</v>
      </c>
      <c r="BC464" s="447" t="s">
        <v>2204</v>
      </c>
      <c r="BE464" s="462">
        <f t="shared" si="281"/>
        <v>10664.95</v>
      </c>
      <c r="BF464" s="447" t="s">
        <v>2237</v>
      </c>
      <c r="BH464" s="462">
        <f t="shared" si="282"/>
        <v>10664.95</v>
      </c>
      <c r="BI464" s="447" t="s">
        <v>2292</v>
      </c>
      <c r="BK464" s="462">
        <f t="shared" si="283"/>
        <v>10664.95</v>
      </c>
      <c r="BL464" s="447" t="s">
        <v>2339</v>
      </c>
      <c r="BN464" s="462">
        <f t="shared" si="284"/>
        <v>10664.95</v>
      </c>
      <c r="BO464" s="447" t="s">
        <v>2365</v>
      </c>
      <c r="BQ464" s="462">
        <f t="shared" si="285"/>
        <v>10664.95</v>
      </c>
      <c r="BR464" s="447" t="s">
        <v>2374</v>
      </c>
      <c r="BT464" s="462">
        <f t="shared" si="286"/>
        <v>10664.95</v>
      </c>
      <c r="BU464" s="447" t="s">
        <v>2134</v>
      </c>
      <c r="BW464" s="462">
        <f t="shared" si="287"/>
        <v>10664.95</v>
      </c>
      <c r="BZ464" s="462">
        <f t="shared" si="288"/>
        <v>10664.95</v>
      </c>
      <c r="CD464" s="418" t="str">
        <f t="shared" si="289"/>
        <v>CU0562001</v>
      </c>
      <c r="CE464" s="442" t="str">
        <f t="shared" si="290"/>
        <v>2019年12月</v>
      </c>
      <c r="CF464" s="418" t="str">
        <f t="shared" si="291"/>
        <v>杭州康晟健clife服务费暂估</v>
      </c>
      <c r="CG464" s="418" t="str">
        <f t="shared" si="292"/>
        <v>2019年12月杭州康晟健clife服务费暂估</v>
      </c>
    </row>
    <row r="465" spans="2:85" s="447" customFormat="1" ht="17.25" customHeight="1">
      <c r="B465" s="447" t="str">
        <f t="shared" si="276"/>
        <v>CU0636</v>
      </c>
      <c r="C465" s="431" t="s">
        <v>755</v>
      </c>
      <c r="D465" s="367" t="s">
        <v>1759</v>
      </c>
      <c r="E465" s="456" t="s">
        <v>2068</v>
      </c>
      <c r="F465" s="457">
        <v>43800</v>
      </c>
      <c r="G465" s="430">
        <v>96198.1</v>
      </c>
      <c r="H465" s="440"/>
      <c r="I465" s="440">
        <f t="shared" si="293"/>
        <v>96198.1</v>
      </c>
      <c r="J465" s="440"/>
      <c r="L465" s="462">
        <f t="shared" si="294"/>
        <v>96198.1</v>
      </c>
      <c r="M465" s="462"/>
      <c r="N465" s="444"/>
      <c r="O465" s="462">
        <f t="shared" si="295"/>
        <v>96198.1</v>
      </c>
      <c r="R465" s="462">
        <f t="shared" si="296"/>
        <v>96198.1</v>
      </c>
      <c r="U465" s="462">
        <f t="shared" si="297"/>
        <v>96198.1</v>
      </c>
      <c r="X465" s="462">
        <f t="shared" si="298"/>
        <v>96198.1</v>
      </c>
      <c r="AA465" s="462">
        <f t="shared" si="299"/>
        <v>96198.1</v>
      </c>
      <c r="AD465" s="462">
        <f t="shared" si="300"/>
        <v>96198.1</v>
      </c>
      <c r="AG465" s="462">
        <f t="shared" si="301"/>
        <v>96198.1</v>
      </c>
      <c r="AJ465" s="462">
        <f t="shared" si="302"/>
        <v>96198.1</v>
      </c>
      <c r="AM465" s="459">
        <f t="shared" si="303"/>
        <v>96198.1</v>
      </c>
      <c r="AN465" s="460"/>
      <c r="AO465" s="460"/>
      <c r="AP465" s="459">
        <f t="shared" si="304"/>
        <v>96198.1</v>
      </c>
      <c r="AQ465" s="460"/>
      <c r="AR465" s="460"/>
      <c r="AS465" s="459">
        <f t="shared" si="277"/>
        <v>96198.1</v>
      </c>
      <c r="AV465" s="462">
        <f t="shared" si="278"/>
        <v>96198.1</v>
      </c>
      <c r="AW465" s="447" t="s">
        <v>2107</v>
      </c>
      <c r="AY465" s="462">
        <f t="shared" si="279"/>
        <v>96198.1</v>
      </c>
      <c r="AZ465" s="447" t="s">
        <v>2131</v>
      </c>
      <c r="BB465" s="462">
        <f t="shared" si="280"/>
        <v>96198.1</v>
      </c>
      <c r="BC465" s="447" t="s">
        <v>2204</v>
      </c>
      <c r="BD465" s="462">
        <f>BB465</f>
        <v>96198.1</v>
      </c>
      <c r="BE465" s="462">
        <f t="shared" si="281"/>
        <v>0</v>
      </c>
      <c r="BH465" s="462">
        <f t="shared" si="282"/>
        <v>0</v>
      </c>
      <c r="BK465" s="462">
        <f t="shared" si="283"/>
        <v>0</v>
      </c>
      <c r="BN465" s="462">
        <f t="shared" si="284"/>
        <v>0</v>
      </c>
      <c r="BQ465" s="462">
        <f t="shared" si="285"/>
        <v>0</v>
      </c>
      <c r="BT465" s="462">
        <f t="shared" si="286"/>
        <v>0</v>
      </c>
      <c r="BW465" s="462">
        <f t="shared" si="287"/>
        <v>0</v>
      </c>
      <c r="BZ465" s="462">
        <f t="shared" si="288"/>
        <v>0</v>
      </c>
      <c r="CD465" s="418" t="str">
        <f t="shared" si="289"/>
        <v>CU0636001</v>
      </c>
      <c r="CE465" s="442" t="str">
        <f t="shared" si="290"/>
        <v>2019年12月</v>
      </c>
      <c r="CF465" s="418" t="str">
        <f t="shared" si="291"/>
        <v>巴丽（上海clife服务费暂估</v>
      </c>
      <c r="CG465" s="418" t="str">
        <f t="shared" si="292"/>
        <v>2019年12月巴丽（上海clife服务费暂估</v>
      </c>
    </row>
    <row r="466" spans="2:85" s="447" customFormat="1" ht="17.25" customHeight="1">
      <c r="B466" s="447" t="str">
        <f t="shared" si="276"/>
        <v>CU0667</v>
      </c>
      <c r="C466" s="431" t="s">
        <v>755</v>
      </c>
      <c r="D466" s="367" t="s">
        <v>1454</v>
      </c>
      <c r="E466" s="456" t="s">
        <v>2069</v>
      </c>
      <c r="F466" s="457">
        <v>43800</v>
      </c>
      <c r="G466" s="430">
        <v>873.63</v>
      </c>
      <c r="H466" s="440"/>
      <c r="I466" s="440">
        <f t="shared" si="293"/>
        <v>873.63</v>
      </c>
      <c r="J466" s="440"/>
      <c r="L466" s="462">
        <f t="shared" si="294"/>
        <v>873.63</v>
      </c>
      <c r="M466" s="462"/>
      <c r="N466" s="444"/>
      <c r="O466" s="462">
        <f t="shared" si="295"/>
        <v>873.63</v>
      </c>
      <c r="R466" s="462">
        <f t="shared" si="296"/>
        <v>873.63</v>
      </c>
      <c r="U466" s="462">
        <f t="shared" si="297"/>
        <v>873.63</v>
      </c>
      <c r="X466" s="462">
        <f t="shared" si="298"/>
        <v>873.63</v>
      </c>
      <c r="AA466" s="462">
        <f t="shared" si="299"/>
        <v>873.63</v>
      </c>
      <c r="AD466" s="462">
        <f t="shared" si="300"/>
        <v>873.63</v>
      </c>
      <c r="AG466" s="462">
        <f t="shared" si="301"/>
        <v>873.63</v>
      </c>
      <c r="AJ466" s="462">
        <f t="shared" si="302"/>
        <v>873.63</v>
      </c>
      <c r="AM466" s="459">
        <f t="shared" si="303"/>
        <v>873.63</v>
      </c>
      <c r="AN466" s="460"/>
      <c r="AO466" s="460"/>
      <c r="AP466" s="459">
        <f t="shared" si="304"/>
        <v>873.63</v>
      </c>
      <c r="AQ466" s="460"/>
      <c r="AR466" s="460"/>
      <c r="AS466" s="459">
        <f t="shared" si="277"/>
        <v>873.63</v>
      </c>
      <c r="AV466" s="462">
        <f t="shared" si="278"/>
        <v>873.63</v>
      </c>
      <c r="AW466" s="447" t="s">
        <v>2107</v>
      </c>
      <c r="AY466" s="462">
        <f t="shared" si="279"/>
        <v>873.63</v>
      </c>
      <c r="AZ466" s="447" t="s">
        <v>2131</v>
      </c>
      <c r="BA466" s="462">
        <f>AY466</f>
        <v>873.63</v>
      </c>
      <c r="BB466" s="462">
        <f t="shared" si="280"/>
        <v>0</v>
      </c>
      <c r="BC466" s="447" t="s">
        <v>2204</v>
      </c>
      <c r="BE466" s="462">
        <f t="shared" si="281"/>
        <v>0</v>
      </c>
      <c r="BH466" s="462">
        <f t="shared" si="282"/>
        <v>0</v>
      </c>
      <c r="BK466" s="462">
        <f t="shared" si="283"/>
        <v>0</v>
      </c>
      <c r="BN466" s="462">
        <f t="shared" si="284"/>
        <v>0</v>
      </c>
      <c r="BQ466" s="462">
        <f t="shared" si="285"/>
        <v>0</v>
      </c>
      <c r="BT466" s="462">
        <f t="shared" si="286"/>
        <v>0</v>
      </c>
      <c r="BW466" s="462">
        <f t="shared" si="287"/>
        <v>0</v>
      </c>
      <c r="BZ466" s="462">
        <f t="shared" si="288"/>
        <v>0</v>
      </c>
      <c r="CD466" s="418" t="str">
        <f t="shared" si="289"/>
        <v>CU0667001</v>
      </c>
      <c r="CE466" s="442" t="str">
        <f t="shared" si="290"/>
        <v>2019年12月</v>
      </c>
      <c r="CF466" s="418" t="str">
        <f t="shared" si="291"/>
        <v>北京杰迪安clife服务费暂估</v>
      </c>
      <c r="CG466" s="418" t="str">
        <f t="shared" si="292"/>
        <v>2019年12月北京杰迪安clife服务费暂估</v>
      </c>
    </row>
    <row r="467" spans="2:85" s="447" customFormat="1" ht="17.25" customHeight="1">
      <c r="B467" s="447" t="str">
        <f t="shared" si="276"/>
        <v>CU0812</v>
      </c>
      <c r="C467" s="431" t="s">
        <v>755</v>
      </c>
      <c r="D467" s="367" t="s">
        <v>1455</v>
      </c>
      <c r="E467" s="456" t="s">
        <v>1315</v>
      </c>
      <c r="F467" s="457">
        <v>43800</v>
      </c>
      <c r="G467" s="430">
        <v>4180.54</v>
      </c>
      <c r="H467" s="440"/>
      <c r="I467" s="440">
        <f t="shared" si="293"/>
        <v>4180.54</v>
      </c>
      <c r="J467" s="440"/>
      <c r="L467" s="462">
        <f t="shared" si="294"/>
        <v>4180.54</v>
      </c>
      <c r="M467" s="462"/>
      <c r="N467" s="444"/>
      <c r="O467" s="462">
        <f t="shared" si="295"/>
        <v>4180.54</v>
      </c>
      <c r="R467" s="462">
        <f t="shared" si="296"/>
        <v>4180.54</v>
      </c>
      <c r="U467" s="462">
        <f t="shared" si="297"/>
        <v>4180.54</v>
      </c>
      <c r="X467" s="462">
        <f t="shared" si="298"/>
        <v>4180.54</v>
      </c>
      <c r="AA467" s="462">
        <f t="shared" si="299"/>
        <v>4180.54</v>
      </c>
      <c r="AD467" s="462">
        <f t="shared" si="300"/>
        <v>4180.54</v>
      </c>
      <c r="AG467" s="462">
        <f t="shared" si="301"/>
        <v>4180.54</v>
      </c>
      <c r="AJ467" s="462">
        <f t="shared" si="302"/>
        <v>4180.54</v>
      </c>
      <c r="AM467" s="459">
        <f t="shared" si="303"/>
        <v>4180.54</v>
      </c>
      <c r="AN467" s="460"/>
      <c r="AO467" s="460"/>
      <c r="AP467" s="459">
        <f t="shared" si="304"/>
        <v>4180.54</v>
      </c>
      <c r="AQ467" s="460"/>
      <c r="AR467" s="460"/>
      <c r="AS467" s="459">
        <f t="shared" si="277"/>
        <v>4180.54</v>
      </c>
      <c r="AV467" s="462">
        <f t="shared" si="278"/>
        <v>4180.54</v>
      </c>
      <c r="AW467" s="447" t="s">
        <v>2107</v>
      </c>
      <c r="AY467" s="462">
        <f t="shared" si="279"/>
        <v>4180.54</v>
      </c>
      <c r="AZ467" s="447" t="s">
        <v>2131</v>
      </c>
      <c r="BB467" s="462">
        <f t="shared" si="280"/>
        <v>4180.54</v>
      </c>
      <c r="BC467" s="447" t="s">
        <v>2204</v>
      </c>
      <c r="BE467" s="462">
        <f t="shared" si="281"/>
        <v>4180.54</v>
      </c>
      <c r="BF467" s="447" t="s">
        <v>2237</v>
      </c>
      <c r="BH467" s="462">
        <f t="shared" si="282"/>
        <v>4180.54</v>
      </c>
      <c r="BI467" s="447" t="s">
        <v>2292</v>
      </c>
      <c r="BK467" s="462">
        <f t="shared" si="283"/>
        <v>4180.54</v>
      </c>
      <c r="BL467" s="447" t="s">
        <v>2339</v>
      </c>
      <c r="BN467" s="462">
        <f t="shared" si="284"/>
        <v>4180.54</v>
      </c>
      <c r="BO467" s="447" t="s">
        <v>2365</v>
      </c>
      <c r="BP467" s="462">
        <f>BN467</f>
        <v>4180.54</v>
      </c>
      <c r="BQ467" s="462">
        <f t="shared" si="285"/>
        <v>0</v>
      </c>
      <c r="BT467" s="462">
        <f t="shared" si="286"/>
        <v>0</v>
      </c>
      <c r="BW467" s="462">
        <f t="shared" si="287"/>
        <v>0</v>
      </c>
      <c r="BZ467" s="462">
        <f t="shared" si="288"/>
        <v>0</v>
      </c>
      <c r="CD467" s="418" t="str">
        <f t="shared" si="289"/>
        <v>CU0812001</v>
      </c>
      <c r="CE467" s="442" t="str">
        <f t="shared" si="290"/>
        <v>2019年12月</v>
      </c>
      <c r="CF467" s="418" t="str">
        <f t="shared" si="291"/>
        <v>恩派clife服务费暂估</v>
      </c>
      <c r="CG467" s="418" t="str">
        <f t="shared" si="292"/>
        <v>2019年12月恩派clife服务费暂估</v>
      </c>
    </row>
    <row r="468" spans="2:85" s="447" customFormat="1" ht="17.25" customHeight="1">
      <c r="B468" s="447" t="str">
        <f t="shared" si="276"/>
        <v>CU0823</v>
      </c>
      <c r="C468" s="431" t="s">
        <v>755</v>
      </c>
      <c r="D468" s="367" t="s">
        <v>1457</v>
      </c>
      <c r="E468" s="456" t="s">
        <v>2070</v>
      </c>
      <c r="F468" s="457">
        <v>43800</v>
      </c>
      <c r="G468" s="430">
        <v>58975.44</v>
      </c>
      <c r="H468" s="440"/>
      <c r="I468" s="440">
        <f t="shared" si="293"/>
        <v>58975.44</v>
      </c>
      <c r="J468" s="440"/>
      <c r="L468" s="462">
        <f t="shared" si="294"/>
        <v>58975.44</v>
      </c>
      <c r="M468" s="462"/>
      <c r="N468" s="444"/>
      <c r="O468" s="462">
        <f t="shared" si="295"/>
        <v>58975.44</v>
      </c>
      <c r="R468" s="462">
        <f t="shared" si="296"/>
        <v>58975.44</v>
      </c>
      <c r="U468" s="462">
        <f t="shared" si="297"/>
        <v>58975.44</v>
      </c>
      <c r="X468" s="462">
        <f t="shared" si="298"/>
        <v>58975.44</v>
      </c>
      <c r="AA468" s="462">
        <f t="shared" si="299"/>
        <v>58975.44</v>
      </c>
      <c r="AD468" s="462">
        <f t="shared" si="300"/>
        <v>58975.44</v>
      </c>
      <c r="AG468" s="462">
        <f t="shared" si="301"/>
        <v>58975.44</v>
      </c>
      <c r="AJ468" s="462">
        <f t="shared" si="302"/>
        <v>58975.44</v>
      </c>
      <c r="AM468" s="459">
        <f t="shared" si="303"/>
        <v>58975.44</v>
      </c>
      <c r="AN468" s="460"/>
      <c r="AO468" s="460"/>
      <c r="AP468" s="459">
        <f t="shared" si="304"/>
        <v>58975.44</v>
      </c>
      <c r="AQ468" s="460"/>
      <c r="AR468" s="460"/>
      <c r="AS468" s="459">
        <f t="shared" si="277"/>
        <v>58975.44</v>
      </c>
      <c r="AV468" s="462">
        <f t="shared" si="278"/>
        <v>58975.44</v>
      </c>
      <c r="AW468" s="447" t="s">
        <v>2107</v>
      </c>
      <c r="AY468" s="462">
        <f t="shared" si="279"/>
        <v>58975.44</v>
      </c>
      <c r="AZ468" s="447" t="s">
        <v>2131</v>
      </c>
      <c r="BB468" s="462">
        <f t="shared" si="280"/>
        <v>58975.44</v>
      </c>
      <c r="BC468" s="447" t="s">
        <v>2204</v>
      </c>
      <c r="BE468" s="462">
        <f t="shared" si="281"/>
        <v>58975.44</v>
      </c>
      <c r="BF468" s="447" t="s">
        <v>2237</v>
      </c>
      <c r="BH468" s="462">
        <f t="shared" si="282"/>
        <v>58975.44</v>
      </c>
      <c r="BI468" s="447" t="s">
        <v>2292</v>
      </c>
      <c r="BK468" s="462">
        <f t="shared" si="283"/>
        <v>58975.44</v>
      </c>
      <c r="BL468" s="447" t="s">
        <v>2339</v>
      </c>
      <c r="BN468" s="462">
        <f t="shared" si="284"/>
        <v>58975.44</v>
      </c>
      <c r="BO468" s="447" t="s">
        <v>2365</v>
      </c>
      <c r="BQ468" s="462">
        <f t="shared" si="285"/>
        <v>58975.44</v>
      </c>
      <c r="BR468" s="447" t="s">
        <v>2374</v>
      </c>
      <c r="BT468" s="462">
        <f t="shared" si="286"/>
        <v>58975.44</v>
      </c>
      <c r="BU468" s="447" t="s">
        <v>2134</v>
      </c>
      <c r="BW468" s="462">
        <f t="shared" si="287"/>
        <v>58975.44</v>
      </c>
      <c r="BZ468" s="462">
        <f t="shared" si="288"/>
        <v>58975.44</v>
      </c>
      <c r="CD468" s="418" t="str">
        <f t="shared" si="289"/>
        <v>CU0823001</v>
      </c>
      <c r="CE468" s="442" t="str">
        <f t="shared" si="290"/>
        <v>2019年12月</v>
      </c>
      <c r="CF468" s="418" t="str">
        <f t="shared" si="291"/>
        <v>凯杰生物工clife服务费暂估</v>
      </c>
      <c r="CG468" s="418" t="str">
        <f t="shared" si="292"/>
        <v>2019年12月凯杰生物工clife服务费暂估</v>
      </c>
    </row>
    <row r="469" spans="2:85" s="447" customFormat="1" ht="17.25" customHeight="1">
      <c r="B469" s="447" t="str">
        <f t="shared" si="276"/>
        <v>CU0824</v>
      </c>
      <c r="C469" s="431" t="s">
        <v>755</v>
      </c>
      <c r="D469" s="367" t="s">
        <v>1458</v>
      </c>
      <c r="E469" s="456" t="s">
        <v>1292</v>
      </c>
      <c r="F469" s="457">
        <v>43800</v>
      </c>
      <c r="G469" s="430">
        <v>211.06</v>
      </c>
      <c r="H469" s="440"/>
      <c r="I469" s="440">
        <f t="shared" si="293"/>
        <v>211.06</v>
      </c>
      <c r="J469" s="440"/>
      <c r="L469" s="462">
        <f t="shared" si="294"/>
        <v>211.06</v>
      </c>
      <c r="M469" s="462"/>
      <c r="N469" s="444"/>
      <c r="O469" s="462">
        <f t="shared" si="295"/>
        <v>211.06</v>
      </c>
      <c r="R469" s="462">
        <f t="shared" si="296"/>
        <v>211.06</v>
      </c>
      <c r="U469" s="462">
        <f t="shared" si="297"/>
        <v>211.06</v>
      </c>
      <c r="X469" s="462">
        <f t="shared" si="298"/>
        <v>211.06</v>
      </c>
      <c r="AA469" s="462">
        <f t="shared" si="299"/>
        <v>211.06</v>
      </c>
      <c r="AD469" s="462">
        <f t="shared" si="300"/>
        <v>211.06</v>
      </c>
      <c r="AG469" s="462">
        <f t="shared" si="301"/>
        <v>211.06</v>
      </c>
      <c r="AJ469" s="462">
        <f t="shared" si="302"/>
        <v>211.06</v>
      </c>
      <c r="AM469" s="459">
        <f t="shared" si="303"/>
        <v>211.06</v>
      </c>
      <c r="AN469" s="460"/>
      <c r="AO469" s="460"/>
      <c r="AP469" s="459">
        <f t="shared" si="304"/>
        <v>211.06</v>
      </c>
      <c r="AQ469" s="460"/>
      <c r="AR469" s="460"/>
      <c r="AS469" s="459">
        <f t="shared" si="277"/>
        <v>211.06</v>
      </c>
      <c r="AU469" s="462"/>
      <c r="AV469" s="462">
        <f t="shared" si="278"/>
        <v>211.06</v>
      </c>
      <c r="AW469" s="447" t="s">
        <v>2107</v>
      </c>
      <c r="AY469" s="462">
        <f t="shared" si="279"/>
        <v>211.06</v>
      </c>
      <c r="AZ469" s="447" t="s">
        <v>2131</v>
      </c>
      <c r="BB469" s="462">
        <f t="shared" si="280"/>
        <v>211.06</v>
      </c>
      <c r="BC469" s="447" t="s">
        <v>2204</v>
      </c>
      <c r="BD469" s="462">
        <f>BB469</f>
        <v>211.06</v>
      </c>
      <c r="BE469" s="462">
        <f t="shared" si="281"/>
        <v>0</v>
      </c>
      <c r="BH469" s="462">
        <f t="shared" si="282"/>
        <v>0</v>
      </c>
      <c r="BK469" s="462">
        <f t="shared" si="283"/>
        <v>0</v>
      </c>
      <c r="BN469" s="462">
        <f t="shared" si="284"/>
        <v>0</v>
      </c>
      <c r="BQ469" s="462">
        <f t="shared" si="285"/>
        <v>0</v>
      </c>
      <c r="BT469" s="462">
        <f t="shared" si="286"/>
        <v>0</v>
      </c>
      <c r="BW469" s="462">
        <f t="shared" si="287"/>
        <v>0</v>
      </c>
      <c r="BZ469" s="462">
        <f t="shared" si="288"/>
        <v>0</v>
      </c>
      <c r="CD469" s="418" t="str">
        <f t="shared" si="289"/>
        <v>CU0824001</v>
      </c>
      <c r="CE469" s="442" t="str">
        <f t="shared" si="290"/>
        <v>2019年12月</v>
      </c>
      <c r="CF469" s="418" t="str">
        <f t="shared" si="291"/>
        <v>苏州舒尔贸clife服务费暂估</v>
      </c>
      <c r="CG469" s="418" t="str">
        <f t="shared" si="292"/>
        <v>2019年12月苏州舒尔贸clife服务费暂估</v>
      </c>
    </row>
    <row r="470" spans="2:85" s="447" customFormat="1" ht="17.25" customHeight="1">
      <c r="B470" s="447" t="str">
        <f t="shared" si="276"/>
        <v>CU0848</v>
      </c>
      <c r="C470" s="431" t="s">
        <v>755</v>
      </c>
      <c r="D470" s="367" t="s">
        <v>1462</v>
      </c>
      <c r="E470" s="456" t="s">
        <v>1830</v>
      </c>
      <c r="F470" s="457">
        <v>43800</v>
      </c>
      <c r="G470" s="430">
        <v>6991.28</v>
      </c>
      <c r="H470" s="440"/>
      <c r="I470" s="440">
        <f t="shared" si="293"/>
        <v>6991.28</v>
      </c>
      <c r="J470" s="440"/>
      <c r="L470" s="462">
        <f t="shared" si="294"/>
        <v>6991.28</v>
      </c>
      <c r="M470" s="462"/>
      <c r="N470" s="444"/>
      <c r="O470" s="462">
        <f t="shared" si="295"/>
        <v>6991.28</v>
      </c>
      <c r="R470" s="462">
        <f t="shared" si="296"/>
        <v>6991.28</v>
      </c>
      <c r="U470" s="462">
        <f t="shared" si="297"/>
        <v>6991.28</v>
      </c>
      <c r="X470" s="462">
        <f t="shared" si="298"/>
        <v>6991.28</v>
      </c>
      <c r="AA470" s="462">
        <f t="shared" si="299"/>
        <v>6991.28</v>
      </c>
      <c r="AD470" s="462">
        <f t="shared" si="300"/>
        <v>6991.28</v>
      </c>
      <c r="AG470" s="462">
        <f t="shared" si="301"/>
        <v>6991.28</v>
      </c>
      <c r="AJ470" s="462">
        <f t="shared" si="302"/>
        <v>6991.28</v>
      </c>
      <c r="AM470" s="459">
        <f t="shared" si="303"/>
        <v>6991.28</v>
      </c>
      <c r="AN470" s="460"/>
      <c r="AO470" s="460"/>
      <c r="AP470" s="459">
        <f t="shared" si="304"/>
        <v>6991.28</v>
      </c>
      <c r="AQ470" s="460"/>
      <c r="AR470" s="460"/>
      <c r="AS470" s="459">
        <f t="shared" si="277"/>
        <v>6991.28</v>
      </c>
      <c r="AV470" s="462">
        <f t="shared" si="278"/>
        <v>6991.28</v>
      </c>
      <c r="AW470" s="447" t="s">
        <v>2107</v>
      </c>
      <c r="AX470" s="462">
        <f>AV470</f>
        <v>6991.28</v>
      </c>
      <c r="AY470" s="462">
        <f t="shared" si="279"/>
        <v>0</v>
      </c>
      <c r="BB470" s="462">
        <f t="shared" si="280"/>
        <v>0</v>
      </c>
      <c r="BC470" s="447" t="s">
        <v>2204</v>
      </c>
      <c r="BE470" s="462">
        <f t="shared" si="281"/>
        <v>0</v>
      </c>
      <c r="BH470" s="462">
        <f t="shared" si="282"/>
        <v>0</v>
      </c>
      <c r="BK470" s="462">
        <f t="shared" si="283"/>
        <v>0</v>
      </c>
      <c r="BN470" s="462">
        <f t="shared" si="284"/>
        <v>0</v>
      </c>
      <c r="BQ470" s="462">
        <f t="shared" si="285"/>
        <v>0</v>
      </c>
      <c r="BT470" s="462">
        <f t="shared" si="286"/>
        <v>0</v>
      </c>
      <c r="BW470" s="462">
        <f t="shared" si="287"/>
        <v>0</v>
      </c>
      <c r="BZ470" s="462">
        <f t="shared" si="288"/>
        <v>0</v>
      </c>
      <c r="CD470" s="418" t="str">
        <f t="shared" si="289"/>
        <v>CU0848001</v>
      </c>
      <c r="CE470" s="442" t="str">
        <f t="shared" si="290"/>
        <v>2019年12月</v>
      </c>
      <c r="CF470" s="418" t="str">
        <f t="shared" si="291"/>
        <v>爱德觅尔（clife服务费暂估</v>
      </c>
      <c r="CG470" s="418" t="str">
        <f t="shared" si="292"/>
        <v>2019年12月爱德觅尔（clife服务费暂估</v>
      </c>
    </row>
    <row r="471" spans="2:85" s="447" customFormat="1" ht="17.25" customHeight="1">
      <c r="B471" s="447" t="str">
        <f t="shared" si="276"/>
        <v>CU0869</v>
      </c>
      <c r="C471" s="431" t="s">
        <v>755</v>
      </c>
      <c r="D471" s="367" t="s">
        <v>1459</v>
      </c>
      <c r="E471" s="456" t="s">
        <v>1469</v>
      </c>
      <c r="F471" s="457">
        <v>43800</v>
      </c>
      <c r="G471" s="430">
        <v>100178.3</v>
      </c>
      <c r="H471" s="440"/>
      <c r="I471" s="440">
        <f t="shared" si="293"/>
        <v>100178.3</v>
      </c>
      <c r="J471" s="440"/>
      <c r="L471" s="462">
        <f t="shared" si="294"/>
        <v>100178.3</v>
      </c>
      <c r="M471" s="462"/>
      <c r="N471" s="444"/>
      <c r="O471" s="462">
        <f t="shared" si="295"/>
        <v>100178.3</v>
      </c>
      <c r="R471" s="462">
        <f t="shared" si="296"/>
        <v>100178.3</v>
      </c>
      <c r="U471" s="462">
        <f t="shared" si="297"/>
        <v>100178.3</v>
      </c>
      <c r="X471" s="462">
        <f t="shared" si="298"/>
        <v>100178.3</v>
      </c>
      <c r="AA471" s="462">
        <f t="shared" si="299"/>
        <v>100178.3</v>
      </c>
      <c r="AD471" s="462">
        <f t="shared" si="300"/>
        <v>100178.3</v>
      </c>
      <c r="AG471" s="462">
        <f t="shared" si="301"/>
        <v>100178.3</v>
      </c>
      <c r="AJ471" s="462">
        <f t="shared" si="302"/>
        <v>100178.3</v>
      </c>
      <c r="AM471" s="459">
        <f t="shared" si="303"/>
        <v>100178.3</v>
      </c>
      <c r="AN471" s="460"/>
      <c r="AO471" s="460"/>
      <c r="AP471" s="459">
        <f t="shared" si="304"/>
        <v>100178.3</v>
      </c>
      <c r="AQ471" s="460"/>
      <c r="AR471" s="460"/>
      <c r="AS471" s="459">
        <f t="shared" si="277"/>
        <v>100178.3</v>
      </c>
      <c r="AV471" s="462">
        <f t="shared" si="278"/>
        <v>100178.3</v>
      </c>
      <c r="AW471" s="447" t="s">
        <v>2107</v>
      </c>
      <c r="AY471" s="462">
        <f t="shared" si="279"/>
        <v>100178.3</v>
      </c>
      <c r="AZ471" s="447" t="s">
        <v>2131</v>
      </c>
      <c r="BA471" s="462">
        <f>500000-BA369-BA399-BA436+ROUND(65700/1.06,2)</f>
        <v>78300.729999999981</v>
      </c>
      <c r="BB471" s="462">
        <f t="shared" si="280"/>
        <v>21877.570000000022</v>
      </c>
      <c r="BC471" s="447" t="s">
        <v>2204</v>
      </c>
      <c r="BD471" s="462">
        <f>BB471</f>
        <v>21877.570000000022</v>
      </c>
      <c r="BE471" s="462">
        <f t="shared" si="281"/>
        <v>0</v>
      </c>
      <c r="BH471" s="462">
        <f t="shared" si="282"/>
        <v>0</v>
      </c>
      <c r="BK471" s="462">
        <f t="shared" si="283"/>
        <v>0</v>
      </c>
      <c r="BN471" s="462">
        <f t="shared" si="284"/>
        <v>0</v>
      </c>
      <c r="BQ471" s="462">
        <f t="shared" si="285"/>
        <v>0</v>
      </c>
      <c r="BT471" s="462">
        <f t="shared" si="286"/>
        <v>0</v>
      </c>
      <c r="BW471" s="462">
        <f t="shared" si="287"/>
        <v>0</v>
      </c>
      <c r="BZ471" s="462">
        <f t="shared" si="288"/>
        <v>0</v>
      </c>
      <c r="CD471" s="418" t="str">
        <f t="shared" si="289"/>
        <v>CU0869001</v>
      </c>
      <c r="CE471" s="442" t="str">
        <f t="shared" si="290"/>
        <v>2019年12月</v>
      </c>
      <c r="CF471" s="418" t="str">
        <f t="shared" si="291"/>
        <v>智睿clife服务费暂估</v>
      </c>
      <c r="CG471" s="418" t="str">
        <f t="shared" si="292"/>
        <v>2019年12月智睿clife服务费暂估</v>
      </c>
    </row>
    <row r="472" spans="2:85" s="447" customFormat="1" ht="17.25" customHeight="1">
      <c r="B472" s="447" t="str">
        <f t="shared" si="276"/>
        <v>CU0884</v>
      </c>
      <c r="C472" s="431" t="s">
        <v>755</v>
      </c>
      <c r="D472" s="367" t="s">
        <v>1575</v>
      </c>
      <c r="E472" s="456" t="s">
        <v>1528</v>
      </c>
      <c r="F472" s="457">
        <v>43800</v>
      </c>
      <c r="G472" s="430">
        <v>943301.86</v>
      </c>
      <c r="H472" s="440"/>
      <c r="I472" s="440">
        <f t="shared" si="293"/>
        <v>943301.86</v>
      </c>
      <c r="J472" s="440"/>
      <c r="L472" s="462">
        <f t="shared" si="294"/>
        <v>943301.86</v>
      </c>
      <c r="M472" s="462"/>
      <c r="N472" s="444"/>
      <c r="O472" s="462">
        <f t="shared" si="295"/>
        <v>943301.86</v>
      </c>
      <c r="R472" s="462">
        <f t="shared" si="296"/>
        <v>943301.86</v>
      </c>
      <c r="U472" s="462">
        <f t="shared" si="297"/>
        <v>943301.86</v>
      </c>
      <c r="X472" s="462">
        <f t="shared" si="298"/>
        <v>943301.86</v>
      </c>
      <c r="AA472" s="462">
        <f t="shared" si="299"/>
        <v>943301.86</v>
      </c>
      <c r="AD472" s="462">
        <f t="shared" si="300"/>
        <v>943301.86</v>
      </c>
      <c r="AG472" s="462">
        <f t="shared" si="301"/>
        <v>943301.86</v>
      </c>
      <c r="AJ472" s="462">
        <f t="shared" si="302"/>
        <v>943301.86</v>
      </c>
      <c r="AM472" s="459">
        <f t="shared" si="303"/>
        <v>943301.86</v>
      </c>
      <c r="AN472" s="460"/>
      <c r="AO472" s="460"/>
      <c r="AP472" s="459">
        <f t="shared" si="304"/>
        <v>943301.86</v>
      </c>
      <c r="AQ472" s="460"/>
      <c r="AR472" s="460">
        <v>302849.40000000002</v>
      </c>
      <c r="AS472" s="459">
        <f t="shared" si="277"/>
        <v>640452.46</v>
      </c>
      <c r="AU472" s="462">
        <f>AS472</f>
        <v>640452.46</v>
      </c>
      <c r="AV472" s="462">
        <f t="shared" si="278"/>
        <v>0</v>
      </c>
      <c r="AY472" s="462">
        <f t="shared" si="279"/>
        <v>0</v>
      </c>
      <c r="BB472" s="462">
        <f t="shared" si="280"/>
        <v>0</v>
      </c>
      <c r="BC472" s="447" t="s">
        <v>2204</v>
      </c>
      <c r="BE472" s="462">
        <f t="shared" si="281"/>
        <v>0</v>
      </c>
      <c r="BH472" s="462">
        <f t="shared" si="282"/>
        <v>0</v>
      </c>
      <c r="BK472" s="462">
        <f t="shared" si="283"/>
        <v>0</v>
      </c>
      <c r="BN472" s="462">
        <f t="shared" si="284"/>
        <v>0</v>
      </c>
      <c r="BQ472" s="462">
        <f t="shared" si="285"/>
        <v>0</v>
      </c>
      <c r="BT472" s="462">
        <f t="shared" si="286"/>
        <v>0</v>
      </c>
      <c r="BW472" s="462">
        <f t="shared" si="287"/>
        <v>0</v>
      </c>
      <c r="BZ472" s="462">
        <f t="shared" si="288"/>
        <v>0</v>
      </c>
      <c r="CD472" s="418" t="str">
        <f t="shared" si="289"/>
        <v>CU0884001</v>
      </c>
      <c r="CE472" s="442" t="str">
        <f t="shared" si="290"/>
        <v>2019年12月</v>
      </c>
      <c r="CF472" s="418" t="str">
        <f t="shared" si="291"/>
        <v>恩德斯豪斯clife服务费暂估</v>
      </c>
      <c r="CG472" s="418" t="str">
        <f t="shared" si="292"/>
        <v>2019年12月恩德斯豪斯clife服务费暂估</v>
      </c>
    </row>
    <row r="473" spans="2:85" s="447" customFormat="1" ht="17.25" customHeight="1">
      <c r="B473" s="447" t="str">
        <f t="shared" si="276"/>
        <v>CU0998</v>
      </c>
      <c r="C473" s="431" t="s">
        <v>755</v>
      </c>
      <c r="D473" s="367" t="s">
        <v>2026</v>
      </c>
      <c r="E473" s="456" t="s">
        <v>2019</v>
      </c>
      <c r="F473" s="457">
        <v>43800</v>
      </c>
      <c r="G473" s="430">
        <v>30275.51</v>
      </c>
      <c r="H473" s="440"/>
      <c r="I473" s="440">
        <f t="shared" si="293"/>
        <v>30275.51</v>
      </c>
      <c r="J473" s="440"/>
      <c r="L473" s="462">
        <f t="shared" si="294"/>
        <v>30275.51</v>
      </c>
      <c r="M473" s="462"/>
      <c r="N473" s="444"/>
      <c r="O473" s="462">
        <f t="shared" si="295"/>
        <v>30275.51</v>
      </c>
      <c r="R473" s="462">
        <f t="shared" si="296"/>
        <v>30275.51</v>
      </c>
      <c r="U473" s="462">
        <f t="shared" si="297"/>
        <v>30275.51</v>
      </c>
      <c r="X473" s="462">
        <f t="shared" si="298"/>
        <v>30275.51</v>
      </c>
      <c r="AA473" s="462">
        <f t="shared" si="299"/>
        <v>30275.51</v>
      </c>
      <c r="AD473" s="462">
        <f t="shared" si="300"/>
        <v>30275.51</v>
      </c>
      <c r="AG473" s="462">
        <f t="shared" si="301"/>
        <v>30275.51</v>
      </c>
      <c r="AJ473" s="462">
        <f t="shared" si="302"/>
        <v>30275.51</v>
      </c>
      <c r="AM473" s="459">
        <f t="shared" si="303"/>
        <v>30275.51</v>
      </c>
      <c r="AN473" s="460"/>
      <c r="AO473" s="460"/>
      <c r="AP473" s="459">
        <f t="shared" si="304"/>
        <v>30275.51</v>
      </c>
      <c r="AQ473" s="460"/>
      <c r="AR473" s="460"/>
      <c r="AS473" s="459">
        <f t="shared" si="277"/>
        <v>30275.51</v>
      </c>
      <c r="AV473" s="462">
        <f t="shared" si="278"/>
        <v>30275.51</v>
      </c>
      <c r="AW473" s="447" t="s">
        <v>2107</v>
      </c>
      <c r="AY473" s="462">
        <f t="shared" si="279"/>
        <v>30275.51</v>
      </c>
      <c r="AZ473" s="447" t="s">
        <v>2131</v>
      </c>
      <c r="BB473" s="462">
        <f t="shared" si="280"/>
        <v>30275.51</v>
      </c>
      <c r="BC473" s="447" t="s">
        <v>2204</v>
      </c>
      <c r="BE473" s="462">
        <f t="shared" si="281"/>
        <v>30275.51</v>
      </c>
      <c r="BF473" s="447" t="s">
        <v>2237</v>
      </c>
      <c r="BH473" s="462">
        <f t="shared" si="282"/>
        <v>30275.51</v>
      </c>
      <c r="BI473" s="447" t="s">
        <v>2292</v>
      </c>
      <c r="BK473" s="462">
        <f t="shared" si="283"/>
        <v>30275.51</v>
      </c>
      <c r="BL473" s="447" t="s">
        <v>2339</v>
      </c>
      <c r="BM473" s="447">
        <f>ROUND((2077+3849.5)/1.06,2)+6252+779</f>
        <v>12622.04</v>
      </c>
      <c r="BN473" s="462">
        <f t="shared" si="284"/>
        <v>17653.469999999998</v>
      </c>
      <c r="BO473" s="447" t="s">
        <v>2365</v>
      </c>
      <c r="BQ473" s="462">
        <f t="shared" si="285"/>
        <v>17653.47</v>
      </c>
      <c r="BR473" s="447" t="s">
        <v>2374</v>
      </c>
      <c r="BT473" s="462">
        <f t="shared" si="286"/>
        <v>17653.47</v>
      </c>
      <c r="BU473" s="447" t="s">
        <v>2134</v>
      </c>
      <c r="BW473" s="462">
        <f t="shared" si="287"/>
        <v>17653.47</v>
      </c>
      <c r="BZ473" s="462">
        <f t="shared" si="288"/>
        <v>17653.47</v>
      </c>
      <c r="CD473" s="418" t="str">
        <f t="shared" si="289"/>
        <v>CU0998001</v>
      </c>
      <c r="CE473" s="442" t="str">
        <f t="shared" si="290"/>
        <v>2019年12月</v>
      </c>
      <c r="CF473" s="418" t="str">
        <f t="shared" si="291"/>
        <v>倍酪滋（上clife服务费暂估</v>
      </c>
      <c r="CG473" s="418" t="str">
        <f t="shared" si="292"/>
        <v>2019年12月倍酪滋（上clife服务费暂估</v>
      </c>
    </row>
    <row r="474" spans="2:85" s="447" customFormat="1" ht="17.25" customHeight="1">
      <c r="B474" s="447" t="str">
        <f t="shared" si="276"/>
        <v>CU1015</v>
      </c>
      <c r="C474" s="431" t="s">
        <v>755</v>
      </c>
      <c r="D474" s="367" t="s">
        <v>1989</v>
      </c>
      <c r="E474" s="456" t="s">
        <v>1983</v>
      </c>
      <c r="F474" s="457">
        <v>43800</v>
      </c>
      <c r="G474" s="430">
        <v>7478476.1100000003</v>
      </c>
      <c r="H474" s="440"/>
      <c r="I474" s="440">
        <f t="shared" si="293"/>
        <v>7478476.1100000003</v>
      </c>
      <c r="J474" s="440"/>
      <c r="L474" s="462">
        <f t="shared" si="294"/>
        <v>7478476.1100000003</v>
      </c>
      <c r="M474" s="462"/>
      <c r="N474" s="444"/>
      <c r="O474" s="462">
        <f t="shared" si="295"/>
        <v>7478476.1100000003</v>
      </c>
      <c r="R474" s="462">
        <f t="shared" si="296"/>
        <v>7478476.1100000003</v>
      </c>
      <c r="U474" s="462">
        <f t="shared" si="297"/>
        <v>7478476.1100000003</v>
      </c>
      <c r="X474" s="462">
        <f t="shared" si="298"/>
        <v>7478476.1100000003</v>
      </c>
      <c r="AA474" s="462">
        <f t="shared" si="299"/>
        <v>7478476.1100000003</v>
      </c>
      <c r="AD474" s="462">
        <f t="shared" si="300"/>
        <v>7478476.1100000003</v>
      </c>
      <c r="AG474" s="462">
        <f t="shared" si="301"/>
        <v>7478476.1100000003</v>
      </c>
      <c r="AJ474" s="462">
        <f t="shared" si="302"/>
        <v>7478476.1100000003</v>
      </c>
      <c r="AM474" s="459">
        <f t="shared" si="303"/>
        <v>7478476.1100000003</v>
      </c>
      <c r="AN474" s="460"/>
      <c r="AO474" s="460"/>
      <c r="AP474" s="459">
        <f t="shared" si="304"/>
        <v>7478476.1100000003</v>
      </c>
      <c r="AQ474" s="460"/>
      <c r="AR474" s="460">
        <v>1094320.6200000001</v>
      </c>
      <c r="AS474" s="459">
        <f t="shared" si="277"/>
        <v>6384155.4900000002</v>
      </c>
      <c r="AU474" s="548">
        <v>3360398.68</v>
      </c>
      <c r="AV474" s="462">
        <f t="shared" si="278"/>
        <v>3023756.81</v>
      </c>
      <c r="AW474" s="447" t="s">
        <v>2107</v>
      </c>
      <c r="AX474" s="447">
        <v>3023756.81</v>
      </c>
      <c r="AY474" s="462">
        <f t="shared" si="279"/>
        <v>0</v>
      </c>
      <c r="AZ474" s="447" t="s">
        <v>2131</v>
      </c>
      <c r="BB474" s="462">
        <f t="shared" si="280"/>
        <v>0</v>
      </c>
      <c r="BC474" s="447" t="s">
        <v>2204</v>
      </c>
      <c r="BE474" s="462">
        <f t="shared" si="281"/>
        <v>0</v>
      </c>
      <c r="BH474" s="462">
        <f t="shared" si="282"/>
        <v>0</v>
      </c>
      <c r="BK474" s="462">
        <f t="shared" si="283"/>
        <v>0</v>
      </c>
      <c r="BN474" s="462">
        <f t="shared" si="284"/>
        <v>0</v>
      </c>
      <c r="BQ474" s="462">
        <f t="shared" si="285"/>
        <v>0</v>
      </c>
      <c r="BT474" s="462">
        <f t="shared" si="286"/>
        <v>0</v>
      </c>
      <c r="BW474" s="462">
        <f t="shared" si="287"/>
        <v>0</v>
      </c>
      <c r="BZ474" s="462">
        <f t="shared" si="288"/>
        <v>0</v>
      </c>
      <c r="CD474" s="418" t="str">
        <f t="shared" si="289"/>
        <v>CU1015001</v>
      </c>
      <c r="CE474" s="442" t="str">
        <f t="shared" si="290"/>
        <v>2019年12月</v>
      </c>
      <c r="CF474" s="418" t="str">
        <f t="shared" si="291"/>
        <v>上海德筑企clife服务费暂估</v>
      </c>
      <c r="CG474" s="418" t="str">
        <f t="shared" si="292"/>
        <v>2019年12月上海德筑企clife服务费暂估</v>
      </c>
    </row>
    <row r="475" spans="2:85" s="447" customFormat="1" ht="17.25" customHeight="1">
      <c r="B475" s="447" t="str">
        <f t="shared" si="276"/>
        <v>CU1016</v>
      </c>
      <c r="C475" s="431" t="s">
        <v>755</v>
      </c>
      <c r="D475" s="367" t="s">
        <v>1524</v>
      </c>
      <c r="E475" s="456" t="s">
        <v>1536</v>
      </c>
      <c r="F475" s="457">
        <v>43800</v>
      </c>
      <c r="G475" s="430">
        <v>11668.23</v>
      </c>
      <c r="H475" s="440"/>
      <c r="I475" s="440">
        <f t="shared" si="293"/>
        <v>11668.23</v>
      </c>
      <c r="J475" s="440"/>
      <c r="L475" s="462">
        <f t="shared" si="294"/>
        <v>11668.23</v>
      </c>
      <c r="M475" s="462"/>
      <c r="N475" s="444"/>
      <c r="O475" s="462">
        <f t="shared" si="295"/>
        <v>11668.23</v>
      </c>
      <c r="R475" s="462">
        <f t="shared" si="296"/>
        <v>11668.23</v>
      </c>
      <c r="U475" s="462">
        <f t="shared" si="297"/>
        <v>11668.23</v>
      </c>
      <c r="X475" s="462">
        <f t="shared" si="298"/>
        <v>11668.23</v>
      </c>
      <c r="AA475" s="462">
        <f t="shared" si="299"/>
        <v>11668.23</v>
      </c>
      <c r="AD475" s="462">
        <f t="shared" si="300"/>
        <v>11668.23</v>
      </c>
      <c r="AG475" s="462">
        <f t="shared" si="301"/>
        <v>11668.23</v>
      </c>
      <c r="AJ475" s="462">
        <f t="shared" si="302"/>
        <v>11668.23</v>
      </c>
      <c r="AM475" s="459">
        <f t="shared" si="303"/>
        <v>11668.23</v>
      </c>
      <c r="AN475" s="460"/>
      <c r="AO475" s="460"/>
      <c r="AP475" s="459">
        <f t="shared" si="304"/>
        <v>11668.23</v>
      </c>
      <c r="AQ475" s="460"/>
      <c r="AR475" s="460"/>
      <c r="AS475" s="459">
        <f t="shared" si="277"/>
        <v>11668.23</v>
      </c>
      <c r="AV475" s="462">
        <f t="shared" si="278"/>
        <v>11668.23</v>
      </c>
      <c r="AW475" s="447" t="s">
        <v>2107</v>
      </c>
      <c r="AY475" s="462">
        <f t="shared" si="279"/>
        <v>11668.23</v>
      </c>
      <c r="AZ475" s="447" t="s">
        <v>2131</v>
      </c>
      <c r="BA475" s="462">
        <f>AY475</f>
        <v>11668.23</v>
      </c>
      <c r="BB475" s="462">
        <f t="shared" si="280"/>
        <v>0</v>
      </c>
      <c r="BC475" s="447" t="s">
        <v>2204</v>
      </c>
      <c r="BE475" s="462">
        <f t="shared" si="281"/>
        <v>0</v>
      </c>
      <c r="BH475" s="462">
        <f t="shared" si="282"/>
        <v>0</v>
      </c>
      <c r="BK475" s="462">
        <f t="shared" si="283"/>
        <v>0</v>
      </c>
      <c r="BN475" s="462">
        <f t="shared" si="284"/>
        <v>0</v>
      </c>
      <c r="BQ475" s="462">
        <f t="shared" si="285"/>
        <v>0</v>
      </c>
      <c r="BT475" s="462">
        <f t="shared" si="286"/>
        <v>0</v>
      </c>
      <c r="BW475" s="462">
        <f t="shared" si="287"/>
        <v>0</v>
      </c>
      <c r="BZ475" s="462">
        <f t="shared" si="288"/>
        <v>0</v>
      </c>
      <c r="CD475" s="418" t="str">
        <f t="shared" si="289"/>
        <v>CU1016001</v>
      </c>
      <c r="CE475" s="442" t="str">
        <f t="shared" si="290"/>
        <v>2019年12月</v>
      </c>
      <c r="CF475" s="418" t="str">
        <f t="shared" si="291"/>
        <v>乔治阿玛尼clife服务费暂估</v>
      </c>
      <c r="CG475" s="418" t="str">
        <f t="shared" si="292"/>
        <v>2019年12月乔治阿玛尼clife服务费暂估</v>
      </c>
    </row>
    <row r="476" spans="2:85" s="447" customFormat="1" ht="17.25" customHeight="1">
      <c r="B476" s="447" t="str">
        <f t="shared" si="276"/>
        <v>CU1065</v>
      </c>
      <c r="C476" s="431" t="s">
        <v>755</v>
      </c>
      <c r="D476" s="367" t="s">
        <v>1573</v>
      </c>
      <c r="E476" s="453" t="s">
        <v>2020</v>
      </c>
      <c r="F476" s="454">
        <v>43800</v>
      </c>
      <c r="G476" s="443">
        <v>208470.94</v>
      </c>
      <c r="H476" s="440"/>
      <c r="I476" s="440">
        <f t="shared" si="293"/>
        <v>208470.94</v>
      </c>
      <c r="J476" s="440"/>
      <c r="L476" s="462">
        <f t="shared" si="294"/>
        <v>208470.94</v>
      </c>
      <c r="M476" s="462"/>
      <c r="N476" s="444"/>
      <c r="O476" s="462">
        <f t="shared" si="295"/>
        <v>208470.94</v>
      </c>
      <c r="R476" s="462">
        <f t="shared" si="296"/>
        <v>208470.94</v>
      </c>
      <c r="U476" s="462">
        <f t="shared" si="297"/>
        <v>208470.94</v>
      </c>
      <c r="X476" s="462">
        <f t="shared" si="298"/>
        <v>208470.94</v>
      </c>
      <c r="AA476" s="462">
        <f t="shared" si="299"/>
        <v>208470.94</v>
      </c>
      <c r="AD476" s="462">
        <f t="shared" si="300"/>
        <v>208470.94</v>
      </c>
      <c r="AG476" s="462">
        <f t="shared" si="301"/>
        <v>208470.94</v>
      </c>
      <c r="AJ476" s="462">
        <f t="shared" si="302"/>
        <v>208470.94</v>
      </c>
      <c r="AM476" s="461">
        <f t="shared" si="303"/>
        <v>208470.94</v>
      </c>
      <c r="AN476" s="548"/>
      <c r="AO476" s="548"/>
      <c r="AP476" s="461">
        <f t="shared" si="304"/>
        <v>208470.94</v>
      </c>
      <c r="AQ476" s="548"/>
      <c r="AR476" s="548">
        <v>208470.94</v>
      </c>
      <c r="AS476" s="459">
        <f t="shared" si="277"/>
        <v>0</v>
      </c>
      <c r="AV476" s="462">
        <f t="shared" si="278"/>
        <v>0</v>
      </c>
      <c r="AY476" s="462">
        <f t="shared" si="279"/>
        <v>0</v>
      </c>
      <c r="BB476" s="462">
        <f t="shared" si="280"/>
        <v>0</v>
      </c>
      <c r="BC476" s="447" t="s">
        <v>2204</v>
      </c>
      <c r="BE476" s="462">
        <f t="shared" si="281"/>
        <v>0</v>
      </c>
      <c r="BH476" s="462">
        <f t="shared" si="282"/>
        <v>0</v>
      </c>
      <c r="BK476" s="462">
        <f t="shared" si="283"/>
        <v>0</v>
      </c>
      <c r="BN476" s="462">
        <f t="shared" si="284"/>
        <v>0</v>
      </c>
      <c r="BQ476" s="462">
        <f t="shared" si="285"/>
        <v>0</v>
      </c>
      <c r="BT476" s="462">
        <f t="shared" si="286"/>
        <v>0</v>
      </c>
      <c r="BW476" s="462">
        <f t="shared" si="287"/>
        <v>0</v>
      </c>
      <c r="BZ476" s="462">
        <f t="shared" si="288"/>
        <v>0</v>
      </c>
      <c r="CD476" s="418" t="str">
        <f t="shared" si="289"/>
        <v>CU1065001</v>
      </c>
      <c r="CE476" s="442" t="str">
        <f t="shared" si="290"/>
        <v>2019年12月</v>
      </c>
      <c r="CF476" s="418" t="str">
        <f t="shared" si="291"/>
        <v>蔚兰红瓴clife服务费暂估</v>
      </c>
      <c r="CG476" s="418" t="str">
        <f t="shared" si="292"/>
        <v>2019年12月蔚兰红瓴clife服务费暂估</v>
      </c>
    </row>
    <row r="477" spans="2:85" s="447" customFormat="1" ht="17.25" customHeight="1">
      <c r="B477" s="447" t="str">
        <f t="shared" si="276"/>
        <v>CU1172</v>
      </c>
      <c r="C477" s="431" t="s">
        <v>755</v>
      </c>
      <c r="D477" s="367" t="s">
        <v>1841</v>
      </c>
      <c r="E477" s="456" t="s">
        <v>1831</v>
      </c>
      <c r="F477" s="457">
        <v>43800</v>
      </c>
      <c r="G477" s="430">
        <v>9890.09</v>
      </c>
      <c r="H477" s="440"/>
      <c r="I477" s="440">
        <f t="shared" si="293"/>
        <v>9890.09</v>
      </c>
      <c r="J477" s="440"/>
      <c r="L477" s="462">
        <f t="shared" si="294"/>
        <v>9890.09</v>
      </c>
      <c r="M477" s="462"/>
      <c r="N477" s="444"/>
      <c r="O477" s="462">
        <f t="shared" si="295"/>
        <v>9890.09</v>
      </c>
      <c r="R477" s="462">
        <f t="shared" si="296"/>
        <v>9890.09</v>
      </c>
      <c r="U477" s="462">
        <f t="shared" si="297"/>
        <v>9890.09</v>
      </c>
      <c r="X477" s="462">
        <f t="shared" si="298"/>
        <v>9890.09</v>
      </c>
      <c r="AA477" s="462">
        <f t="shared" si="299"/>
        <v>9890.09</v>
      </c>
      <c r="AD477" s="462">
        <f t="shared" si="300"/>
        <v>9890.09</v>
      </c>
      <c r="AG477" s="462">
        <f t="shared" si="301"/>
        <v>9890.09</v>
      </c>
      <c r="AJ477" s="462">
        <f t="shared" si="302"/>
        <v>9890.09</v>
      </c>
      <c r="AM477" s="459">
        <f t="shared" si="303"/>
        <v>9890.09</v>
      </c>
      <c r="AN477" s="460"/>
      <c r="AO477" s="460"/>
      <c r="AP477" s="459">
        <f t="shared" si="304"/>
        <v>9890.09</v>
      </c>
      <c r="AQ477" s="460"/>
      <c r="AR477" s="460"/>
      <c r="AS477" s="459">
        <f t="shared" si="277"/>
        <v>9890.09</v>
      </c>
      <c r="AV477" s="462">
        <f t="shared" si="278"/>
        <v>9890.09</v>
      </c>
      <c r="AW477" s="447" t="s">
        <v>2107</v>
      </c>
      <c r="AY477" s="462">
        <f t="shared" si="279"/>
        <v>9890.09</v>
      </c>
      <c r="AZ477" s="447" t="s">
        <v>2131</v>
      </c>
      <c r="BB477" s="462">
        <f t="shared" si="280"/>
        <v>9890.09</v>
      </c>
      <c r="BC477" s="447" t="s">
        <v>2204</v>
      </c>
      <c r="BD477" s="462">
        <f>BB477</f>
        <v>9890.09</v>
      </c>
      <c r="BE477" s="462">
        <f t="shared" si="281"/>
        <v>0</v>
      </c>
      <c r="BH477" s="462">
        <f t="shared" si="282"/>
        <v>0</v>
      </c>
      <c r="BK477" s="462">
        <f t="shared" si="283"/>
        <v>0</v>
      </c>
      <c r="BN477" s="462">
        <f t="shared" si="284"/>
        <v>0</v>
      </c>
      <c r="BQ477" s="462">
        <f t="shared" si="285"/>
        <v>0</v>
      </c>
      <c r="BT477" s="462">
        <f t="shared" si="286"/>
        <v>0</v>
      </c>
      <c r="BW477" s="462">
        <f t="shared" si="287"/>
        <v>0</v>
      </c>
      <c r="BZ477" s="462">
        <f t="shared" si="288"/>
        <v>0</v>
      </c>
      <c r="CD477" s="418" t="str">
        <f t="shared" si="289"/>
        <v>CU1172001</v>
      </c>
      <c r="CE477" s="442" t="str">
        <f t="shared" si="290"/>
        <v>2019年12月</v>
      </c>
      <c r="CF477" s="418" t="str">
        <f t="shared" si="291"/>
        <v>之宝（中国clife服务费暂估</v>
      </c>
      <c r="CG477" s="418" t="str">
        <f t="shared" si="292"/>
        <v>2019年12月之宝（中国clife服务费暂估</v>
      </c>
    </row>
    <row r="478" spans="2:85" s="447" customFormat="1" ht="17.25" customHeight="1">
      <c r="B478" s="447" t="str">
        <f t="shared" si="276"/>
        <v>CU1198</v>
      </c>
      <c r="C478" s="431" t="s">
        <v>755</v>
      </c>
      <c r="D478" s="367" t="s">
        <v>1538</v>
      </c>
      <c r="E478" s="456" t="s">
        <v>1537</v>
      </c>
      <c r="F478" s="457">
        <v>43800</v>
      </c>
      <c r="G478" s="430">
        <v>237548.41</v>
      </c>
      <c r="H478" s="440"/>
      <c r="I478" s="440">
        <f t="shared" si="293"/>
        <v>237548.41</v>
      </c>
      <c r="J478" s="440"/>
      <c r="L478" s="462">
        <f t="shared" si="294"/>
        <v>237548.41</v>
      </c>
      <c r="M478" s="462"/>
      <c r="N478" s="444"/>
      <c r="O478" s="462">
        <f t="shared" si="295"/>
        <v>237548.41</v>
      </c>
      <c r="R478" s="462">
        <f t="shared" si="296"/>
        <v>237548.41</v>
      </c>
      <c r="U478" s="462">
        <f t="shared" si="297"/>
        <v>237548.41</v>
      </c>
      <c r="X478" s="462">
        <f t="shared" si="298"/>
        <v>237548.41</v>
      </c>
      <c r="AA478" s="462">
        <f t="shared" si="299"/>
        <v>237548.41</v>
      </c>
      <c r="AD478" s="462">
        <f t="shared" si="300"/>
        <v>237548.41</v>
      </c>
      <c r="AG478" s="462">
        <f t="shared" si="301"/>
        <v>237548.41</v>
      </c>
      <c r="AJ478" s="462">
        <f t="shared" si="302"/>
        <v>237548.41</v>
      </c>
      <c r="AM478" s="459">
        <f t="shared" si="303"/>
        <v>237548.41</v>
      </c>
      <c r="AN478" s="460"/>
      <c r="AO478" s="460"/>
      <c r="AP478" s="459">
        <f t="shared" si="304"/>
        <v>237548.41</v>
      </c>
      <c r="AQ478" s="460"/>
      <c r="AR478" s="460">
        <v>218458.53</v>
      </c>
      <c r="AS478" s="459">
        <f t="shared" si="277"/>
        <v>19089.880000000005</v>
      </c>
      <c r="AU478" s="461">
        <v>19089.88</v>
      </c>
      <c r="AV478" s="462">
        <f t="shared" si="278"/>
        <v>0</v>
      </c>
      <c r="AY478" s="462">
        <f t="shared" si="279"/>
        <v>0</v>
      </c>
      <c r="BB478" s="462">
        <f t="shared" si="280"/>
        <v>0</v>
      </c>
      <c r="BC478" s="447" t="s">
        <v>2204</v>
      </c>
      <c r="BE478" s="462">
        <f t="shared" si="281"/>
        <v>0</v>
      </c>
      <c r="BH478" s="462">
        <f t="shared" si="282"/>
        <v>0</v>
      </c>
      <c r="BK478" s="462">
        <f t="shared" si="283"/>
        <v>0</v>
      </c>
      <c r="BN478" s="462">
        <f t="shared" si="284"/>
        <v>0</v>
      </c>
      <c r="BQ478" s="462">
        <f t="shared" si="285"/>
        <v>0</v>
      </c>
      <c r="BT478" s="462">
        <f t="shared" si="286"/>
        <v>0</v>
      </c>
      <c r="BW478" s="462">
        <f t="shared" si="287"/>
        <v>0</v>
      </c>
      <c r="BZ478" s="462">
        <f t="shared" si="288"/>
        <v>0</v>
      </c>
      <c r="CD478" s="418" t="str">
        <f t="shared" si="289"/>
        <v>CU1198001</v>
      </c>
      <c r="CE478" s="442" t="str">
        <f t="shared" si="290"/>
        <v>2019年12月</v>
      </c>
      <c r="CF478" s="418" t="str">
        <f t="shared" si="291"/>
        <v>通用公正技clife服务费暂估</v>
      </c>
      <c r="CG478" s="418" t="str">
        <f t="shared" si="292"/>
        <v>2019年12月通用公正技clife服务费暂估</v>
      </c>
    </row>
    <row r="479" spans="2:85" s="447" customFormat="1" ht="17.25" customHeight="1">
      <c r="B479" s="447" t="str">
        <f t="shared" si="276"/>
        <v>CU1204</v>
      </c>
      <c r="C479" s="431" t="s">
        <v>755</v>
      </c>
      <c r="D479" s="367" t="s">
        <v>1656</v>
      </c>
      <c r="E479" s="456" t="s">
        <v>1582</v>
      </c>
      <c r="F479" s="457">
        <v>43800</v>
      </c>
      <c r="G479" s="430">
        <v>16300</v>
      </c>
      <c r="H479" s="440"/>
      <c r="I479" s="440">
        <f t="shared" si="293"/>
        <v>16300</v>
      </c>
      <c r="J479" s="440"/>
      <c r="L479" s="462">
        <f t="shared" si="294"/>
        <v>16300</v>
      </c>
      <c r="M479" s="462"/>
      <c r="N479" s="444"/>
      <c r="O479" s="462">
        <f t="shared" si="295"/>
        <v>16300</v>
      </c>
      <c r="R479" s="462">
        <f t="shared" si="296"/>
        <v>16300</v>
      </c>
      <c r="U479" s="462">
        <f t="shared" si="297"/>
        <v>16300</v>
      </c>
      <c r="X479" s="462">
        <f t="shared" si="298"/>
        <v>16300</v>
      </c>
      <c r="AA479" s="462">
        <f t="shared" si="299"/>
        <v>16300</v>
      </c>
      <c r="AD479" s="462">
        <f t="shared" si="300"/>
        <v>16300</v>
      </c>
      <c r="AG479" s="462">
        <f t="shared" si="301"/>
        <v>16300</v>
      </c>
      <c r="AJ479" s="462">
        <f t="shared" si="302"/>
        <v>16300</v>
      </c>
      <c r="AM479" s="459">
        <f t="shared" si="303"/>
        <v>16300</v>
      </c>
      <c r="AN479" s="460"/>
      <c r="AO479" s="460"/>
      <c r="AP479" s="459">
        <f t="shared" si="304"/>
        <v>16300</v>
      </c>
      <c r="AQ479" s="460"/>
      <c r="AR479" s="460"/>
      <c r="AS479" s="459">
        <f t="shared" si="277"/>
        <v>16300</v>
      </c>
      <c r="AV479" s="462">
        <f t="shared" si="278"/>
        <v>16300</v>
      </c>
      <c r="AW479" s="447" t="s">
        <v>2107</v>
      </c>
      <c r="AY479" s="462">
        <f t="shared" si="279"/>
        <v>16300</v>
      </c>
      <c r="AZ479" s="447" t="s">
        <v>2131</v>
      </c>
      <c r="BB479" s="462">
        <f t="shared" si="280"/>
        <v>16300</v>
      </c>
      <c r="BC479" s="447" t="s">
        <v>2204</v>
      </c>
      <c r="BE479" s="462">
        <f t="shared" si="281"/>
        <v>16300</v>
      </c>
      <c r="BF479" s="447" t="s">
        <v>2237</v>
      </c>
      <c r="BH479" s="462">
        <f t="shared" si="282"/>
        <v>16300</v>
      </c>
      <c r="BI479" s="447" t="s">
        <v>2292</v>
      </c>
      <c r="BK479" s="462">
        <f t="shared" si="283"/>
        <v>16300</v>
      </c>
      <c r="BL479" s="447" t="s">
        <v>2339</v>
      </c>
      <c r="BM479" s="462">
        <f>BK479</f>
        <v>16300</v>
      </c>
      <c r="BN479" s="462">
        <f t="shared" si="284"/>
        <v>0</v>
      </c>
      <c r="BQ479" s="462">
        <f t="shared" si="285"/>
        <v>0</v>
      </c>
      <c r="BT479" s="462">
        <f t="shared" si="286"/>
        <v>0</v>
      </c>
      <c r="BW479" s="462">
        <f t="shared" si="287"/>
        <v>0</v>
      </c>
      <c r="BZ479" s="462">
        <f t="shared" si="288"/>
        <v>0</v>
      </c>
      <c r="CD479" s="418" t="str">
        <f t="shared" si="289"/>
        <v>CU1204001</v>
      </c>
      <c r="CE479" s="442" t="str">
        <f t="shared" si="290"/>
        <v>2019年12月</v>
      </c>
      <c r="CF479" s="418" t="str">
        <f t="shared" si="291"/>
        <v>固特异轮胎clife服务费暂估</v>
      </c>
      <c r="CG479" s="418" t="str">
        <f t="shared" si="292"/>
        <v>2019年12月固特异轮胎clife服务费暂估</v>
      </c>
    </row>
    <row r="480" spans="2:85" s="447" customFormat="1" ht="17.25" customHeight="1">
      <c r="B480" s="447" t="str">
        <f t="shared" si="276"/>
        <v>CU1223</v>
      </c>
      <c r="C480" s="431" t="s">
        <v>755</v>
      </c>
      <c r="D480" s="367" t="s">
        <v>1842</v>
      </c>
      <c r="E480" s="367" t="s">
        <v>1838</v>
      </c>
      <c r="F480" s="439">
        <v>43800</v>
      </c>
      <c r="G480" s="430">
        <v>135.36000000000001</v>
      </c>
      <c r="H480" s="440"/>
      <c r="I480" s="440">
        <f t="shared" si="293"/>
        <v>135.36000000000001</v>
      </c>
      <c r="J480" s="440"/>
      <c r="L480" s="462">
        <f t="shared" si="294"/>
        <v>135.36000000000001</v>
      </c>
      <c r="M480" s="462"/>
      <c r="N480" s="444"/>
      <c r="O480" s="462">
        <f t="shared" si="295"/>
        <v>135.36000000000001</v>
      </c>
      <c r="R480" s="462">
        <f t="shared" si="296"/>
        <v>135.36000000000001</v>
      </c>
      <c r="U480" s="462">
        <f t="shared" si="297"/>
        <v>135.36000000000001</v>
      </c>
      <c r="X480" s="462">
        <f t="shared" si="298"/>
        <v>135.36000000000001</v>
      </c>
      <c r="AA480" s="462">
        <f t="shared" si="299"/>
        <v>135.36000000000001</v>
      </c>
      <c r="AD480" s="462">
        <f t="shared" si="300"/>
        <v>135.36000000000001</v>
      </c>
      <c r="AG480" s="462">
        <f t="shared" si="301"/>
        <v>135.36000000000001</v>
      </c>
      <c r="AJ480" s="462">
        <f t="shared" si="302"/>
        <v>135.36000000000001</v>
      </c>
      <c r="AM480" s="462">
        <f t="shared" si="303"/>
        <v>135.36000000000001</v>
      </c>
      <c r="AP480" s="462">
        <f t="shared" si="304"/>
        <v>135.36000000000001</v>
      </c>
      <c r="AS480" s="459">
        <f t="shared" si="277"/>
        <v>135.36000000000001</v>
      </c>
      <c r="AV480" s="462">
        <f t="shared" si="278"/>
        <v>135.36000000000001</v>
      </c>
      <c r="AW480" s="447" t="s">
        <v>2107</v>
      </c>
      <c r="AY480" s="462">
        <f t="shared" si="279"/>
        <v>135.36000000000001</v>
      </c>
      <c r="AZ480" s="447" t="s">
        <v>2131</v>
      </c>
      <c r="BB480" s="462">
        <f t="shared" si="280"/>
        <v>135.36000000000001</v>
      </c>
      <c r="BC480" s="447" t="s">
        <v>2204</v>
      </c>
      <c r="BE480" s="462">
        <f t="shared" si="281"/>
        <v>135.36000000000001</v>
      </c>
      <c r="BF480" s="447" t="s">
        <v>2237</v>
      </c>
      <c r="BH480" s="462">
        <f t="shared" si="282"/>
        <v>135.36000000000001</v>
      </c>
      <c r="BI480" s="447" t="s">
        <v>2292</v>
      </c>
      <c r="BJ480" s="462">
        <f>BH480</f>
        <v>135.36000000000001</v>
      </c>
      <c r="BK480" s="462">
        <f t="shared" si="283"/>
        <v>0</v>
      </c>
      <c r="BN480" s="462">
        <f t="shared" si="284"/>
        <v>0</v>
      </c>
      <c r="BQ480" s="462">
        <f t="shared" si="285"/>
        <v>0</v>
      </c>
      <c r="BT480" s="462">
        <f t="shared" si="286"/>
        <v>0</v>
      </c>
      <c r="BW480" s="462">
        <f t="shared" si="287"/>
        <v>0</v>
      </c>
      <c r="BZ480" s="462">
        <f t="shared" si="288"/>
        <v>0</v>
      </c>
      <c r="CD480" s="418" t="str">
        <f t="shared" si="289"/>
        <v>CU1223001</v>
      </c>
      <c r="CE480" s="442" t="str">
        <f t="shared" si="290"/>
        <v>2019年12月</v>
      </c>
      <c r="CF480" s="418" t="str">
        <f t="shared" si="291"/>
        <v>上海品盛化clife服务费暂估</v>
      </c>
      <c r="CG480" s="418" t="str">
        <f t="shared" si="292"/>
        <v>2019年12月上海品盛化clife服务费暂估</v>
      </c>
    </row>
    <row r="481" spans="2:85" s="447" customFormat="1" ht="17.25" customHeight="1">
      <c r="B481" s="447" t="str">
        <f t="shared" si="276"/>
        <v>CU1345</v>
      </c>
      <c r="C481" s="431" t="s">
        <v>755</v>
      </c>
      <c r="D481" s="367" t="s">
        <v>1843</v>
      </c>
      <c r="E481" s="367" t="s">
        <v>1839</v>
      </c>
      <c r="F481" s="439">
        <v>43800</v>
      </c>
      <c r="G481" s="430">
        <v>53347.73</v>
      </c>
      <c r="H481" s="440"/>
      <c r="I481" s="440">
        <f t="shared" si="293"/>
        <v>53347.73</v>
      </c>
      <c r="J481" s="440"/>
      <c r="L481" s="462">
        <f t="shared" si="294"/>
        <v>53347.73</v>
      </c>
      <c r="M481" s="462"/>
      <c r="N481" s="444"/>
      <c r="O481" s="462">
        <f t="shared" si="295"/>
        <v>53347.73</v>
      </c>
      <c r="R481" s="462">
        <f t="shared" si="296"/>
        <v>53347.73</v>
      </c>
      <c r="U481" s="462">
        <f t="shared" si="297"/>
        <v>53347.73</v>
      </c>
      <c r="X481" s="462">
        <f t="shared" si="298"/>
        <v>53347.73</v>
      </c>
      <c r="AA481" s="462">
        <f t="shared" si="299"/>
        <v>53347.73</v>
      </c>
      <c r="AD481" s="462">
        <f t="shared" si="300"/>
        <v>53347.73</v>
      </c>
      <c r="AG481" s="462">
        <f t="shared" si="301"/>
        <v>53347.73</v>
      </c>
      <c r="AJ481" s="462">
        <f t="shared" si="302"/>
        <v>53347.73</v>
      </c>
      <c r="AM481" s="462">
        <f t="shared" si="303"/>
        <v>53347.73</v>
      </c>
      <c r="AP481" s="462">
        <f t="shared" si="304"/>
        <v>53347.73</v>
      </c>
      <c r="AS481" s="459">
        <f t="shared" si="277"/>
        <v>53347.73</v>
      </c>
      <c r="AV481" s="462">
        <f t="shared" si="278"/>
        <v>53347.73</v>
      </c>
      <c r="AW481" s="447" t="s">
        <v>2107</v>
      </c>
      <c r="AY481" s="462">
        <f t="shared" si="279"/>
        <v>53347.73</v>
      </c>
      <c r="AZ481" s="447" t="s">
        <v>2131</v>
      </c>
      <c r="BB481" s="462">
        <f t="shared" si="280"/>
        <v>53347.73</v>
      </c>
      <c r="BC481" s="447" t="s">
        <v>2204</v>
      </c>
      <c r="BD481" s="462">
        <f>BB481</f>
        <v>53347.73</v>
      </c>
      <c r="BE481" s="462">
        <f t="shared" si="281"/>
        <v>0</v>
      </c>
      <c r="BH481" s="462">
        <f t="shared" si="282"/>
        <v>0</v>
      </c>
      <c r="BK481" s="462">
        <f t="shared" si="283"/>
        <v>0</v>
      </c>
      <c r="BN481" s="462">
        <f t="shared" si="284"/>
        <v>0</v>
      </c>
      <c r="BQ481" s="462">
        <f t="shared" si="285"/>
        <v>0</v>
      </c>
      <c r="BT481" s="462">
        <f t="shared" si="286"/>
        <v>0</v>
      </c>
      <c r="BW481" s="462">
        <f t="shared" si="287"/>
        <v>0</v>
      </c>
      <c r="BZ481" s="462">
        <f t="shared" si="288"/>
        <v>0</v>
      </c>
      <c r="CD481" s="418" t="str">
        <f t="shared" si="289"/>
        <v>CU1345001</v>
      </c>
      <c r="CE481" s="442" t="str">
        <f t="shared" si="290"/>
        <v>2019年12月</v>
      </c>
      <c r="CF481" s="418" t="str">
        <f t="shared" si="291"/>
        <v>上海创米科clife服务费暂估</v>
      </c>
      <c r="CG481" s="418" t="str">
        <f t="shared" si="292"/>
        <v>2019年12月上海创米科clife服务费暂估</v>
      </c>
    </row>
    <row r="482" spans="2:85" s="447" customFormat="1" ht="17.25" customHeight="1">
      <c r="B482" s="447" t="str">
        <f t="shared" si="276"/>
        <v>CU1354</v>
      </c>
      <c r="C482" s="431" t="s">
        <v>755</v>
      </c>
      <c r="D482" s="367" t="s">
        <v>1723</v>
      </c>
      <c r="E482" s="367" t="s">
        <v>1840</v>
      </c>
      <c r="F482" s="439">
        <v>43800</v>
      </c>
      <c r="G482" s="430">
        <v>18027.759999999998</v>
      </c>
      <c r="H482" s="440"/>
      <c r="I482" s="440">
        <f t="shared" si="293"/>
        <v>18027.759999999998</v>
      </c>
      <c r="J482" s="440"/>
      <c r="L482" s="462">
        <f t="shared" si="294"/>
        <v>18027.759999999998</v>
      </c>
      <c r="M482" s="462"/>
      <c r="N482" s="444"/>
      <c r="O482" s="462">
        <f t="shared" si="295"/>
        <v>18027.759999999998</v>
      </c>
      <c r="R482" s="462">
        <f t="shared" si="296"/>
        <v>18027.759999999998</v>
      </c>
      <c r="U482" s="462">
        <f t="shared" si="297"/>
        <v>18027.759999999998</v>
      </c>
      <c r="X482" s="462">
        <f t="shared" si="298"/>
        <v>18027.759999999998</v>
      </c>
      <c r="AA482" s="462">
        <f t="shared" si="299"/>
        <v>18027.759999999998</v>
      </c>
      <c r="AD482" s="462">
        <f t="shared" si="300"/>
        <v>18027.759999999998</v>
      </c>
      <c r="AG482" s="462">
        <f t="shared" si="301"/>
        <v>18027.759999999998</v>
      </c>
      <c r="AJ482" s="462">
        <f t="shared" si="302"/>
        <v>18027.759999999998</v>
      </c>
      <c r="AM482" s="462">
        <f t="shared" si="303"/>
        <v>18027.759999999998</v>
      </c>
      <c r="AP482" s="462">
        <f t="shared" si="304"/>
        <v>18027.759999999998</v>
      </c>
      <c r="AS482" s="459">
        <f t="shared" si="277"/>
        <v>18027.759999999998</v>
      </c>
      <c r="AV482" s="462">
        <f t="shared" si="278"/>
        <v>18027.759999999998</v>
      </c>
      <c r="AW482" s="447" t="s">
        <v>2107</v>
      </c>
      <c r="AY482" s="462">
        <f t="shared" si="279"/>
        <v>18027.759999999998</v>
      </c>
      <c r="AZ482" s="447" t="s">
        <v>2131</v>
      </c>
      <c r="BB482" s="462">
        <f t="shared" si="280"/>
        <v>18027.759999999998</v>
      </c>
      <c r="BC482" s="447" t="s">
        <v>2204</v>
      </c>
      <c r="BE482" s="462">
        <f t="shared" si="281"/>
        <v>18027.759999999998</v>
      </c>
      <c r="BF482" s="447" t="s">
        <v>2237</v>
      </c>
      <c r="BH482" s="462">
        <f t="shared" si="282"/>
        <v>18027.759999999998</v>
      </c>
      <c r="BI482" s="447" t="s">
        <v>2292</v>
      </c>
      <c r="BK482" s="462">
        <f t="shared" si="283"/>
        <v>18027.759999999998</v>
      </c>
      <c r="BL482" s="447" t="s">
        <v>2339</v>
      </c>
      <c r="BN482" s="462">
        <f t="shared" si="284"/>
        <v>18027.759999999998</v>
      </c>
      <c r="BO482" s="447" t="s">
        <v>2365</v>
      </c>
      <c r="BP482" s="462">
        <f>BN482</f>
        <v>18027.759999999998</v>
      </c>
      <c r="BQ482" s="462">
        <f t="shared" si="285"/>
        <v>0</v>
      </c>
      <c r="BT482" s="462">
        <f t="shared" si="286"/>
        <v>0</v>
      </c>
      <c r="BW482" s="462">
        <f t="shared" si="287"/>
        <v>0</v>
      </c>
      <c r="BZ482" s="462">
        <f t="shared" si="288"/>
        <v>0</v>
      </c>
      <c r="CD482" s="418" t="str">
        <f t="shared" si="289"/>
        <v>CU1354001</v>
      </c>
      <c r="CE482" s="442" t="str">
        <f t="shared" si="290"/>
        <v>2019年12月</v>
      </c>
      <c r="CF482" s="418" t="str">
        <f t="shared" si="291"/>
        <v>威内源企业clife服务费暂估</v>
      </c>
      <c r="CG482" s="418" t="str">
        <f t="shared" si="292"/>
        <v>2019年12月威内源企业clife服务费暂估</v>
      </c>
    </row>
    <row r="483" spans="2:85" s="447" customFormat="1" ht="17.25" customHeight="1">
      <c r="B483" s="447" t="str">
        <f t="shared" si="276"/>
        <v>CU1430</v>
      </c>
      <c r="C483" s="431" t="s">
        <v>755</v>
      </c>
      <c r="D483" s="367" t="s">
        <v>1847</v>
      </c>
      <c r="E483" s="456" t="s">
        <v>1844</v>
      </c>
      <c r="F483" s="457">
        <v>43800</v>
      </c>
      <c r="G483" s="430">
        <v>8233.73</v>
      </c>
      <c r="H483" s="440"/>
      <c r="I483" s="440">
        <f t="shared" si="293"/>
        <v>8233.73</v>
      </c>
      <c r="J483" s="440"/>
      <c r="L483" s="462">
        <f t="shared" si="294"/>
        <v>8233.73</v>
      </c>
      <c r="M483" s="462"/>
      <c r="N483" s="444"/>
      <c r="O483" s="462">
        <f t="shared" si="295"/>
        <v>8233.73</v>
      </c>
      <c r="R483" s="462">
        <f t="shared" si="296"/>
        <v>8233.73</v>
      </c>
      <c r="U483" s="462">
        <f t="shared" si="297"/>
        <v>8233.73</v>
      </c>
      <c r="X483" s="462">
        <f t="shared" si="298"/>
        <v>8233.73</v>
      </c>
      <c r="AA483" s="462">
        <f t="shared" si="299"/>
        <v>8233.73</v>
      </c>
      <c r="AD483" s="462">
        <f t="shared" si="300"/>
        <v>8233.73</v>
      </c>
      <c r="AG483" s="462">
        <f t="shared" si="301"/>
        <v>8233.73</v>
      </c>
      <c r="AJ483" s="462">
        <f t="shared" si="302"/>
        <v>8233.73</v>
      </c>
      <c r="AM483" s="459">
        <f t="shared" si="303"/>
        <v>8233.73</v>
      </c>
      <c r="AN483" s="460"/>
      <c r="AO483" s="460"/>
      <c r="AP483" s="459">
        <f t="shared" si="304"/>
        <v>8233.73</v>
      </c>
      <c r="AQ483" s="460"/>
      <c r="AR483" s="460"/>
      <c r="AS483" s="459">
        <f t="shared" si="277"/>
        <v>8233.73</v>
      </c>
      <c r="AV483" s="462">
        <f t="shared" si="278"/>
        <v>8233.73</v>
      </c>
      <c r="AW483" s="447" t="s">
        <v>2107</v>
      </c>
      <c r="AY483" s="462">
        <f t="shared" si="279"/>
        <v>8233.73</v>
      </c>
      <c r="AZ483" s="447" t="s">
        <v>2131</v>
      </c>
      <c r="BB483" s="462">
        <f t="shared" si="280"/>
        <v>8233.73</v>
      </c>
      <c r="BC483" s="447" t="s">
        <v>2204</v>
      </c>
      <c r="BE483" s="462">
        <f t="shared" si="281"/>
        <v>8233.73</v>
      </c>
      <c r="BF483" s="447" t="s">
        <v>2237</v>
      </c>
      <c r="BH483" s="462">
        <f t="shared" si="282"/>
        <v>8233.73</v>
      </c>
      <c r="BI483" s="447" t="s">
        <v>2292</v>
      </c>
      <c r="BK483" s="462">
        <f t="shared" si="283"/>
        <v>8233.73</v>
      </c>
      <c r="BL483" s="447" t="s">
        <v>2339</v>
      </c>
      <c r="BN483" s="462">
        <f t="shared" si="284"/>
        <v>8233.73</v>
      </c>
      <c r="BO483" s="447" t="s">
        <v>2365</v>
      </c>
      <c r="BQ483" s="462">
        <f t="shared" si="285"/>
        <v>8233.73</v>
      </c>
      <c r="BR483" s="447" t="s">
        <v>2374</v>
      </c>
      <c r="BT483" s="462">
        <f t="shared" si="286"/>
        <v>8233.73</v>
      </c>
      <c r="BU483" s="447" t="s">
        <v>2134</v>
      </c>
      <c r="BV483" s="462">
        <f>BT483</f>
        <v>8233.73</v>
      </c>
      <c r="BW483" s="462">
        <f t="shared" si="287"/>
        <v>0</v>
      </c>
      <c r="BZ483" s="462">
        <f t="shared" si="288"/>
        <v>0</v>
      </c>
      <c r="CD483" s="418" t="str">
        <f t="shared" si="289"/>
        <v>CU1430001</v>
      </c>
      <c r="CE483" s="442" t="str">
        <f t="shared" si="290"/>
        <v>2019年12月</v>
      </c>
      <c r="CF483" s="418" t="str">
        <f t="shared" si="291"/>
        <v>连云港锐巴clife服务费暂估</v>
      </c>
      <c r="CG483" s="418" t="str">
        <f t="shared" si="292"/>
        <v>2019年12月连云港锐巴clife服务费暂估</v>
      </c>
    </row>
    <row r="484" spans="2:85" s="447" customFormat="1" ht="17.25" customHeight="1">
      <c r="B484" s="447" t="str">
        <f t="shared" si="276"/>
        <v>CU1705</v>
      </c>
      <c r="C484" s="431" t="s">
        <v>755</v>
      </c>
      <c r="D484" s="367" t="s">
        <v>1848</v>
      </c>
      <c r="E484" s="456" t="s">
        <v>1845</v>
      </c>
      <c r="F484" s="457">
        <v>43800</v>
      </c>
      <c r="G484" s="430">
        <v>38570.49</v>
      </c>
      <c r="H484" s="440"/>
      <c r="I484" s="440">
        <f t="shared" si="293"/>
        <v>38570.49</v>
      </c>
      <c r="J484" s="440"/>
      <c r="L484" s="462">
        <f t="shared" si="294"/>
        <v>38570.49</v>
      </c>
      <c r="M484" s="462"/>
      <c r="N484" s="444"/>
      <c r="O484" s="462">
        <f t="shared" si="295"/>
        <v>38570.49</v>
      </c>
      <c r="R484" s="462">
        <f t="shared" si="296"/>
        <v>38570.49</v>
      </c>
      <c r="U484" s="462">
        <f t="shared" si="297"/>
        <v>38570.49</v>
      </c>
      <c r="X484" s="462">
        <f t="shared" si="298"/>
        <v>38570.49</v>
      </c>
      <c r="AA484" s="462">
        <f t="shared" si="299"/>
        <v>38570.49</v>
      </c>
      <c r="AD484" s="462">
        <f t="shared" si="300"/>
        <v>38570.49</v>
      </c>
      <c r="AG484" s="462">
        <f t="shared" si="301"/>
        <v>38570.49</v>
      </c>
      <c r="AJ484" s="462">
        <f t="shared" si="302"/>
        <v>38570.49</v>
      </c>
      <c r="AM484" s="459">
        <f t="shared" si="303"/>
        <v>38570.49</v>
      </c>
      <c r="AN484" s="460"/>
      <c r="AO484" s="460"/>
      <c r="AP484" s="459">
        <f t="shared" si="304"/>
        <v>38570.49</v>
      </c>
      <c r="AQ484" s="460"/>
      <c r="AR484" s="460">
        <v>36401.89</v>
      </c>
      <c r="AS484" s="459">
        <f t="shared" si="277"/>
        <v>2168.5999999999985</v>
      </c>
      <c r="AV484" s="462">
        <f t="shared" si="278"/>
        <v>2168.5999999999985</v>
      </c>
      <c r="AW484" s="447" t="s">
        <v>2107</v>
      </c>
      <c r="AX484" s="447">
        <v>2168.6</v>
      </c>
      <c r="AY484" s="462">
        <f t="shared" si="279"/>
        <v>0</v>
      </c>
      <c r="AZ484" s="447" t="s">
        <v>2131</v>
      </c>
      <c r="BB484" s="462">
        <f t="shared" si="280"/>
        <v>0</v>
      </c>
      <c r="BC484" s="447" t="s">
        <v>2204</v>
      </c>
      <c r="BE484" s="462">
        <f t="shared" si="281"/>
        <v>0</v>
      </c>
      <c r="BH484" s="462">
        <f t="shared" si="282"/>
        <v>0</v>
      </c>
      <c r="BK484" s="462">
        <f t="shared" si="283"/>
        <v>0</v>
      </c>
      <c r="BN484" s="462">
        <f t="shared" si="284"/>
        <v>0</v>
      </c>
      <c r="BQ484" s="462">
        <f t="shared" si="285"/>
        <v>0</v>
      </c>
      <c r="BT484" s="462">
        <f t="shared" si="286"/>
        <v>0</v>
      </c>
      <c r="BW484" s="462">
        <f t="shared" si="287"/>
        <v>0</v>
      </c>
      <c r="BZ484" s="462">
        <f t="shared" si="288"/>
        <v>0</v>
      </c>
      <c r="CD484" s="418" t="str">
        <f t="shared" si="289"/>
        <v>CU1705001</v>
      </c>
      <c r="CE484" s="442" t="str">
        <f t="shared" si="290"/>
        <v>2019年12月</v>
      </c>
      <c r="CF484" s="418" t="str">
        <f t="shared" si="291"/>
        <v>通标标准技clife服务费暂估</v>
      </c>
      <c r="CG484" s="418" t="str">
        <f t="shared" si="292"/>
        <v>2019年12月通标标准技clife服务费暂估</v>
      </c>
    </row>
    <row r="485" spans="2:85" s="550" customFormat="1" ht="17.25" customHeight="1">
      <c r="B485" s="447" t="str">
        <f t="shared" si="276"/>
        <v>CU1738</v>
      </c>
      <c r="C485" s="475" t="s">
        <v>2192</v>
      </c>
      <c r="D485" s="476" t="s">
        <v>2027</v>
      </c>
      <c r="E485" s="476" t="s">
        <v>2021</v>
      </c>
      <c r="F485" s="477">
        <v>43800</v>
      </c>
      <c r="G485" s="478">
        <v>64132.68</v>
      </c>
      <c r="H485" s="440"/>
      <c r="I485" s="440">
        <f t="shared" ref="I485:I516" si="305">G485-H485</f>
        <v>64132.68</v>
      </c>
      <c r="J485" s="440"/>
      <c r="K485" s="447"/>
      <c r="L485" s="462">
        <f t="shared" ref="L485:L516" si="306">I485-K485</f>
        <v>64132.68</v>
      </c>
      <c r="M485" s="462"/>
      <c r="N485" s="444"/>
      <c r="O485" s="462">
        <f t="shared" ref="O485:O516" si="307">L485-N485</f>
        <v>64132.68</v>
      </c>
      <c r="P485" s="447"/>
      <c r="Q485" s="447"/>
      <c r="R485" s="462">
        <f t="shared" ref="R485:R516" si="308">O485-Q485</f>
        <v>64132.68</v>
      </c>
      <c r="S485" s="447"/>
      <c r="T485" s="447"/>
      <c r="U485" s="462">
        <f t="shared" ref="U485:U516" si="309">R485-T485</f>
        <v>64132.68</v>
      </c>
      <c r="V485" s="447"/>
      <c r="W485" s="447"/>
      <c r="X485" s="462">
        <f t="shared" ref="X485:X516" si="310">U485-W485</f>
        <v>64132.68</v>
      </c>
      <c r="Y485" s="447"/>
      <c r="Z485" s="447"/>
      <c r="AA485" s="462">
        <f t="shared" ref="AA485:AA516" si="311">X485-Z485</f>
        <v>64132.68</v>
      </c>
      <c r="AB485" s="447"/>
      <c r="AC485" s="447"/>
      <c r="AD485" s="462">
        <f t="shared" ref="AD485:AD516" si="312">AA485-AC485</f>
        <v>64132.68</v>
      </c>
      <c r="AE485" s="447"/>
      <c r="AF485" s="447"/>
      <c r="AG485" s="462">
        <f t="shared" ref="AG485:AG516" si="313">AD485-AF485</f>
        <v>64132.68</v>
      </c>
      <c r="AH485" s="447"/>
      <c r="AI485" s="447"/>
      <c r="AJ485" s="462">
        <f t="shared" ref="AJ485:AJ516" si="314">AG485-AI485</f>
        <v>64132.68</v>
      </c>
      <c r="AK485" s="447"/>
      <c r="AL485" s="447"/>
      <c r="AM485" s="459">
        <f t="shared" ref="AM485:AM524" si="315">AJ485-AL485</f>
        <v>64132.68</v>
      </c>
      <c r="AN485" s="460"/>
      <c r="AO485" s="460"/>
      <c r="AP485" s="459">
        <f t="shared" ref="AP485:AP516" si="316">AM485-AO485</f>
        <v>64132.68</v>
      </c>
      <c r="AQ485" s="460"/>
      <c r="AR485" s="460"/>
      <c r="AS485" s="459">
        <f>AP485-AR485</f>
        <v>64132.68</v>
      </c>
      <c r="AV485" s="551">
        <f t="shared" ref="AV485:AV516" si="317">AS485-AU485</f>
        <v>64132.68</v>
      </c>
      <c r="AW485" s="550" t="s">
        <v>2194</v>
      </c>
      <c r="AX485" s="551">
        <f>AV485</f>
        <v>64132.68</v>
      </c>
      <c r="AY485" s="551">
        <f t="shared" ref="AY485:AY516" si="318">AV485-AX485</f>
        <v>0</v>
      </c>
      <c r="AZ485" s="550" t="s">
        <v>2195</v>
      </c>
      <c r="BB485" s="551">
        <f t="shared" ref="BB485:BB516" si="319">AY485-BA485</f>
        <v>0</v>
      </c>
      <c r="BC485" s="447" t="s">
        <v>2204</v>
      </c>
      <c r="BE485" s="462">
        <f t="shared" si="281"/>
        <v>0</v>
      </c>
      <c r="BH485" s="462">
        <f t="shared" si="282"/>
        <v>0</v>
      </c>
      <c r="BK485" s="462">
        <f t="shared" si="283"/>
        <v>0</v>
      </c>
      <c r="BN485" s="462">
        <f t="shared" si="284"/>
        <v>0</v>
      </c>
      <c r="BQ485" s="462">
        <f t="shared" si="285"/>
        <v>0</v>
      </c>
      <c r="BT485" s="462">
        <f t="shared" si="286"/>
        <v>0</v>
      </c>
      <c r="BW485" s="462">
        <f t="shared" si="287"/>
        <v>0</v>
      </c>
      <c r="BZ485" s="462">
        <f t="shared" si="288"/>
        <v>0</v>
      </c>
      <c r="CD485" s="418" t="str">
        <f t="shared" si="289"/>
        <v>CU1738001</v>
      </c>
      <c r="CE485" s="442" t="str">
        <f t="shared" si="290"/>
        <v>2019年12月</v>
      </c>
      <c r="CF485" s="418" t="str">
        <f t="shared" si="291"/>
        <v>酩悦轩尼诗clife服务费暂估</v>
      </c>
      <c r="CG485" s="418" t="str">
        <f t="shared" si="292"/>
        <v>2019年12月酩悦轩尼诗clife服务费暂估</v>
      </c>
    </row>
    <row r="486" spans="2:85" s="447" customFormat="1" ht="17.25" customHeight="1">
      <c r="B486" s="447" t="str">
        <f t="shared" si="276"/>
        <v>CU1780</v>
      </c>
      <c r="C486" s="431" t="s">
        <v>755</v>
      </c>
      <c r="D486" s="367" t="s">
        <v>1990</v>
      </c>
      <c r="E486" s="456" t="s">
        <v>1985</v>
      </c>
      <c r="F486" s="457">
        <v>43800</v>
      </c>
      <c r="G486" s="430">
        <v>30324.01</v>
      </c>
      <c r="H486" s="440"/>
      <c r="I486" s="440">
        <f t="shared" si="305"/>
        <v>30324.01</v>
      </c>
      <c r="J486" s="440"/>
      <c r="L486" s="462">
        <f t="shared" si="306"/>
        <v>30324.01</v>
      </c>
      <c r="M486" s="462"/>
      <c r="N486" s="444"/>
      <c r="O486" s="462">
        <f t="shared" si="307"/>
        <v>30324.01</v>
      </c>
      <c r="R486" s="462">
        <f t="shared" si="308"/>
        <v>30324.01</v>
      </c>
      <c r="U486" s="462">
        <f t="shared" si="309"/>
        <v>30324.01</v>
      </c>
      <c r="X486" s="462">
        <f t="shared" si="310"/>
        <v>30324.01</v>
      </c>
      <c r="AA486" s="462">
        <f t="shared" si="311"/>
        <v>30324.01</v>
      </c>
      <c r="AD486" s="462">
        <f t="shared" si="312"/>
        <v>30324.01</v>
      </c>
      <c r="AG486" s="462">
        <f t="shared" si="313"/>
        <v>30324.01</v>
      </c>
      <c r="AJ486" s="462">
        <f t="shared" si="314"/>
        <v>30324.01</v>
      </c>
      <c r="AM486" s="459">
        <f t="shared" si="315"/>
        <v>30324.01</v>
      </c>
      <c r="AN486" s="460"/>
      <c r="AO486" s="460"/>
      <c r="AP486" s="459">
        <f t="shared" si="316"/>
        <v>30324.01</v>
      </c>
      <c r="AQ486" s="460"/>
      <c r="AR486" s="460"/>
      <c r="AS486" s="459">
        <f>AP486-AR486</f>
        <v>30324.01</v>
      </c>
      <c r="AV486" s="462">
        <f t="shared" si="317"/>
        <v>30324.01</v>
      </c>
      <c r="AW486" s="447" t="s">
        <v>2107</v>
      </c>
      <c r="AY486" s="462">
        <f t="shared" si="318"/>
        <v>30324.01</v>
      </c>
      <c r="AZ486" s="447" t="s">
        <v>2131</v>
      </c>
      <c r="BA486" s="462">
        <f>AY486</f>
        <v>30324.01</v>
      </c>
      <c r="BB486" s="462">
        <f t="shared" si="319"/>
        <v>0</v>
      </c>
      <c r="BC486" s="447" t="s">
        <v>2204</v>
      </c>
      <c r="BE486" s="462">
        <f t="shared" si="281"/>
        <v>0</v>
      </c>
      <c r="BH486" s="462">
        <f t="shared" si="282"/>
        <v>0</v>
      </c>
      <c r="BK486" s="462">
        <f t="shared" si="283"/>
        <v>0</v>
      </c>
      <c r="BN486" s="462">
        <f t="shared" si="284"/>
        <v>0</v>
      </c>
      <c r="BQ486" s="462">
        <f t="shared" si="285"/>
        <v>0</v>
      </c>
      <c r="BT486" s="462">
        <f t="shared" si="286"/>
        <v>0</v>
      </c>
      <c r="BW486" s="462">
        <f t="shared" si="287"/>
        <v>0</v>
      </c>
      <c r="BZ486" s="462">
        <f t="shared" si="288"/>
        <v>0</v>
      </c>
      <c r="CD486" s="418" t="str">
        <f t="shared" si="289"/>
        <v>CU1780001</v>
      </c>
      <c r="CE486" s="442" t="str">
        <f t="shared" si="290"/>
        <v>2019年12月</v>
      </c>
      <c r="CF486" s="418" t="str">
        <f t="shared" si="291"/>
        <v>博泽汽车技clife服务费暂估</v>
      </c>
      <c r="CG486" s="418" t="str">
        <f t="shared" si="292"/>
        <v>2019年12月博泽汽车技clife服务费暂估</v>
      </c>
    </row>
    <row r="487" spans="2:85" s="447" customFormat="1" ht="17.25" customHeight="1">
      <c r="B487" s="447" t="str">
        <f t="shared" si="276"/>
        <v>CU1805</v>
      </c>
      <c r="C487" s="431" t="s">
        <v>755</v>
      </c>
      <c r="D487" s="367" t="s">
        <v>2028</v>
      </c>
      <c r="E487" s="367" t="s">
        <v>2022</v>
      </c>
      <c r="F487" s="439">
        <v>43800</v>
      </c>
      <c r="G487" s="430">
        <v>195157.92</v>
      </c>
      <c r="H487" s="440"/>
      <c r="I487" s="440">
        <f t="shared" si="305"/>
        <v>195157.92</v>
      </c>
      <c r="J487" s="440"/>
      <c r="L487" s="462">
        <f t="shared" si="306"/>
        <v>195157.92</v>
      </c>
      <c r="M487" s="462"/>
      <c r="N487" s="444"/>
      <c r="O487" s="462">
        <f t="shared" si="307"/>
        <v>195157.92</v>
      </c>
      <c r="R487" s="462">
        <f t="shared" si="308"/>
        <v>195157.92</v>
      </c>
      <c r="U487" s="462">
        <f t="shared" si="309"/>
        <v>195157.92</v>
      </c>
      <c r="X487" s="462">
        <f t="shared" si="310"/>
        <v>195157.92</v>
      </c>
      <c r="AA487" s="462">
        <f t="shared" si="311"/>
        <v>195157.92</v>
      </c>
      <c r="AD487" s="462">
        <f t="shared" si="312"/>
        <v>195157.92</v>
      </c>
      <c r="AG487" s="462">
        <f t="shared" si="313"/>
        <v>195157.92</v>
      </c>
      <c r="AJ487" s="462">
        <f t="shared" si="314"/>
        <v>195157.92</v>
      </c>
      <c r="AM487" s="462">
        <f t="shared" si="315"/>
        <v>195157.92</v>
      </c>
      <c r="AP487" s="462">
        <f t="shared" si="316"/>
        <v>195157.92</v>
      </c>
      <c r="AR487" s="447">
        <v>195157.92</v>
      </c>
      <c r="AS487" s="459">
        <f>G487-AR487</f>
        <v>0</v>
      </c>
      <c r="AV487" s="462">
        <f t="shared" si="317"/>
        <v>0</v>
      </c>
      <c r="AY487" s="462">
        <f t="shared" si="318"/>
        <v>0</v>
      </c>
      <c r="BB487" s="462">
        <f t="shared" si="319"/>
        <v>0</v>
      </c>
      <c r="BC487" s="447" t="s">
        <v>2204</v>
      </c>
      <c r="BE487" s="462">
        <f t="shared" si="281"/>
        <v>0</v>
      </c>
      <c r="BH487" s="462">
        <f t="shared" si="282"/>
        <v>0</v>
      </c>
      <c r="BK487" s="462">
        <f t="shared" si="283"/>
        <v>0</v>
      </c>
      <c r="BN487" s="462">
        <f t="shared" si="284"/>
        <v>0</v>
      </c>
      <c r="BQ487" s="462">
        <f t="shared" si="285"/>
        <v>0</v>
      </c>
      <c r="BT487" s="462">
        <f t="shared" si="286"/>
        <v>0</v>
      </c>
      <c r="BW487" s="462">
        <f t="shared" si="287"/>
        <v>0</v>
      </c>
      <c r="BZ487" s="462">
        <f t="shared" si="288"/>
        <v>0</v>
      </c>
      <c r="CD487" s="418" t="str">
        <f t="shared" si="289"/>
        <v>CU1805001</v>
      </c>
      <c r="CE487" s="442" t="str">
        <f t="shared" si="290"/>
        <v>2019年12月</v>
      </c>
      <c r="CF487" s="418" t="str">
        <f t="shared" si="291"/>
        <v>上海纬中元clife服务费暂估</v>
      </c>
      <c r="CG487" s="418" t="str">
        <f t="shared" si="292"/>
        <v>2019年12月上海纬中元clife服务费暂估</v>
      </c>
    </row>
    <row r="488" spans="2:85" s="447" customFormat="1" ht="17.25" customHeight="1">
      <c r="B488" s="447" t="str">
        <f t="shared" si="276"/>
        <v>CU1808</v>
      </c>
      <c r="C488" s="431" t="s">
        <v>755</v>
      </c>
      <c r="D488" s="367" t="s">
        <v>2029</v>
      </c>
      <c r="E488" s="456" t="s">
        <v>2023</v>
      </c>
      <c r="F488" s="457">
        <v>43800</v>
      </c>
      <c r="G488" s="430">
        <v>84767.46</v>
      </c>
      <c r="H488" s="440"/>
      <c r="I488" s="440">
        <f t="shared" si="305"/>
        <v>84767.46</v>
      </c>
      <c r="J488" s="440"/>
      <c r="L488" s="462">
        <f t="shared" si="306"/>
        <v>84767.46</v>
      </c>
      <c r="M488" s="462"/>
      <c r="N488" s="444"/>
      <c r="O488" s="462">
        <f t="shared" si="307"/>
        <v>84767.46</v>
      </c>
      <c r="R488" s="462">
        <f t="shared" si="308"/>
        <v>84767.46</v>
      </c>
      <c r="U488" s="462">
        <f t="shared" si="309"/>
        <v>84767.46</v>
      </c>
      <c r="X488" s="462">
        <f t="shared" si="310"/>
        <v>84767.46</v>
      </c>
      <c r="AA488" s="462">
        <f t="shared" si="311"/>
        <v>84767.46</v>
      </c>
      <c r="AD488" s="462">
        <f t="shared" si="312"/>
        <v>84767.46</v>
      </c>
      <c r="AG488" s="462">
        <f t="shared" si="313"/>
        <v>84767.46</v>
      </c>
      <c r="AJ488" s="462">
        <f t="shared" si="314"/>
        <v>84767.46</v>
      </c>
      <c r="AM488" s="459">
        <f t="shared" si="315"/>
        <v>84767.46</v>
      </c>
      <c r="AN488" s="460"/>
      <c r="AO488" s="460"/>
      <c r="AP488" s="459">
        <f t="shared" si="316"/>
        <v>84767.46</v>
      </c>
      <c r="AQ488" s="460"/>
      <c r="AR488" s="460">
        <v>3871</v>
      </c>
      <c r="AS488" s="459">
        <f>AP488-AR488</f>
        <v>80896.460000000006</v>
      </c>
      <c r="AU488" s="461">
        <f>AS488</f>
        <v>80896.460000000006</v>
      </c>
      <c r="AV488" s="462">
        <f t="shared" si="317"/>
        <v>0</v>
      </c>
      <c r="AY488" s="462">
        <f t="shared" si="318"/>
        <v>0</v>
      </c>
      <c r="BB488" s="462">
        <f t="shared" si="319"/>
        <v>0</v>
      </c>
      <c r="BC488" s="447" t="s">
        <v>2204</v>
      </c>
      <c r="BE488" s="462">
        <f t="shared" si="281"/>
        <v>0</v>
      </c>
      <c r="BH488" s="462">
        <f t="shared" si="282"/>
        <v>0</v>
      </c>
      <c r="BK488" s="462">
        <f t="shared" si="283"/>
        <v>0</v>
      </c>
      <c r="BN488" s="462">
        <f t="shared" si="284"/>
        <v>0</v>
      </c>
      <c r="BQ488" s="462">
        <f t="shared" si="285"/>
        <v>0</v>
      </c>
      <c r="BT488" s="462">
        <f t="shared" si="286"/>
        <v>0</v>
      </c>
      <c r="BW488" s="462">
        <f t="shared" si="287"/>
        <v>0</v>
      </c>
      <c r="BZ488" s="462">
        <f t="shared" si="288"/>
        <v>0</v>
      </c>
      <c r="CD488" s="418" t="str">
        <f t="shared" si="289"/>
        <v>CU1808001</v>
      </c>
      <c r="CE488" s="442" t="str">
        <f t="shared" si="290"/>
        <v>2019年12月</v>
      </c>
      <c r="CF488" s="418" t="str">
        <f t="shared" si="291"/>
        <v>常州瑞慈融clife服务费暂估</v>
      </c>
      <c r="CG488" s="418" t="str">
        <f t="shared" si="292"/>
        <v>2019年12月常州瑞慈融clife服务费暂估</v>
      </c>
    </row>
    <row r="489" spans="2:85" s="447" customFormat="1" ht="17.25" customHeight="1">
      <c r="B489" s="447" t="str">
        <f t="shared" si="276"/>
        <v>CU0289</v>
      </c>
      <c r="C489" s="431" t="s">
        <v>755</v>
      </c>
      <c r="D489" s="367" t="s">
        <v>1644</v>
      </c>
      <c r="E489" s="367" t="s">
        <v>2038</v>
      </c>
      <c r="F489" s="439">
        <v>43801</v>
      </c>
      <c r="G489" s="430">
        <v>15185.84</v>
      </c>
      <c r="H489" s="440"/>
      <c r="I489" s="440">
        <f t="shared" si="305"/>
        <v>15185.84</v>
      </c>
      <c r="J489" s="440"/>
      <c r="L489" s="462">
        <f t="shared" si="306"/>
        <v>15185.84</v>
      </c>
      <c r="M489" s="462"/>
      <c r="N489" s="444"/>
      <c r="O489" s="462">
        <f t="shared" si="307"/>
        <v>15185.84</v>
      </c>
      <c r="R489" s="462">
        <f t="shared" si="308"/>
        <v>15185.84</v>
      </c>
      <c r="U489" s="462">
        <f t="shared" si="309"/>
        <v>15185.84</v>
      </c>
      <c r="X489" s="462">
        <f t="shared" si="310"/>
        <v>15185.84</v>
      </c>
      <c r="AA489" s="462">
        <f t="shared" si="311"/>
        <v>15185.84</v>
      </c>
      <c r="AD489" s="462">
        <f t="shared" si="312"/>
        <v>15185.84</v>
      </c>
      <c r="AG489" s="462">
        <f t="shared" si="313"/>
        <v>15185.84</v>
      </c>
      <c r="AJ489" s="462">
        <f t="shared" si="314"/>
        <v>15185.84</v>
      </c>
      <c r="AM489" s="462">
        <f t="shared" si="315"/>
        <v>15185.84</v>
      </c>
      <c r="AP489" s="462">
        <f t="shared" si="316"/>
        <v>15185.84</v>
      </c>
      <c r="AS489" s="459">
        <f>G489</f>
        <v>15185.84</v>
      </c>
      <c r="AU489" s="447">
        <v>15185.84</v>
      </c>
      <c r="AV489" s="462">
        <f t="shared" si="317"/>
        <v>0</v>
      </c>
      <c r="AY489" s="462">
        <f t="shared" si="318"/>
        <v>0</v>
      </c>
      <c r="BB489" s="462">
        <f t="shared" si="319"/>
        <v>0</v>
      </c>
      <c r="BC489" s="447" t="s">
        <v>2204</v>
      </c>
      <c r="BE489" s="462">
        <f t="shared" si="281"/>
        <v>0</v>
      </c>
      <c r="BH489" s="462">
        <f t="shared" si="282"/>
        <v>0</v>
      </c>
      <c r="BK489" s="462">
        <f t="shared" si="283"/>
        <v>0</v>
      </c>
      <c r="BN489" s="462">
        <f t="shared" si="284"/>
        <v>0</v>
      </c>
      <c r="BQ489" s="462">
        <f t="shared" si="285"/>
        <v>0</v>
      </c>
      <c r="BT489" s="462">
        <f t="shared" si="286"/>
        <v>0</v>
      </c>
      <c r="BW489" s="462">
        <f t="shared" si="287"/>
        <v>0</v>
      </c>
      <c r="BZ489" s="462">
        <f t="shared" si="288"/>
        <v>0</v>
      </c>
      <c r="CD489" s="418" t="str">
        <f t="shared" si="289"/>
        <v>CU0289001</v>
      </c>
      <c r="CE489" s="442" t="str">
        <f t="shared" si="290"/>
        <v>2019年12月</v>
      </c>
      <c r="CF489" s="418" t="str">
        <f t="shared" si="291"/>
        <v>拉格代尔商clife服务费暂估</v>
      </c>
      <c r="CG489" s="418" t="str">
        <f t="shared" si="292"/>
        <v>2019年12月拉格代尔商clife服务费暂估</v>
      </c>
    </row>
    <row r="490" spans="2:85" s="447" customFormat="1" ht="17.25" customHeight="1">
      <c r="B490" s="447" t="str">
        <f t="shared" si="276"/>
        <v>CU0289</v>
      </c>
      <c r="C490" s="431" t="s">
        <v>755</v>
      </c>
      <c r="D490" s="367" t="s">
        <v>1644</v>
      </c>
      <c r="E490" s="367" t="s">
        <v>2038</v>
      </c>
      <c r="F490" s="439">
        <v>43802</v>
      </c>
      <c r="G490" s="430">
        <v>8416.91</v>
      </c>
      <c r="H490" s="440"/>
      <c r="I490" s="440">
        <f t="shared" si="305"/>
        <v>8416.91</v>
      </c>
      <c r="J490" s="440"/>
      <c r="L490" s="462">
        <f t="shared" si="306"/>
        <v>8416.91</v>
      </c>
      <c r="M490" s="462"/>
      <c r="N490" s="444"/>
      <c r="O490" s="462">
        <f t="shared" si="307"/>
        <v>8416.91</v>
      </c>
      <c r="R490" s="462">
        <f t="shared" si="308"/>
        <v>8416.91</v>
      </c>
      <c r="U490" s="462">
        <f t="shared" si="309"/>
        <v>8416.91</v>
      </c>
      <c r="X490" s="462">
        <f t="shared" si="310"/>
        <v>8416.91</v>
      </c>
      <c r="AA490" s="462">
        <f t="shared" si="311"/>
        <v>8416.91</v>
      </c>
      <c r="AD490" s="462">
        <f t="shared" si="312"/>
        <v>8416.91</v>
      </c>
      <c r="AG490" s="462">
        <f t="shared" si="313"/>
        <v>8416.91</v>
      </c>
      <c r="AJ490" s="462">
        <f t="shared" si="314"/>
        <v>8416.91</v>
      </c>
      <c r="AM490" s="462">
        <f t="shared" si="315"/>
        <v>8416.91</v>
      </c>
      <c r="AP490" s="462">
        <f t="shared" si="316"/>
        <v>8416.91</v>
      </c>
      <c r="AS490" s="459">
        <v>0</v>
      </c>
      <c r="AV490" s="462">
        <f t="shared" si="317"/>
        <v>0</v>
      </c>
      <c r="AY490" s="462">
        <f t="shared" si="318"/>
        <v>0</v>
      </c>
      <c r="BB490" s="462">
        <f t="shared" si="319"/>
        <v>0</v>
      </c>
      <c r="BC490" s="447" t="s">
        <v>2204</v>
      </c>
      <c r="BE490" s="462">
        <f t="shared" si="281"/>
        <v>0</v>
      </c>
      <c r="BH490" s="462">
        <f t="shared" si="282"/>
        <v>0</v>
      </c>
      <c r="BK490" s="462">
        <f t="shared" si="283"/>
        <v>0</v>
      </c>
      <c r="BN490" s="462">
        <f t="shared" si="284"/>
        <v>0</v>
      </c>
      <c r="BQ490" s="462">
        <f t="shared" si="285"/>
        <v>0</v>
      </c>
      <c r="BT490" s="462">
        <f t="shared" si="286"/>
        <v>0</v>
      </c>
      <c r="BW490" s="462">
        <f t="shared" si="287"/>
        <v>0</v>
      </c>
      <c r="BZ490" s="462">
        <f t="shared" si="288"/>
        <v>0</v>
      </c>
      <c r="CD490" s="418" t="str">
        <f t="shared" si="289"/>
        <v>CU0289001</v>
      </c>
      <c r="CE490" s="442" t="str">
        <f t="shared" si="290"/>
        <v>2019年12月</v>
      </c>
      <c r="CF490" s="418" t="str">
        <f t="shared" si="291"/>
        <v>拉格代尔商clife服务费暂估</v>
      </c>
      <c r="CG490" s="418" t="str">
        <f t="shared" si="292"/>
        <v>2019年12月拉格代尔商clife服务费暂估</v>
      </c>
    </row>
    <row r="491" spans="2:85" s="447" customFormat="1" ht="17.25" customHeight="1">
      <c r="B491" s="447" t="str">
        <f t="shared" si="276"/>
        <v>CU0289</v>
      </c>
      <c r="C491" s="431" t="s">
        <v>755</v>
      </c>
      <c r="D491" s="367" t="s">
        <v>1644</v>
      </c>
      <c r="E491" s="456" t="s">
        <v>695</v>
      </c>
      <c r="F491" s="457">
        <v>43803</v>
      </c>
      <c r="G491" s="430">
        <v>72666.080000000002</v>
      </c>
      <c r="H491" s="440"/>
      <c r="I491" s="440">
        <f t="shared" si="305"/>
        <v>72666.080000000002</v>
      </c>
      <c r="J491" s="440"/>
      <c r="L491" s="462">
        <f t="shared" si="306"/>
        <v>72666.080000000002</v>
      </c>
      <c r="M491" s="462"/>
      <c r="N491" s="444"/>
      <c r="O491" s="462">
        <f t="shared" si="307"/>
        <v>72666.080000000002</v>
      </c>
      <c r="R491" s="462">
        <f t="shared" si="308"/>
        <v>72666.080000000002</v>
      </c>
      <c r="U491" s="462">
        <f t="shared" si="309"/>
        <v>72666.080000000002</v>
      </c>
      <c r="X491" s="462">
        <f t="shared" si="310"/>
        <v>72666.080000000002</v>
      </c>
      <c r="AA491" s="462">
        <f t="shared" si="311"/>
        <v>72666.080000000002</v>
      </c>
      <c r="AD491" s="462">
        <f t="shared" si="312"/>
        <v>72666.080000000002</v>
      </c>
      <c r="AG491" s="462">
        <f t="shared" si="313"/>
        <v>72666.080000000002</v>
      </c>
      <c r="AJ491" s="462">
        <f t="shared" si="314"/>
        <v>72666.080000000002</v>
      </c>
      <c r="AM491" s="459">
        <f t="shared" si="315"/>
        <v>72666.080000000002</v>
      </c>
      <c r="AN491" s="460"/>
      <c r="AO491" s="460"/>
      <c r="AP491" s="459">
        <f t="shared" si="316"/>
        <v>72666.080000000002</v>
      </c>
      <c r="AQ491" s="460"/>
      <c r="AR491" s="460">
        <v>14696.76</v>
      </c>
      <c r="AS491" s="459">
        <f t="shared" ref="AS491:AS522" si="320">AP491-AR491</f>
        <v>57969.32</v>
      </c>
      <c r="AV491" s="462">
        <f t="shared" si="317"/>
        <v>57969.32</v>
      </c>
      <c r="AW491" s="447" t="s">
        <v>2107</v>
      </c>
      <c r="AY491" s="462">
        <f t="shared" si="318"/>
        <v>57969.32</v>
      </c>
      <c r="AZ491" s="447" t="s">
        <v>2131</v>
      </c>
      <c r="BB491" s="462">
        <f t="shared" si="319"/>
        <v>57969.32</v>
      </c>
      <c r="BC491" s="447" t="s">
        <v>2204</v>
      </c>
      <c r="BE491" s="462">
        <f t="shared" si="281"/>
        <v>57969.32</v>
      </c>
      <c r="BF491" s="447" t="s">
        <v>2237</v>
      </c>
      <c r="BH491" s="462">
        <f t="shared" si="282"/>
        <v>57969.32</v>
      </c>
      <c r="BI491" s="447" t="s">
        <v>2292</v>
      </c>
      <c r="BK491" s="462">
        <f t="shared" si="283"/>
        <v>57969.32</v>
      </c>
      <c r="BL491" s="447" t="s">
        <v>2339</v>
      </c>
      <c r="BN491" s="462">
        <f t="shared" si="284"/>
        <v>57969.32</v>
      </c>
      <c r="BO491" s="447" t="s">
        <v>2365</v>
      </c>
      <c r="BQ491" s="462">
        <f t="shared" si="285"/>
        <v>57969.32</v>
      </c>
      <c r="BR491" s="447" t="s">
        <v>2374</v>
      </c>
      <c r="BT491" s="462">
        <f t="shared" si="286"/>
        <v>57969.32</v>
      </c>
      <c r="BU491" s="447" t="s">
        <v>2134</v>
      </c>
      <c r="BV491" s="462">
        <f>BT491</f>
        <v>57969.32</v>
      </c>
      <c r="BW491" s="462">
        <f t="shared" si="287"/>
        <v>0</v>
      </c>
      <c r="BZ491" s="462">
        <f t="shared" si="288"/>
        <v>0</v>
      </c>
      <c r="CD491" s="418" t="str">
        <f t="shared" si="289"/>
        <v>CU0289001</v>
      </c>
      <c r="CE491" s="442" t="str">
        <f t="shared" si="290"/>
        <v>2019年12月</v>
      </c>
      <c r="CF491" s="418" t="str">
        <f t="shared" si="291"/>
        <v>拉格代尔商clife服务费暂估</v>
      </c>
      <c r="CG491" s="418" t="str">
        <f t="shared" si="292"/>
        <v>2019年12月拉格代尔商clife服务费暂估</v>
      </c>
    </row>
    <row r="492" spans="2:85" s="447" customFormat="1" ht="17.25" customHeight="1">
      <c r="B492" s="447" t="str">
        <f t="shared" si="276"/>
        <v>CU0145</v>
      </c>
      <c r="C492" s="431" t="s">
        <v>755</v>
      </c>
      <c r="D492" s="367" t="s">
        <v>2043</v>
      </c>
      <c r="E492" s="367" t="s">
        <v>2042</v>
      </c>
      <c r="F492" s="439">
        <v>43831</v>
      </c>
      <c r="G492" s="430">
        <v>200755.95</v>
      </c>
      <c r="H492" s="440"/>
      <c r="I492" s="440">
        <f t="shared" si="305"/>
        <v>200755.95</v>
      </c>
      <c r="J492" s="440"/>
      <c r="L492" s="462">
        <f t="shared" si="306"/>
        <v>200755.95</v>
      </c>
      <c r="M492" s="462"/>
      <c r="N492" s="444"/>
      <c r="O492" s="462">
        <f t="shared" si="307"/>
        <v>200755.95</v>
      </c>
      <c r="R492" s="462">
        <f t="shared" si="308"/>
        <v>200755.95</v>
      </c>
      <c r="U492" s="462">
        <f t="shared" si="309"/>
        <v>200755.95</v>
      </c>
      <c r="X492" s="462">
        <f t="shared" si="310"/>
        <v>200755.95</v>
      </c>
      <c r="AA492" s="462">
        <f t="shared" si="311"/>
        <v>200755.95</v>
      </c>
      <c r="AD492" s="462">
        <f t="shared" si="312"/>
        <v>200755.95</v>
      </c>
      <c r="AG492" s="462">
        <f t="shared" si="313"/>
        <v>200755.95</v>
      </c>
      <c r="AJ492" s="462">
        <f t="shared" si="314"/>
        <v>200755.95</v>
      </c>
      <c r="AM492" s="462">
        <f t="shared" si="315"/>
        <v>200755.95</v>
      </c>
      <c r="AP492" s="462">
        <f t="shared" si="316"/>
        <v>200755.95</v>
      </c>
      <c r="AS492" s="459">
        <f t="shared" si="320"/>
        <v>200755.95</v>
      </c>
      <c r="AT492" s="447" t="s">
        <v>2065</v>
      </c>
      <c r="AV492" s="462">
        <f t="shared" si="317"/>
        <v>200755.95</v>
      </c>
      <c r="AW492" s="447" t="s">
        <v>2106</v>
      </c>
      <c r="AY492" s="462">
        <f t="shared" si="318"/>
        <v>200755.95</v>
      </c>
      <c r="AZ492" s="447" t="s">
        <v>2132</v>
      </c>
      <c r="BA492" s="462">
        <f>AY492</f>
        <v>200755.95</v>
      </c>
      <c r="BB492" s="462">
        <f t="shared" si="319"/>
        <v>0</v>
      </c>
      <c r="BC492" s="447" t="s">
        <v>2217</v>
      </c>
      <c r="BE492" s="462">
        <f t="shared" si="281"/>
        <v>0</v>
      </c>
      <c r="BH492" s="462">
        <f t="shared" si="282"/>
        <v>0</v>
      </c>
      <c r="BK492" s="462">
        <f t="shared" si="283"/>
        <v>0</v>
      </c>
      <c r="BN492" s="462">
        <f t="shared" si="284"/>
        <v>0</v>
      </c>
      <c r="BQ492" s="462">
        <f t="shared" si="285"/>
        <v>0</v>
      </c>
      <c r="BT492" s="462">
        <f t="shared" si="286"/>
        <v>0</v>
      </c>
      <c r="BW492" s="462">
        <f t="shared" si="287"/>
        <v>0</v>
      </c>
      <c r="BZ492" s="462">
        <f t="shared" si="288"/>
        <v>0</v>
      </c>
      <c r="CD492" s="418" t="str">
        <f t="shared" si="289"/>
        <v>CU0145001</v>
      </c>
      <c r="CE492" s="442" t="str">
        <f t="shared" si="290"/>
        <v>2020年1月</v>
      </c>
      <c r="CF492" s="418" t="str">
        <f t="shared" si="291"/>
        <v>锐珂亚太投clife服务费暂估</v>
      </c>
      <c r="CG492" s="418" t="str">
        <f t="shared" si="292"/>
        <v>2020年1月锐珂亚太投clife服务费暂估</v>
      </c>
    </row>
    <row r="493" spans="2:85" s="447" customFormat="1" ht="17.25" customHeight="1">
      <c r="B493" s="447" t="str">
        <f t="shared" si="276"/>
        <v>CU0182</v>
      </c>
      <c r="C493" s="431" t="s">
        <v>755</v>
      </c>
      <c r="D493" s="367" t="s">
        <v>2044</v>
      </c>
      <c r="E493" s="367" t="s">
        <v>2046</v>
      </c>
      <c r="F493" s="439">
        <v>43832</v>
      </c>
      <c r="G493" s="430">
        <v>1098.77</v>
      </c>
      <c r="H493" s="440"/>
      <c r="I493" s="440">
        <f t="shared" si="305"/>
        <v>1098.77</v>
      </c>
      <c r="J493" s="440"/>
      <c r="L493" s="462">
        <f t="shared" si="306"/>
        <v>1098.77</v>
      </c>
      <c r="M493" s="462"/>
      <c r="N493" s="444"/>
      <c r="O493" s="462">
        <f t="shared" si="307"/>
        <v>1098.77</v>
      </c>
      <c r="R493" s="462">
        <f t="shared" si="308"/>
        <v>1098.77</v>
      </c>
      <c r="U493" s="462">
        <f t="shared" si="309"/>
        <v>1098.77</v>
      </c>
      <c r="X493" s="462">
        <f t="shared" si="310"/>
        <v>1098.77</v>
      </c>
      <c r="AA493" s="462">
        <f t="shared" si="311"/>
        <v>1098.77</v>
      </c>
      <c r="AD493" s="462">
        <f t="shared" si="312"/>
        <v>1098.77</v>
      </c>
      <c r="AG493" s="462">
        <f t="shared" si="313"/>
        <v>1098.77</v>
      </c>
      <c r="AJ493" s="462">
        <f t="shared" si="314"/>
        <v>1098.77</v>
      </c>
      <c r="AM493" s="462">
        <f t="shared" si="315"/>
        <v>1098.77</v>
      </c>
      <c r="AP493" s="462">
        <f t="shared" si="316"/>
        <v>1098.77</v>
      </c>
      <c r="AS493" s="459">
        <f t="shared" si="320"/>
        <v>1098.77</v>
      </c>
      <c r="AT493" s="447" t="s">
        <v>2065</v>
      </c>
      <c r="AV493" s="462">
        <f t="shared" si="317"/>
        <v>1098.77</v>
      </c>
      <c r="AW493" s="447" t="s">
        <v>2106</v>
      </c>
      <c r="AY493" s="462">
        <f t="shared" si="318"/>
        <v>1098.77</v>
      </c>
      <c r="AZ493" s="447" t="s">
        <v>2132</v>
      </c>
      <c r="BB493" s="462">
        <f t="shared" si="319"/>
        <v>1098.77</v>
      </c>
      <c r="BC493" s="447" t="s">
        <v>2217</v>
      </c>
      <c r="BE493" s="462">
        <f t="shared" si="281"/>
        <v>1098.77</v>
      </c>
      <c r="BF493" s="447" t="s">
        <v>2238</v>
      </c>
      <c r="BH493" s="462">
        <f t="shared" si="282"/>
        <v>1098.77</v>
      </c>
      <c r="BI493" s="447" t="s">
        <v>2293</v>
      </c>
      <c r="BK493" s="462">
        <f t="shared" si="283"/>
        <v>1098.77</v>
      </c>
      <c r="BL493" s="447" t="s">
        <v>2341</v>
      </c>
      <c r="BN493" s="462">
        <f t="shared" si="284"/>
        <v>1098.77</v>
      </c>
      <c r="BO493" s="447" t="s">
        <v>2364</v>
      </c>
      <c r="BQ493" s="462">
        <f t="shared" si="285"/>
        <v>1098.77</v>
      </c>
      <c r="BT493" s="462">
        <f t="shared" si="286"/>
        <v>1098.77</v>
      </c>
      <c r="BU493" s="447" t="s">
        <v>2134</v>
      </c>
      <c r="BW493" s="462">
        <f t="shared" si="287"/>
        <v>1098.77</v>
      </c>
      <c r="BZ493" s="462">
        <f t="shared" si="288"/>
        <v>1098.77</v>
      </c>
      <c r="CD493" s="418" t="str">
        <f t="shared" si="289"/>
        <v>CU0182001</v>
      </c>
      <c r="CE493" s="442" t="str">
        <f t="shared" si="290"/>
        <v>2020年1月</v>
      </c>
      <c r="CF493" s="418" t="str">
        <f t="shared" si="291"/>
        <v>阿姆斯壮世clife服务费暂估</v>
      </c>
      <c r="CG493" s="418" t="str">
        <f t="shared" si="292"/>
        <v>2020年1月阿姆斯壮世clife服务费暂估</v>
      </c>
    </row>
    <row r="494" spans="2:85" s="447" customFormat="1" ht="17.25" customHeight="1">
      <c r="B494" s="447" t="str">
        <f t="shared" si="276"/>
        <v>CU0531</v>
      </c>
      <c r="C494" s="431" t="s">
        <v>755</v>
      </c>
      <c r="D494" s="367" t="s">
        <v>2325</v>
      </c>
      <c r="E494" s="367" t="s">
        <v>2047</v>
      </c>
      <c r="F494" s="439">
        <v>43833</v>
      </c>
      <c r="G494" s="430">
        <v>191238.52</v>
      </c>
      <c r="H494" s="440"/>
      <c r="I494" s="440">
        <f t="shared" si="305"/>
        <v>191238.52</v>
      </c>
      <c r="J494" s="440"/>
      <c r="L494" s="462">
        <f t="shared" si="306"/>
        <v>191238.52</v>
      </c>
      <c r="M494" s="462"/>
      <c r="N494" s="444"/>
      <c r="O494" s="462">
        <f t="shared" si="307"/>
        <v>191238.52</v>
      </c>
      <c r="R494" s="462">
        <f t="shared" si="308"/>
        <v>191238.52</v>
      </c>
      <c r="U494" s="462">
        <f t="shared" si="309"/>
        <v>191238.52</v>
      </c>
      <c r="X494" s="462">
        <f t="shared" si="310"/>
        <v>191238.52</v>
      </c>
      <c r="AA494" s="462">
        <f t="shared" si="311"/>
        <v>191238.52</v>
      </c>
      <c r="AD494" s="462">
        <f t="shared" si="312"/>
        <v>191238.52</v>
      </c>
      <c r="AG494" s="462">
        <f t="shared" si="313"/>
        <v>191238.52</v>
      </c>
      <c r="AJ494" s="462">
        <f t="shared" si="314"/>
        <v>191238.52</v>
      </c>
      <c r="AM494" s="462">
        <f t="shared" si="315"/>
        <v>191238.52</v>
      </c>
      <c r="AP494" s="462">
        <f t="shared" si="316"/>
        <v>191238.52</v>
      </c>
      <c r="AS494" s="459">
        <f t="shared" si="320"/>
        <v>191238.52</v>
      </c>
      <c r="AT494" s="447" t="s">
        <v>2065</v>
      </c>
      <c r="AV494" s="462">
        <f t="shared" si="317"/>
        <v>191238.52</v>
      </c>
      <c r="AW494" s="447" t="s">
        <v>2106</v>
      </c>
      <c r="AY494" s="462">
        <f t="shared" si="318"/>
        <v>191238.52</v>
      </c>
      <c r="AZ494" s="447" t="s">
        <v>2132</v>
      </c>
      <c r="BB494" s="462">
        <f t="shared" si="319"/>
        <v>191238.52</v>
      </c>
      <c r="BC494" s="447" t="s">
        <v>2217</v>
      </c>
      <c r="BE494" s="462">
        <f t="shared" si="281"/>
        <v>191238.52</v>
      </c>
      <c r="BF494" s="447" t="s">
        <v>2238</v>
      </c>
      <c r="BH494" s="462">
        <f t="shared" si="282"/>
        <v>191238.52</v>
      </c>
      <c r="BI494" s="447" t="s">
        <v>2293</v>
      </c>
      <c r="BK494" s="462">
        <f t="shared" si="283"/>
        <v>191238.52</v>
      </c>
      <c r="BL494" s="447" t="s">
        <v>2341</v>
      </c>
      <c r="BN494" s="462">
        <f t="shared" si="284"/>
        <v>191238.52</v>
      </c>
      <c r="BO494" s="447" t="s">
        <v>2364</v>
      </c>
      <c r="BQ494" s="462">
        <f t="shared" si="285"/>
        <v>191238.52</v>
      </c>
      <c r="BT494" s="462">
        <f t="shared" si="286"/>
        <v>191238.52</v>
      </c>
      <c r="BU494" s="447" t="s">
        <v>2134</v>
      </c>
      <c r="BV494" s="447">
        <f>200000-BV426-BV463</f>
        <v>120708.11</v>
      </c>
      <c r="BW494" s="462">
        <f t="shared" si="287"/>
        <v>70530.41</v>
      </c>
      <c r="BZ494" s="462">
        <f t="shared" si="288"/>
        <v>70530.41</v>
      </c>
      <c r="CD494" s="418" t="str">
        <f t="shared" si="289"/>
        <v>CU0531001</v>
      </c>
      <c r="CE494" s="442" t="str">
        <f t="shared" si="290"/>
        <v>2020年1月</v>
      </c>
      <c r="CF494" s="418" t="str">
        <f t="shared" si="291"/>
        <v>恩思恩时尚clife服务费暂估</v>
      </c>
      <c r="CG494" s="418" t="str">
        <f t="shared" si="292"/>
        <v>2020年1月恩思恩时尚clife服务费暂估</v>
      </c>
    </row>
    <row r="495" spans="2:85" s="447" customFormat="1" ht="17.25" customHeight="1">
      <c r="B495" s="447" t="str">
        <f t="shared" si="276"/>
        <v>CU0636</v>
      </c>
      <c r="C495" s="431" t="s">
        <v>755</v>
      </c>
      <c r="D495" s="367" t="s">
        <v>2048</v>
      </c>
      <c r="E495" s="367" t="s">
        <v>2049</v>
      </c>
      <c r="F495" s="439">
        <v>43834</v>
      </c>
      <c r="G495" s="430">
        <v>6214.6</v>
      </c>
      <c r="H495" s="440"/>
      <c r="I495" s="440">
        <f t="shared" si="305"/>
        <v>6214.6</v>
      </c>
      <c r="J495" s="440"/>
      <c r="L495" s="462">
        <f t="shared" si="306"/>
        <v>6214.6</v>
      </c>
      <c r="M495" s="462"/>
      <c r="N495" s="444"/>
      <c r="O495" s="462">
        <f t="shared" si="307"/>
        <v>6214.6</v>
      </c>
      <c r="R495" s="462">
        <f t="shared" si="308"/>
        <v>6214.6</v>
      </c>
      <c r="U495" s="462">
        <f t="shared" si="309"/>
        <v>6214.6</v>
      </c>
      <c r="X495" s="462">
        <f t="shared" si="310"/>
        <v>6214.6</v>
      </c>
      <c r="AA495" s="462">
        <f t="shared" si="311"/>
        <v>6214.6</v>
      </c>
      <c r="AD495" s="462">
        <f t="shared" si="312"/>
        <v>6214.6</v>
      </c>
      <c r="AG495" s="462">
        <f t="shared" si="313"/>
        <v>6214.6</v>
      </c>
      <c r="AJ495" s="462">
        <f t="shared" si="314"/>
        <v>6214.6</v>
      </c>
      <c r="AM495" s="462">
        <f t="shared" si="315"/>
        <v>6214.6</v>
      </c>
      <c r="AP495" s="462">
        <f t="shared" si="316"/>
        <v>6214.6</v>
      </c>
      <c r="AS495" s="459">
        <f t="shared" si="320"/>
        <v>6214.6</v>
      </c>
      <c r="AT495" s="447" t="s">
        <v>2065</v>
      </c>
      <c r="AV495" s="462">
        <f t="shared" si="317"/>
        <v>6214.6</v>
      </c>
      <c r="AW495" s="447" t="s">
        <v>2106</v>
      </c>
      <c r="AY495" s="462">
        <f t="shared" si="318"/>
        <v>6214.6</v>
      </c>
      <c r="AZ495" s="447" t="s">
        <v>2132</v>
      </c>
      <c r="BB495" s="462">
        <f t="shared" si="319"/>
        <v>6214.6</v>
      </c>
      <c r="BC495" s="447" t="s">
        <v>2217</v>
      </c>
      <c r="BD495" s="462">
        <f>BB495</f>
        <v>6214.6</v>
      </c>
      <c r="BE495" s="462">
        <f t="shared" si="281"/>
        <v>0</v>
      </c>
      <c r="BH495" s="462">
        <f t="shared" si="282"/>
        <v>0</v>
      </c>
      <c r="BK495" s="462">
        <f t="shared" si="283"/>
        <v>0</v>
      </c>
      <c r="BN495" s="462">
        <f t="shared" si="284"/>
        <v>0</v>
      </c>
      <c r="BQ495" s="462">
        <f t="shared" si="285"/>
        <v>0</v>
      </c>
      <c r="BT495" s="462">
        <f t="shared" si="286"/>
        <v>0</v>
      </c>
      <c r="BW495" s="462">
        <f t="shared" si="287"/>
        <v>0</v>
      </c>
      <c r="BZ495" s="462">
        <f t="shared" si="288"/>
        <v>0</v>
      </c>
      <c r="CD495" s="418" t="str">
        <f t="shared" si="289"/>
        <v>CU0636001</v>
      </c>
      <c r="CE495" s="442" t="str">
        <f t="shared" si="290"/>
        <v>2020年1月</v>
      </c>
      <c r="CF495" s="418" t="str">
        <f t="shared" si="291"/>
        <v>巴丽（上海clife服务费暂估</v>
      </c>
      <c r="CG495" s="418" t="str">
        <f t="shared" si="292"/>
        <v>2020年1月巴丽（上海clife服务费暂估</v>
      </c>
    </row>
    <row r="496" spans="2:85" s="447" customFormat="1" ht="17.25" customHeight="1">
      <c r="B496" s="447" t="str">
        <f t="shared" si="276"/>
        <v>CU0667</v>
      </c>
      <c r="C496" s="431" t="s">
        <v>755</v>
      </c>
      <c r="D496" s="367" t="s">
        <v>2050</v>
      </c>
      <c r="E496" s="367" t="s">
        <v>2051</v>
      </c>
      <c r="F496" s="439">
        <v>43835</v>
      </c>
      <c r="G496" s="430">
        <v>855.98</v>
      </c>
      <c r="H496" s="440"/>
      <c r="I496" s="440">
        <f t="shared" si="305"/>
        <v>855.98</v>
      </c>
      <c r="J496" s="440"/>
      <c r="L496" s="462">
        <f t="shared" si="306"/>
        <v>855.98</v>
      </c>
      <c r="M496" s="462"/>
      <c r="N496" s="444"/>
      <c r="O496" s="462">
        <f t="shared" si="307"/>
        <v>855.98</v>
      </c>
      <c r="R496" s="462">
        <f t="shared" si="308"/>
        <v>855.98</v>
      </c>
      <c r="U496" s="462">
        <f t="shared" si="309"/>
        <v>855.98</v>
      </c>
      <c r="X496" s="462">
        <f t="shared" si="310"/>
        <v>855.98</v>
      </c>
      <c r="AA496" s="462">
        <f t="shared" si="311"/>
        <v>855.98</v>
      </c>
      <c r="AD496" s="462">
        <f t="shared" si="312"/>
        <v>855.98</v>
      </c>
      <c r="AG496" s="462">
        <f t="shared" si="313"/>
        <v>855.98</v>
      </c>
      <c r="AJ496" s="462">
        <f t="shared" si="314"/>
        <v>855.98</v>
      </c>
      <c r="AM496" s="462">
        <f t="shared" si="315"/>
        <v>855.98</v>
      </c>
      <c r="AP496" s="462">
        <f t="shared" si="316"/>
        <v>855.98</v>
      </c>
      <c r="AS496" s="459">
        <f t="shared" si="320"/>
        <v>855.98</v>
      </c>
      <c r="AT496" s="447" t="s">
        <v>2065</v>
      </c>
      <c r="AV496" s="462">
        <f t="shared" si="317"/>
        <v>855.98</v>
      </c>
      <c r="AW496" s="447" t="s">
        <v>2106</v>
      </c>
      <c r="AY496" s="462">
        <f t="shared" si="318"/>
        <v>855.98</v>
      </c>
      <c r="AZ496" s="447" t="s">
        <v>2132</v>
      </c>
      <c r="BA496" s="447">
        <v>587.62</v>
      </c>
      <c r="BB496" s="462">
        <f t="shared" si="319"/>
        <v>268.36</v>
      </c>
      <c r="BC496" s="447" t="s">
        <v>2217</v>
      </c>
      <c r="BE496" s="462">
        <f t="shared" si="281"/>
        <v>268.36</v>
      </c>
      <c r="BF496" s="447" t="s">
        <v>2238</v>
      </c>
      <c r="BH496" s="462">
        <f t="shared" si="282"/>
        <v>268.36</v>
      </c>
      <c r="BI496" s="447" t="s">
        <v>2293</v>
      </c>
      <c r="BK496" s="462">
        <f t="shared" si="283"/>
        <v>268.36</v>
      </c>
      <c r="BL496" s="447" t="s">
        <v>2341</v>
      </c>
      <c r="BM496" s="462">
        <f>BK496</f>
        <v>268.36</v>
      </c>
      <c r="BN496" s="462">
        <f t="shared" si="284"/>
        <v>0</v>
      </c>
      <c r="BQ496" s="462">
        <f t="shared" si="285"/>
        <v>0</v>
      </c>
      <c r="BT496" s="462">
        <f t="shared" si="286"/>
        <v>0</v>
      </c>
      <c r="BW496" s="462">
        <f t="shared" si="287"/>
        <v>0</v>
      </c>
      <c r="BZ496" s="462">
        <f t="shared" si="288"/>
        <v>0</v>
      </c>
      <c r="CD496" s="418" t="str">
        <f t="shared" si="289"/>
        <v>CU0667001</v>
      </c>
      <c r="CE496" s="442" t="str">
        <f t="shared" si="290"/>
        <v>2020年1月</v>
      </c>
      <c r="CF496" s="418" t="str">
        <f t="shared" si="291"/>
        <v>北京杰迪安clife服务费暂估</v>
      </c>
      <c r="CG496" s="418" t="str">
        <f t="shared" si="292"/>
        <v>2020年1月北京杰迪安clife服务费暂估</v>
      </c>
    </row>
    <row r="497" spans="2:85" s="447" customFormat="1" ht="17.25" customHeight="1">
      <c r="B497" s="447" t="str">
        <f t="shared" si="276"/>
        <v>CU0812</v>
      </c>
      <c r="C497" s="431" t="s">
        <v>755</v>
      </c>
      <c r="D497" s="367" t="s">
        <v>2052</v>
      </c>
      <c r="E497" s="367" t="s">
        <v>2053</v>
      </c>
      <c r="F497" s="439">
        <v>43836</v>
      </c>
      <c r="G497" s="430">
        <v>4610.66</v>
      </c>
      <c r="H497" s="440"/>
      <c r="I497" s="440">
        <f t="shared" si="305"/>
        <v>4610.66</v>
      </c>
      <c r="J497" s="440"/>
      <c r="L497" s="462">
        <f t="shared" si="306"/>
        <v>4610.66</v>
      </c>
      <c r="M497" s="462"/>
      <c r="N497" s="444"/>
      <c r="O497" s="462">
        <f t="shared" si="307"/>
        <v>4610.66</v>
      </c>
      <c r="R497" s="462">
        <f t="shared" si="308"/>
        <v>4610.66</v>
      </c>
      <c r="U497" s="462">
        <f t="shared" si="309"/>
        <v>4610.66</v>
      </c>
      <c r="X497" s="462">
        <f t="shared" si="310"/>
        <v>4610.66</v>
      </c>
      <c r="AA497" s="462">
        <f t="shared" si="311"/>
        <v>4610.66</v>
      </c>
      <c r="AD497" s="462">
        <f t="shared" si="312"/>
        <v>4610.66</v>
      </c>
      <c r="AG497" s="462">
        <f t="shared" si="313"/>
        <v>4610.66</v>
      </c>
      <c r="AJ497" s="462">
        <f t="shared" si="314"/>
        <v>4610.66</v>
      </c>
      <c r="AM497" s="462">
        <f t="shared" si="315"/>
        <v>4610.66</v>
      </c>
      <c r="AP497" s="462">
        <f t="shared" si="316"/>
        <v>4610.66</v>
      </c>
      <c r="AS497" s="459">
        <f t="shared" si="320"/>
        <v>4610.66</v>
      </c>
      <c r="AT497" s="447" t="s">
        <v>2065</v>
      </c>
      <c r="AV497" s="462">
        <f t="shared" si="317"/>
        <v>4610.66</v>
      </c>
      <c r="AW497" s="447" t="s">
        <v>2106</v>
      </c>
      <c r="AY497" s="462">
        <f t="shared" si="318"/>
        <v>4610.66</v>
      </c>
      <c r="AZ497" s="447" t="s">
        <v>2132</v>
      </c>
      <c r="BB497" s="462">
        <f t="shared" si="319"/>
        <v>4610.66</v>
      </c>
      <c r="BC497" s="447" t="s">
        <v>2217</v>
      </c>
      <c r="BE497" s="462">
        <f t="shared" si="281"/>
        <v>4610.66</v>
      </c>
      <c r="BF497" s="447" t="s">
        <v>2238</v>
      </c>
      <c r="BH497" s="462">
        <f t="shared" si="282"/>
        <v>4610.66</v>
      </c>
      <c r="BI497" s="447" t="s">
        <v>2293</v>
      </c>
      <c r="BK497" s="462">
        <f t="shared" si="283"/>
        <v>4610.66</v>
      </c>
      <c r="BL497" s="447" t="s">
        <v>2341</v>
      </c>
      <c r="BN497" s="462">
        <f t="shared" si="284"/>
        <v>4610.66</v>
      </c>
      <c r="BO497" s="447" t="s">
        <v>2364</v>
      </c>
      <c r="BP497" s="462">
        <f>BN497</f>
        <v>4610.66</v>
      </c>
      <c r="BQ497" s="462">
        <f t="shared" si="285"/>
        <v>0</v>
      </c>
      <c r="BT497" s="462">
        <f t="shared" si="286"/>
        <v>0</v>
      </c>
      <c r="BW497" s="462">
        <f t="shared" si="287"/>
        <v>0</v>
      </c>
      <c r="BZ497" s="462">
        <f t="shared" si="288"/>
        <v>0</v>
      </c>
      <c r="CD497" s="418" t="str">
        <f t="shared" si="289"/>
        <v>CU0812001</v>
      </c>
      <c r="CE497" s="442" t="str">
        <f t="shared" si="290"/>
        <v>2020年1月</v>
      </c>
      <c r="CF497" s="418" t="str">
        <f t="shared" si="291"/>
        <v>恩派clife服务费暂估</v>
      </c>
      <c r="CG497" s="418" t="str">
        <f t="shared" si="292"/>
        <v>2020年1月恩派clife服务费暂估</v>
      </c>
    </row>
    <row r="498" spans="2:85" s="447" customFormat="1" ht="17.25" customHeight="1">
      <c r="B498" s="447" t="str">
        <f t="shared" si="276"/>
        <v>CU0823</v>
      </c>
      <c r="C498" s="431" t="s">
        <v>755</v>
      </c>
      <c r="D498" s="367" t="s">
        <v>2054</v>
      </c>
      <c r="E498" s="367" t="s">
        <v>2055</v>
      </c>
      <c r="F498" s="439">
        <v>43837</v>
      </c>
      <c r="G498" s="430">
        <v>88772.01</v>
      </c>
      <c r="H498" s="440"/>
      <c r="I498" s="440">
        <f t="shared" si="305"/>
        <v>88772.01</v>
      </c>
      <c r="J498" s="440"/>
      <c r="L498" s="462">
        <f t="shared" si="306"/>
        <v>88772.01</v>
      </c>
      <c r="M498" s="462"/>
      <c r="N498" s="444"/>
      <c r="O498" s="462">
        <f t="shared" si="307"/>
        <v>88772.01</v>
      </c>
      <c r="R498" s="462">
        <f t="shared" si="308"/>
        <v>88772.01</v>
      </c>
      <c r="U498" s="462">
        <f t="shared" si="309"/>
        <v>88772.01</v>
      </c>
      <c r="X498" s="462">
        <f t="shared" si="310"/>
        <v>88772.01</v>
      </c>
      <c r="AA498" s="462">
        <f t="shared" si="311"/>
        <v>88772.01</v>
      </c>
      <c r="AD498" s="462">
        <f t="shared" si="312"/>
        <v>88772.01</v>
      </c>
      <c r="AG498" s="462">
        <f t="shared" si="313"/>
        <v>88772.01</v>
      </c>
      <c r="AJ498" s="462">
        <f t="shared" si="314"/>
        <v>88772.01</v>
      </c>
      <c r="AM498" s="462">
        <f t="shared" si="315"/>
        <v>88772.01</v>
      </c>
      <c r="AP498" s="462">
        <f t="shared" si="316"/>
        <v>88772.01</v>
      </c>
      <c r="AS498" s="459">
        <f t="shared" si="320"/>
        <v>88772.01</v>
      </c>
      <c r="AT498" s="447" t="s">
        <v>2065</v>
      </c>
      <c r="AV498" s="462">
        <f t="shared" si="317"/>
        <v>88772.01</v>
      </c>
      <c r="AW498" s="447" t="s">
        <v>2106</v>
      </c>
      <c r="AY498" s="462">
        <f t="shared" si="318"/>
        <v>88772.01</v>
      </c>
      <c r="AZ498" s="447" t="s">
        <v>2132</v>
      </c>
      <c r="BB498" s="462">
        <f t="shared" si="319"/>
        <v>88772.01</v>
      </c>
      <c r="BC498" s="447" t="s">
        <v>2217</v>
      </c>
      <c r="BE498" s="462">
        <f t="shared" si="281"/>
        <v>88772.01</v>
      </c>
      <c r="BF498" s="447" t="s">
        <v>2238</v>
      </c>
      <c r="BH498" s="462">
        <f t="shared" si="282"/>
        <v>88772.01</v>
      </c>
      <c r="BI498" s="447" t="s">
        <v>2293</v>
      </c>
      <c r="BK498" s="462">
        <f t="shared" si="283"/>
        <v>88772.01</v>
      </c>
      <c r="BL498" s="447" t="s">
        <v>2341</v>
      </c>
      <c r="BN498" s="462">
        <f t="shared" si="284"/>
        <v>88772.01</v>
      </c>
      <c r="BO498" s="447" t="s">
        <v>2364</v>
      </c>
      <c r="BQ498" s="462">
        <f t="shared" si="285"/>
        <v>88772.01</v>
      </c>
      <c r="BT498" s="462">
        <f t="shared" si="286"/>
        <v>88772.01</v>
      </c>
      <c r="BU498" s="447" t="s">
        <v>2134</v>
      </c>
      <c r="BW498" s="462">
        <f t="shared" si="287"/>
        <v>88772.01</v>
      </c>
      <c r="BZ498" s="462">
        <f t="shared" si="288"/>
        <v>88772.01</v>
      </c>
      <c r="CD498" s="418" t="str">
        <f t="shared" si="289"/>
        <v>CU0823001</v>
      </c>
      <c r="CE498" s="442" t="str">
        <f t="shared" si="290"/>
        <v>2020年1月</v>
      </c>
      <c r="CF498" s="418" t="str">
        <f t="shared" si="291"/>
        <v>凯杰生物工clife服务费暂估</v>
      </c>
      <c r="CG498" s="418" t="str">
        <f t="shared" si="292"/>
        <v>2020年1月凯杰生物工clife服务费暂估</v>
      </c>
    </row>
    <row r="499" spans="2:85" s="447" customFormat="1" ht="17.25" customHeight="1">
      <c r="B499" s="447" t="str">
        <f t="shared" si="276"/>
        <v>CU0824</v>
      </c>
      <c r="C499" s="431" t="s">
        <v>755</v>
      </c>
      <c r="D499" s="67" t="s">
        <v>2056</v>
      </c>
      <c r="E499" s="67" t="s">
        <v>1292</v>
      </c>
      <c r="F499" s="439">
        <v>43838</v>
      </c>
      <c r="G499" s="430">
        <v>417.87</v>
      </c>
      <c r="H499" s="440"/>
      <c r="I499" s="440">
        <f t="shared" si="305"/>
        <v>417.87</v>
      </c>
      <c r="J499" s="440"/>
      <c r="L499" s="462">
        <f t="shared" si="306"/>
        <v>417.87</v>
      </c>
      <c r="M499" s="462"/>
      <c r="N499" s="444"/>
      <c r="O499" s="462">
        <f t="shared" si="307"/>
        <v>417.87</v>
      </c>
      <c r="R499" s="462">
        <f t="shared" si="308"/>
        <v>417.87</v>
      </c>
      <c r="U499" s="462">
        <f t="shared" si="309"/>
        <v>417.87</v>
      </c>
      <c r="X499" s="462">
        <f t="shared" si="310"/>
        <v>417.87</v>
      </c>
      <c r="AA499" s="462">
        <f t="shared" si="311"/>
        <v>417.87</v>
      </c>
      <c r="AD499" s="462">
        <f t="shared" si="312"/>
        <v>417.87</v>
      </c>
      <c r="AG499" s="462">
        <f t="shared" si="313"/>
        <v>417.87</v>
      </c>
      <c r="AJ499" s="462">
        <f t="shared" si="314"/>
        <v>417.87</v>
      </c>
      <c r="AM499" s="462">
        <f t="shared" si="315"/>
        <v>417.87</v>
      </c>
      <c r="AP499" s="462">
        <f t="shared" si="316"/>
        <v>417.87</v>
      </c>
      <c r="AS499" s="459">
        <f t="shared" si="320"/>
        <v>417.87</v>
      </c>
      <c r="AT499" s="447" t="s">
        <v>2065</v>
      </c>
      <c r="AU499" s="462"/>
      <c r="AV499" s="462">
        <f t="shared" si="317"/>
        <v>417.87</v>
      </c>
      <c r="AW499" s="447" t="s">
        <v>2106</v>
      </c>
      <c r="AY499" s="462">
        <f t="shared" si="318"/>
        <v>417.87</v>
      </c>
      <c r="AZ499" s="447" t="s">
        <v>2132</v>
      </c>
      <c r="BB499" s="462">
        <f t="shared" si="319"/>
        <v>417.87</v>
      </c>
      <c r="BC499" s="447" t="s">
        <v>2217</v>
      </c>
      <c r="BD499" s="462">
        <f>BB499</f>
        <v>417.87</v>
      </c>
      <c r="BE499" s="462">
        <f t="shared" si="281"/>
        <v>0</v>
      </c>
      <c r="BH499" s="462">
        <f t="shared" si="282"/>
        <v>0</v>
      </c>
      <c r="BK499" s="462">
        <f t="shared" si="283"/>
        <v>0</v>
      </c>
      <c r="BN499" s="462">
        <f t="shared" si="284"/>
        <v>0</v>
      </c>
      <c r="BQ499" s="462">
        <f t="shared" si="285"/>
        <v>0</v>
      </c>
      <c r="BT499" s="462">
        <f t="shared" si="286"/>
        <v>0</v>
      </c>
      <c r="BW499" s="462">
        <f t="shared" si="287"/>
        <v>0</v>
      </c>
      <c r="BZ499" s="462">
        <f t="shared" si="288"/>
        <v>0</v>
      </c>
      <c r="CD499" s="418" t="str">
        <f t="shared" si="289"/>
        <v>CU0824001</v>
      </c>
      <c r="CE499" s="442" t="str">
        <f t="shared" si="290"/>
        <v>2020年1月</v>
      </c>
      <c r="CF499" s="418" t="str">
        <f t="shared" si="291"/>
        <v>苏州舒尔贸clife服务费暂估</v>
      </c>
      <c r="CG499" s="418" t="str">
        <f t="shared" si="292"/>
        <v>2020年1月苏州舒尔贸clife服务费暂估</v>
      </c>
    </row>
    <row r="500" spans="2:85" s="447" customFormat="1" ht="17.25" customHeight="1">
      <c r="B500" s="447" t="str">
        <f t="shared" si="276"/>
        <v>CU0848</v>
      </c>
      <c r="C500" s="431" t="s">
        <v>755</v>
      </c>
      <c r="D500" s="367" t="s">
        <v>1595</v>
      </c>
      <c r="E500" s="367" t="s">
        <v>1784</v>
      </c>
      <c r="F500" s="439">
        <v>43839</v>
      </c>
      <c r="G500" s="430">
        <v>163192.07</v>
      </c>
      <c r="H500" s="440"/>
      <c r="I500" s="440">
        <f t="shared" si="305"/>
        <v>163192.07</v>
      </c>
      <c r="J500" s="440"/>
      <c r="L500" s="462">
        <f t="shared" si="306"/>
        <v>163192.07</v>
      </c>
      <c r="M500" s="462"/>
      <c r="N500" s="444"/>
      <c r="O500" s="462">
        <f t="shared" si="307"/>
        <v>163192.07</v>
      </c>
      <c r="R500" s="462">
        <f t="shared" si="308"/>
        <v>163192.07</v>
      </c>
      <c r="U500" s="462">
        <f t="shared" si="309"/>
        <v>163192.07</v>
      </c>
      <c r="X500" s="462">
        <f t="shared" si="310"/>
        <v>163192.07</v>
      </c>
      <c r="AA500" s="462">
        <f t="shared" si="311"/>
        <v>163192.07</v>
      </c>
      <c r="AD500" s="462">
        <f t="shared" si="312"/>
        <v>163192.07</v>
      </c>
      <c r="AG500" s="462">
        <f t="shared" si="313"/>
        <v>163192.07</v>
      </c>
      <c r="AJ500" s="462">
        <f t="shared" si="314"/>
        <v>163192.07</v>
      </c>
      <c r="AM500" s="462">
        <f t="shared" si="315"/>
        <v>163192.07</v>
      </c>
      <c r="AP500" s="462">
        <f t="shared" si="316"/>
        <v>163192.07</v>
      </c>
      <c r="AS500" s="459">
        <f t="shared" si="320"/>
        <v>163192.07</v>
      </c>
      <c r="AT500" s="447" t="s">
        <v>2065</v>
      </c>
      <c r="AV500" s="462">
        <f t="shared" si="317"/>
        <v>163192.07</v>
      </c>
      <c r="AW500" s="447" t="s">
        <v>2106</v>
      </c>
      <c r="AX500" s="462">
        <f>140140-AX345-AX368-AX398-AX435-AX470</f>
        <v>96759.549999999988</v>
      </c>
      <c r="AY500" s="462">
        <f t="shared" si="318"/>
        <v>66432.520000000019</v>
      </c>
      <c r="AZ500" s="447" t="s">
        <v>2132</v>
      </c>
      <c r="BB500" s="462">
        <f t="shared" si="319"/>
        <v>66432.520000000019</v>
      </c>
      <c r="BC500" s="447" t="s">
        <v>2217</v>
      </c>
      <c r="BD500" s="462">
        <f>BB500</f>
        <v>66432.520000000019</v>
      </c>
      <c r="BE500" s="462">
        <f t="shared" si="281"/>
        <v>0</v>
      </c>
      <c r="BH500" s="462">
        <f t="shared" si="282"/>
        <v>0</v>
      </c>
      <c r="BK500" s="462">
        <f t="shared" si="283"/>
        <v>0</v>
      </c>
      <c r="BN500" s="462">
        <f t="shared" si="284"/>
        <v>0</v>
      </c>
      <c r="BQ500" s="462">
        <f t="shared" si="285"/>
        <v>0</v>
      </c>
      <c r="BT500" s="462">
        <f t="shared" si="286"/>
        <v>0</v>
      </c>
      <c r="BW500" s="462">
        <f t="shared" si="287"/>
        <v>0</v>
      </c>
      <c r="BZ500" s="462">
        <f t="shared" si="288"/>
        <v>0</v>
      </c>
      <c r="CD500" s="418" t="str">
        <f t="shared" si="289"/>
        <v>CU0848001</v>
      </c>
      <c r="CE500" s="442" t="str">
        <f t="shared" si="290"/>
        <v>2020年1月</v>
      </c>
      <c r="CF500" s="418" t="str">
        <f t="shared" si="291"/>
        <v>爱德觅尔（clife服务费暂估</v>
      </c>
      <c r="CG500" s="418" t="str">
        <f t="shared" si="292"/>
        <v>2020年1月爱德觅尔（clife服务费暂估</v>
      </c>
    </row>
    <row r="501" spans="2:85" s="447" customFormat="1" ht="17.25" customHeight="1">
      <c r="B501" s="447" t="str">
        <f t="shared" si="276"/>
        <v>CU0869</v>
      </c>
      <c r="C501" s="431" t="s">
        <v>755</v>
      </c>
      <c r="D501" s="367" t="s">
        <v>1459</v>
      </c>
      <c r="E501" s="367" t="s">
        <v>1469</v>
      </c>
      <c r="F501" s="439">
        <v>43840</v>
      </c>
      <c r="G501" s="430">
        <v>85563.95</v>
      </c>
      <c r="H501" s="440"/>
      <c r="I501" s="440">
        <f t="shared" si="305"/>
        <v>85563.95</v>
      </c>
      <c r="J501" s="440"/>
      <c r="L501" s="462">
        <f t="shared" si="306"/>
        <v>85563.95</v>
      </c>
      <c r="M501" s="462"/>
      <c r="N501" s="444"/>
      <c r="O501" s="462">
        <f t="shared" si="307"/>
        <v>85563.95</v>
      </c>
      <c r="R501" s="462">
        <f t="shared" si="308"/>
        <v>85563.95</v>
      </c>
      <c r="U501" s="462">
        <f t="shared" si="309"/>
        <v>85563.95</v>
      </c>
      <c r="X501" s="462">
        <f t="shared" si="310"/>
        <v>85563.95</v>
      </c>
      <c r="AA501" s="462">
        <f t="shared" si="311"/>
        <v>85563.95</v>
      </c>
      <c r="AD501" s="462">
        <f t="shared" si="312"/>
        <v>85563.95</v>
      </c>
      <c r="AG501" s="462">
        <f t="shared" si="313"/>
        <v>85563.95</v>
      </c>
      <c r="AJ501" s="462">
        <f t="shared" si="314"/>
        <v>85563.95</v>
      </c>
      <c r="AM501" s="462">
        <f t="shared" si="315"/>
        <v>85563.95</v>
      </c>
      <c r="AP501" s="462">
        <f t="shared" si="316"/>
        <v>85563.95</v>
      </c>
      <c r="AS501" s="459">
        <f t="shared" si="320"/>
        <v>85563.95</v>
      </c>
      <c r="AT501" s="447" t="s">
        <v>2065</v>
      </c>
      <c r="AV501" s="462">
        <f t="shared" si="317"/>
        <v>85563.95</v>
      </c>
      <c r="AW501" s="447" t="s">
        <v>2106</v>
      </c>
      <c r="AY501" s="462">
        <f t="shared" si="318"/>
        <v>85563.95</v>
      </c>
      <c r="AZ501" s="447" t="s">
        <v>2132</v>
      </c>
      <c r="BB501" s="462">
        <f t="shared" si="319"/>
        <v>85563.95</v>
      </c>
      <c r="BC501" s="447" t="s">
        <v>2217</v>
      </c>
      <c r="BD501" s="462">
        <f>ROUND(65700/1.06,2)-BD471</f>
        <v>40103.559999999976</v>
      </c>
      <c r="BE501" s="462">
        <f t="shared" si="281"/>
        <v>45460.390000000021</v>
      </c>
      <c r="BF501" s="447" t="s">
        <v>2238</v>
      </c>
      <c r="BG501" s="462">
        <f>BE501</f>
        <v>45460.390000000021</v>
      </c>
      <c r="BH501" s="462">
        <f t="shared" si="282"/>
        <v>0</v>
      </c>
      <c r="BK501" s="462">
        <f t="shared" si="283"/>
        <v>0</v>
      </c>
      <c r="BN501" s="462">
        <f t="shared" si="284"/>
        <v>0</v>
      </c>
      <c r="BQ501" s="462">
        <f t="shared" si="285"/>
        <v>0</v>
      </c>
      <c r="BT501" s="462">
        <f t="shared" si="286"/>
        <v>0</v>
      </c>
      <c r="BW501" s="462">
        <f t="shared" si="287"/>
        <v>0</v>
      </c>
      <c r="BZ501" s="462">
        <f t="shared" si="288"/>
        <v>0</v>
      </c>
      <c r="CD501" s="418" t="str">
        <f t="shared" si="289"/>
        <v>CU0869001</v>
      </c>
      <c r="CE501" s="442" t="str">
        <f t="shared" si="290"/>
        <v>2020年1月</v>
      </c>
      <c r="CF501" s="418" t="str">
        <f t="shared" si="291"/>
        <v>智睿clife服务费暂估</v>
      </c>
      <c r="CG501" s="418" t="str">
        <f t="shared" si="292"/>
        <v>2020年1月智睿clife服务费暂估</v>
      </c>
    </row>
    <row r="502" spans="2:85" s="447" customFormat="1" ht="17.25" customHeight="1">
      <c r="B502" s="447" t="str">
        <f t="shared" si="276"/>
        <v>CU0884</v>
      </c>
      <c r="C502" s="431" t="s">
        <v>755</v>
      </c>
      <c r="D502" s="367" t="s">
        <v>1575</v>
      </c>
      <c r="E502" s="453" t="s">
        <v>1528</v>
      </c>
      <c r="F502" s="439">
        <v>43841</v>
      </c>
      <c r="G502" s="430">
        <v>1755517.04</v>
      </c>
      <c r="H502" s="440"/>
      <c r="I502" s="440">
        <f t="shared" si="305"/>
        <v>1755517.04</v>
      </c>
      <c r="J502" s="440"/>
      <c r="L502" s="462">
        <f t="shared" si="306"/>
        <v>1755517.04</v>
      </c>
      <c r="M502" s="462"/>
      <c r="N502" s="444"/>
      <c r="O502" s="462">
        <f t="shared" si="307"/>
        <v>1755517.04</v>
      </c>
      <c r="R502" s="462">
        <f t="shared" si="308"/>
        <v>1755517.04</v>
      </c>
      <c r="U502" s="462">
        <f t="shared" si="309"/>
        <v>1755517.04</v>
      </c>
      <c r="X502" s="462">
        <f t="shared" si="310"/>
        <v>1755517.04</v>
      </c>
      <c r="AA502" s="462">
        <f t="shared" si="311"/>
        <v>1755517.04</v>
      </c>
      <c r="AD502" s="462">
        <f t="shared" si="312"/>
        <v>1755517.04</v>
      </c>
      <c r="AG502" s="462">
        <f t="shared" si="313"/>
        <v>1755517.04</v>
      </c>
      <c r="AJ502" s="462">
        <f t="shared" si="314"/>
        <v>1755517.04</v>
      </c>
      <c r="AM502" s="462">
        <f t="shared" si="315"/>
        <v>1755517.04</v>
      </c>
      <c r="AP502" s="462">
        <f t="shared" si="316"/>
        <v>1755517.04</v>
      </c>
      <c r="AS502" s="459">
        <f t="shared" si="320"/>
        <v>1755517.04</v>
      </c>
      <c r="AT502" s="447" t="s">
        <v>2065</v>
      </c>
      <c r="AU502" s="462">
        <f>ROUND((1478250+1040250)/1.06,2)-AU472</f>
        <v>1735490.94</v>
      </c>
      <c r="AV502" s="462">
        <f t="shared" si="317"/>
        <v>20026.100000000093</v>
      </c>
      <c r="AW502" s="447" t="s">
        <v>2106</v>
      </c>
      <c r="AX502" s="447">
        <f>20000+26.1</f>
        <v>20026.099999999999</v>
      </c>
      <c r="AY502" s="462">
        <f t="shared" si="318"/>
        <v>9.4587448984384537E-11</v>
      </c>
      <c r="BB502" s="462">
        <f t="shared" si="319"/>
        <v>9.4587448984384537E-11</v>
      </c>
      <c r="BC502" s="447" t="s">
        <v>2217</v>
      </c>
      <c r="BE502" s="462">
        <f t="shared" si="281"/>
        <v>9.4587448984384537E-11</v>
      </c>
      <c r="BH502" s="462">
        <f t="shared" si="282"/>
        <v>9.4587448984384537E-11</v>
      </c>
      <c r="BK502" s="462">
        <f t="shared" si="283"/>
        <v>9.4587448984384537E-11</v>
      </c>
      <c r="BN502" s="462">
        <f t="shared" si="284"/>
        <v>9.4587448984384537E-11</v>
      </c>
      <c r="BQ502" s="462">
        <f t="shared" si="285"/>
        <v>0</v>
      </c>
      <c r="BT502" s="462">
        <f t="shared" si="286"/>
        <v>0</v>
      </c>
      <c r="BW502" s="462">
        <f t="shared" si="287"/>
        <v>0</v>
      </c>
      <c r="BZ502" s="462">
        <f t="shared" si="288"/>
        <v>0</v>
      </c>
      <c r="CD502" s="418" t="str">
        <f t="shared" si="289"/>
        <v>CU0884001</v>
      </c>
      <c r="CE502" s="442" t="str">
        <f t="shared" si="290"/>
        <v>2020年1月</v>
      </c>
      <c r="CF502" s="418" t="str">
        <f t="shared" si="291"/>
        <v>恩德斯豪斯clife服务费暂估</v>
      </c>
      <c r="CG502" s="418" t="str">
        <f t="shared" si="292"/>
        <v>2020年1月恩德斯豪斯clife服务费暂估</v>
      </c>
    </row>
    <row r="503" spans="2:85" s="447" customFormat="1" ht="17.25" customHeight="1">
      <c r="B503" s="447" t="str">
        <f t="shared" si="276"/>
        <v>CU1223</v>
      </c>
      <c r="C503" s="431" t="s">
        <v>755</v>
      </c>
      <c r="D503" s="367" t="s">
        <v>1842</v>
      </c>
      <c r="E503" s="367" t="s">
        <v>1838</v>
      </c>
      <c r="F503" s="439">
        <v>43842</v>
      </c>
      <c r="G503" s="430">
        <v>14131.23</v>
      </c>
      <c r="H503" s="440"/>
      <c r="I503" s="440">
        <f t="shared" si="305"/>
        <v>14131.23</v>
      </c>
      <c r="J503" s="440"/>
      <c r="L503" s="462">
        <f t="shared" si="306"/>
        <v>14131.23</v>
      </c>
      <c r="M503" s="462"/>
      <c r="N503" s="444"/>
      <c r="O503" s="462">
        <f t="shared" si="307"/>
        <v>14131.23</v>
      </c>
      <c r="R503" s="462">
        <f t="shared" si="308"/>
        <v>14131.23</v>
      </c>
      <c r="U503" s="462">
        <f t="shared" si="309"/>
        <v>14131.23</v>
      </c>
      <c r="X503" s="462">
        <f t="shared" si="310"/>
        <v>14131.23</v>
      </c>
      <c r="AA503" s="462">
        <f t="shared" si="311"/>
        <v>14131.23</v>
      </c>
      <c r="AD503" s="462">
        <f t="shared" si="312"/>
        <v>14131.23</v>
      </c>
      <c r="AG503" s="462">
        <f t="shared" si="313"/>
        <v>14131.23</v>
      </c>
      <c r="AJ503" s="462">
        <f t="shared" si="314"/>
        <v>14131.23</v>
      </c>
      <c r="AM503" s="462">
        <f t="shared" si="315"/>
        <v>14131.23</v>
      </c>
      <c r="AP503" s="462">
        <f t="shared" si="316"/>
        <v>14131.23</v>
      </c>
      <c r="AS503" s="459">
        <f t="shared" si="320"/>
        <v>14131.23</v>
      </c>
      <c r="AT503" s="447" t="s">
        <v>2065</v>
      </c>
      <c r="AV503" s="462">
        <f t="shared" si="317"/>
        <v>14131.23</v>
      </c>
      <c r="AW503" s="447" t="s">
        <v>2106</v>
      </c>
      <c r="AY503" s="462">
        <f t="shared" si="318"/>
        <v>14131.23</v>
      </c>
      <c r="AZ503" s="447" t="s">
        <v>2132</v>
      </c>
      <c r="BB503" s="462">
        <f t="shared" si="319"/>
        <v>14131.23</v>
      </c>
      <c r="BC503" s="447" t="s">
        <v>2217</v>
      </c>
      <c r="BE503" s="462">
        <f t="shared" si="281"/>
        <v>14131.23</v>
      </c>
      <c r="BF503" s="447" t="s">
        <v>2238</v>
      </c>
      <c r="BH503" s="462">
        <f t="shared" si="282"/>
        <v>14131.23</v>
      </c>
      <c r="BI503" s="447" t="s">
        <v>2293</v>
      </c>
      <c r="BJ503" s="462">
        <f>BH503</f>
        <v>14131.23</v>
      </c>
      <c r="BK503" s="462">
        <f t="shared" si="283"/>
        <v>0</v>
      </c>
      <c r="BN503" s="462">
        <f t="shared" si="284"/>
        <v>0</v>
      </c>
      <c r="BQ503" s="462">
        <f t="shared" si="285"/>
        <v>0</v>
      </c>
      <c r="BT503" s="462">
        <f t="shared" si="286"/>
        <v>0</v>
      </c>
      <c r="BW503" s="462">
        <f t="shared" si="287"/>
        <v>0</v>
      </c>
      <c r="BZ503" s="462">
        <f t="shared" si="288"/>
        <v>0</v>
      </c>
      <c r="CD503" s="418" t="str">
        <f t="shared" si="289"/>
        <v>CU1223001</v>
      </c>
      <c r="CE503" s="442" t="str">
        <f t="shared" si="290"/>
        <v>2020年1月</v>
      </c>
      <c r="CF503" s="418" t="str">
        <f t="shared" si="291"/>
        <v>上海品盛化clife服务费暂估</v>
      </c>
      <c r="CG503" s="418" t="str">
        <f t="shared" si="292"/>
        <v>2020年1月上海品盛化clife服务费暂估</v>
      </c>
    </row>
    <row r="504" spans="2:85" s="447" customFormat="1" ht="17.25" customHeight="1">
      <c r="B504" s="447" t="str">
        <f t="shared" si="276"/>
        <v>CU1354</v>
      </c>
      <c r="C504" s="431" t="s">
        <v>755</v>
      </c>
      <c r="D504" s="367" t="s">
        <v>1723</v>
      </c>
      <c r="E504" s="367" t="s">
        <v>1840</v>
      </c>
      <c r="F504" s="439">
        <v>43843</v>
      </c>
      <c r="G504" s="430">
        <v>100183.54</v>
      </c>
      <c r="H504" s="440"/>
      <c r="I504" s="440">
        <f t="shared" si="305"/>
        <v>100183.54</v>
      </c>
      <c r="J504" s="440"/>
      <c r="L504" s="462">
        <f t="shared" si="306"/>
        <v>100183.54</v>
      </c>
      <c r="M504" s="462"/>
      <c r="N504" s="444"/>
      <c r="O504" s="462">
        <f t="shared" si="307"/>
        <v>100183.54</v>
      </c>
      <c r="R504" s="462">
        <f t="shared" si="308"/>
        <v>100183.54</v>
      </c>
      <c r="U504" s="462">
        <f t="shared" si="309"/>
        <v>100183.54</v>
      </c>
      <c r="X504" s="462">
        <f t="shared" si="310"/>
        <v>100183.54</v>
      </c>
      <c r="AA504" s="462">
        <f t="shared" si="311"/>
        <v>100183.54</v>
      </c>
      <c r="AD504" s="462">
        <f t="shared" si="312"/>
        <v>100183.54</v>
      </c>
      <c r="AG504" s="462">
        <f t="shared" si="313"/>
        <v>100183.54</v>
      </c>
      <c r="AJ504" s="462">
        <f t="shared" si="314"/>
        <v>100183.54</v>
      </c>
      <c r="AM504" s="462">
        <f t="shared" si="315"/>
        <v>100183.54</v>
      </c>
      <c r="AP504" s="462">
        <f t="shared" si="316"/>
        <v>100183.54</v>
      </c>
      <c r="AS504" s="459">
        <f t="shared" si="320"/>
        <v>100183.54</v>
      </c>
      <c r="AT504" s="447" t="s">
        <v>2065</v>
      </c>
      <c r="AV504" s="462">
        <f t="shared" si="317"/>
        <v>100183.54</v>
      </c>
      <c r="AW504" s="447" t="s">
        <v>2106</v>
      </c>
      <c r="AY504" s="462">
        <f t="shared" si="318"/>
        <v>100183.54</v>
      </c>
      <c r="AZ504" s="447" t="s">
        <v>2132</v>
      </c>
      <c r="BB504" s="462">
        <f t="shared" si="319"/>
        <v>100183.54</v>
      </c>
      <c r="BC504" s="447" t="s">
        <v>2217</v>
      </c>
      <c r="BE504" s="462">
        <f t="shared" si="281"/>
        <v>100183.54</v>
      </c>
      <c r="BF504" s="447" t="s">
        <v>2238</v>
      </c>
      <c r="BH504" s="462">
        <f t="shared" si="282"/>
        <v>100183.54</v>
      </c>
      <c r="BI504" s="447" t="s">
        <v>2293</v>
      </c>
      <c r="BK504" s="462">
        <f t="shared" si="283"/>
        <v>100183.54</v>
      </c>
      <c r="BL504" s="447" t="s">
        <v>2341</v>
      </c>
      <c r="BN504" s="462">
        <f t="shared" si="284"/>
        <v>100183.54</v>
      </c>
      <c r="BO504" s="447" t="s">
        <v>2364</v>
      </c>
      <c r="BP504" s="462">
        <f>BN504</f>
        <v>100183.54</v>
      </c>
      <c r="BQ504" s="462">
        <f t="shared" si="285"/>
        <v>0</v>
      </c>
      <c r="BT504" s="462">
        <f t="shared" si="286"/>
        <v>0</v>
      </c>
      <c r="BW504" s="462">
        <f t="shared" si="287"/>
        <v>0</v>
      </c>
      <c r="BZ504" s="462">
        <f t="shared" si="288"/>
        <v>0</v>
      </c>
      <c r="CD504" s="418" t="str">
        <f t="shared" si="289"/>
        <v>CU1354001</v>
      </c>
      <c r="CE504" s="442" t="str">
        <f t="shared" si="290"/>
        <v>2020年1月</v>
      </c>
      <c r="CF504" s="418" t="str">
        <f t="shared" si="291"/>
        <v>威内源企业clife服务费暂估</v>
      </c>
      <c r="CG504" s="418" t="str">
        <f t="shared" si="292"/>
        <v>2020年1月威内源企业clife服务费暂估</v>
      </c>
    </row>
    <row r="505" spans="2:85" s="460" customFormat="1" ht="17.25" customHeight="1">
      <c r="B505" s="447" t="str">
        <f t="shared" si="276"/>
        <v>CU1198</v>
      </c>
      <c r="C505" s="492" t="s">
        <v>755</v>
      </c>
      <c r="D505" s="456" t="s">
        <v>1538</v>
      </c>
      <c r="E505" s="456" t="s">
        <v>2199</v>
      </c>
      <c r="F505" s="457">
        <v>43844</v>
      </c>
      <c r="G505" s="430">
        <v>44801.38</v>
      </c>
      <c r="H505" s="440"/>
      <c r="I505" s="440">
        <f t="shared" si="305"/>
        <v>44801.38</v>
      </c>
      <c r="J505" s="440"/>
      <c r="K505" s="447"/>
      <c r="L505" s="462">
        <f t="shared" si="306"/>
        <v>44801.38</v>
      </c>
      <c r="M505" s="462"/>
      <c r="N505" s="444"/>
      <c r="O505" s="462">
        <f t="shared" si="307"/>
        <v>44801.38</v>
      </c>
      <c r="P505" s="447"/>
      <c r="Q505" s="447"/>
      <c r="R505" s="462">
        <f t="shared" si="308"/>
        <v>44801.38</v>
      </c>
      <c r="S505" s="447"/>
      <c r="T505" s="447"/>
      <c r="U505" s="462">
        <f t="shared" si="309"/>
        <v>44801.38</v>
      </c>
      <c r="V505" s="447"/>
      <c r="W505" s="447"/>
      <c r="X505" s="462">
        <f t="shared" si="310"/>
        <v>44801.38</v>
      </c>
      <c r="Y505" s="447"/>
      <c r="Z505" s="447"/>
      <c r="AA505" s="462">
        <f t="shared" si="311"/>
        <v>44801.38</v>
      </c>
      <c r="AB505" s="447"/>
      <c r="AC505" s="447"/>
      <c r="AD505" s="462">
        <f t="shared" si="312"/>
        <v>44801.38</v>
      </c>
      <c r="AE505" s="447"/>
      <c r="AF505" s="447"/>
      <c r="AG505" s="462">
        <f t="shared" si="313"/>
        <v>44801.38</v>
      </c>
      <c r="AH505" s="447"/>
      <c r="AI505" s="447"/>
      <c r="AJ505" s="462">
        <f t="shared" si="314"/>
        <v>44801.38</v>
      </c>
      <c r="AK505" s="447"/>
      <c r="AL505" s="447"/>
      <c r="AM505" s="462">
        <f t="shared" si="315"/>
        <v>44801.38</v>
      </c>
      <c r="AN505" s="447"/>
      <c r="AO505" s="447"/>
      <c r="AP505" s="462">
        <f t="shared" si="316"/>
        <v>44801.38</v>
      </c>
      <c r="AQ505" s="447"/>
      <c r="AS505" s="459">
        <f t="shared" si="320"/>
        <v>44801.38</v>
      </c>
      <c r="AT505" s="460" t="s">
        <v>453</v>
      </c>
      <c r="AU505" s="460">
        <v>25619.11</v>
      </c>
      <c r="AV505" s="459">
        <f t="shared" si="317"/>
        <v>19182.269999999997</v>
      </c>
      <c r="AW505" s="460" t="s">
        <v>1933</v>
      </c>
      <c r="AY505" s="459">
        <f t="shared" si="318"/>
        <v>19182.269999999997</v>
      </c>
      <c r="AZ505" s="460" t="s">
        <v>1579</v>
      </c>
      <c r="BA505" s="459">
        <f>AY505</f>
        <v>19182.269999999997</v>
      </c>
      <c r="BB505" s="459">
        <f t="shared" si="319"/>
        <v>0</v>
      </c>
      <c r="BC505" s="460" t="s">
        <v>1579</v>
      </c>
      <c r="BE505" s="459">
        <f t="shared" si="281"/>
        <v>0</v>
      </c>
      <c r="BH505" s="459">
        <f t="shared" si="282"/>
        <v>0</v>
      </c>
      <c r="BK505" s="462">
        <f t="shared" si="283"/>
        <v>0</v>
      </c>
      <c r="BN505" s="462">
        <f t="shared" si="284"/>
        <v>0</v>
      </c>
      <c r="BQ505" s="462">
        <f t="shared" si="285"/>
        <v>0</v>
      </c>
      <c r="BT505" s="462">
        <f t="shared" si="286"/>
        <v>0</v>
      </c>
      <c r="BW505" s="462">
        <f t="shared" si="287"/>
        <v>0</v>
      </c>
      <c r="BZ505" s="462">
        <f t="shared" si="288"/>
        <v>0</v>
      </c>
      <c r="CD505" s="418" t="str">
        <f t="shared" si="289"/>
        <v>CU1198001</v>
      </c>
      <c r="CE505" s="442" t="str">
        <f t="shared" si="290"/>
        <v>2020年1月</v>
      </c>
      <c r="CF505" s="418" t="str">
        <f t="shared" si="291"/>
        <v>通用公正技clife服务费暂估</v>
      </c>
      <c r="CG505" s="418" t="str">
        <f t="shared" si="292"/>
        <v>2020年1月通用公正技clife服务费暂估</v>
      </c>
    </row>
    <row r="506" spans="2:85" s="447" customFormat="1" ht="17.25" customHeight="1">
      <c r="B506" s="447" t="str">
        <f t="shared" si="276"/>
        <v>CU1345</v>
      </c>
      <c r="C506" s="431" t="s">
        <v>755</v>
      </c>
      <c r="D506" s="367" t="s">
        <v>2057</v>
      </c>
      <c r="E506" s="367" t="s">
        <v>2058</v>
      </c>
      <c r="F506" s="439">
        <v>43845</v>
      </c>
      <c r="G506" s="430">
        <v>58879.48</v>
      </c>
      <c r="H506" s="440"/>
      <c r="I506" s="440">
        <f t="shared" si="305"/>
        <v>58879.48</v>
      </c>
      <c r="J506" s="440"/>
      <c r="L506" s="462">
        <f t="shared" si="306"/>
        <v>58879.48</v>
      </c>
      <c r="M506" s="462"/>
      <c r="N506" s="444"/>
      <c r="O506" s="462">
        <f t="shared" si="307"/>
        <v>58879.48</v>
      </c>
      <c r="R506" s="462">
        <f t="shared" si="308"/>
        <v>58879.48</v>
      </c>
      <c r="U506" s="462">
        <f t="shared" si="309"/>
        <v>58879.48</v>
      </c>
      <c r="X506" s="462">
        <f t="shared" si="310"/>
        <v>58879.48</v>
      </c>
      <c r="AA506" s="462">
        <f t="shared" si="311"/>
        <v>58879.48</v>
      </c>
      <c r="AD506" s="462">
        <f t="shared" si="312"/>
        <v>58879.48</v>
      </c>
      <c r="AG506" s="462">
        <f t="shared" si="313"/>
        <v>58879.48</v>
      </c>
      <c r="AJ506" s="462">
        <f t="shared" si="314"/>
        <v>58879.48</v>
      </c>
      <c r="AM506" s="462">
        <f t="shared" si="315"/>
        <v>58879.48</v>
      </c>
      <c r="AP506" s="462">
        <f t="shared" si="316"/>
        <v>58879.48</v>
      </c>
      <c r="AS506" s="459">
        <f t="shared" si="320"/>
        <v>58879.48</v>
      </c>
      <c r="AT506" s="447" t="s">
        <v>2065</v>
      </c>
      <c r="AV506" s="462">
        <f t="shared" si="317"/>
        <v>58879.48</v>
      </c>
      <c r="AW506" s="447" t="s">
        <v>2106</v>
      </c>
      <c r="AY506" s="462">
        <f t="shared" si="318"/>
        <v>58879.48</v>
      </c>
      <c r="AZ506" s="447" t="s">
        <v>2132</v>
      </c>
      <c r="BB506" s="462">
        <f t="shared" si="319"/>
        <v>58879.48</v>
      </c>
      <c r="BC506" s="447" t="s">
        <v>2217</v>
      </c>
      <c r="BD506" s="462">
        <f>152554-BD409-BD481-43502.12+ROUND(52925.5/1.06,2)</f>
        <v>52306.329999999987</v>
      </c>
      <c r="BE506" s="462">
        <f t="shared" si="281"/>
        <v>6573.150000000016</v>
      </c>
      <c r="BF506" s="447" t="s">
        <v>2238</v>
      </c>
      <c r="BG506" s="462">
        <f>BE506</f>
        <v>6573.150000000016</v>
      </c>
      <c r="BH506" s="462">
        <f t="shared" si="282"/>
        <v>0</v>
      </c>
      <c r="BK506" s="462">
        <f t="shared" si="283"/>
        <v>0</v>
      </c>
      <c r="BN506" s="462">
        <f t="shared" si="284"/>
        <v>0</v>
      </c>
      <c r="BQ506" s="462">
        <f t="shared" si="285"/>
        <v>0</v>
      </c>
      <c r="BT506" s="462">
        <f t="shared" si="286"/>
        <v>0</v>
      </c>
      <c r="BW506" s="462">
        <f t="shared" si="287"/>
        <v>0</v>
      </c>
      <c r="BZ506" s="462">
        <f t="shared" si="288"/>
        <v>0</v>
      </c>
      <c r="CD506" s="418" t="str">
        <f t="shared" si="289"/>
        <v>CU1345001</v>
      </c>
      <c r="CE506" s="442" t="str">
        <f t="shared" si="290"/>
        <v>2020年1月</v>
      </c>
      <c r="CF506" s="418" t="str">
        <f t="shared" si="291"/>
        <v>上海创米科clife服务费暂估</v>
      </c>
      <c r="CG506" s="418" t="str">
        <f t="shared" si="292"/>
        <v>2020年1月上海创米科clife服务费暂估</v>
      </c>
    </row>
    <row r="507" spans="2:85" s="447" customFormat="1" ht="17.25" customHeight="1">
      <c r="B507" s="447" t="str">
        <f t="shared" si="276"/>
        <v>CU1705</v>
      </c>
      <c r="C507" s="431" t="s">
        <v>755</v>
      </c>
      <c r="D507" s="367" t="s">
        <v>1848</v>
      </c>
      <c r="E507" s="453" t="s">
        <v>1845</v>
      </c>
      <c r="F507" s="439">
        <v>43846</v>
      </c>
      <c r="G507" s="430">
        <v>63950.22</v>
      </c>
      <c r="H507" s="440"/>
      <c r="I507" s="440">
        <f t="shared" si="305"/>
        <v>63950.22</v>
      </c>
      <c r="J507" s="440"/>
      <c r="L507" s="462">
        <f t="shared" si="306"/>
        <v>63950.22</v>
      </c>
      <c r="M507" s="462"/>
      <c r="N507" s="444"/>
      <c r="O507" s="462">
        <f t="shared" si="307"/>
        <v>63950.22</v>
      </c>
      <c r="R507" s="462">
        <f t="shared" si="308"/>
        <v>63950.22</v>
      </c>
      <c r="U507" s="462">
        <f t="shared" si="309"/>
        <v>63950.22</v>
      </c>
      <c r="X507" s="462">
        <f t="shared" si="310"/>
        <v>63950.22</v>
      </c>
      <c r="AA507" s="462">
        <f t="shared" si="311"/>
        <v>63950.22</v>
      </c>
      <c r="AD507" s="462">
        <f t="shared" si="312"/>
        <v>63950.22</v>
      </c>
      <c r="AG507" s="462">
        <f t="shared" si="313"/>
        <v>63950.22</v>
      </c>
      <c r="AJ507" s="462">
        <f t="shared" si="314"/>
        <v>63950.22</v>
      </c>
      <c r="AM507" s="462">
        <f t="shared" si="315"/>
        <v>63950.22</v>
      </c>
      <c r="AP507" s="462">
        <f t="shared" si="316"/>
        <v>63950.22</v>
      </c>
      <c r="AS507" s="459">
        <f t="shared" si="320"/>
        <v>63950.22</v>
      </c>
      <c r="AT507" s="447" t="s">
        <v>2065</v>
      </c>
      <c r="AV507" s="462">
        <f t="shared" si="317"/>
        <v>63950.22</v>
      </c>
      <c r="AW507" s="447" t="s">
        <v>2106</v>
      </c>
      <c r="AX507" s="447">
        <v>63950.22</v>
      </c>
      <c r="AY507" s="462">
        <f t="shared" si="318"/>
        <v>0</v>
      </c>
      <c r="AZ507" s="447" t="s">
        <v>2132</v>
      </c>
      <c r="BB507" s="462">
        <f t="shared" si="319"/>
        <v>0</v>
      </c>
      <c r="BC507" s="447" t="s">
        <v>2217</v>
      </c>
      <c r="BE507" s="462">
        <f t="shared" si="281"/>
        <v>0</v>
      </c>
      <c r="BH507" s="462">
        <f t="shared" si="282"/>
        <v>0</v>
      </c>
      <c r="BK507" s="462">
        <f t="shared" si="283"/>
        <v>0</v>
      </c>
      <c r="BN507" s="462">
        <f t="shared" si="284"/>
        <v>0</v>
      </c>
      <c r="BQ507" s="462">
        <f t="shared" si="285"/>
        <v>0</v>
      </c>
      <c r="BT507" s="462">
        <f t="shared" si="286"/>
        <v>0</v>
      </c>
      <c r="BW507" s="462">
        <f t="shared" si="287"/>
        <v>0</v>
      </c>
      <c r="BZ507" s="462">
        <f t="shared" si="288"/>
        <v>0</v>
      </c>
      <c r="CD507" s="418" t="str">
        <f t="shared" si="289"/>
        <v>CU1705001</v>
      </c>
      <c r="CE507" s="442" t="str">
        <f t="shared" si="290"/>
        <v>2020年1月</v>
      </c>
      <c r="CF507" s="418" t="str">
        <f t="shared" si="291"/>
        <v>通标标准技clife服务费暂估</v>
      </c>
      <c r="CG507" s="418" t="str">
        <f t="shared" si="292"/>
        <v>2020年1月通标标准技clife服务费暂估</v>
      </c>
    </row>
    <row r="508" spans="2:85" s="447" customFormat="1" ht="17.25" customHeight="1">
      <c r="B508" s="447" t="str">
        <f t="shared" si="276"/>
        <v>CU0148</v>
      </c>
      <c r="C508" s="431" t="s">
        <v>755</v>
      </c>
      <c r="D508" s="367" t="s">
        <v>1574</v>
      </c>
      <c r="E508" s="367" t="s">
        <v>1636</v>
      </c>
      <c r="F508" s="439">
        <v>43847</v>
      </c>
      <c r="G508" s="430">
        <v>9311.42</v>
      </c>
      <c r="H508" s="440"/>
      <c r="I508" s="440">
        <f t="shared" si="305"/>
        <v>9311.42</v>
      </c>
      <c r="J508" s="440"/>
      <c r="L508" s="462">
        <f t="shared" si="306"/>
        <v>9311.42</v>
      </c>
      <c r="M508" s="462"/>
      <c r="N508" s="444"/>
      <c r="O508" s="462">
        <f t="shared" si="307"/>
        <v>9311.42</v>
      </c>
      <c r="R508" s="462">
        <f t="shared" si="308"/>
        <v>9311.42</v>
      </c>
      <c r="U508" s="462">
        <f t="shared" si="309"/>
        <v>9311.42</v>
      </c>
      <c r="X508" s="462">
        <f t="shared" si="310"/>
        <v>9311.42</v>
      </c>
      <c r="AA508" s="462">
        <f t="shared" si="311"/>
        <v>9311.42</v>
      </c>
      <c r="AD508" s="462">
        <f t="shared" si="312"/>
        <v>9311.42</v>
      </c>
      <c r="AG508" s="462">
        <f t="shared" si="313"/>
        <v>9311.42</v>
      </c>
      <c r="AJ508" s="462">
        <f t="shared" si="314"/>
        <v>9311.42</v>
      </c>
      <c r="AM508" s="462">
        <f t="shared" si="315"/>
        <v>9311.42</v>
      </c>
      <c r="AP508" s="462">
        <f t="shared" si="316"/>
        <v>9311.42</v>
      </c>
      <c r="AS508" s="459">
        <f t="shared" si="320"/>
        <v>9311.42</v>
      </c>
      <c r="AT508" s="447" t="s">
        <v>2065</v>
      </c>
      <c r="AV508" s="462">
        <f t="shared" si="317"/>
        <v>9311.42</v>
      </c>
      <c r="AW508" s="447" t="s">
        <v>2106</v>
      </c>
      <c r="AX508" s="462">
        <f>674.64-AX357+9099</f>
        <v>9311.4200000000019</v>
      </c>
      <c r="AY508" s="462">
        <f t="shared" si="318"/>
        <v>0</v>
      </c>
      <c r="BB508" s="462">
        <f t="shared" si="319"/>
        <v>0</v>
      </c>
      <c r="BC508" s="447" t="s">
        <v>2217</v>
      </c>
      <c r="BE508" s="462">
        <f t="shared" si="281"/>
        <v>0</v>
      </c>
      <c r="BH508" s="462">
        <f t="shared" si="282"/>
        <v>0</v>
      </c>
      <c r="BK508" s="462">
        <f t="shared" si="283"/>
        <v>0</v>
      </c>
      <c r="BN508" s="462">
        <f t="shared" si="284"/>
        <v>0</v>
      </c>
      <c r="BQ508" s="462">
        <f t="shared" si="285"/>
        <v>0</v>
      </c>
      <c r="BT508" s="462">
        <f t="shared" si="286"/>
        <v>0</v>
      </c>
      <c r="BW508" s="462">
        <f t="shared" si="287"/>
        <v>0</v>
      </c>
      <c r="BZ508" s="462">
        <f t="shared" si="288"/>
        <v>0</v>
      </c>
      <c r="CD508" s="418" t="str">
        <f t="shared" si="289"/>
        <v>CU0148001</v>
      </c>
      <c r="CE508" s="442" t="str">
        <f t="shared" si="290"/>
        <v>2020年1月</v>
      </c>
      <c r="CF508" s="418" t="str">
        <f t="shared" si="291"/>
        <v>贝雅投资咨clife服务费暂估</v>
      </c>
      <c r="CG508" s="418" t="str">
        <f t="shared" si="292"/>
        <v>2020年1月贝雅投资咨clife服务费暂估</v>
      </c>
    </row>
    <row r="509" spans="2:85" s="447" customFormat="1" ht="17.25" customHeight="1">
      <c r="B509" s="447" t="str">
        <f t="shared" si="276"/>
        <v>CU0448</v>
      </c>
      <c r="C509" s="431" t="s">
        <v>755</v>
      </c>
      <c r="D509" s="367" t="s">
        <v>1771</v>
      </c>
      <c r="E509" s="367" t="s">
        <v>1504</v>
      </c>
      <c r="F509" s="439">
        <v>43848</v>
      </c>
      <c r="G509" s="430">
        <v>188425.94</v>
      </c>
      <c r="H509" s="440"/>
      <c r="I509" s="440">
        <f t="shared" si="305"/>
        <v>188425.94</v>
      </c>
      <c r="J509" s="440"/>
      <c r="L509" s="462">
        <f t="shared" si="306"/>
        <v>188425.94</v>
      </c>
      <c r="M509" s="462"/>
      <c r="N509" s="444"/>
      <c r="O509" s="462">
        <f t="shared" si="307"/>
        <v>188425.94</v>
      </c>
      <c r="R509" s="462">
        <f t="shared" si="308"/>
        <v>188425.94</v>
      </c>
      <c r="U509" s="462">
        <f t="shared" si="309"/>
        <v>188425.94</v>
      </c>
      <c r="X509" s="462">
        <f t="shared" si="310"/>
        <v>188425.94</v>
      </c>
      <c r="AA509" s="462">
        <f t="shared" si="311"/>
        <v>188425.94</v>
      </c>
      <c r="AD509" s="462">
        <f t="shared" si="312"/>
        <v>188425.94</v>
      </c>
      <c r="AG509" s="462">
        <f t="shared" si="313"/>
        <v>188425.94</v>
      </c>
      <c r="AJ509" s="462">
        <f t="shared" si="314"/>
        <v>188425.94</v>
      </c>
      <c r="AM509" s="462">
        <f t="shared" si="315"/>
        <v>188425.94</v>
      </c>
      <c r="AP509" s="462">
        <f t="shared" si="316"/>
        <v>188425.94</v>
      </c>
      <c r="AS509" s="459">
        <f t="shared" si="320"/>
        <v>188425.94</v>
      </c>
      <c r="AT509" s="447" t="s">
        <v>2065</v>
      </c>
      <c r="AV509" s="462">
        <f t="shared" si="317"/>
        <v>188425.94</v>
      </c>
      <c r="AW509" s="447" t="s">
        <v>2106</v>
      </c>
      <c r="AX509" s="462">
        <v>188425.94</v>
      </c>
      <c r="AY509" s="462">
        <f t="shared" si="318"/>
        <v>0</v>
      </c>
      <c r="AZ509" s="447" t="s">
        <v>2132</v>
      </c>
      <c r="BB509" s="462">
        <f t="shared" si="319"/>
        <v>0</v>
      </c>
      <c r="BC509" s="447" t="s">
        <v>2217</v>
      </c>
      <c r="BE509" s="462">
        <f t="shared" si="281"/>
        <v>0</v>
      </c>
      <c r="BH509" s="462">
        <f t="shared" si="282"/>
        <v>0</v>
      </c>
      <c r="BK509" s="462">
        <f t="shared" si="283"/>
        <v>0</v>
      </c>
      <c r="BN509" s="462">
        <f t="shared" si="284"/>
        <v>0</v>
      </c>
      <c r="BQ509" s="462">
        <f t="shared" si="285"/>
        <v>0</v>
      </c>
      <c r="BT509" s="462">
        <f t="shared" si="286"/>
        <v>0</v>
      </c>
      <c r="BW509" s="462">
        <f t="shared" si="287"/>
        <v>0</v>
      </c>
      <c r="BZ509" s="462">
        <f t="shared" si="288"/>
        <v>0</v>
      </c>
      <c r="CD509" s="418" t="str">
        <f t="shared" si="289"/>
        <v>CU0448001</v>
      </c>
      <c r="CE509" s="442" t="str">
        <f t="shared" si="290"/>
        <v>2020年1月</v>
      </c>
      <c r="CF509" s="418" t="str">
        <f t="shared" si="291"/>
        <v>蓝色光标clife服务费暂估</v>
      </c>
      <c r="CG509" s="418" t="str">
        <f t="shared" si="292"/>
        <v>2020年1月蓝色光标clife服务费暂估</v>
      </c>
    </row>
    <row r="510" spans="2:85" s="447" customFormat="1" ht="17.25" customHeight="1">
      <c r="B510" s="447" t="str">
        <f t="shared" si="276"/>
        <v>CU0558</v>
      </c>
      <c r="C510" s="431" t="s">
        <v>755</v>
      </c>
      <c r="D510" s="367" t="s">
        <v>1647</v>
      </c>
      <c r="E510" s="367" t="s">
        <v>1341</v>
      </c>
      <c r="F510" s="439">
        <v>43849</v>
      </c>
      <c r="G510" s="430">
        <v>21780</v>
      </c>
      <c r="H510" s="440"/>
      <c r="I510" s="440">
        <f t="shared" si="305"/>
        <v>21780</v>
      </c>
      <c r="J510" s="440"/>
      <c r="L510" s="462">
        <f t="shared" si="306"/>
        <v>21780</v>
      </c>
      <c r="M510" s="462"/>
      <c r="N510" s="444"/>
      <c r="O510" s="462">
        <f t="shared" si="307"/>
        <v>21780</v>
      </c>
      <c r="R510" s="462">
        <f t="shared" si="308"/>
        <v>21780</v>
      </c>
      <c r="U510" s="462">
        <f t="shared" si="309"/>
        <v>21780</v>
      </c>
      <c r="X510" s="462">
        <f t="shared" si="310"/>
        <v>21780</v>
      </c>
      <c r="AA510" s="462">
        <f t="shared" si="311"/>
        <v>21780</v>
      </c>
      <c r="AD510" s="462">
        <f t="shared" si="312"/>
        <v>21780</v>
      </c>
      <c r="AG510" s="462">
        <f t="shared" si="313"/>
        <v>21780</v>
      </c>
      <c r="AJ510" s="462">
        <f t="shared" si="314"/>
        <v>21780</v>
      </c>
      <c r="AM510" s="462">
        <f t="shared" si="315"/>
        <v>21780</v>
      </c>
      <c r="AP510" s="462">
        <f t="shared" si="316"/>
        <v>21780</v>
      </c>
      <c r="AS510" s="459">
        <f t="shared" si="320"/>
        <v>21780</v>
      </c>
      <c r="AT510" s="447" t="s">
        <v>2065</v>
      </c>
      <c r="AV510" s="462">
        <f t="shared" si="317"/>
        <v>21780</v>
      </c>
      <c r="AW510" s="447" t="s">
        <v>2106</v>
      </c>
      <c r="AX510" s="447">
        <v>14022.84</v>
      </c>
      <c r="AY510" s="462">
        <f t="shared" si="318"/>
        <v>7757.16</v>
      </c>
      <c r="AZ510" s="447" t="s">
        <v>2132</v>
      </c>
      <c r="BB510" s="462">
        <f t="shared" si="319"/>
        <v>7757.16</v>
      </c>
      <c r="BC510" s="447" t="s">
        <v>2217</v>
      </c>
      <c r="BD510" s="462">
        <f>BB510</f>
        <v>7757.16</v>
      </c>
      <c r="BE510" s="462">
        <f t="shared" si="281"/>
        <v>0</v>
      </c>
      <c r="BF510" s="447" t="s">
        <v>2238</v>
      </c>
      <c r="BH510" s="462">
        <f t="shared" si="282"/>
        <v>0</v>
      </c>
      <c r="BK510" s="462">
        <f t="shared" si="283"/>
        <v>0</v>
      </c>
      <c r="BN510" s="462">
        <f t="shared" si="284"/>
        <v>0</v>
      </c>
      <c r="BQ510" s="462">
        <f t="shared" si="285"/>
        <v>0</v>
      </c>
      <c r="BT510" s="462">
        <f t="shared" si="286"/>
        <v>0</v>
      </c>
      <c r="BW510" s="462">
        <f t="shared" si="287"/>
        <v>0</v>
      </c>
      <c r="BZ510" s="462">
        <f t="shared" si="288"/>
        <v>0</v>
      </c>
      <c r="CD510" s="418" t="str">
        <f t="shared" si="289"/>
        <v>CU0558001</v>
      </c>
      <c r="CE510" s="442" t="str">
        <f t="shared" si="290"/>
        <v>2020年1月</v>
      </c>
      <c r="CF510" s="418" t="str">
        <f t="shared" si="291"/>
        <v>聚思鸿信息clife服务费暂估</v>
      </c>
      <c r="CG510" s="418" t="str">
        <f t="shared" si="292"/>
        <v>2020年1月聚思鸿信息clife服务费暂估</v>
      </c>
    </row>
    <row r="511" spans="2:85" s="447" customFormat="1" ht="17.25" customHeight="1">
      <c r="B511" s="447" t="str">
        <f t="shared" si="276"/>
        <v>CU0562</v>
      </c>
      <c r="C511" s="431" t="s">
        <v>755</v>
      </c>
      <c r="D511" s="367" t="s">
        <v>2025</v>
      </c>
      <c r="E511" s="367" t="s">
        <v>1804</v>
      </c>
      <c r="F511" s="439">
        <v>43850</v>
      </c>
      <c r="G511" s="430">
        <v>10449.5</v>
      </c>
      <c r="H511" s="440"/>
      <c r="I511" s="440">
        <f t="shared" si="305"/>
        <v>10449.5</v>
      </c>
      <c r="J511" s="440"/>
      <c r="L511" s="462">
        <f t="shared" si="306"/>
        <v>10449.5</v>
      </c>
      <c r="M511" s="462"/>
      <c r="N511" s="444"/>
      <c r="O511" s="462">
        <f t="shared" si="307"/>
        <v>10449.5</v>
      </c>
      <c r="R511" s="462">
        <f t="shared" si="308"/>
        <v>10449.5</v>
      </c>
      <c r="U511" s="462">
        <f t="shared" si="309"/>
        <v>10449.5</v>
      </c>
      <c r="X511" s="462">
        <f t="shared" si="310"/>
        <v>10449.5</v>
      </c>
      <c r="AA511" s="462">
        <f t="shared" si="311"/>
        <v>10449.5</v>
      </c>
      <c r="AD511" s="462">
        <f t="shared" si="312"/>
        <v>10449.5</v>
      </c>
      <c r="AG511" s="462">
        <f t="shared" si="313"/>
        <v>10449.5</v>
      </c>
      <c r="AJ511" s="462">
        <f t="shared" si="314"/>
        <v>10449.5</v>
      </c>
      <c r="AM511" s="462">
        <f t="shared" si="315"/>
        <v>10449.5</v>
      </c>
      <c r="AP511" s="462">
        <f t="shared" si="316"/>
        <v>10449.5</v>
      </c>
      <c r="AS511" s="459">
        <f t="shared" si="320"/>
        <v>10449.5</v>
      </c>
      <c r="AT511" s="447" t="s">
        <v>2065</v>
      </c>
      <c r="AV511" s="462">
        <f t="shared" si="317"/>
        <v>10449.5</v>
      </c>
      <c r="AW511" s="447" t="s">
        <v>2106</v>
      </c>
      <c r="AY511" s="462">
        <f t="shared" si="318"/>
        <v>10449.5</v>
      </c>
      <c r="AZ511" s="447" t="s">
        <v>2132</v>
      </c>
      <c r="BB511" s="462">
        <f t="shared" si="319"/>
        <v>10449.5</v>
      </c>
      <c r="BC511" s="447" t="s">
        <v>2217</v>
      </c>
      <c r="BE511" s="462">
        <f t="shared" si="281"/>
        <v>10449.5</v>
      </c>
      <c r="BF511" s="447" t="s">
        <v>2238</v>
      </c>
      <c r="BH511" s="462">
        <f t="shared" si="282"/>
        <v>10449.5</v>
      </c>
      <c r="BI511" s="447" t="s">
        <v>2293</v>
      </c>
      <c r="BK511" s="462">
        <f t="shared" si="283"/>
        <v>10449.5</v>
      </c>
      <c r="BL511" s="447" t="s">
        <v>2341</v>
      </c>
      <c r="BN511" s="462">
        <f t="shared" si="284"/>
        <v>10449.5</v>
      </c>
      <c r="BO511" s="447" t="s">
        <v>2364</v>
      </c>
      <c r="BQ511" s="462">
        <f t="shared" si="285"/>
        <v>10449.5</v>
      </c>
      <c r="BT511" s="462">
        <f t="shared" si="286"/>
        <v>10449.5</v>
      </c>
      <c r="BU511" s="447" t="s">
        <v>2134</v>
      </c>
      <c r="BW511" s="462">
        <f t="shared" si="287"/>
        <v>10449.5</v>
      </c>
      <c r="BZ511" s="462">
        <f t="shared" si="288"/>
        <v>10449.5</v>
      </c>
      <c r="CD511" s="418" t="str">
        <f t="shared" si="289"/>
        <v>CU0562001</v>
      </c>
      <c r="CE511" s="442" t="str">
        <f t="shared" si="290"/>
        <v>2020年1月</v>
      </c>
      <c r="CF511" s="418" t="str">
        <f t="shared" si="291"/>
        <v>杭州康晟健clife服务费暂估</v>
      </c>
      <c r="CG511" s="418" t="str">
        <f t="shared" si="292"/>
        <v>2020年1月杭州康晟健clife服务费暂估</v>
      </c>
    </row>
    <row r="512" spans="2:85" s="447" customFormat="1" ht="17.25" customHeight="1">
      <c r="B512" s="447" t="str">
        <f t="shared" si="276"/>
        <v>CU0782</v>
      </c>
      <c r="C512" s="431" t="s">
        <v>755</v>
      </c>
      <c r="D512" s="367" t="s">
        <v>1652</v>
      </c>
      <c r="E512" s="367" t="s">
        <v>194</v>
      </c>
      <c r="F512" s="439">
        <v>43851</v>
      </c>
      <c r="G512" s="430">
        <v>676755.86</v>
      </c>
      <c r="H512" s="440"/>
      <c r="I512" s="440">
        <f t="shared" si="305"/>
        <v>676755.86</v>
      </c>
      <c r="J512" s="440"/>
      <c r="L512" s="462">
        <f t="shared" si="306"/>
        <v>676755.86</v>
      </c>
      <c r="M512" s="462"/>
      <c r="N512" s="444"/>
      <c r="O512" s="462">
        <f t="shared" si="307"/>
        <v>676755.86</v>
      </c>
      <c r="R512" s="462">
        <f t="shared" si="308"/>
        <v>676755.86</v>
      </c>
      <c r="U512" s="462">
        <f t="shared" si="309"/>
        <v>676755.86</v>
      </c>
      <c r="X512" s="462">
        <f t="shared" si="310"/>
        <v>676755.86</v>
      </c>
      <c r="AA512" s="462">
        <f t="shared" si="311"/>
        <v>676755.86</v>
      </c>
      <c r="AD512" s="462">
        <f t="shared" si="312"/>
        <v>676755.86</v>
      </c>
      <c r="AG512" s="462">
        <f t="shared" si="313"/>
        <v>676755.86</v>
      </c>
      <c r="AJ512" s="462">
        <f t="shared" si="314"/>
        <v>676755.86</v>
      </c>
      <c r="AM512" s="462">
        <f t="shared" si="315"/>
        <v>676755.86</v>
      </c>
      <c r="AP512" s="462">
        <f t="shared" si="316"/>
        <v>676755.86</v>
      </c>
      <c r="AS512" s="459">
        <f t="shared" si="320"/>
        <v>676755.86</v>
      </c>
      <c r="AT512" s="447" t="s">
        <v>2065</v>
      </c>
      <c r="AU512" s="548">
        <v>242743.06</v>
      </c>
      <c r="AV512" s="462">
        <f t="shared" si="317"/>
        <v>434012.8</v>
      </c>
      <c r="AW512" s="447" t="s">
        <v>2106</v>
      </c>
      <c r="AY512" s="462">
        <f t="shared" si="318"/>
        <v>434012.8</v>
      </c>
      <c r="AZ512" s="447" t="s">
        <v>2132</v>
      </c>
      <c r="BB512" s="462">
        <f t="shared" si="319"/>
        <v>434012.8</v>
      </c>
      <c r="BC512" s="447" t="s">
        <v>2217</v>
      </c>
      <c r="BE512" s="462">
        <f t="shared" si="281"/>
        <v>434012.8</v>
      </c>
      <c r="BF512" s="447" t="s">
        <v>2238</v>
      </c>
      <c r="BG512" s="447">
        <v>5100</v>
      </c>
      <c r="BH512" s="462">
        <f t="shared" si="282"/>
        <v>428912.8</v>
      </c>
      <c r="BI512" s="447" t="s">
        <v>2293</v>
      </c>
      <c r="BK512" s="462">
        <f t="shared" si="283"/>
        <v>428912.8</v>
      </c>
      <c r="BL512" s="447" t="s">
        <v>2341</v>
      </c>
      <c r="BN512" s="462">
        <f t="shared" si="284"/>
        <v>428912.8</v>
      </c>
      <c r="BO512" s="447" t="s">
        <v>2364</v>
      </c>
      <c r="BP512" s="447">
        <f>ROUND(322800/1.06,2)</f>
        <v>304528.3</v>
      </c>
      <c r="BQ512" s="462">
        <f t="shared" si="285"/>
        <v>124384.5</v>
      </c>
      <c r="BT512" s="462">
        <f t="shared" si="286"/>
        <v>124384.5</v>
      </c>
      <c r="BU512" s="447" t="s">
        <v>2134</v>
      </c>
      <c r="BW512" s="462">
        <f t="shared" si="287"/>
        <v>124384.5</v>
      </c>
      <c r="BZ512" s="462">
        <f t="shared" si="288"/>
        <v>124384.5</v>
      </c>
      <c r="CD512" s="418" t="str">
        <f t="shared" si="289"/>
        <v>CU0782001</v>
      </c>
      <c r="CE512" s="442" t="str">
        <f t="shared" si="290"/>
        <v>2020年1月</v>
      </c>
      <c r="CF512" s="418" t="str">
        <f t="shared" si="291"/>
        <v>天职集团clife服务费暂估</v>
      </c>
      <c r="CG512" s="418" t="str">
        <f t="shared" si="292"/>
        <v>2020年1月天职集团clife服务费暂估</v>
      </c>
    </row>
    <row r="513" spans="2:85" s="447" customFormat="1" ht="17.25" customHeight="1">
      <c r="B513" s="447" t="str">
        <f t="shared" si="276"/>
        <v>CU0822</v>
      </c>
      <c r="C513" s="431" t="s">
        <v>755</v>
      </c>
      <c r="D513" s="367" t="s">
        <v>1456</v>
      </c>
      <c r="E513" s="367" t="s">
        <v>239</v>
      </c>
      <c r="F513" s="439">
        <v>43852</v>
      </c>
      <c r="G513" s="430">
        <v>267758.86</v>
      </c>
      <c r="H513" s="440"/>
      <c r="I513" s="440">
        <f t="shared" si="305"/>
        <v>267758.86</v>
      </c>
      <c r="J513" s="440"/>
      <c r="L513" s="462">
        <f t="shared" si="306"/>
        <v>267758.86</v>
      </c>
      <c r="M513" s="462"/>
      <c r="N513" s="444"/>
      <c r="O513" s="462">
        <f t="shared" si="307"/>
        <v>267758.86</v>
      </c>
      <c r="R513" s="462">
        <f t="shared" si="308"/>
        <v>267758.86</v>
      </c>
      <c r="U513" s="462">
        <f t="shared" si="309"/>
        <v>267758.86</v>
      </c>
      <c r="X513" s="462">
        <f t="shared" si="310"/>
        <v>267758.86</v>
      </c>
      <c r="AA513" s="462">
        <f t="shared" si="311"/>
        <v>267758.86</v>
      </c>
      <c r="AD513" s="462">
        <f t="shared" si="312"/>
        <v>267758.86</v>
      </c>
      <c r="AG513" s="462">
        <f t="shared" si="313"/>
        <v>267758.86</v>
      </c>
      <c r="AJ513" s="462">
        <f t="shared" si="314"/>
        <v>267758.86</v>
      </c>
      <c r="AM513" s="462">
        <f t="shared" si="315"/>
        <v>267758.86</v>
      </c>
      <c r="AP513" s="462">
        <f t="shared" si="316"/>
        <v>267758.86</v>
      </c>
      <c r="AS513" s="459">
        <f t="shared" si="320"/>
        <v>267758.86</v>
      </c>
      <c r="AT513" s="447" t="s">
        <v>2065</v>
      </c>
      <c r="AU513" s="447">
        <v>216002.51</v>
      </c>
      <c r="AV513" s="462">
        <f t="shared" si="317"/>
        <v>51756.349999999977</v>
      </c>
      <c r="AW513" s="447" t="s">
        <v>2106</v>
      </c>
      <c r="AY513" s="462">
        <f t="shared" si="318"/>
        <v>51756.349999999977</v>
      </c>
      <c r="AZ513" s="447" t="s">
        <v>2132</v>
      </c>
      <c r="BB513" s="462">
        <f t="shared" si="319"/>
        <v>51756.349999999977</v>
      </c>
      <c r="BC513" s="447" t="s">
        <v>2217</v>
      </c>
      <c r="BE513" s="462">
        <f t="shared" si="281"/>
        <v>51756.349999999977</v>
      </c>
      <c r="BF513" s="447" t="s">
        <v>2238</v>
      </c>
      <c r="BH513" s="462">
        <f t="shared" si="282"/>
        <v>51756.349999999977</v>
      </c>
      <c r="BI513" s="447" t="s">
        <v>2293</v>
      </c>
      <c r="BK513" s="462">
        <f t="shared" si="283"/>
        <v>51756.349999999977</v>
      </c>
      <c r="BL513" s="447" t="s">
        <v>2341</v>
      </c>
      <c r="BN513" s="462">
        <f t="shared" si="284"/>
        <v>51756.349999999977</v>
      </c>
      <c r="BO513" s="447" t="s">
        <v>2364</v>
      </c>
      <c r="BP513" s="447">
        <f>200000-BP342-BP365-BP395-BP432</f>
        <v>16814.799999999934</v>
      </c>
      <c r="BQ513" s="462">
        <f t="shared" si="285"/>
        <v>34941.550000000003</v>
      </c>
      <c r="BT513" s="462">
        <f t="shared" si="286"/>
        <v>34941.550000000003</v>
      </c>
      <c r="BU513" s="447" t="s">
        <v>2134</v>
      </c>
      <c r="BW513" s="462">
        <f t="shared" si="287"/>
        <v>34941.550000000003</v>
      </c>
      <c r="BZ513" s="462">
        <f t="shared" si="288"/>
        <v>34941.550000000003</v>
      </c>
      <c r="CD513" s="418" t="str">
        <f t="shared" si="289"/>
        <v>CU0822001</v>
      </c>
      <c r="CE513" s="442" t="str">
        <f t="shared" si="290"/>
        <v>2020年1月</v>
      </c>
      <c r="CF513" s="418" t="str">
        <f t="shared" si="291"/>
        <v>美克国际家clife服务费暂估</v>
      </c>
      <c r="CG513" s="418" t="str">
        <f t="shared" si="292"/>
        <v>2020年1月美克国际家clife服务费暂估</v>
      </c>
    </row>
    <row r="514" spans="2:85" s="447" customFormat="1" ht="17.25" customHeight="1">
      <c r="B514" s="447" t="str">
        <f t="shared" si="276"/>
        <v>CU0904</v>
      </c>
      <c r="C514" s="431" t="s">
        <v>755</v>
      </c>
      <c r="D514" s="367" t="s">
        <v>1460</v>
      </c>
      <c r="E514" s="367" t="s">
        <v>1316</v>
      </c>
      <c r="F514" s="439">
        <v>43853</v>
      </c>
      <c r="G514" s="430">
        <v>22270.66</v>
      </c>
      <c r="H514" s="440"/>
      <c r="I514" s="440">
        <f t="shared" si="305"/>
        <v>22270.66</v>
      </c>
      <c r="J514" s="440"/>
      <c r="L514" s="462">
        <f t="shared" si="306"/>
        <v>22270.66</v>
      </c>
      <c r="M514" s="462"/>
      <c r="N514" s="444"/>
      <c r="O514" s="462">
        <f t="shared" si="307"/>
        <v>22270.66</v>
      </c>
      <c r="R514" s="462">
        <f t="shared" si="308"/>
        <v>22270.66</v>
      </c>
      <c r="U514" s="462">
        <f t="shared" si="309"/>
        <v>22270.66</v>
      </c>
      <c r="X514" s="462">
        <f t="shared" si="310"/>
        <v>22270.66</v>
      </c>
      <c r="AA514" s="462">
        <f t="shared" si="311"/>
        <v>22270.66</v>
      </c>
      <c r="AD514" s="462">
        <f t="shared" si="312"/>
        <v>22270.66</v>
      </c>
      <c r="AG514" s="462">
        <f t="shared" si="313"/>
        <v>22270.66</v>
      </c>
      <c r="AJ514" s="462">
        <f t="shared" si="314"/>
        <v>22270.66</v>
      </c>
      <c r="AM514" s="462">
        <f t="shared" si="315"/>
        <v>22270.66</v>
      </c>
      <c r="AP514" s="462">
        <f t="shared" si="316"/>
        <v>22270.66</v>
      </c>
      <c r="AS514" s="459">
        <f t="shared" si="320"/>
        <v>22270.66</v>
      </c>
      <c r="AT514" s="447" t="s">
        <v>2065</v>
      </c>
      <c r="AV514" s="462">
        <f t="shared" si="317"/>
        <v>22270.66</v>
      </c>
      <c r="AW514" s="447" t="s">
        <v>2106</v>
      </c>
      <c r="AY514" s="462">
        <f t="shared" si="318"/>
        <v>22270.66</v>
      </c>
      <c r="AZ514" s="447" t="s">
        <v>2132</v>
      </c>
      <c r="BB514" s="462">
        <f t="shared" si="319"/>
        <v>22270.66</v>
      </c>
      <c r="BC514" s="447" t="s">
        <v>2217</v>
      </c>
      <c r="BD514" s="447">
        <f>179202.5-BD371-BD401-BD438</f>
        <v>14012.079999999987</v>
      </c>
      <c r="BE514" s="462">
        <f t="shared" si="281"/>
        <v>8258.5800000000127</v>
      </c>
      <c r="BF514" s="447" t="s">
        <v>2238</v>
      </c>
      <c r="BH514" s="462">
        <f t="shared" si="282"/>
        <v>8258.5800000000127</v>
      </c>
      <c r="BI514" s="447" t="s">
        <v>2293</v>
      </c>
      <c r="BJ514" s="462">
        <f>BH514</f>
        <v>8258.5800000000127</v>
      </c>
      <c r="BK514" s="462">
        <f t="shared" si="283"/>
        <v>0</v>
      </c>
      <c r="BN514" s="462">
        <f t="shared" si="284"/>
        <v>0</v>
      </c>
      <c r="BQ514" s="462">
        <f t="shared" si="285"/>
        <v>0</v>
      </c>
      <c r="BT514" s="462">
        <f t="shared" si="286"/>
        <v>0</v>
      </c>
      <c r="BW514" s="462">
        <f t="shared" si="287"/>
        <v>0</v>
      </c>
      <c r="BZ514" s="462">
        <f t="shared" si="288"/>
        <v>0</v>
      </c>
      <c r="CD514" s="418" t="str">
        <f t="shared" si="289"/>
        <v>CU0904001</v>
      </c>
      <c r="CE514" s="442" t="str">
        <f t="shared" si="290"/>
        <v>2020年1月</v>
      </c>
      <c r="CF514" s="418" t="str">
        <f t="shared" si="291"/>
        <v>紫光集团clife服务费暂估</v>
      </c>
      <c r="CG514" s="418" t="str">
        <f t="shared" si="292"/>
        <v>2020年1月紫光集团clife服务费暂估</v>
      </c>
    </row>
    <row r="515" spans="2:85" s="447" customFormat="1" ht="17.25" customHeight="1">
      <c r="B515" s="447" t="str">
        <f t="shared" ref="B515:B578" si="321">LEFT(D515,6)</f>
        <v>CU0914</v>
      </c>
      <c r="C515" s="431" t="s">
        <v>755</v>
      </c>
      <c r="D515" s="367" t="s">
        <v>1721</v>
      </c>
      <c r="E515" s="367" t="s">
        <v>1535</v>
      </c>
      <c r="F515" s="439">
        <v>43854</v>
      </c>
      <c r="G515" s="430">
        <v>2680550.4500000002</v>
      </c>
      <c r="H515" s="440"/>
      <c r="I515" s="440">
        <f t="shared" si="305"/>
        <v>2680550.4500000002</v>
      </c>
      <c r="J515" s="440"/>
      <c r="L515" s="462">
        <f t="shared" si="306"/>
        <v>2680550.4500000002</v>
      </c>
      <c r="M515" s="462"/>
      <c r="N515" s="444"/>
      <c r="O515" s="462">
        <f t="shared" si="307"/>
        <v>2680550.4500000002</v>
      </c>
      <c r="R515" s="462">
        <f t="shared" si="308"/>
        <v>2680550.4500000002</v>
      </c>
      <c r="U515" s="462">
        <f t="shared" si="309"/>
        <v>2680550.4500000002</v>
      </c>
      <c r="X515" s="462">
        <f t="shared" si="310"/>
        <v>2680550.4500000002</v>
      </c>
      <c r="AA515" s="462">
        <f t="shared" si="311"/>
        <v>2680550.4500000002</v>
      </c>
      <c r="AD515" s="462">
        <f t="shared" si="312"/>
        <v>2680550.4500000002</v>
      </c>
      <c r="AG515" s="462">
        <f t="shared" si="313"/>
        <v>2680550.4500000002</v>
      </c>
      <c r="AJ515" s="462">
        <f t="shared" si="314"/>
        <v>2680550.4500000002</v>
      </c>
      <c r="AM515" s="462">
        <f t="shared" si="315"/>
        <v>2680550.4500000002</v>
      </c>
      <c r="AP515" s="462">
        <f t="shared" si="316"/>
        <v>2680550.4500000002</v>
      </c>
      <c r="AS515" s="459">
        <f t="shared" si="320"/>
        <v>2680550.4500000002</v>
      </c>
      <c r="AT515" s="447" t="s">
        <v>2065</v>
      </c>
      <c r="AU515" s="447">
        <v>2631882.27</v>
      </c>
      <c r="AV515" s="462">
        <f t="shared" si="317"/>
        <v>48668.180000000168</v>
      </c>
      <c r="AW515" s="447" t="s">
        <v>2106</v>
      </c>
      <c r="AY515" s="462">
        <f t="shared" si="318"/>
        <v>48668.180000000168</v>
      </c>
      <c r="AZ515" s="447" t="s">
        <v>2132</v>
      </c>
      <c r="BA515" s="462">
        <f>AY515</f>
        <v>48668.180000000168</v>
      </c>
      <c r="BB515" s="462">
        <f t="shared" si="319"/>
        <v>0</v>
      </c>
      <c r="BC515" s="447" t="s">
        <v>2217</v>
      </c>
      <c r="BE515" s="462">
        <f t="shared" si="281"/>
        <v>0</v>
      </c>
      <c r="BH515" s="462">
        <f t="shared" si="282"/>
        <v>0</v>
      </c>
      <c r="BK515" s="462">
        <f t="shared" si="283"/>
        <v>0</v>
      </c>
      <c r="BN515" s="462">
        <f t="shared" si="284"/>
        <v>0</v>
      </c>
      <c r="BQ515" s="462">
        <f t="shared" si="285"/>
        <v>0</v>
      </c>
      <c r="BT515" s="462">
        <f t="shared" si="286"/>
        <v>0</v>
      </c>
      <c r="BW515" s="462">
        <f t="shared" si="287"/>
        <v>0</v>
      </c>
      <c r="BZ515" s="462">
        <f t="shared" si="288"/>
        <v>0</v>
      </c>
      <c r="CD515" s="418" t="str">
        <f t="shared" si="289"/>
        <v>CU0914001</v>
      </c>
      <c r="CE515" s="442" t="str">
        <f t="shared" si="290"/>
        <v>2020年1月</v>
      </c>
      <c r="CF515" s="418" t="str">
        <f t="shared" si="291"/>
        <v>鑫车投资（clife服务费暂估</v>
      </c>
      <c r="CG515" s="418" t="str">
        <f t="shared" si="292"/>
        <v>2020年1月鑫车投资（clife服务费暂估</v>
      </c>
    </row>
    <row r="516" spans="2:85" s="447" customFormat="1" ht="17.25" customHeight="1">
      <c r="B516" s="447" t="str">
        <f t="shared" si="321"/>
        <v>CU0963</v>
      </c>
      <c r="C516" s="431" t="s">
        <v>755</v>
      </c>
      <c r="D516" s="367" t="s">
        <v>1500</v>
      </c>
      <c r="E516" s="367" t="s">
        <v>1501</v>
      </c>
      <c r="F516" s="439">
        <v>43855</v>
      </c>
      <c r="G516" s="430">
        <v>924743.4</v>
      </c>
      <c r="H516" s="440"/>
      <c r="I516" s="440">
        <f t="shared" si="305"/>
        <v>924743.4</v>
      </c>
      <c r="J516" s="440"/>
      <c r="L516" s="462">
        <f t="shared" si="306"/>
        <v>924743.4</v>
      </c>
      <c r="M516" s="462"/>
      <c r="N516" s="444"/>
      <c r="O516" s="462">
        <f t="shared" si="307"/>
        <v>924743.4</v>
      </c>
      <c r="R516" s="462">
        <f t="shared" si="308"/>
        <v>924743.4</v>
      </c>
      <c r="U516" s="462">
        <f t="shared" si="309"/>
        <v>924743.4</v>
      </c>
      <c r="X516" s="462">
        <f t="shared" si="310"/>
        <v>924743.4</v>
      </c>
      <c r="AA516" s="462">
        <f t="shared" si="311"/>
        <v>924743.4</v>
      </c>
      <c r="AD516" s="462">
        <f t="shared" si="312"/>
        <v>924743.4</v>
      </c>
      <c r="AG516" s="462">
        <f t="shared" si="313"/>
        <v>924743.4</v>
      </c>
      <c r="AJ516" s="462">
        <f t="shared" si="314"/>
        <v>924743.4</v>
      </c>
      <c r="AM516" s="462">
        <f t="shared" si="315"/>
        <v>924743.4</v>
      </c>
      <c r="AP516" s="462">
        <f t="shared" si="316"/>
        <v>924743.4</v>
      </c>
      <c r="AS516" s="459">
        <f t="shared" si="320"/>
        <v>924743.4</v>
      </c>
      <c r="AT516" s="447" t="s">
        <v>2065</v>
      </c>
      <c r="AV516" s="462">
        <f t="shared" si="317"/>
        <v>924743.4</v>
      </c>
      <c r="AW516" s="447" t="s">
        <v>2106</v>
      </c>
      <c r="AY516" s="462">
        <f t="shared" si="318"/>
        <v>924743.4</v>
      </c>
      <c r="AZ516" s="447" t="s">
        <v>2132</v>
      </c>
      <c r="BB516" s="462">
        <f t="shared" si="319"/>
        <v>924743.4</v>
      </c>
      <c r="BC516" s="447" t="s">
        <v>2217</v>
      </c>
      <c r="BE516" s="462">
        <f t="shared" ref="BE516:BE579" si="322">BB516-BD516</f>
        <v>924743.4</v>
      </c>
      <c r="BF516" s="447" t="s">
        <v>2238</v>
      </c>
      <c r="BH516" s="462">
        <f t="shared" ref="BH516:BH579" si="323">BE516-BG516</f>
        <v>924743.4</v>
      </c>
      <c r="BI516" s="447" t="s">
        <v>2293</v>
      </c>
      <c r="BJ516" s="462">
        <f>BH516</f>
        <v>924743.4</v>
      </c>
      <c r="BK516" s="462">
        <f t="shared" ref="BK516:BK579" si="324">BH516-BJ516</f>
        <v>0</v>
      </c>
      <c r="BN516" s="462">
        <f t="shared" ref="BN516:BN579" si="325">BK516-BM516</f>
        <v>0</v>
      </c>
      <c r="BQ516" s="462">
        <f t="shared" ref="BQ516:BQ579" si="326">ROUND((BN516-BP516),2)</f>
        <v>0</v>
      </c>
      <c r="BT516" s="462">
        <f t="shared" ref="BT516:BT579" si="327">ROUND((BQ516-BS516),2)</f>
        <v>0</v>
      </c>
      <c r="BW516" s="462">
        <f t="shared" ref="BW516:BW579" si="328">ROUND((BT516-BV516),2)</f>
        <v>0</v>
      </c>
      <c r="BZ516" s="462">
        <f t="shared" ref="BZ516:BZ579" si="329">ROUND((BW516-BY516),2)</f>
        <v>0</v>
      </c>
      <c r="CD516" s="418" t="str">
        <f t="shared" ref="CD516:CD579" si="330">B516&amp;$B$1</f>
        <v>CU0963001</v>
      </c>
      <c r="CE516" s="442" t="str">
        <f t="shared" ref="CE516:CE579" si="331">YEAR(F516)&amp;"年"&amp;MONTH(F516)&amp;"月"</f>
        <v>2020年1月</v>
      </c>
      <c r="CF516" s="418" t="str">
        <f t="shared" ref="CF516:CF579" si="332">LEFT(E516,5)&amp;$E$1</f>
        <v>瑞慈门诊clife服务费暂估</v>
      </c>
      <c r="CG516" s="418" t="str">
        <f t="shared" ref="CG516:CG579" si="333">CE516&amp;CF516</f>
        <v>2020年1月瑞慈门诊clife服务费暂估</v>
      </c>
    </row>
    <row r="517" spans="2:85" s="447" customFormat="1" ht="17.25" customHeight="1">
      <c r="B517" s="447" t="str">
        <f t="shared" si="321"/>
        <v>CU1016</v>
      </c>
      <c r="C517" s="431" t="s">
        <v>755</v>
      </c>
      <c r="D517" s="367" t="s">
        <v>1524</v>
      </c>
      <c r="E517" s="367" t="s">
        <v>1536</v>
      </c>
      <c r="F517" s="439">
        <v>43856</v>
      </c>
      <c r="G517" s="430">
        <v>9087.3799999999992</v>
      </c>
      <c r="H517" s="440"/>
      <c r="I517" s="440">
        <f t="shared" ref="I517:I548" si="334">G517-H517</f>
        <v>9087.3799999999992</v>
      </c>
      <c r="J517" s="440"/>
      <c r="L517" s="462">
        <f t="shared" ref="L517:L548" si="335">I517-K517</f>
        <v>9087.3799999999992</v>
      </c>
      <c r="M517" s="462"/>
      <c r="N517" s="444"/>
      <c r="O517" s="462">
        <f t="shared" ref="O517:O548" si="336">L517-N517</f>
        <v>9087.3799999999992</v>
      </c>
      <c r="R517" s="462">
        <f t="shared" ref="R517:R548" si="337">O517-Q517</f>
        <v>9087.3799999999992</v>
      </c>
      <c r="U517" s="462">
        <f t="shared" ref="U517:U548" si="338">R517-T517</f>
        <v>9087.3799999999992</v>
      </c>
      <c r="X517" s="462">
        <f t="shared" ref="X517:X548" si="339">U517-W517</f>
        <v>9087.3799999999992</v>
      </c>
      <c r="AA517" s="462">
        <f t="shared" ref="AA517:AA548" si="340">X517-Z517</f>
        <v>9087.3799999999992</v>
      </c>
      <c r="AD517" s="462">
        <f t="shared" ref="AD517:AD548" si="341">AA517-AC517</f>
        <v>9087.3799999999992</v>
      </c>
      <c r="AG517" s="462">
        <f t="shared" ref="AG517:AG548" si="342">AD517-AF517</f>
        <v>9087.3799999999992</v>
      </c>
      <c r="AJ517" s="462">
        <f t="shared" ref="AJ517:AJ548" si="343">AG517-AI517</f>
        <v>9087.3799999999992</v>
      </c>
      <c r="AM517" s="462">
        <f t="shared" si="315"/>
        <v>9087.3799999999992</v>
      </c>
      <c r="AP517" s="462">
        <f t="shared" ref="AP517:AP548" si="344">AM517-AO517</f>
        <v>9087.3799999999992</v>
      </c>
      <c r="AS517" s="459">
        <f t="shared" si="320"/>
        <v>9087.3799999999992</v>
      </c>
      <c r="AT517" s="447" t="s">
        <v>2065</v>
      </c>
      <c r="AV517" s="462">
        <f t="shared" ref="AV517:AV548" si="345">AS517-AU517</f>
        <v>9087.3799999999992</v>
      </c>
      <c r="AW517" s="447" t="s">
        <v>2106</v>
      </c>
      <c r="AY517" s="462">
        <f t="shared" ref="AY517:AY548" si="346">AV517-AX517</f>
        <v>9087.3799999999992</v>
      </c>
      <c r="AZ517" s="447" t="s">
        <v>2132</v>
      </c>
      <c r="BA517" s="462">
        <f>AY517</f>
        <v>9087.3799999999992</v>
      </c>
      <c r="BB517" s="462">
        <f t="shared" ref="BB517:BB548" si="347">AY517-BA517</f>
        <v>0</v>
      </c>
      <c r="BC517" s="447" t="s">
        <v>2217</v>
      </c>
      <c r="BE517" s="462">
        <f t="shared" si="322"/>
        <v>0</v>
      </c>
      <c r="BH517" s="462">
        <f t="shared" si="323"/>
        <v>0</v>
      </c>
      <c r="BK517" s="462">
        <f t="shared" si="324"/>
        <v>0</v>
      </c>
      <c r="BN517" s="462">
        <f t="shared" si="325"/>
        <v>0</v>
      </c>
      <c r="BQ517" s="462">
        <f t="shared" si="326"/>
        <v>0</v>
      </c>
      <c r="BT517" s="462">
        <f t="shared" si="327"/>
        <v>0</v>
      </c>
      <c r="BW517" s="462">
        <f t="shared" si="328"/>
        <v>0</v>
      </c>
      <c r="BZ517" s="462">
        <f t="shared" si="329"/>
        <v>0</v>
      </c>
      <c r="CD517" s="418" t="str">
        <f t="shared" si="330"/>
        <v>CU1016001</v>
      </c>
      <c r="CE517" s="442" t="str">
        <f t="shared" si="331"/>
        <v>2020年1月</v>
      </c>
      <c r="CF517" s="418" t="str">
        <f t="shared" si="332"/>
        <v>乔治阿玛尼clife服务费暂估</v>
      </c>
      <c r="CG517" s="418" t="str">
        <f t="shared" si="333"/>
        <v>2020年1月乔治阿玛尼clife服务费暂估</v>
      </c>
    </row>
    <row r="518" spans="2:85" s="447" customFormat="1" ht="17.25" customHeight="1">
      <c r="B518" s="447" t="str">
        <f t="shared" si="321"/>
        <v>CU1065</v>
      </c>
      <c r="C518" s="431" t="s">
        <v>755</v>
      </c>
      <c r="D518" s="367" t="s">
        <v>1573</v>
      </c>
      <c r="E518" s="367" t="s">
        <v>1332</v>
      </c>
      <c r="F518" s="439">
        <v>43857</v>
      </c>
      <c r="G518" s="430">
        <v>130284.71</v>
      </c>
      <c r="H518" s="440"/>
      <c r="I518" s="440">
        <f t="shared" si="334"/>
        <v>130284.71</v>
      </c>
      <c r="J518" s="440"/>
      <c r="L518" s="462">
        <f t="shared" si="335"/>
        <v>130284.71</v>
      </c>
      <c r="M518" s="462"/>
      <c r="N518" s="444"/>
      <c r="O518" s="462">
        <f t="shared" si="336"/>
        <v>130284.71</v>
      </c>
      <c r="R518" s="462">
        <f t="shared" si="337"/>
        <v>130284.71</v>
      </c>
      <c r="U518" s="462">
        <f t="shared" si="338"/>
        <v>130284.71</v>
      </c>
      <c r="X518" s="462">
        <f t="shared" si="339"/>
        <v>130284.71</v>
      </c>
      <c r="AA518" s="462">
        <f t="shared" si="340"/>
        <v>130284.71</v>
      </c>
      <c r="AD518" s="462">
        <f t="shared" si="341"/>
        <v>130284.71</v>
      </c>
      <c r="AG518" s="462">
        <f t="shared" si="342"/>
        <v>130284.71</v>
      </c>
      <c r="AJ518" s="462">
        <f t="shared" si="343"/>
        <v>130284.71</v>
      </c>
      <c r="AM518" s="462">
        <f t="shared" si="315"/>
        <v>130284.71</v>
      </c>
      <c r="AP518" s="462">
        <f t="shared" si="344"/>
        <v>130284.71</v>
      </c>
      <c r="AS518" s="459">
        <f t="shared" si="320"/>
        <v>130284.71</v>
      </c>
      <c r="AT518" s="447" t="s">
        <v>2065</v>
      </c>
      <c r="AV518" s="462">
        <f t="shared" si="345"/>
        <v>130284.71</v>
      </c>
      <c r="AW518" s="447" t="s">
        <v>2106</v>
      </c>
      <c r="AY518" s="462">
        <f t="shared" si="346"/>
        <v>130284.71</v>
      </c>
      <c r="AZ518" s="447" t="s">
        <v>2132</v>
      </c>
      <c r="BB518" s="462">
        <f t="shared" si="347"/>
        <v>130284.71</v>
      </c>
      <c r="BC518" s="447" t="s">
        <v>2217</v>
      </c>
      <c r="BE518" s="462">
        <f t="shared" si="322"/>
        <v>130284.71</v>
      </c>
      <c r="BF518" s="447" t="s">
        <v>2238</v>
      </c>
      <c r="BG518" s="462">
        <f>BE518</f>
        <v>130284.71</v>
      </c>
      <c r="BH518" s="462">
        <f t="shared" si="323"/>
        <v>0</v>
      </c>
      <c r="BK518" s="462">
        <f t="shared" si="324"/>
        <v>0</v>
      </c>
      <c r="BN518" s="462">
        <f t="shared" si="325"/>
        <v>0</v>
      </c>
      <c r="BQ518" s="462">
        <f t="shared" si="326"/>
        <v>0</v>
      </c>
      <c r="BT518" s="462">
        <f t="shared" si="327"/>
        <v>0</v>
      </c>
      <c r="BW518" s="462">
        <f t="shared" si="328"/>
        <v>0</v>
      </c>
      <c r="BZ518" s="462">
        <f t="shared" si="329"/>
        <v>0</v>
      </c>
      <c r="CD518" s="418" t="str">
        <f t="shared" si="330"/>
        <v>CU1065001</v>
      </c>
      <c r="CE518" s="442" t="str">
        <f t="shared" si="331"/>
        <v>2020年1月</v>
      </c>
      <c r="CF518" s="418" t="str">
        <f t="shared" si="332"/>
        <v>湖北长江蔚clife服务费暂估</v>
      </c>
      <c r="CG518" s="418" t="str">
        <f t="shared" si="333"/>
        <v>2020年1月湖北长江蔚clife服务费暂估</v>
      </c>
    </row>
    <row r="519" spans="2:85" s="447" customFormat="1" ht="17.25" customHeight="1">
      <c r="B519" s="447" t="str">
        <f t="shared" si="321"/>
        <v>CU1155</v>
      </c>
      <c r="C519" s="431" t="s">
        <v>755</v>
      </c>
      <c r="D519" s="367" t="s">
        <v>1698</v>
      </c>
      <c r="E519" s="367" t="s">
        <v>1681</v>
      </c>
      <c r="F519" s="439">
        <v>43858</v>
      </c>
      <c r="G519" s="430">
        <v>286.62</v>
      </c>
      <c r="H519" s="440"/>
      <c r="I519" s="440">
        <f t="shared" si="334"/>
        <v>286.62</v>
      </c>
      <c r="J519" s="440"/>
      <c r="L519" s="462">
        <f t="shared" si="335"/>
        <v>286.62</v>
      </c>
      <c r="M519" s="462"/>
      <c r="N519" s="444"/>
      <c r="O519" s="462">
        <f t="shared" si="336"/>
        <v>286.62</v>
      </c>
      <c r="R519" s="462">
        <f t="shared" si="337"/>
        <v>286.62</v>
      </c>
      <c r="U519" s="462">
        <f t="shared" si="338"/>
        <v>286.62</v>
      </c>
      <c r="X519" s="462">
        <f t="shared" si="339"/>
        <v>286.62</v>
      </c>
      <c r="AA519" s="462">
        <f t="shared" si="340"/>
        <v>286.62</v>
      </c>
      <c r="AD519" s="462">
        <f t="shared" si="341"/>
        <v>286.62</v>
      </c>
      <c r="AG519" s="462">
        <f t="shared" si="342"/>
        <v>286.62</v>
      </c>
      <c r="AJ519" s="462">
        <f t="shared" si="343"/>
        <v>286.62</v>
      </c>
      <c r="AM519" s="462">
        <f t="shared" si="315"/>
        <v>286.62</v>
      </c>
      <c r="AP519" s="462">
        <f t="shared" si="344"/>
        <v>286.62</v>
      </c>
      <c r="AS519" s="459">
        <f t="shared" si="320"/>
        <v>286.62</v>
      </c>
      <c r="AT519" s="447" t="s">
        <v>2065</v>
      </c>
      <c r="AV519" s="462">
        <f t="shared" si="345"/>
        <v>286.62</v>
      </c>
      <c r="AW519" s="447" t="s">
        <v>2106</v>
      </c>
      <c r="AY519" s="462">
        <f t="shared" si="346"/>
        <v>286.62</v>
      </c>
      <c r="AZ519" s="447" t="s">
        <v>2132</v>
      </c>
      <c r="BB519" s="462">
        <f t="shared" si="347"/>
        <v>286.62</v>
      </c>
      <c r="BC519" s="447" t="s">
        <v>2217</v>
      </c>
      <c r="BE519" s="462">
        <f t="shared" si="322"/>
        <v>286.62</v>
      </c>
      <c r="BF519" s="447" t="s">
        <v>2238</v>
      </c>
      <c r="BH519" s="462">
        <f t="shared" si="323"/>
        <v>286.62</v>
      </c>
      <c r="BI519" s="447" t="s">
        <v>2293</v>
      </c>
      <c r="BK519" s="462">
        <f t="shared" si="324"/>
        <v>286.62</v>
      </c>
      <c r="BL519" s="447" t="s">
        <v>2341</v>
      </c>
      <c r="BN519" s="462">
        <f t="shared" si="325"/>
        <v>286.62</v>
      </c>
      <c r="BO519" s="447" t="s">
        <v>2364</v>
      </c>
      <c r="BQ519" s="462">
        <f t="shared" si="326"/>
        <v>286.62</v>
      </c>
      <c r="BT519" s="462">
        <f t="shared" si="327"/>
        <v>286.62</v>
      </c>
      <c r="BU519" s="447" t="s">
        <v>2134</v>
      </c>
      <c r="BW519" s="462">
        <f t="shared" si="328"/>
        <v>286.62</v>
      </c>
      <c r="BZ519" s="462">
        <f t="shared" si="329"/>
        <v>286.62</v>
      </c>
      <c r="CD519" s="418" t="str">
        <f t="shared" si="330"/>
        <v>CU1155001</v>
      </c>
      <c r="CE519" s="442" t="str">
        <f t="shared" si="331"/>
        <v>2020年1月</v>
      </c>
      <c r="CF519" s="418" t="str">
        <f t="shared" si="332"/>
        <v>艾蒙斯特朗clife服务费暂估</v>
      </c>
      <c r="CG519" s="418" t="str">
        <f t="shared" si="333"/>
        <v>2020年1月艾蒙斯特朗clife服务费暂估</v>
      </c>
    </row>
    <row r="520" spans="2:85" s="447" customFormat="1" ht="17.25" customHeight="1">
      <c r="B520" s="447" t="str">
        <f t="shared" si="321"/>
        <v>CU1161</v>
      </c>
      <c r="C520" s="431" t="s">
        <v>755</v>
      </c>
      <c r="D520" s="367" t="s">
        <v>2059</v>
      </c>
      <c r="E520" s="367" t="s">
        <v>2060</v>
      </c>
      <c r="F520" s="439">
        <v>43859</v>
      </c>
      <c r="G520" s="430">
        <v>44836.12</v>
      </c>
      <c r="H520" s="440"/>
      <c r="I520" s="440">
        <f t="shared" si="334"/>
        <v>44836.12</v>
      </c>
      <c r="J520" s="440"/>
      <c r="L520" s="462">
        <f t="shared" si="335"/>
        <v>44836.12</v>
      </c>
      <c r="M520" s="462"/>
      <c r="N520" s="444"/>
      <c r="O520" s="462">
        <f t="shared" si="336"/>
        <v>44836.12</v>
      </c>
      <c r="R520" s="462">
        <f t="shared" si="337"/>
        <v>44836.12</v>
      </c>
      <c r="U520" s="462">
        <f t="shared" si="338"/>
        <v>44836.12</v>
      </c>
      <c r="X520" s="462">
        <f t="shared" si="339"/>
        <v>44836.12</v>
      </c>
      <c r="AA520" s="462">
        <f t="shared" si="340"/>
        <v>44836.12</v>
      </c>
      <c r="AD520" s="462">
        <f t="shared" si="341"/>
        <v>44836.12</v>
      </c>
      <c r="AG520" s="462">
        <f t="shared" si="342"/>
        <v>44836.12</v>
      </c>
      <c r="AJ520" s="462">
        <f t="shared" si="343"/>
        <v>44836.12</v>
      </c>
      <c r="AM520" s="462">
        <f t="shared" si="315"/>
        <v>44836.12</v>
      </c>
      <c r="AP520" s="462">
        <f t="shared" si="344"/>
        <v>44836.12</v>
      </c>
      <c r="AS520" s="459">
        <f t="shared" si="320"/>
        <v>44836.12</v>
      </c>
      <c r="AT520" s="447" t="s">
        <v>2065</v>
      </c>
      <c r="AU520" s="462">
        <f>G520</f>
        <v>44836.12</v>
      </c>
      <c r="AV520" s="462">
        <f t="shared" si="345"/>
        <v>0</v>
      </c>
      <c r="AY520" s="462">
        <f t="shared" si="346"/>
        <v>0</v>
      </c>
      <c r="BB520" s="462">
        <f t="shared" si="347"/>
        <v>0</v>
      </c>
      <c r="BC520" s="447" t="s">
        <v>2217</v>
      </c>
      <c r="BE520" s="462">
        <f t="shared" si="322"/>
        <v>0</v>
      </c>
      <c r="BH520" s="462">
        <f t="shared" si="323"/>
        <v>0</v>
      </c>
      <c r="BK520" s="462">
        <f t="shared" si="324"/>
        <v>0</v>
      </c>
      <c r="BN520" s="462">
        <f t="shared" si="325"/>
        <v>0</v>
      </c>
      <c r="BQ520" s="462">
        <f t="shared" si="326"/>
        <v>0</v>
      </c>
      <c r="BT520" s="462">
        <f t="shared" si="327"/>
        <v>0</v>
      </c>
      <c r="BW520" s="462">
        <f t="shared" si="328"/>
        <v>0</v>
      </c>
      <c r="BZ520" s="462">
        <f t="shared" si="329"/>
        <v>0</v>
      </c>
      <c r="CD520" s="418" t="str">
        <f t="shared" si="330"/>
        <v>CU1161001</v>
      </c>
      <c r="CE520" s="442" t="str">
        <f t="shared" si="331"/>
        <v>2020年1月</v>
      </c>
      <c r="CF520" s="418" t="str">
        <f t="shared" si="332"/>
        <v>北京身边惠clife服务费暂估</v>
      </c>
      <c r="CG520" s="418" t="str">
        <f t="shared" si="333"/>
        <v>2020年1月北京身边惠clife服务费暂估</v>
      </c>
    </row>
    <row r="521" spans="2:85" s="447" customFormat="1" ht="17.25" customHeight="1">
      <c r="B521" s="447" t="str">
        <f t="shared" si="321"/>
        <v>CU1204</v>
      </c>
      <c r="C521" s="431" t="s">
        <v>755</v>
      </c>
      <c r="D521" s="367" t="s">
        <v>1656</v>
      </c>
      <c r="E521" s="367" t="s">
        <v>1582</v>
      </c>
      <c r="F521" s="439">
        <v>43860</v>
      </c>
      <c r="G521" s="430">
        <v>33363</v>
      </c>
      <c r="H521" s="440"/>
      <c r="I521" s="440">
        <f t="shared" si="334"/>
        <v>33363</v>
      </c>
      <c r="J521" s="440"/>
      <c r="L521" s="462">
        <f t="shared" si="335"/>
        <v>33363</v>
      </c>
      <c r="M521" s="462"/>
      <c r="N521" s="444"/>
      <c r="O521" s="462">
        <f t="shared" si="336"/>
        <v>33363</v>
      </c>
      <c r="R521" s="462">
        <f t="shared" si="337"/>
        <v>33363</v>
      </c>
      <c r="U521" s="462">
        <f t="shared" si="338"/>
        <v>33363</v>
      </c>
      <c r="X521" s="462">
        <f t="shared" si="339"/>
        <v>33363</v>
      </c>
      <c r="AA521" s="462">
        <f t="shared" si="340"/>
        <v>33363</v>
      </c>
      <c r="AD521" s="462">
        <f t="shared" si="341"/>
        <v>33363</v>
      </c>
      <c r="AG521" s="462">
        <f t="shared" si="342"/>
        <v>33363</v>
      </c>
      <c r="AJ521" s="462">
        <f t="shared" si="343"/>
        <v>33363</v>
      </c>
      <c r="AM521" s="462">
        <f t="shared" si="315"/>
        <v>33363</v>
      </c>
      <c r="AP521" s="462">
        <f t="shared" si="344"/>
        <v>33363</v>
      </c>
      <c r="AS521" s="459">
        <f t="shared" si="320"/>
        <v>33363</v>
      </c>
      <c r="AT521" s="447" t="s">
        <v>2065</v>
      </c>
      <c r="AV521" s="462">
        <f t="shared" si="345"/>
        <v>33363</v>
      </c>
      <c r="AW521" s="447" t="s">
        <v>2106</v>
      </c>
      <c r="AY521" s="462">
        <f t="shared" si="346"/>
        <v>33363</v>
      </c>
      <c r="AZ521" s="447" t="s">
        <v>2132</v>
      </c>
      <c r="BB521" s="462">
        <f t="shared" si="347"/>
        <v>33363</v>
      </c>
      <c r="BC521" s="447" t="s">
        <v>2217</v>
      </c>
      <c r="BE521" s="462">
        <f t="shared" si="322"/>
        <v>33363</v>
      </c>
      <c r="BF521" s="447" t="s">
        <v>2238</v>
      </c>
      <c r="BH521" s="462">
        <f t="shared" si="323"/>
        <v>33363</v>
      </c>
      <c r="BI521" s="447" t="s">
        <v>2293</v>
      </c>
      <c r="BK521" s="462">
        <f t="shared" si="324"/>
        <v>33363</v>
      </c>
      <c r="BL521" s="447" t="s">
        <v>2341</v>
      </c>
      <c r="BM521" s="462">
        <f>BK521</f>
        <v>33363</v>
      </c>
      <c r="BN521" s="462">
        <f t="shared" si="325"/>
        <v>0</v>
      </c>
      <c r="BQ521" s="462">
        <f t="shared" si="326"/>
        <v>0</v>
      </c>
      <c r="BT521" s="462">
        <f t="shared" si="327"/>
        <v>0</v>
      </c>
      <c r="BW521" s="462">
        <f t="shared" si="328"/>
        <v>0</v>
      </c>
      <c r="BZ521" s="462">
        <f t="shared" si="329"/>
        <v>0</v>
      </c>
      <c r="CD521" s="418" t="str">
        <f t="shared" si="330"/>
        <v>CU1204001</v>
      </c>
      <c r="CE521" s="442" t="str">
        <f t="shared" si="331"/>
        <v>2020年1月</v>
      </c>
      <c r="CF521" s="418" t="str">
        <f t="shared" si="332"/>
        <v>固特异轮胎clife服务费暂估</v>
      </c>
      <c r="CG521" s="418" t="str">
        <f t="shared" si="333"/>
        <v>2020年1月固特异轮胎clife服务费暂估</v>
      </c>
    </row>
    <row r="522" spans="2:85" s="447" customFormat="1" ht="17.25" customHeight="1">
      <c r="B522" s="447" t="str">
        <f t="shared" si="321"/>
        <v>CU1809</v>
      </c>
      <c r="C522" s="431" t="s">
        <v>755</v>
      </c>
      <c r="D522" s="367" t="s">
        <v>2061</v>
      </c>
      <c r="E522" s="367" t="s">
        <v>2064</v>
      </c>
      <c r="F522" s="439">
        <v>43861</v>
      </c>
      <c r="G522" s="430">
        <v>25741.9</v>
      </c>
      <c r="H522" s="440"/>
      <c r="I522" s="440">
        <f t="shared" si="334"/>
        <v>25741.9</v>
      </c>
      <c r="J522" s="440"/>
      <c r="L522" s="462">
        <f t="shared" si="335"/>
        <v>25741.9</v>
      </c>
      <c r="M522" s="462"/>
      <c r="N522" s="444"/>
      <c r="O522" s="462">
        <f t="shared" si="336"/>
        <v>25741.9</v>
      </c>
      <c r="R522" s="462">
        <f t="shared" si="337"/>
        <v>25741.9</v>
      </c>
      <c r="U522" s="462">
        <f t="shared" si="338"/>
        <v>25741.9</v>
      </c>
      <c r="X522" s="462">
        <f t="shared" si="339"/>
        <v>25741.9</v>
      </c>
      <c r="AA522" s="462">
        <f t="shared" si="340"/>
        <v>25741.9</v>
      </c>
      <c r="AD522" s="462">
        <f t="shared" si="341"/>
        <v>25741.9</v>
      </c>
      <c r="AG522" s="462">
        <f t="shared" si="342"/>
        <v>25741.9</v>
      </c>
      <c r="AJ522" s="462">
        <f t="shared" si="343"/>
        <v>25741.9</v>
      </c>
      <c r="AM522" s="462">
        <f t="shared" si="315"/>
        <v>25741.9</v>
      </c>
      <c r="AP522" s="462">
        <f t="shared" si="344"/>
        <v>25741.9</v>
      </c>
      <c r="AS522" s="459">
        <f t="shared" si="320"/>
        <v>25741.9</v>
      </c>
      <c r="AT522" s="447" t="s">
        <v>2065</v>
      </c>
      <c r="AV522" s="462">
        <f t="shared" si="345"/>
        <v>25741.9</v>
      </c>
      <c r="AW522" s="447" t="s">
        <v>2106</v>
      </c>
      <c r="AY522" s="462">
        <f t="shared" si="346"/>
        <v>25741.9</v>
      </c>
      <c r="AZ522" s="447" t="s">
        <v>2132</v>
      </c>
      <c r="BB522" s="462">
        <f t="shared" si="347"/>
        <v>25741.9</v>
      </c>
      <c r="BC522" s="447" t="s">
        <v>2217</v>
      </c>
      <c r="BE522" s="462">
        <f t="shared" si="322"/>
        <v>25741.9</v>
      </c>
      <c r="BF522" s="447" t="s">
        <v>2238</v>
      </c>
      <c r="BH522" s="462">
        <f t="shared" si="323"/>
        <v>25741.9</v>
      </c>
      <c r="BI522" s="447" t="s">
        <v>2293</v>
      </c>
      <c r="BK522" s="462">
        <f t="shared" si="324"/>
        <v>25741.9</v>
      </c>
      <c r="BL522" s="447" t="s">
        <v>2341</v>
      </c>
      <c r="BN522" s="462">
        <f t="shared" si="325"/>
        <v>25741.9</v>
      </c>
      <c r="BO522" s="447" t="s">
        <v>2364</v>
      </c>
      <c r="BQ522" s="462">
        <f t="shared" si="326"/>
        <v>25741.9</v>
      </c>
      <c r="BS522" s="462"/>
      <c r="BT522" s="462">
        <f t="shared" si="327"/>
        <v>25741.9</v>
      </c>
      <c r="BU522" s="447" t="s">
        <v>2134</v>
      </c>
      <c r="BV522" s="462">
        <f>BT522</f>
        <v>25741.9</v>
      </c>
      <c r="BW522" s="462">
        <f t="shared" si="328"/>
        <v>0</v>
      </c>
      <c r="BZ522" s="462">
        <f t="shared" si="329"/>
        <v>0</v>
      </c>
      <c r="CD522" s="418" t="str">
        <f t="shared" si="330"/>
        <v>CU1809001</v>
      </c>
      <c r="CE522" s="442" t="str">
        <f t="shared" si="331"/>
        <v>2020年1月</v>
      </c>
      <c r="CF522" s="418" t="str">
        <f t="shared" si="332"/>
        <v>伟亚安医疗clife服务费暂估</v>
      </c>
      <c r="CG522" s="418" t="str">
        <f t="shared" si="333"/>
        <v>2020年1月伟亚安医疗clife服务费暂估</v>
      </c>
    </row>
    <row r="523" spans="2:85" s="447" customFormat="1" ht="17.25" customHeight="1">
      <c r="B523" s="447" t="str">
        <f t="shared" si="321"/>
        <v>CU1815</v>
      </c>
      <c r="C523" s="431" t="s">
        <v>755</v>
      </c>
      <c r="D523" s="367" t="s">
        <v>2062</v>
      </c>
      <c r="E523" s="367" t="s">
        <v>2063</v>
      </c>
      <c r="F523" s="439">
        <v>43854</v>
      </c>
      <c r="G523" s="430">
        <v>30184.78</v>
      </c>
      <c r="H523" s="440"/>
      <c r="I523" s="440">
        <f t="shared" si="334"/>
        <v>30184.78</v>
      </c>
      <c r="J523" s="440"/>
      <c r="L523" s="462">
        <f t="shared" si="335"/>
        <v>30184.78</v>
      </c>
      <c r="M523" s="462"/>
      <c r="N523" s="444"/>
      <c r="O523" s="462">
        <f t="shared" si="336"/>
        <v>30184.78</v>
      </c>
      <c r="R523" s="462">
        <f t="shared" si="337"/>
        <v>30184.78</v>
      </c>
      <c r="U523" s="462">
        <f t="shared" si="338"/>
        <v>30184.78</v>
      </c>
      <c r="X523" s="462">
        <f t="shared" si="339"/>
        <v>30184.78</v>
      </c>
      <c r="AA523" s="462">
        <f t="shared" si="340"/>
        <v>30184.78</v>
      </c>
      <c r="AD523" s="462">
        <f t="shared" si="341"/>
        <v>30184.78</v>
      </c>
      <c r="AG523" s="462">
        <f t="shared" si="342"/>
        <v>30184.78</v>
      </c>
      <c r="AJ523" s="462">
        <f t="shared" si="343"/>
        <v>30184.78</v>
      </c>
      <c r="AM523" s="462">
        <f t="shared" si="315"/>
        <v>30184.78</v>
      </c>
      <c r="AP523" s="462">
        <f t="shared" si="344"/>
        <v>30184.78</v>
      </c>
      <c r="AS523" s="459">
        <f t="shared" ref="AS523:AS554" si="348">AP523-AR523</f>
        <v>30184.78</v>
      </c>
      <c r="AT523" s="447" t="s">
        <v>2065</v>
      </c>
      <c r="AU523" s="548">
        <v>2616.77</v>
      </c>
      <c r="AV523" s="462">
        <f t="shared" si="345"/>
        <v>27568.01</v>
      </c>
      <c r="AW523" s="447" t="s">
        <v>2106</v>
      </c>
      <c r="AX523" s="447">
        <v>27568.01</v>
      </c>
      <c r="AY523" s="462">
        <f t="shared" si="346"/>
        <v>0</v>
      </c>
      <c r="AZ523" s="447" t="s">
        <v>2132</v>
      </c>
      <c r="BB523" s="462">
        <f t="shared" si="347"/>
        <v>0</v>
      </c>
      <c r="BC523" s="447" t="s">
        <v>2217</v>
      </c>
      <c r="BE523" s="462">
        <f t="shared" si="322"/>
        <v>0</v>
      </c>
      <c r="BH523" s="462">
        <f t="shared" si="323"/>
        <v>0</v>
      </c>
      <c r="BK523" s="462">
        <f t="shared" si="324"/>
        <v>0</v>
      </c>
      <c r="BN523" s="462">
        <f t="shared" si="325"/>
        <v>0</v>
      </c>
      <c r="BQ523" s="462">
        <f t="shared" si="326"/>
        <v>0</v>
      </c>
      <c r="BT523" s="462">
        <f t="shared" si="327"/>
        <v>0</v>
      </c>
      <c r="BW523" s="462">
        <f t="shared" si="328"/>
        <v>0</v>
      </c>
      <c r="BZ523" s="462">
        <f t="shared" si="329"/>
        <v>0</v>
      </c>
      <c r="CD523" s="418" t="str">
        <f t="shared" si="330"/>
        <v>CU1815001</v>
      </c>
      <c r="CE523" s="442" t="str">
        <f t="shared" si="331"/>
        <v>2020年1月</v>
      </c>
      <c r="CF523" s="418" t="str">
        <f t="shared" si="332"/>
        <v>道达尔clife服务费暂估</v>
      </c>
      <c r="CG523" s="418" t="str">
        <f t="shared" si="333"/>
        <v>2020年1月道达尔clife服务费暂估</v>
      </c>
    </row>
    <row r="524" spans="2:85" s="447" customFormat="1" ht="17.25" customHeight="1">
      <c r="B524" s="447" t="str">
        <f t="shared" si="321"/>
        <v>CU1718</v>
      </c>
      <c r="C524" s="431" t="s">
        <v>755</v>
      </c>
      <c r="D524" s="367" t="s">
        <v>1849</v>
      </c>
      <c r="E524" s="367" t="s">
        <v>1984</v>
      </c>
      <c r="F524" s="439">
        <v>43855</v>
      </c>
      <c r="G524" s="430">
        <v>1900</v>
      </c>
      <c r="H524" s="440"/>
      <c r="I524" s="440">
        <f t="shared" si="334"/>
        <v>1900</v>
      </c>
      <c r="J524" s="440"/>
      <c r="L524" s="462">
        <f t="shared" si="335"/>
        <v>1900</v>
      </c>
      <c r="M524" s="462"/>
      <c r="N524" s="444"/>
      <c r="O524" s="462">
        <f t="shared" si="336"/>
        <v>1900</v>
      </c>
      <c r="R524" s="462">
        <f t="shared" si="337"/>
        <v>1900</v>
      </c>
      <c r="U524" s="462">
        <f t="shared" si="338"/>
        <v>1900</v>
      </c>
      <c r="X524" s="462">
        <f t="shared" si="339"/>
        <v>1900</v>
      </c>
      <c r="AA524" s="462">
        <f t="shared" si="340"/>
        <v>1900</v>
      </c>
      <c r="AD524" s="462">
        <f t="shared" si="341"/>
        <v>1900</v>
      </c>
      <c r="AG524" s="462">
        <f t="shared" si="342"/>
        <v>1900</v>
      </c>
      <c r="AJ524" s="462">
        <f t="shared" si="343"/>
        <v>1900</v>
      </c>
      <c r="AM524" s="462">
        <f t="shared" si="315"/>
        <v>1900</v>
      </c>
      <c r="AP524" s="462">
        <f t="shared" si="344"/>
        <v>1900</v>
      </c>
      <c r="AS524" s="459">
        <f t="shared" si="348"/>
        <v>1900</v>
      </c>
      <c r="AT524" s="447" t="s">
        <v>2067</v>
      </c>
      <c r="AV524" s="462">
        <f t="shared" si="345"/>
        <v>1900</v>
      </c>
      <c r="AW524" s="447" t="s">
        <v>2106</v>
      </c>
      <c r="AX524" s="462">
        <f>AV524</f>
        <v>1900</v>
      </c>
      <c r="AY524" s="462">
        <f t="shared" si="346"/>
        <v>0</v>
      </c>
      <c r="BB524" s="462">
        <f t="shared" si="347"/>
        <v>0</v>
      </c>
      <c r="BC524" s="447" t="s">
        <v>2217</v>
      </c>
      <c r="BE524" s="462">
        <f t="shared" si="322"/>
        <v>0</v>
      </c>
      <c r="BH524" s="462">
        <f t="shared" si="323"/>
        <v>0</v>
      </c>
      <c r="BK524" s="462">
        <f t="shared" si="324"/>
        <v>0</v>
      </c>
      <c r="BN524" s="462">
        <f t="shared" si="325"/>
        <v>0</v>
      </c>
      <c r="BQ524" s="462">
        <f t="shared" si="326"/>
        <v>0</v>
      </c>
      <c r="BT524" s="462">
        <f t="shared" si="327"/>
        <v>0</v>
      </c>
      <c r="BW524" s="462">
        <f t="shared" si="328"/>
        <v>0</v>
      </c>
      <c r="BZ524" s="462">
        <f t="shared" si="329"/>
        <v>0</v>
      </c>
      <c r="CD524" s="418" t="str">
        <f t="shared" si="330"/>
        <v>CU1718001</v>
      </c>
      <c r="CE524" s="442" t="str">
        <f t="shared" si="331"/>
        <v>2020年1月</v>
      </c>
      <c r="CF524" s="418" t="str">
        <f t="shared" si="332"/>
        <v>Worldclife服务费暂估</v>
      </c>
      <c r="CG524" s="418" t="str">
        <f t="shared" si="333"/>
        <v>2020年1月Worldclife服务费暂估</v>
      </c>
    </row>
    <row r="525" spans="2:85" s="447" customFormat="1" ht="17.25" customHeight="1">
      <c r="B525" s="447" t="str">
        <f t="shared" si="321"/>
        <v>CU0017</v>
      </c>
      <c r="C525" s="431" t="s">
        <v>755</v>
      </c>
      <c r="D525" s="367" t="s">
        <v>2024</v>
      </c>
      <c r="E525" s="367" t="s">
        <v>2018</v>
      </c>
      <c r="F525" s="439">
        <v>43862</v>
      </c>
      <c r="G525" s="430">
        <v>9519.93</v>
      </c>
      <c r="H525" s="440"/>
      <c r="I525" s="440">
        <f t="shared" si="334"/>
        <v>9519.93</v>
      </c>
      <c r="J525" s="440"/>
      <c r="L525" s="462">
        <f t="shared" si="335"/>
        <v>9519.93</v>
      </c>
      <c r="M525" s="462"/>
      <c r="N525" s="444"/>
      <c r="O525" s="462">
        <f t="shared" si="336"/>
        <v>9519.93</v>
      </c>
      <c r="R525" s="462">
        <f t="shared" si="337"/>
        <v>9519.93</v>
      </c>
      <c r="U525" s="462">
        <f t="shared" si="338"/>
        <v>9519.93</v>
      </c>
      <c r="X525" s="462">
        <f t="shared" si="339"/>
        <v>9519.93</v>
      </c>
      <c r="AA525" s="462">
        <f t="shared" si="340"/>
        <v>9519.93</v>
      </c>
      <c r="AD525" s="462">
        <f t="shared" si="341"/>
        <v>9519.93</v>
      </c>
      <c r="AG525" s="462">
        <f t="shared" si="342"/>
        <v>9519.93</v>
      </c>
      <c r="AJ525" s="462">
        <f t="shared" si="343"/>
        <v>9519.93</v>
      </c>
      <c r="AM525" s="462">
        <f t="shared" ref="AM525:AM556" si="349">G525</f>
        <v>9519.93</v>
      </c>
      <c r="AP525" s="462">
        <f t="shared" si="344"/>
        <v>9519.93</v>
      </c>
      <c r="AS525" s="459">
        <f t="shared" si="348"/>
        <v>9519.93</v>
      </c>
      <c r="AV525" s="462">
        <f t="shared" si="345"/>
        <v>9519.93</v>
      </c>
      <c r="AW525" s="447" t="s">
        <v>2091</v>
      </c>
      <c r="AY525" s="462">
        <f t="shared" si="346"/>
        <v>9519.93</v>
      </c>
      <c r="AZ525" s="447" t="s">
        <v>2133</v>
      </c>
      <c r="BA525" s="462">
        <f>AY525</f>
        <v>9519.93</v>
      </c>
      <c r="BB525" s="462">
        <f t="shared" si="347"/>
        <v>0</v>
      </c>
      <c r="BC525" s="447" t="s">
        <v>2218</v>
      </c>
      <c r="BE525" s="462">
        <f t="shared" si="322"/>
        <v>0</v>
      </c>
      <c r="BH525" s="462">
        <f t="shared" si="323"/>
        <v>0</v>
      </c>
      <c r="BK525" s="462">
        <f t="shared" si="324"/>
        <v>0</v>
      </c>
      <c r="BN525" s="462">
        <f t="shared" si="325"/>
        <v>0</v>
      </c>
      <c r="BQ525" s="462">
        <f t="shared" si="326"/>
        <v>0</v>
      </c>
      <c r="BT525" s="462">
        <f t="shared" si="327"/>
        <v>0</v>
      </c>
      <c r="BW525" s="462">
        <f t="shared" si="328"/>
        <v>0</v>
      </c>
      <c r="BZ525" s="462">
        <f t="shared" si="329"/>
        <v>0</v>
      </c>
      <c r="CD525" s="418" t="str">
        <f t="shared" si="330"/>
        <v>CU0017001</v>
      </c>
      <c r="CE525" s="442" t="str">
        <f t="shared" si="331"/>
        <v>2020年2月</v>
      </c>
      <c r="CF525" s="418" t="str">
        <f t="shared" si="332"/>
        <v>易趋宏挤压clife服务费暂估</v>
      </c>
      <c r="CG525" s="418" t="str">
        <f t="shared" si="333"/>
        <v>2020年2月易趋宏挤压clife服务费暂估</v>
      </c>
    </row>
    <row r="526" spans="2:85" s="447" customFormat="1" ht="17.25" customHeight="1">
      <c r="B526" s="447" t="str">
        <f t="shared" si="321"/>
        <v>CU0093</v>
      </c>
      <c r="C526" s="431" t="s">
        <v>755</v>
      </c>
      <c r="D526" s="367" t="s">
        <v>1832</v>
      </c>
      <c r="E526" s="367" t="s">
        <v>32</v>
      </c>
      <c r="F526" s="439">
        <v>43863</v>
      </c>
      <c r="G526" s="430">
        <v>1303.1500000000001</v>
      </c>
      <c r="H526" s="440"/>
      <c r="I526" s="440">
        <f t="shared" si="334"/>
        <v>1303.1500000000001</v>
      </c>
      <c r="J526" s="440"/>
      <c r="L526" s="462">
        <f t="shared" si="335"/>
        <v>1303.1500000000001</v>
      </c>
      <c r="M526" s="462"/>
      <c r="N526" s="444"/>
      <c r="O526" s="462">
        <f t="shared" si="336"/>
        <v>1303.1500000000001</v>
      </c>
      <c r="R526" s="462">
        <f t="shared" si="337"/>
        <v>1303.1500000000001</v>
      </c>
      <c r="U526" s="462">
        <f t="shared" si="338"/>
        <v>1303.1500000000001</v>
      </c>
      <c r="X526" s="462">
        <f t="shared" si="339"/>
        <v>1303.1500000000001</v>
      </c>
      <c r="AA526" s="462">
        <f t="shared" si="340"/>
        <v>1303.1500000000001</v>
      </c>
      <c r="AD526" s="462">
        <f t="shared" si="341"/>
        <v>1303.1500000000001</v>
      </c>
      <c r="AG526" s="462">
        <f t="shared" si="342"/>
        <v>1303.1500000000001</v>
      </c>
      <c r="AJ526" s="462">
        <f t="shared" si="343"/>
        <v>1303.1500000000001</v>
      </c>
      <c r="AM526" s="462">
        <f t="shared" si="349"/>
        <v>1303.1500000000001</v>
      </c>
      <c r="AP526" s="462">
        <f t="shared" si="344"/>
        <v>1303.1500000000001</v>
      </c>
      <c r="AS526" s="459">
        <f t="shared" si="348"/>
        <v>1303.1500000000001</v>
      </c>
      <c r="AV526" s="462">
        <f t="shared" si="345"/>
        <v>1303.1500000000001</v>
      </c>
      <c r="AW526" s="447" t="s">
        <v>2091</v>
      </c>
      <c r="AY526" s="462">
        <f t="shared" si="346"/>
        <v>1303.1500000000001</v>
      </c>
      <c r="AZ526" s="447" t="s">
        <v>2133</v>
      </c>
      <c r="BB526" s="462">
        <f t="shared" si="347"/>
        <v>1303.1500000000001</v>
      </c>
      <c r="BC526" s="447" t="s">
        <v>2218</v>
      </c>
      <c r="BD526" s="462">
        <f>BB526</f>
        <v>1303.1500000000001</v>
      </c>
      <c r="BE526" s="462">
        <f t="shared" si="322"/>
        <v>0</v>
      </c>
      <c r="BH526" s="462">
        <f t="shared" si="323"/>
        <v>0</v>
      </c>
      <c r="BK526" s="462">
        <f t="shared" si="324"/>
        <v>0</v>
      </c>
      <c r="BN526" s="462">
        <f t="shared" si="325"/>
        <v>0</v>
      </c>
      <c r="BQ526" s="462">
        <f t="shared" si="326"/>
        <v>0</v>
      </c>
      <c r="BT526" s="462">
        <f t="shared" si="327"/>
        <v>0</v>
      </c>
      <c r="BW526" s="462">
        <f t="shared" si="328"/>
        <v>0</v>
      </c>
      <c r="BZ526" s="462">
        <f t="shared" si="329"/>
        <v>0</v>
      </c>
      <c r="CD526" s="418" t="str">
        <f t="shared" si="330"/>
        <v>CU0093001</v>
      </c>
      <c r="CE526" s="442" t="str">
        <f t="shared" si="331"/>
        <v>2020年2月</v>
      </c>
      <c r="CF526" s="418" t="str">
        <f t="shared" si="332"/>
        <v>日立保险代clife服务费暂估</v>
      </c>
      <c r="CG526" s="418" t="str">
        <f t="shared" si="333"/>
        <v>2020年2月日立保险代clife服务费暂估</v>
      </c>
    </row>
    <row r="527" spans="2:85" s="447" customFormat="1" ht="17.25" customHeight="1">
      <c r="B527" s="447" t="str">
        <f t="shared" si="321"/>
        <v>CU0109</v>
      </c>
      <c r="C527" s="431" t="s">
        <v>755</v>
      </c>
      <c r="D527" s="367" t="s">
        <v>1642</v>
      </c>
      <c r="E527" s="367" t="s">
        <v>34</v>
      </c>
      <c r="F527" s="439">
        <v>43864</v>
      </c>
      <c r="G527" s="430">
        <v>20196</v>
      </c>
      <c r="H527" s="440"/>
      <c r="I527" s="440">
        <f t="shared" si="334"/>
        <v>20196</v>
      </c>
      <c r="J527" s="440"/>
      <c r="L527" s="462">
        <f t="shared" si="335"/>
        <v>20196</v>
      </c>
      <c r="M527" s="462"/>
      <c r="N527" s="444"/>
      <c r="O527" s="462">
        <f t="shared" si="336"/>
        <v>20196</v>
      </c>
      <c r="R527" s="462">
        <f t="shared" si="337"/>
        <v>20196</v>
      </c>
      <c r="U527" s="462">
        <f t="shared" si="338"/>
        <v>20196</v>
      </c>
      <c r="X527" s="462">
        <f t="shared" si="339"/>
        <v>20196</v>
      </c>
      <c r="AA527" s="462">
        <f t="shared" si="340"/>
        <v>20196</v>
      </c>
      <c r="AD527" s="462">
        <f t="shared" si="341"/>
        <v>20196</v>
      </c>
      <c r="AG527" s="462">
        <f t="shared" si="342"/>
        <v>20196</v>
      </c>
      <c r="AJ527" s="462">
        <f t="shared" si="343"/>
        <v>20196</v>
      </c>
      <c r="AM527" s="462">
        <f t="shared" si="349"/>
        <v>20196</v>
      </c>
      <c r="AP527" s="462">
        <f t="shared" si="344"/>
        <v>20196</v>
      </c>
      <c r="AS527" s="459">
        <f t="shared" si="348"/>
        <v>20196</v>
      </c>
      <c r="AV527" s="462">
        <f t="shared" si="345"/>
        <v>20196</v>
      </c>
      <c r="AW527" s="447" t="s">
        <v>2091</v>
      </c>
      <c r="AY527" s="462">
        <f t="shared" si="346"/>
        <v>20196</v>
      </c>
      <c r="AZ527" s="447" t="s">
        <v>2133</v>
      </c>
      <c r="BA527" s="447">
        <f>200000-BA457</f>
        <v>15507.639999999985</v>
      </c>
      <c r="BB527" s="462">
        <f t="shared" si="347"/>
        <v>4688.3600000000151</v>
      </c>
      <c r="BC527" s="447" t="s">
        <v>2218</v>
      </c>
      <c r="BE527" s="462">
        <f t="shared" si="322"/>
        <v>4688.3600000000151</v>
      </c>
      <c r="BF527" s="447" t="s">
        <v>2239</v>
      </c>
      <c r="BG527" s="462">
        <f>BE527</f>
        <v>4688.3600000000151</v>
      </c>
      <c r="BH527" s="462">
        <f t="shared" si="323"/>
        <v>0</v>
      </c>
      <c r="BK527" s="462">
        <f t="shared" si="324"/>
        <v>0</v>
      </c>
      <c r="BN527" s="462">
        <f t="shared" si="325"/>
        <v>0</v>
      </c>
      <c r="BQ527" s="462">
        <f t="shared" si="326"/>
        <v>0</v>
      </c>
      <c r="BT527" s="462">
        <f t="shared" si="327"/>
        <v>0</v>
      </c>
      <c r="BW527" s="462">
        <f t="shared" si="328"/>
        <v>0</v>
      </c>
      <c r="BZ527" s="462">
        <f t="shared" si="329"/>
        <v>0</v>
      </c>
      <c r="CD527" s="418" t="str">
        <f t="shared" si="330"/>
        <v>CU0109001</v>
      </c>
      <c r="CE527" s="442" t="str">
        <f t="shared" si="331"/>
        <v>2020年2月</v>
      </c>
      <c r="CF527" s="418" t="str">
        <f t="shared" si="332"/>
        <v>普拉达时装clife服务费暂估</v>
      </c>
      <c r="CG527" s="418" t="str">
        <f t="shared" si="333"/>
        <v>2020年2月普拉达时装clife服务费暂估</v>
      </c>
    </row>
    <row r="528" spans="2:85" s="447" customFormat="1" ht="17.25" customHeight="1">
      <c r="B528" s="447" t="str">
        <f t="shared" si="321"/>
        <v>CU0145</v>
      </c>
      <c r="C528" s="431" t="s">
        <v>755</v>
      </c>
      <c r="D528" s="367" t="s">
        <v>1451</v>
      </c>
      <c r="E528" s="367" t="s">
        <v>1323</v>
      </c>
      <c r="F528" s="439">
        <v>43865</v>
      </c>
      <c r="G528" s="430">
        <v>286794.23</v>
      </c>
      <c r="H528" s="440"/>
      <c r="I528" s="440">
        <f t="shared" si="334"/>
        <v>286794.23</v>
      </c>
      <c r="J528" s="440"/>
      <c r="L528" s="462">
        <f t="shared" si="335"/>
        <v>286794.23</v>
      </c>
      <c r="M528" s="462"/>
      <c r="N528" s="444"/>
      <c r="O528" s="462">
        <f t="shared" si="336"/>
        <v>286794.23</v>
      </c>
      <c r="R528" s="462">
        <f t="shared" si="337"/>
        <v>286794.23</v>
      </c>
      <c r="U528" s="462">
        <f t="shared" si="338"/>
        <v>286794.23</v>
      </c>
      <c r="X528" s="462">
        <f t="shared" si="339"/>
        <v>286794.23</v>
      </c>
      <c r="AA528" s="462">
        <f t="shared" si="340"/>
        <v>286794.23</v>
      </c>
      <c r="AD528" s="462">
        <f t="shared" si="341"/>
        <v>286794.23</v>
      </c>
      <c r="AG528" s="462">
        <f t="shared" si="342"/>
        <v>286794.23</v>
      </c>
      <c r="AJ528" s="462">
        <f t="shared" si="343"/>
        <v>286794.23</v>
      </c>
      <c r="AM528" s="462">
        <f t="shared" si="349"/>
        <v>286794.23</v>
      </c>
      <c r="AP528" s="462">
        <f t="shared" si="344"/>
        <v>286794.23</v>
      </c>
      <c r="AS528" s="459">
        <f t="shared" si="348"/>
        <v>286794.23</v>
      </c>
      <c r="AV528" s="462">
        <f t="shared" si="345"/>
        <v>286794.23</v>
      </c>
      <c r="AW528" s="447" t="s">
        <v>2091</v>
      </c>
      <c r="AY528" s="462">
        <f t="shared" si="346"/>
        <v>286794.23</v>
      </c>
      <c r="AZ528" s="447" t="s">
        <v>2133</v>
      </c>
      <c r="BA528" s="462">
        <f>AY528</f>
        <v>286794.23</v>
      </c>
      <c r="BB528" s="462">
        <f t="shared" si="347"/>
        <v>0</v>
      </c>
      <c r="BC528" s="447" t="s">
        <v>2218</v>
      </c>
      <c r="BE528" s="462">
        <f t="shared" si="322"/>
        <v>0</v>
      </c>
      <c r="BH528" s="462">
        <f t="shared" si="323"/>
        <v>0</v>
      </c>
      <c r="BK528" s="462">
        <f t="shared" si="324"/>
        <v>0</v>
      </c>
      <c r="BN528" s="462">
        <f t="shared" si="325"/>
        <v>0</v>
      </c>
      <c r="BQ528" s="462">
        <f t="shared" si="326"/>
        <v>0</v>
      </c>
      <c r="BT528" s="462">
        <f t="shared" si="327"/>
        <v>0</v>
      </c>
      <c r="BW528" s="462">
        <f t="shared" si="328"/>
        <v>0</v>
      </c>
      <c r="BZ528" s="462">
        <f t="shared" si="329"/>
        <v>0</v>
      </c>
      <c r="CD528" s="418" t="str">
        <f t="shared" si="330"/>
        <v>CU0145001</v>
      </c>
      <c r="CE528" s="442" t="str">
        <f t="shared" si="331"/>
        <v>2020年2月</v>
      </c>
      <c r="CF528" s="418" t="str">
        <f t="shared" si="332"/>
        <v>锐珂亚太投clife服务费暂估</v>
      </c>
      <c r="CG528" s="418" t="str">
        <f t="shared" si="333"/>
        <v>2020年2月锐珂亚太投clife服务费暂估</v>
      </c>
    </row>
    <row r="529" spans="2:85" s="447" customFormat="1" ht="17.25" customHeight="1">
      <c r="B529" s="447" t="str">
        <f t="shared" si="321"/>
        <v>CU0182</v>
      </c>
      <c r="C529" s="431" t="s">
        <v>755</v>
      </c>
      <c r="D529" s="367" t="s">
        <v>1452</v>
      </c>
      <c r="E529" s="367" t="s">
        <v>821</v>
      </c>
      <c r="F529" s="439">
        <v>43866</v>
      </c>
      <c r="G529" s="430">
        <v>5996.76</v>
      </c>
      <c r="H529" s="440"/>
      <c r="I529" s="440">
        <f t="shared" si="334"/>
        <v>5996.76</v>
      </c>
      <c r="J529" s="440"/>
      <c r="L529" s="462">
        <f t="shared" si="335"/>
        <v>5996.76</v>
      </c>
      <c r="M529" s="462"/>
      <c r="N529" s="444"/>
      <c r="O529" s="462">
        <f t="shared" si="336"/>
        <v>5996.76</v>
      </c>
      <c r="R529" s="462">
        <f t="shared" si="337"/>
        <v>5996.76</v>
      </c>
      <c r="U529" s="462">
        <f t="shared" si="338"/>
        <v>5996.76</v>
      </c>
      <c r="X529" s="462">
        <f t="shared" si="339"/>
        <v>5996.76</v>
      </c>
      <c r="AA529" s="462">
        <f t="shared" si="340"/>
        <v>5996.76</v>
      </c>
      <c r="AD529" s="462">
        <f t="shared" si="341"/>
        <v>5996.76</v>
      </c>
      <c r="AG529" s="462">
        <f t="shared" si="342"/>
        <v>5996.76</v>
      </c>
      <c r="AJ529" s="462">
        <f t="shared" si="343"/>
        <v>5996.76</v>
      </c>
      <c r="AM529" s="462">
        <f t="shared" si="349"/>
        <v>5996.76</v>
      </c>
      <c r="AP529" s="462">
        <f t="shared" si="344"/>
        <v>5996.76</v>
      </c>
      <c r="AS529" s="459">
        <f t="shared" si="348"/>
        <v>5996.76</v>
      </c>
      <c r="AV529" s="462">
        <f t="shared" si="345"/>
        <v>5996.76</v>
      </c>
      <c r="AW529" s="447" t="s">
        <v>2091</v>
      </c>
      <c r="AY529" s="462">
        <f t="shared" si="346"/>
        <v>5996.76</v>
      </c>
      <c r="AZ529" s="447" t="s">
        <v>2133</v>
      </c>
      <c r="BB529" s="462">
        <f t="shared" si="347"/>
        <v>5996.76</v>
      </c>
      <c r="BC529" s="447" t="s">
        <v>2218</v>
      </c>
      <c r="BE529" s="462">
        <f t="shared" si="322"/>
        <v>5996.76</v>
      </c>
      <c r="BF529" s="447" t="s">
        <v>2239</v>
      </c>
      <c r="BH529" s="462">
        <f t="shared" si="323"/>
        <v>5996.76</v>
      </c>
      <c r="BI529" s="447" t="s">
        <v>2294</v>
      </c>
      <c r="BK529" s="462">
        <f t="shared" si="324"/>
        <v>5996.76</v>
      </c>
      <c r="BL529" s="447" t="s">
        <v>2341</v>
      </c>
      <c r="BN529" s="462">
        <f t="shared" si="325"/>
        <v>5996.76</v>
      </c>
      <c r="BO529" s="447" t="s">
        <v>2364</v>
      </c>
      <c r="BQ529" s="462">
        <f t="shared" si="326"/>
        <v>5996.76</v>
      </c>
      <c r="BT529" s="462">
        <f t="shared" si="327"/>
        <v>5996.76</v>
      </c>
      <c r="BU529" s="447" t="s">
        <v>2134</v>
      </c>
      <c r="BW529" s="462">
        <f t="shared" si="328"/>
        <v>5996.76</v>
      </c>
      <c r="BZ529" s="462">
        <f t="shared" si="329"/>
        <v>5996.76</v>
      </c>
      <c r="CD529" s="418" t="str">
        <f t="shared" si="330"/>
        <v>CU0182001</v>
      </c>
      <c r="CE529" s="442" t="str">
        <f t="shared" si="331"/>
        <v>2020年2月</v>
      </c>
      <c r="CF529" s="418" t="str">
        <f t="shared" si="332"/>
        <v>阿姆斯壮（clife服务费暂估</v>
      </c>
      <c r="CG529" s="418" t="str">
        <f t="shared" si="333"/>
        <v>2020年2月阿姆斯壮（clife服务费暂估</v>
      </c>
    </row>
    <row r="530" spans="2:85" s="447" customFormat="1" ht="17.25" customHeight="1">
      <c r="B530" s="447" t="str">
        <f t="shared" si="321"/>
        <v>CU0238</v>
      </c>
      <c r="C530" s="431" t="s">
        <v>755</v>
      </c>
      <c r="D530" s="367" t="s">
        <v>1987</v>
      </c>
      <c r="E530" s="367" t="s">
        <v>54</v>
      </c>
      <c r="F530" s="439">
        <v>43867</v>
      </c>
      <c r="G530" s="430">
        <v>594</v>
      </c>
      <c r="H530" s="440"/>
      <c r="I530" s="440">
        <f t="shared" si="334"/>
        <v>594</v>
      </c>
      <c r="J530" s="440"/>
      <c r="L530" s="462">
        <f t="shared" si="335"/>
        <v>594</v>
      </c>
      <c r="M530" s="462"/>
      <c r="N530" s="444"/>
      <c r="O530" s="462">
        <f t="shared" si="336"/>
        <v>594</v>
      </c>
      <c r="R530" s="462">
        <f t="shared" si="337"/>
        <v>594</v>
      </c>
      <c r="U530" s="462">
        <f t="shared" si="338"/>
        <v>594</v>
      </c>
      <c r="X530" s="462">
        <f t="shared" si="339"/>
        <v>594</v>
      </c>
      <c r="AA530" s="462">
        <f t="shared" si="340"/>
        <v>594</v>
      </c>
      <c r="AD530" s="462">
        <f t="shared" si="341"/>
        <v>594</v>
      </c>
      <c r="AG530" s="462">
        <f t="shared" si="342"/>
        <v>594</v>
      </c>
      <c r="AJ530" s="462">
        <f t="shared" si="343"/>
        <v>594</v>
      </c>
      <c r="AM530" s="462">
        <f t="shared" si="349"/>
        <v>594</v>
      </c>
      <c r="AP530" s="462">
        <f t="shared" si="344"/>
        <v>594</v>
      </c>
      <c r="AS530" s="459">
        <f t="shared" si="348"/>
        <v>594</v>
      </c>
      <c r="AV530" s="462">
        <f t="shared" si="345"/>
        <v>594</v>
      </c>
      <c r="AW530" s="447" t="s">
        <v>2091</v>
      </c>
      <c r="AY530" s="462">
        <f t="shared" si="346"/>
        <v>594</v>
      </c>
      <c r="AZ530" s="447" t="s">
        <v>2133</v>
      </c>
      <c r="BB530" s="462">
        <f t="shared" si="347"/>
        <v>594</v>
      </c>
      <c r="BC530" s="447" t="s">
        <v>2218</v>
      </c>
      <c r="BE530" s="462">
        <f t="shared" si="322"/>
        <v>594</v>
      </c>
      <c r="BF530" s="447" t="s">
        <v>2239</v>
      </c>
      <c r="BH530" s="462">
        <f t="shared" si="323"/>
        <v>594</v>
      </c>
      <c r="BI530" s="447" t="s">
        <v>2294</v>
      </c>
      <c r="BK530" s="462">
        <f t="shared" si="324"/>
        <v>594</v>
      </c>
      <c r="BL530" s="447" t="s">
        <v>2341</v>
      </c>
      <c r="BN530" s="462">
        <f t="shared" si="325"/>
        <v>594</v>
      </c>
      <c r="BO530" s="447" t="s">
        <v>2364</v>
      </c>
      <c r="BQ530" s="462">
        <f t="shared" si="326"/>
        <v>594</v>
      </c>
      <c r="BS530" s="462">
        <f>BQ530</f>
        <v>594</v>
      </c>
      <c r="BT530" s="462">
        <f t="shared" si="327"/>
        <v>0</v>
      </c>
      <c r="BW530" s="462">
        <f t="shared" si="328"/>
        <v>0</v>
      </c>
      <c r="BZ530" s="462">
        <f t="shared" si="329"/>
        <v>0</v>
      </c>
      <c r="CD530" s="418" t="str">
        <f t="shared" si="330"/>
        <v>CU0238001</v>
      </c>
      <c r="CE530" s="442" t="str">
        <f t="shared" si="331"/>
        <v>2020年2月</v>
      </c>
      <c r="CF530" s="418" t="str">
        <f t="shared" si="332"/>
        <v>丘奇鞋业（clife服务费暂估</v>
      </c>
      <c r="CG530" s="418" t="str">
        <f t="shared" si="333"/>
        <v>2020年2月丘奇鞋业（clife服务费暂估</v>
      </c>
    </row>
    <row r="531" spans="2:85" s="447" customFormat="1" ht="17.25" customHeight="1">
      <c r="B531" s="447" t="str">
        <f t="shared" si="321"/>
        <v>CU1065</v>
      </c>
      <c r="C531" s="431" t="s">
        <v>755</v>
      </c>
      <c r="D531" s="367" t="s">
        <v>1573</v>
      </c>
      <c r="E531" s="367" t="s">
        <v>1332</v>
      </c>
      <c r="F531" s="439">
        <v>43868</v>
      </c>
      <c r="G531" s="430">
        <v>130284.71</v>
      </c>
      <c r="H531" s="440"/>
      <c r="I531" s="440">
        <f t="shared" si="334"/>
        <v>130284.71</v>
      </c>
      <c r="J531" s="440"/>
      <c r="L531" s="462">
        <f t="shared" si="335"/>
        <v>130284.71</v>
      </c>
      <c r="M531" s="462"/>
      <c r="N531" s="444"/>
      <c r="O531" s="462">
        <f t="shared" si="336"/>
        <v>130284.71</v>
      </c>
      <c r="R531" s="462">
        <f t="shared" si="337"/>
        <v>130284.71</v>
      </c>
      <c r="U531" s="462">
        <f t="shared" si="338"/>
        <v>130284.71</v>
      </c>
      <c r="X531" s="462">
        <f t="shared" si="339"/>
        <v>130284.71</v>
      </c>
      <c r="AA531" s="462">
        <f t="shared" si="340"/>
        <v>130284.71</v>
      </c>
      <c r="AD531" s="462">
        <f t="shared" si="341"/>
        <v>130284.71</v>
      </c>
      <c r="AG531" s="462">
        <f t="shared" si="342"/>
        <v>130284.71</v>
      </c>
      <c r="AJ531" s="462">
        <f t="shared" si="343"/>
        <v>130284.71</v>
      </c>
      <c r="AM531" s="462">
        <f t="shared" si="349"/>
        <v>130284.71</v>
      </c>
      <c r="AP531" s="462">
        <f t="shared" si="344"/>
        <v>130284.71</v>
      </c>
      <c r="AS531" s="459">
        <f t="shared" si="348"/>
        <v>130284.71</v>
      </c>
      <c r="AV531" s="462">
        <f t="shared" si="345"/>
        <v>130284.71</v>
      </c>
      <c r="AW531" s="447" t="s">
        <v>2091</v>
      </c>
      <c r="AY531" s="462">
        <f t="shared" si="346"/>
        <v>130284.71</v>
      </c>
      <c r="AZ531" s="447" t="s">
        <v>2133</v>
      </c>
      <c r="BB531" s="462">
        <f t="shared" si="347"/>
        <v>130284.71</v>
      </c>
      <c r="BC531" s="447" t="s">
        <v>2218</v>
      </c>
      <c r="BE531" s="462">
        <f t="shared" si="322"/>
        <v>130284.71</v>
      </c>
      <c r="BF531" s="447" t="s">
        <v>2239</v>
      </c>
      <c r="BG531" s="462">
        <f>BE531</f>
        <v>130284.71</v>
      </c>
      <c r="BH531" s="462">
        <f t="shared" si="323"/>
        <v>0</v>
      </c>
      <c r="BK531" s="462">
        <f t="shared" si="324"/>
        <v>0</v>
      </c>
      <c r="BN531" s="462">
        <f t="shared" si="325"/>
        <v>0</v>
      </c>
      <c r="BQ531" s="462">
        <f t="shared" si="326"/>
        <v>0</v>
      </c>
      <c r="BT531" s="462">
        <f t="shared" si="327"/>
        <v>0</v>
      </c>
      <c r="BW531" s="462">
        <f t="shared" si="328"/>
        <v>0</v>
      </c>
      <c r="BZ531" s="462">
        <f t="shared" si="329"/>
        <v>0</v>
      </c>
      <c r="CD531" s="418" t="str">
        <f t="shared" si="330"/>
        <v>CU1065001</v>
      </c>
      <c r="CE531" s="442" t="str">
        <f t="shared" si="331"/>
        <v>2020年2月</v>
      </c>
      <c r="CF531" s="418" t="str">
        <f t="shared" si="332"/>
        <v>湖北长江蔚clife服务费暂估</v>
      </c>
      <c r="CG531" s="418" t="str">
        <f t="shared" si="333"/>
        <v>2020年2月湖北长江蔚clife服务费暂估</v>
      </c>
    </row>
    <row r="532" spans="2:85" s="447" customFormat="1" ht="17.25" customHeight="1">
      <c r="B532" s="447" t="str">
        <f t="shared" si="321"/>
        <v>CU0531</v>
      </c>
      <c r="C532" s="431" t="s">
        <v>755</v>
      </c>
      <c r="D532" s="367" t="s">
        <v>1453</v>
      </c>
      <c r="E532" s="367" t="s">
        <v>2088</v>
      </c>
      <c r="F532" s="439">
        <v>43869</v>
      </c>
      <c r="G532" s="430">
        <v>12219.88</v>
      </c>
      <c r="H532" s="440"/>
      <c r="I532" s="440">
        <f t="shared" si="334"/>
        <v>12219.88</v>
      </c>
      <c r="J532" s="440"/>
      <c r="L532" s="462">
        <f t="shared" si="335"/>
        <v>12219.88</v>
      </c>
      <c r="M532" s="462"/>
      <c r="N532" s="444"/>
      <c r="O532" s="462">
        <f t="shared" si="336"/>
        <v>12219.88</v>
      </c>
      <c r="R532" s="462">
        <f t="shared" si="337"/>
        <v>12219.88</v>
      </c>
      <c r="U532" s="462">
        <f t="shared" si="338"/>
        <v>12219.88</v>
      </c>
      <c r="X532" s="462">
        <f t="shared" si="339"/>
        <v>12219.88</v>
      </c>
      <c r="AA532" s="462">
        <f t="shared" si="340"/>
        <v>12219.88</v>
      </c>
      <c r="AD532" s="462">
        <f t="shared" si="341"/>
        <v>12219.88</v>
      </c>
      <c r="AG532" s="462">
        <f t="shared" si="342"/>
        <v>12219.88</v>
      </c>
      <c r="AJ532" s="462">
        <f t="shared" si="343"/>
        <v>12219.88</v>
      </c>
      <c r="AM532" s="462">
        <f t="shared" si="349"/>
        <v>12219.88</v>
      </c>
      <c r="AP532" s="462">
        <f t="shared" si="344"/>
        <v>12219.88</v>
      </c>
      <c r="AS532" s="459">
        <f t="shared" si="348"/>
        <v>12219.88</v>
      </c>
      <c r="AV532" s="462">
        <f t="shared" si="345"/>
        <v>12219.88</v>
      </c>
      <c r="AW532" s="447" t="s">
        <v>2091</v>
      </c>
      <c r="AY532" s="462">
        <f t="shared" si="346"/>
        <v>12219.88</v>
      </c>
      <c r="AZ532" s="447" t="s">
        <v>2133</v>
      </c>
      <c r="BB532" s="462">
        <f t="shared" si="347"/>
        <v>12219.88</v>
      </c>
      <c r="BC532" s="447" t="s">
        <v>2218</v>
      </c>
      <c r="BE532" s="462">
        <f t="shared" si="322"/>
        <v>12219.88</v>
      </c>
      <c r="BF532" s="447" t="s">
        <v>2239</v>
      </c>
      <c r="BH532" s="462">
        <f t="shared" si="323"/>
        <v>12219.88</v>
      </c>
      <c r="BI532" s="447" t="s">
        <v>2294</v>
      </c>
      <c r="BK532" s="462">
        <f t="shared" si="324"/>
        <v>12219.88</v>
      </c>
      <c r="BL532" s="447" t="s">
        <v>2341</v>
      </c>
      <c r="BN532" s="462">
        <f t="shared" si="325"/>
        <v>12219.88</v>
      </c>
      <c r="BO532" s="447" t="s">
        <v>2364</v>
      </c>
      <c r="BQ532" s="462">
        <f t="shared" si="326"/>
        <v>12219.88</v>
      </c>
      <c r="BT532" s="462">
        <f t="shared" si="327"/>
        <v>12219.88</v>
      </c>
      <c r="BU532" s="447" t="s">
        <v>2134</v>
      </c>
      <c r="BW532" s="462">
        <f t="shared" si="328"/>
        <v>12219.88</v>
      </c>
      <c r="BZ532" s="462">
        <f t="shared" si="329"/>
        <v>12219.88</v>
      </c>
      <c r="CD532" s="418" t="str">
        <f t="shared" si="330"/>
        <v>CU0531001</v>
      </c>
      <c r="CE532" s="442" t="str">
        <f t="shared" si="331"/>
        <v>2020年2月</v>
      </c>
      <c r="CF532" s="418" t="str">
        <f t="shared" si="332"/>
        <v>恩思恩clife服务费暂估</v>
      </c>
      <c r="CG532" s="418" t="str">
        <f t="shared" si="333"/>
        <v>2020年2月恩思恩clife服务费暂估</v>
      </c>
    </row>
    <row r="533" spans="2:85" s="447" customFormat="1" ht="17.25" customHeight="1">
      <c r="B533" s="447" t="str">
        <f t="shared" si="321"/>
        <v>CU0558</v>
      </c>
      <c r="C533" s="431" t="s">
        <v>755</v>
      </c>
      <c r="D533" s="367" t="s">
        <v>1647</v>
      </c>
      <c r="E533" s="367" t="s">
        <v>2089</v>
      </c>
      <c r="F533" s="439">
        <v>43870</v>
      </c>
      <c r="G533" s="430">
        <v>190401.28</v>
      </c>
      <c r="H533" s="440"/>
      <c r="I533" s="440">
        <f t="shared" si="334"/>
        <v>190401.28</v>
      </c>
      <c r="J533" s="440"/>
      <c r="L533" s="462">
        <f t="shared" si="335"/>
        <v>190401.28</v>
      </c>
      <c r="M533" s="462"/>
      <c r="N533" s="444"/>
      <c r="O533" s="462">
        <f t="shared" si="336"/>
        <v>190401.28</v>
      </c>
      <c r="R533" s="462">
        <f t="shared" si="337"/>
        <v>190401.28</v>
      </c>
      <c r="U533" s="462">
        <f t="shared" si="338"/>
        <v>190401.28</v>
      </c>
      <c r="X533" s="462">
        <f t="shared" si="339"/>
        <v>190401.28</v>
      </c>
      <c r="AA533" s="462">
        <f t="shared" si="340"/>
        <v>190401.28</v>
      </c>
      <c r="AD533" s="462">
        <f t="shared" si="341"/>
        <v>190401.28</v>
      </c>
      <c r="AG533" s="462">
        <f t="shared" si="342"/>
        <v>190401.28</v>
      </c>
      <c r="AJ533" s="462">
        <f t="shared" si="343"/>
        <v>190401.28</v>
      </c>
      <c r="AM533" s="462">
        <f t="shared" si="349"/>
        <v>190401.28</v>
      </c>
      <c r="AP533" s="462">
        <f t="shared" si="344"/>
        <v>190401.28</v>
      </c>
      <c r="AS533" s="459">
        <f t="shared" si="348"/>
        <v>190401.28</v>
      </c>
      <c r="AV533" s="462">
        <f t="shared" si="345"/>
        <v>190401.28</v>
      </c>
      <c r="AW533" s="447" t="s">
        <v>2091</v>
      </c>
      <c r="AY533" s="462">
        <f t="shared" si="346"/>
        <v>190401.28</v>
      </c>
      <c r="AZ533" s="447" t="s">
        <v>2133</v>
      </c>
      <c r="BB533" s="462">
        <f t="shared" si="347"/>
        <v>190401.28</v>
      </c>
      <c r="BC533" s="447" t="s">
        <v>2218</v>
      </c>
      <c r="BD533" s="462">
        <f>BB533</f>
        <v>190401.28</v>
      </c>
      <c r="BE533" s="462">
        <f t="shared" si="322"/>
        <v>0</v>
      </c>
      <c r="BF533" s="447" t="s">
        <v>2239</v>
      </c>
      <c r="BH533" s="462">
        <f t="shared" si="323"/>
        <v>0</v>
      </c>
      <c r="BK533" s="462">
        <f t="shared" si="324"/>
        <v>0</v>
      </c>
      <c r="BN533" s="462">
        <f t="shared" si="325"/>
        <v>0</v>
      </c>
      <c r="BQ533" s="462">
        <f t="shared" si="326"/>
        <v>0</v>
      </c>
      <c r="BT533" s="462">
        <f t="shared" si="327"/>
        <v>0</v>
      </c>
      <c r="BW533" s="462">
        <f t="shared" si="328"/>
        <v>0</v>
      </c>
      <c r="BZ533" s="462">
        <f t="shared" si="329"/>
        <v>0</v>
      </c>
      <c r="CD533" s="418" t="str">
        <f t="shared" si="330"/>
        <v>CU0558001</v>
      </c>
      <c r="CE533" s="442" t="str">
        <f t="shared" si="331"/>
        <v>2020年2月</v>
      </c>
      <c r="CF533" s="418" t="str">
        <f t="shared" si="332"/>
        <v>聚思鸿clife服务费暂估</v>
      </c>
      <c r="CG533" s="418" t="str">
        <f t="shared" si="333"/>
        <v>2020年2月聚思鸿clife服务费暂估</v>
      </c>
    </row>
    <row r="534" spans="2:85" s="447" customFormat="1" ht="17.25" customHeight="1">
      <c r="B534" s="447" t="str">
        <f t="shared" si="321"/>
        <v>CU0570</v>
      </c>
      <c r="C534" s="431" t="s">
        <v>755</v>
      </c>
      <c r="D534" s="367" t="s">
        <v>1758</v>
      </c>
      <c r="E534" s="367" t="s">
        <v>1471</v>
      </c>
      <c r="F534" s="439">
        <v>43871</v>
      </c>
      <c r="G534" s="430">
        <v>172705.66</v>
      </c>
      <c r="H534" s="440"/>
      <c r="I534" s="440">
        <f t="shared" si="334"/>
        <v>172705.66</v>
      </c>
      <c r="J534" s="440"/>
      <c r="L534" s="462">
        <f t="shared" si="335"/>
        <v>172705.66</v>
      </c>
      <c r="M534" s="462"/>
      <c r="N534" s="444"/>
      <c r="O534" s="462">
        <f t="shared" si="336"/>
        <v>172705.66</v>
      </c>
      <c r="R534" s="462">
        <f t="shared" si="337"/>
        <v>172705.66</v>
      </c>
      <c r="U534" s="462">
        <f t="shared" si="338"/>
        <v>172705.66</v>
      </c>
      <c r="X534" s="462">
        <f t="shared" si="339"/>
        <v>172705.66</v>
      </c>
      <c r="AA534" s="462">
        <f t="shared" si="340"/>
        <v>172705.66</v>
      </c>
      <c r="AD534" s="462">
        <f t="shared" si="341"/>
        <v>172705.66</v>
      </c>
      <c r="AG534" s="462">
        <f t="shared" si="342"/>
        <v>172705.66</v>
      </c>
      <c r="AJ534" s="462">
        <f t="shared" si="343"/>
        <v>172705.66</v>
      </c>
      <c r="AM534" s="462">
        <f t="shared" si="349"/>
        <v>172705.66</v>
      </c>
      <c r="AP534" s="462">
        <f t="shared" si="344"/>
        <v>172705.66</v>
      </c>
      <c r="AS534" s="459">
        <f t="shared" si="348"/>
        <v>172705.66</v>
      </c>
      <c r="AV534" s="462">
        <f t="shared" si="345"/>
        <v>172705.66</v>
      </c>
      <c r="AW534" s="447" t="s">
        <v>2091</v>
      </c>
      <c r="AY534" s="462">
        <f t="shared" si="346"/>
        <v>172705.66</v>
      </c>
      <c r="AZ534" s="447" t="s">
        <v>2133</v>
      </c>
      <c r="BB534" s="462">
        <f t="shared" si="347"/>
        <v>172705.66</v>
      </c>
      <c r="BC534" s="447" t="s">
        <v>2218</v>
      </c>
      <c r="BD534" s="462">
        <f>BB534</f>
        <v>172705.66</v>
      </c>
      <c r="BE534" s="462">
        <f t="shared" si="322"/>
        <v>0</v>
      </c>
      <c r="BF534" s="447" t="s">
        <v>2239</v>
      </c>
      <c r="BH534" s="462">
        <f t="shared" si="323"/>
        <v>0</v>
      </c>
      <c r="BK534" s="462">
        <f t="shared" si="324"/>
        <v>0</v>
      </c>
      <c r="BN534" s="462">
        <f t="shared" si="325"/>
        <v>0</v>
      </c>
      <c r="BQ534" s="462">
        <f t="shared" si="326"/>
        <v>0</v>
      </c>
      <c r="BT534" s="462">
        <f t="shared" si="327"/>
        <v>0</v>
      </c>
      <c r="BW534" s="462">
        <f t="shared" si="328"/>
        <v>0</v>
      </c>
      <c r="BZ534" s="462">
        <f t="shared" si="329"/>
        <v>0</v>
      </c>
      <c r="CD534" s="418" t="str">
        <f t="shared" si="330"/>
        <v>CU0570001</v>
      </c>
      <c r="CE534" s="442" t="str">
        <f t="shared" si="331"/>
        <v>2020年2月</v>
      </c>
      <c r="CF534" s="418" t="str">
        <f t="shared" si="332"/>
        <v>华院数据技clife服务费暂估</v>
      </c>
      <c r="CG534" s="418" t="str">
        <f t="shared" si="333"/>
        <v>2020年2月华院数据技clife服务费暂估</v>
      </c>
    </row>
    <row r="535" spans="2:85" s="447" customFormat="1" ht="17.25" customHeight="1">
      <c r="B535" s="447" t="str">
        <f t="shared" si="321"/>
        <v>CU0667</v>
      </c>
      <c r="C535" s="431" t="s">
        <v>755</v>
      </c>
      <c r="D535" s="367" t="s">
        <v>1454</v>
      </c>
      <c r="E535" s="367" t="s">
        <v>168</v>
      </c>
      <c r="F535" s="439">
        <v>43872</v>
      </c>
      <c r="G535" s="430">
        <v>855.98</v>
      </c>
      <c r="H535" s="440"/>
      <c r="I535" s="440">
        <f t="shared" si="334"/>
        <v>855.98</v>
      </c>
      <c r="J535" s="440"/>
      <c r="L535" s="462">
        <f t="shared" si="335"/>
        <v>855.98</v>
      </c>
      <c r="M535" s="462"/>
      <c r="N535" s="444"/>
      <c r="O535" s="462">
        <f t="shared" si="336"/>
        <v>855.98</v>
      </c>
      <c r="R535" s="462">
        <f t="shared" si="337"/>
        <v>855.98</v>
      </c>
      <c r="U535" s="462">
        <f t="shared" si="338"/>
        <v>855.98</v>
      </c>
      <c r="X535" s="462">
        <f t="shared" si="339"/>
        <v>855.98</v>
      </c>
      <c r="AA535" s="462">
        <f t="shared" si="340"/>
        <v>855.98</v>
      </c>
      <c r="AD535" s="462">
        <f t="shared" si="341"/>
        <v>855.98</v>
      </c>
      <c r="AG535" s="462">
        <f t="shared" si="342"/>
        <v>855.98</v>
      </c>
      <c r="AJ535" s="462">
        <f t="shared" si="343"/>
        <v>855.98</v>
      </c>
      <c r="AM535" s="462">
        <f t="shared" si="349"/>
        <v>855.98</v>
      </c>
      <c r="AP535" s="462">
        <f t="shared" si="344"/>
        <v>855.98</v>
      </c>
      <c r="AS535" s="459">
        <f t="shared" si="348"/>
        <v>855.98</v>
      </c>
      <c r="AV535" s="462">
        <f t="shared" si="345"/>
        <v>855.98</v>
      </c>
      <c r="AW535" s="447" t="s">
        <v>2091</v>
      </c>
      <c r="AY535" s="462">
        <f t="shared" si="346"/>
        <v>855.98</v>
      </c>
      <c r="AZ535" s="447" t="s">
        <v>2133</v>
      </c>
      <c r="BB535" s="462">
        <f t="shared" si="347"/>
        <v>855.98</v>
      </c>
      <c r="BC535" s="447" t="s">
        <v>2218</v>
      </c>
      <c r="BE535" s="462">
        <f t="shared" si="322"/>
        <v>855.98</v>
      </c>
      <c r="BF535" s="447" t="s">
        <v>2239</v>
      </c>
      <c r="BH535" s="462">
        <f t="shared" si="323"/>
        <v>855.98</v>
      </c>
      <c r="BI535" s="447" t="s">
        <v>2294</v>
      </c>
      <c r="BK535" s="462">
        <f t="shared" si="324"/>
        <v>855.98</v>
      </c>
      <c r="BL535" s="447" t="s">
        <v>2341</v>
      </c>
      <c r="BM535" s="462">
        <f>BK535</f>
        <v>855.98</v>
      </c>
      <c r="BN535" s="462">
        <f t="shared" si="325"/>
        <v>0</v>
      </c>
      <c r="BQ535" s="462">
        <f t="shared" si="326"/>
        <v>0</v>
      </c>
      <c r="BT535" s="462">
        <f t="shared" si="327"/>
        <v>0</v>
      </c>
      <c r="BW535" s="462">
        <f t="shared" si="328"/>
        <v>0</v>
      </c>
      <c r="BZ535" s="462">
        <f t="shared" si="329"/>
        <v>0</v>
      </c>
      <c r="CD535" s="418" t="str">
        <f t="shared" si="330"/>
        <v>CU0667001</v>
      </c>
      <c r="CE535" s="442" t="str">
        <f t="shared" si="331"/>
        <v>2020年2月</v>
      </c>
      <c r="CF535" s="418" t="str">
        <f t="shared" si="332"/>
        <v>北京杰迪安clife服务费暂估</v>
      </c>
      <c r="CG535" s="418" t="str">
        <f t="shared" si="333"/>
        <v>2020年2月北京杰迪安clife服务费暂估</v>
      </c>
    </row>
    <row r="536" spans="2:85" s="447" customFormat="1" ht="17.25" customHeight="1">
      <c r="B536" s="447" t="str">
        <f t="shared" si="321"/>
        <v>CU0822</v>
      </c>
      <c r="C536" s="431" t="s">
        <v>755</v>
      </c>
      <c r="D536" s="367" t="s">
        <v>1456</v>
      </c>
      <c r="E536" s="367" t="s">
        <v>239</v>
      </c>
      <c r="F536" s="439">
        <v>43873</v>
      </c>
      <c r="G536" s="430">
        <v>12727.87</v>
      </c>
      <c r="H536" s="440"/>
      <c r="I536" s="440">
        <f t="shared" si="334"/>
        <v>12727.87</v>
      </c>
      <c r="J536" s="440"/>
      <c r="L536" s="462">
        <f t="shared" si="335"/>
        <v>12727.87</v>
      </c>
      <c r="M536" s="462"/>
      <c r="N536" s="444"/>
      <c r="O536" s="462">
        <f t="shared" si="336"/>
        <v>12727.87</v>
      </c>
      <c r="R536" s="462">
        <f t="shared" si="337"/>
        <v>12727.87</v>
      </c>
      <c r="U536" s="462">
        <f t="shared" si="338"/>
        <v>12727.87</v>
      </c>
      <c r="X536" s="462">
        <f t="shared" si="339"/>
        <v>12727.87</v>
      </c>
      <c r="AA536" s="462">
        <f t="shared" si="340"/>
        <v>12727.87</v>
      </c>
      <c r="AD536" s="462">
        <f t="shared" si="341"/>
        <v>12727.87</v>
      </c>
      <c r="AG536" s="462">
        <f t="shared" si="342"/>
        <v>12727.87</v>
      </c>
      <c r="AJ536" s="462">
        <f t="shared" si="343"/>
        <v>12727.87</v>
      </c>
      <c r="AM536" s="462">
        <f t="shared" si="349"/>
        <v>12727.87</v>
      </c>
      <c r="AP536" s="462">
        <f t="shared" si="344"/>
        <v>12727.87</v>
      </c>
      <c r="AS536" s="459">
        <f t="shared" si="348"/>
        <v>12727.87</v>
      </c>
      <c r="AV536" s="462">
        <f t="shared" si="345"/>
        <v>12727.87</v>
      </c>
      <c r="AW536" s="447" t="s">
        <v>2091</v>
      </c>
      <c r="AY536" s="462">
        <f t="shared" si="346"/>
        <v>12727.87</v>
      </c>
      <c r="AZ536" s="447" t="s">
        <v>2133</v>
      </c>
      <c r="BB536" s="462">
        <f t="shared" si="347"/>
        <v>12727.87</v>
      </c>
      <c r="BC536" s="447" t="s">
        <v>2218</v>
      </c>
      <c r="BE536" s="462">
        <f t="shared" si="322"/>
        <v>12727.87</v>
      </c>
      <c r="BF536" s="447" t="s">
        <v>2239</v>
      </c>
      <c r="BG536" s="462">
        <f>BE536</f>
        <v>12727.87</v>
      </c>
      <c r="BH536" s="462">
        <f t="shared" si="323"/>
        <v>0</v>
      </c>
      <c r="BK536" s="462">
        <f t="shared" si="324"/>
        <v>0</v>
      </c>
      <c r="BN536" s="462">
        <f t="shared" si="325"/>
        <v>0</v>
      </c>
      <c r="BQ536" s="462">
        <f t="shared" si="326"/>
        <v>0</v>
      </c>
      <c r="BT536" s="462">
        <f t="shared" si="327"/>
        <v>0</v>
      </c>
      <c r="BW536" s="462">
        <f t="shared" si="328"/>
        <v>0</v>
      </c>
      <c r="BZ536" s="462">
        <f t="shared" si="329"/>
        <v>0</v>
      </c>
      <c r="CD536" s="418" t="str">
        <f t="shared" si="330"/>
        <v>CU0822001</v>
      </c>
      <c r="CE536" s="442" t="str">
        <f t="shared" si="331"/>
        <v>2020年2月</v>
      </c>
      <c r="CF536" s="418" t="str">
        <f t="shared" si="332"/>
        <v>美克国际家clife服务费暂估</v>
      </c>
      <c r="CG536" s="418" t="str">
        <f t="shared" si="333"/>
        <v>2020年2月美克国际家clife服务费暂估</v>
      </c>
    </row>
    <row r="537" spans="2:85" s="447" customFormat="1" ht="17.25" customHeight="1">
      <c r="B537" s="447" t="str">
        <f t="shared" si="321"/>
        <v>CU0823</v>
      </c>
      <c r="C537" s="431" t="s">
        <v>755</v>
      </c>
      <c r="D537" s="367" t="s">
        <v>1457</v>
      </c>
      <c r="E537" s="367" t="s">
        <v>581</v>
      </c>
      <c r="F537" s="439">
        <v>43874</v>
      </c>
      <c r="G537" s="430">
        <v>6874.16</v>
      </c>
      <c r="H537" s="440"/>
      <c r="I537" s="440">
        <f t="shared" si="334"/>
        <v>6874.16</v>
      </c>
      <c r="J537" s="440"/>
      <c r="L537" s="462">
        <f t="shared" si="335"/>
        <v>6874.16</v>
      </c>
      <c r="M537" s="462"/>
      <c r="N537" s="444"/>
      <c r="O537" s="462">
        <f t="shared" si="336"/>
        <v>6874.16</v>
      </c>
      <c r="R537" s="462">
        <f t="shared" si="337"/>
        <v>6874.16</v>
      </c>
      <c r="U537" s="462">
        <f t="shared" si="338"/>
        <v>6874.16</v>
      </c>
      <c r="X537" s="462">
        <f t="shared" si="339"/>
        <v>6874.16</v>
      </c>
      <c r="AA537" s="462">
        <f t="shared" si="340"/>
        <v>6874.16</v>
      </c>
      <c r="AD537" s="462">
        <f t="shared" si="341"/>
        <v>6874.16</v>
      </c>
      <c r="AG537" s="462">
        <f t="shared" si="342"/>
        <v>6874.16</v>
      </c>
      <c r="AJ537" s="462">
        <f t="shared" si="343"/>
        <v>6874.16</v>
      </c>
      <c r="AM537" s="462">
        <f t="shared" si="349"/>
        <v>6874.16</v>
      </c>
      <c r="AP537" s="462">
        <f t="shared" si="344"/>
        <v>6874.16</v>
      </c>
      <c r="AS537" s="459">
        <f t="shared" si="348"/>
        <v>6874.16</v>
      </c>
      <c r="AV537" s="462">
        <f t="shared" si="345"/>
        <v>6874.16</v>
      </c>
      <c r="AW537" s="447" t="s">
        <v>2091</v>
      </c>
      <c r="AY537" s="462">
        <f t="shared" si="346"/>
        <v>6874.16</v>
      </c>
      <c r="AZ537" s="447" t="s">
        <v>2133</v>
      </c>
      <c r="BB537" s="462">
        <f t="shared" si="347"/>
        <v>6874.16</v>
      </c>
      <c r="BC537" s="447" t="s">
        <v>2218</v>
      </c>
      <c r="BE537" s="462">
        <f t="shared" si="322"/>
        <v>6874.16</v>
      </c>
      <c r="BF537" s="447" t="s">
        <v>2239</v>
      </c>
      <c r="BH537" s="462">
        <f t="shared" si="323"/>
        <v>6874.16</v>
      </c>
      <c r="BI537" s="447" t="s">
        <v>2294</v>
      </c>
      <c r="BK537" s="462">
        <f t="shared" si="324"/>
        <v>6874.16</v>
      </c>
      <c r="BL537" s="447" t="s">
        <v>2341</v>
      </c>
      <c r="BN537" s="462">
        <f t="shared" si="325"/>
        <v>6874.16</v>
      </c>
      <c r="BO537" s="447" t="s">
        <v>2364</v>
      </c>
      <c r="BQ537" s="462">
        <f t="shared" si="326"/>
        <v>6874.16</v>
      </c>
      <c r="BT537" s="462">
        <f t="shared" si="327"/>
        <v>6874.16</v>
      </c>
      <c r="BU537" s="447" t="s">
        <v>2134</v>
      </c>
      <c r="BW537" s="462">
        <f t="shared" si="328"/>
        <v>6874.16</v>
      </c>
      <c r="BZ537" s="462">
        <f t="shared" si="329"/>
        <v>6874.16</v>
      </c>
      <c r="CD537" s="418" t="str">
        <f t="shared" si="330"/>
        <v>CU0823001</v>
      </c>
      <c r="CE537" s="442" t="str">
        <f t="shared" si="331"/>
        <v>2020年2月</v>
      </c>
      <c r="CF537" s="418" t="str">
        <f t="shared" si="332"/>
        <v>凯杰生物工clife服务费暂估</v>
      </c>
      <c r="CG537" s="418" t="str">
        <f t="shared" si="333"/>
        <v>2020年2月凯杰生物工clife服务费暂估</v>
      </c>
    </row>
    <row r="538" spans="2:85" s="447" customFormat="1" ht="17.25" customHeight="1">
      <c r="B538" s="447" t="str">
        <f t="shared" si="321"/>
        <v>CU0869</v>
      </c>
      <c r="C538" s="431" t="s">
        <v>755</v>
      </c>
      <c r="D538" s="367" t="s">
        <v>1459</v>
      </c>
      <c r="E538" s="367" t="s">
        <v>2090</v>
      </c>
      <c r="F538" s="439">
        <v>43875</v>
      </c>
      <c r="G538" s="430">
        <v>85271.66</v>
      </c>
      <c r="H538" s="440"/>
      <c r="I538" s="440">
        <f t="shared" si="334"/>
        <v>85271.66</v>
      </c>
      <c r="J538" s="440"/>
      <c r="L538" s="462">
        <f t="shared" si="335"/>
        <v>85271.66</v>
      </c>
      <c r="M538" s="462"/>
      <c r="N538" s="444"/>
      <c r="O538" s="462">
        <f t="shared" si="336"/>
        <v>85271.66</v>
      </c>
      <c r="R538" s="462">
        <f t="shared" si="337"/>
        <v>85271.66</v>
      </c>
      <c r="U538" s="462">
        <f t="shared" si="338"/>
        <v>85271.66</v>
      </c>
      <c r="X538" s="462">
        <f t="shared" si="339"/>
        <v>85271.66</v>
      </c>
      <c r="AA538" s="462">
        <f t="shared" si="340"/>
        <v>85271.66</v>
      </c>
      <c r="AD538" s="462">
        <f t="shared" si="341"/>
        <v>85271.66</v>
      </c>
      <c r="AG538" s="462">
        <f t="shared" si="342"/>
        <v>85271.66</v>
      </c>
      <c r="AJ538" s="462">
        <f t="shared" si="343"/>
        <v>85271.66</v>
      </c>
      <c r="AM538" s="462">
        <f t="shared" si="349"/>
        <v>85271.66</v>
      </c>
      <c r="AP538" s="462">
        <f t="shared" si="344"/>
        <v>85271.66</v>
      </c>
      <c r="AS538" s="459">
        <f t="shared" si="348"/>
        <v>85271.66</v>
      </c>
      <c r="AV538" s="462">
        <f t="shared" si="345"/>
        <v>85271.66</v>
      </c>
      <c r="AW538" s="447" t="s">
        <v>2091</v>
      </c>
      <c r="AY538" s="462">
        <f t="shared" si="346"/>
        <v>85271.66</v>
      </c>
      <c r="AZ538" s="447" t="s">
        <v>2133</v>
      </c>
      <c r="BB538" s="462">
        <f t="shared" si="347"/>
        <v>85271.66</v>
      </c>
      <c r="BC538" s="447" t="s">
        <v>2218</v>
      </c>
      <c r="BE538" s="462">
        <f t="shared" si="322"/>
        <v>85271.66</v>
      </c>
      <c r="BF538" s="447" t="s">
        <v>2239</v>
      </c>
      <c r="BG538" s="462">
        <f>BE538</f>
        <v>85271.66</v>
      </c>
      <c r="BH538" s="462">
        <f t="shared" si="323"/>
        <v>0</v>
      </c>
      <c r="BK538" s="462">
        <f t="shared" si="324"/>
        <v>0</v>
      </c>
      <c r="BN538" s="462">
        <f t="shared" si="325"/>
        <v>0</v>
      </c>
      <c r="BQ538" s="462">
        <f t="shared" si="326"/>
        <v>0</v>
      </c>
      <c r="BT538" s="462">
        <f t="shared" si="327"/>
        <v>0</v>
      </c>
      <c r="BW538" s="462">
        <f t="shared" si="328"/>
        <v>0</v>
      </c>
      <c r="BZ538" s="462">
        <f t="shared" si="329"/>
        <v>0</v>
      </c>
      <c r="CD538" s="418" t="str">
        <f t="shared" si="330"/>
        <v>CU0869001</v>
      </c>
      <c r="CE538" s="442" t="str">
        <f t="shared" si="331"/>
        <v>2020年2月</v>
      </c>
      <c r="CF538" s="418" t="str">
        <f t="shared" si="332"/>
        <v>智睿企业咨clife服务费暂估</v>
      </c>
      <c r="CG538" s="418" t="str">
        <f t="shared" si="333"/>
        <v>2020年2月智睿企业咨clife服务费暂估</v>
      </c>
    </row>
    <row r="539" spans="2:85" s="447" customFormat="1" ht="17.25" customHeight="1">
      <c r="B539" s="447" t="str">
        <f t="shared" si="321"/>
        <v>CU0904</v>
      </c>
      <c r="C539" s="431" t="s">
        <v>755</v>
      </c>
      <c r="D539" s="367" t="s">
        <v>1460</v>
      </c>
      <c r="E539" s="367" t="s">
        <v>955</v>
      </c>
      <c r="F539" s="439">
        <v>43876</v>
      </c>
      <c r="G539" s="430">
        <v>1232.04</v>
      </c>
      <c r="H539" s="440"/>
      <c r="I539" s="440">
        <f t="shared" si="334"/>
        <v>1232.04</v>
      </c>
      <c r="J539" s="440"/>
      <c r="L539" s="462">
        <f t="shared" si="335"/>
        <v>1232.04</v>
      </c>
      <c r="M539" s="462"/>
      <c r="N539" s="444"/>
      <c r="O539" s="462">
        <f t="shared" si="336"/>
        <v>1232.04</v>
      </c>
      <c r="R539" s="462">
        <f t="shared" si="337"/>
        <v>1232.04</v>
      </c>
      <c r="U539" s="462">
        <f t="shared" si="338"/>
        <v>1232.04</v>
      </c>
      <c r="X539" s="462">
        <f t="shared" si="339"/>
        <v>1232.04</v>
      </c>
      <c r="AA539" s="462">
        <f t="shared" si="340"/>
        <v>1232.04</v>
      </c>
      <c r="AD539" s="462">
        <f t="shared" si="341"/>
        <v>1232.04</v>
      </c>
      <c r="AG539" s="462">
        <f t="shared" si="342"/>
        <v>1232.04</v>
      </c>
      <c r="AJ539" s="462">
        <f t="shared" si="343"/>
        <v>1232.04</v>
      </c>
      <c r="AM539" s="462">
        <f t="shared" si="349"/>
        <v>1232.04</v>
      </c>
      <c r="AP539" s="462">
        <f t="shared" si="344"/>
        <v>1232.04</v>
      </c>
      <c r="AS539" s="459">
        <f t="shared" si="348"/>
        <v>1232.04</v>
      </c>
      <c r="AV539" s="462">
        <f t="shared" si="345"/>
        <v>1232.04</v>
      </c>
      <c r="AW539" s="447" t="s">
        <v>2091</v>
      </c>
      <c r="AY539" s="462">
        <f t="shared" si="346"/>
        <v>1232.04</v>
      </c>
      <c r="AZ539" s="447" t="s">
        <v>2133</v>
      </c>
      <c r="BB539" s="462">
        <f t="shared" si="347"/>
        <v>1232.04</v>
      </c>
      <c r="BC539" s="447" t="s">
        <v>2218</v>
      </c>
      <c r="BE539" s="462">
        <f t="shared" si="322"/>
        <v>1232.04</v>
      </c>
      <c r="BF539" s="447" t="s">
        <v>2239</v>
      </c>
      <c r="BH539" s="462">
        <f t="shared" si="323"/>
        <v>1232.04</v>
      </c>
      <c r="BI539" s="447" t="s">
        <v>2294</v>
      </c>
      <c r="BJ539" s="462">
        <f>BH539</f>
        <v>1232.04</v>
      </c>
      <c r="BK539" s="462">
        <f t="shared" si="324"/>
        <v>0</v>
      </c>
      <c r="BN539" s="462">
        <f t="shared" si="325"/>
        <v>0</v>
      </c>
      <c r="BQ539" s="462">
        <f t="shared" si="326"/>
        <v>0</v>
      </c>
      <c r="BT539" s="462">
        <f t="shared" si="327"/>
        <v>0</v>
      </c>
      <c r="BW539" s="462">
        <f t="shared" si="328"/>
        <v>0</v>
      </c>
      <c r="BZ539" s="462">
        <f t="shared" si="329"/>
        <v>0</v>
      </c>
      <c r="CD539" s="418" t="str">
        <f t="shared" si="330"/>
        <v>CU0904001</v>
      </c>
      <c r="CE539" s="442" t="str">
        <f t="shared" si="331"/>
        <v>2020年2月</v>
      </c>
      <c r="CF539" s="418" t="str">
        <f t="shared" si="332"/>
        <v>紫光电子商clife服务费暂估</v>
      </c>
      <c r="CG539" s="418" t="str">
        <f t="shared" si="333"/>
        <v>2020年2月紫光电子商clife服务费暂估</v>
      </c>
    </row>
    <row r="540" spans="2:85" s="447" customFormat="1" ht="17.25" customHeight="1">
      <c r="B540" s="447" t="str">
        <f t="shared" si="321"/>
        <v>CU0914</v>
      </c>
      <c r="C540" s="431" t="s">
        <v>755</v>
      </c>
      <c r="D540" s="367" t="s">
        <v>1721</v>
      </c>
      <c r="E540" s="367" t="s">
        <v>1535</v>
      </c>
      <c r="F540" s="439">
        <v>43877</v>
      </c>
      <c r="G540" s="430">
        <v>521838</v>
      </c>
      <c r="H540" s="440"/>
      <c r="I540" s="440">
        <f t="shared" si="334"/>
        <v>521838</v>
      </c>
      <c r="J540" s="440"/>
      <c r="L540" s="462">
        <f t="shared" si="335"/>
        <v>521838</v>
      </c>
      <c r="M540" s="462"/>
      <c r="N540" s="444"/>
      <c r="O540" s="462">
        <f t="shared" si="336"/>
        <v>521838</v>
      </c>
      <c r="R540" s="462">
        <f t="shared" si="337"/>
        <v>521838</v>
      </c>
      <c r="U540" s="462">
        <f t="shared" si="338"/>
        <v>521838</v>
      </c>
      <c r="X540" s="462">
        <f t="shared" si="339"/>
        <v>521838</v>
      </c>
      <c r="AA540" s="462">
        <f t="shared" si="340"/>
        <v>521838</v>
      </c>
      <c r="AD540" s="462">
        <f t="shared" si="341"/>
        <v>521838</v>
      </c>
      <c r="AG540" s="462">
        <f t="shared" si="342"/>
        <v>521838</v>
      </c>
      <c r="AJ540" s="462">
        <f t="shared" si="343"/>
        <v>521838</v>
      </c>
      <c r="AM540" s="462">
        <f t="shared" si="349"/>
        <v>521838</v>
      </c>
      <c r="AP540" s="462">
        <f t="shared" si="344"/>
        <v>521838</v>
      </c>
      <c r="AS540" s="459">
        <f t="shared" si="348"/>
        <v>521838</v>
      </c>
      <c r="AV540" s="462">
        <f t="shared" si="345"/>
        <v>521838</v>
      </c>
      <c r="AW540" s="447" t="s">
        <v>2091</v>
      </c>
      <c r="AY540" s="462">
        <f t="shared" si="346"/>
        <v>521838</v>
      </c>
      <c r="AZ540" s="447" t="s">
        <v>2133</v>
      </c>
      <c r="BA540" s="447">
        <f>199425.407+ROUND(35040/1.06,2)</f>
        <v>232482.00700000001</v>
      </c>
      <c r="BB540" s="462">
        <f t="shared" si="347"/>
        <v>289355.99300000002</v>
      </c>
      <c r="BC540" s="447" t="s">
        <v>2218</v>
      </c>
      <c r="BE540" s="462">
        <f t="shared" si="322"/>
        <v>289355.99300000002</v>
      </c>
      <c r="BF540" s="447" t="s">
        <v>2239</v>
      </c>
      <c r="BG540" s="447">
        <f>200000+ROUND(35040/1.06,2)+56299.39</f>
        <v>289355.99</v>
      </c>
      <c r="BH540" s="462">
        <f t="shared" si="323"/>
        <v>3.0000000260770321E-3</v>
      </c>
      <c r="BK540" s="462">
        <f t="shared" si="324"/>
        <v>3.0000000260770321E-3</v>
      </c>
      <c r="BN540" s="462">
        <f t="shared" si="325"/>
        <v>3.0000000260770321E-3</v>
      </c>
      <c r="BQ540" s="462">
        <f t="shared" si="326"/>
        <v>0</v>
      </c>
      <c r="BT540" s="462">
        <f t="shared" si="327"/>
        <v>0</v>
      </c>
      <c r="BW540" s="462">
        <f t="shared" si="328"/>
        <v>0</v>
      </c>
      <c r="BZ540" s="462">
        <f t="shared" si="329"/>
        <v>0</v>
      </c>
      <c r="CD540" s="418" t="str">
        <f t="shared" si="330"/>
        <v>CU0914001</v>
      </c>
      <c r="CE540" s="442" t="str">
        <f t="shared" si="331"/>
        <v>2020年2月</v>
      </c>
      <c r="CF540" s="418" t="str">
        <f t="shared" si="332"/>
        <v>鑫车投资（clife服务费暂估</v>
      </c>
      <c r="CG540" s="418" t="str">
        <f t="shared" si="333"/>
        <v>2020年2月鑫车投资（clife服务费暂估</v>
      </c>
    </row>
    <row r="541" spans="2:85" s="447" customFormat="1" ht="17.25" customHeight="1">
      <c r="B541" s="447" t="str">
        <f t="shared" si="321"/>
        <v>CU1013</v>
      </c>
      <c r="C541" s="431" t="s">
        <v>755</v>
      </c>
      <c r="D541" s="367" t="s">
        <v>1653</v>
      </c>
      <c r="E541" s="367" t="s">
        <v>1468</v>
      </c>
      <c r="F541" s="439">
        <v>43878</v>
      </c>
      <c r="G541" s="430">
        <v>49864.24</v>
      </c>
      <c r="H541" s="440"/>
      <c r="I541" s="440">
        <f t="shared" si="334"/>
        <v>49864.24</v>
      </c>
      <c r="J541" s="440"/>
      <c r="L541" s="462">
        <f t="shared" si="335"/>
        <v>49864.24</v>
      </c>
      <c r="M541" s="462"/>
      <c r="N541" s="444"/>
      <c r="O541" s="462">
        <f t="shared" si="336"/>
        <v>49864.24</v>
      </c>
      <c r="R541" s="462">
        <f t="shared" si="337"/>
        <v>49864.24</v>
      </c>
      <c r="U541" s="462">
        <f t="shared" si="338"/>
        <v>49864.24</v>
      </c>
      <c r="X541" s="462">
        <f t="shared" si="339"/>
        <v>49864.24</v>
      </c>
      <c r="AA541" s="462">
        <f t="shared" si="340"/>
        <v>49864.24</v>
      </c>
      <c r="AD541" s="462">
        <f t="shared" si="341"/>
        <v>49864.24</v>
      </c>
      <c r="AG541" s="462">
        <f t="shared" si="342"/>
        <v>49864.24</v>
      </c>
      <c r="AJ541" s="462">
        <f t="shared" si="343"/>
        <v>49864.24</v>
      </c>
      <c r="AM541" s="462">
        <f t="shared" si="349"/>
        <v>49864.24</v>
      </c>
      <c r="AP541" s="462">
        <f t="shared" si="344"/>
        <v>49864.24</v>
      </c>
      <c r="AS541" s="459">
        <f t="shared" si="348"/>
        <v>49864.24</v>
      </c>
      <c r="AV541" s="462">
        <f t="shared" si="345"/>
        <v>49864.24</v>
      </c>
      <c r="AW541" s="447" t="s">
        <v>2091</v>
      </c>
      <c r="AY541" s="462">
        <f t="shared" si="346"/>
        <v>49864.24</v>
      </c>
      <c r="AZ541" s="447" t="s">
        <v>2133</v>
      </c>
      <c r="BB541" s="462">
        <f t="shared" si="347"/>
        <v>49864.24</v>
      </c>
      <c r="BC541" s="447" t="s">
        <v>2218</v>
      </c>
      <c r="BE541" s="462">
        <f t="shared" si="322"/>
        <v>49864.24</v>
      </c>
      <c r="BF541" s="447" t="s">
        <v>2239</v>
      </c>
      <c r="BH541" s="462">
        <f t="shared" si="323"/>
        <v>49864.24</v>
      </c>
      <c r="BI541" s="447" t="s">
        <v>2294</v>
      </c>
      <c r="BK541" s="462">
        <f t="shared" si="324"/>
        <v>49864.24</v>
      </c>
      <c r="BL541" s="447" t="s">
        <v>2341</v>
      </c>
      <c r="BN541" s="462">
        <f t="shared" si="325"/>
        <v>49864.24</v>
      </c>
      <c r="BO541" s="447" t="s">
        <v>2364</v>
      </c>
      <c r="BQ541" s="462">
        <f t="shared" si="326"/>
        <v>49864.24</v>
      </c>
      <c r="BS541" s="462">
        <f>BQ541</f>
        <v>49864.24</v>
      </c>
      <c r="BT541" s="462">
        <f t="shared" si="327"/>
        <v>0</v>
      </c>
      <c r="BW541" s="462">
        <f t="shared" si="328"/>
        <v>0</v>
      </c>
      <c r="BZ541" s="462">
        <f t="shared" si="329"/>
        <v>0</v>
      </c>
      <c r="CD541" s="418" t="str">
        <f t="shared" si="330"/>
        <v>CU1013001</v>
      </c>
      <c r="CE541" s="442" t="str">
        <f t="shared" si="331"/>
        <v>2020年2月</v>
      </c>
      <c r="CF541" s="418" t="str">
        <f t="shared" si="332"/>
        <v>喜利得（中clife服务费暂估</v>
      </c>
      <c r="CG541" s="418" t="str">
        <f t="shared" si="333"/>
        <v>2020年2月喜利得（中clife服务费暂估</v>
      </c>
    </row>
    <row r="542" spans="2:85" s="447" customFormat="1" ht="17.25" customHeight="1">
      <c r="B542" s="447" t="str">
        <f t="shared" si="321"/>
        <v>CU1016</v>
      </c>
      <c r="C542" s="431" t="s">
        <v>755</v>
      </c>
      <c r="D542" s="367" t="s">
        <v>1524</v>
      </c>
      <c r="E542" s="367" t="s">
        <v>1536</v>
      </c>
      <c r="F542" s="439">
        <v>43879</v>
      </c>
      <c r="G542" s="430">
        <v>261461.54</v>
      </c>
      <c r="H542" s="440"/>
      <c r="I542" s="440">
        <f t="shared" si="334"/>
        <v>261461.54</v>
      </c>
      <c r="J542" s="440"/>
      <c r="L542" s="462">
        <f t="shared" si="335"/>
        <v>261461.54</v>
      </c>
      <c r="M542" s="462"/>
      <c r="N542" s="444"/>
      <c r="O542" s="462">
        <f t="shared" si="336"/>
        <v>261461.54</v>
      </c>
      <c r="R542" s="462">
        <f t="shared" si="337"/>
        <v>261461.54</v>
      </c>
      <c r="U542" s="462">
        <f t="shared" si="338"/>
        <v>261461.54</v>
      </c>
      <c r="X542" s="462">
        <f t="shared" si="339"/>
        <v>261461.54</v>
      </c>
      <c r="AA542" s="462">
        <f t="shared" si="340"/>
        <v>261461.54</v>
      </c>
      <c r="AD542" s="462">
        <f t="shared" si="341"/>
        <v>261461.54</v>
      </c>
      <c r="AG542" s="462">
        <f t="shared" si="342"/>
        <v>261461.54</v>
      </c>
      <c r="AJ542" s="462">
        <f t="shared" si="343"/>
        <v>261461.54</v>
      </c>
      <c r="AM542" s="462">
        <f t="shared" si="349"/>
        <v>261461.54</v>
      </c>
      <c r="AP542" s="462">
        <f t="shared" si="344"/>
        <v>261461.54</v>
      </c>
      <c r="AS542" s="459">
        <f t="shared" si="348"/>
        <v>261461.54</v>
      </c>
      <c r="AV542" s="462">
        <f t="shared" si="345"/>
        <v>261461.54</v>
      </c>
      <c r="AW542" s="447" t="s">
        <v>2091</v>
      </c>
      <c r="AY542" s="462">
        <f t="shared" si="346"/>
        <v>261461.54</v>
      </c>
      <c r="AZ542" s="447" t="s">
        <v>2133</v>
      </c>
      <c r="BA542" s="447">
        <v>250999.89</v>
      </c>
      <c r="BB542" s="462">
        <f t="shared" si="347"/>
        <v>10461.649999999994</v>
      </c>
      <c r="BC542" s="447" t="s">
        <v>2218</v>
      </c>
      <c r="BE542" s="462">
        <f t="shared" si="322"/>
        <v>10461.649999999994</v>
      </c>
      <c r="BF542" s="447" t="s">
        <v>2239</v>
      </c>
      <c r="BH542" s="462">
        <f t="shared" si="323"/>
        <v>10461.649999999994</v>
      </c>
      <c r="BI542" s="447" t="s">
        <v>2294</v>
      </c>
      <c r="BK542" s="462">
        <f t="shared" si="324"/>
        <v>10461.649999999994</v>
      </c>
      <c r="BL542" s="447" t="s">
        <v>2341</v>
      </c>
      <c r="BM542" s="447">
        <v>290</v>
      </c>
      <c r="BN542" s="462">
        <f t="shared" si="325"/>
        <v>10171.649999999994</v>
      </c>
      <c r="BO542" s="447" t="s">
        <v>2364</v>
      </c>
      <c r="BQ542" s="462">
        <f t="shared" si="326"/>
        <v>10171.65</v>
      </c>
      <c r="BS542" s="462">
        <f>BQ542</f>
        <v>10171.65</v>
      </c>
      <c r="BT542" s="462">
        <f t="shared" si="327"/>
        <v>0</v>
      </c>
      <c r="BW542" s="462">
        <f t="shared" si="328"/>
        <v>0</v>
      </c>
      <c r="BZ542" s="462">
        <f t="shared" si="329"/>
        <v>0</v>
      </c>
      <c r="CD542" s="418" t="str">
        <f t="shared" si="330"/>
        <v>CU1016001</v>
      </c>
      <c r="CE542" s="442" t="str">
        <f t="shared" si="331"/>
        <v>2020年2月</v>
      </c>
      <c r="CF542" s="418" t="str">
        <f t="shared" si="332"/>
        <v>乔治阿玛尼clife服务费暂估</v>
      </c>
      <c r="CG542" s="418" t="str">
        <f t="shared" si="333"/>
        <v>2020年2月乔治阿玛尼clife服务费暂估</v>
      </c>
    </row>
    <row r="543" spans="2:85" s="447" customFormat="1" ht="17.25" customHeight="1">
      <c r="B543" s="447" t="str">
        <f t="shared" si="321"/>
        <v>CU1155</v>
      </c>
      <c r="C543" s="431" t="s">
        <v>755</v>
      </c>
      <c r="D543" s="367" t="s">
        <v>1698</v>
      </c>
      <c r="E543" s="367" t="s">
        <v>1681</v>
      </c>
      <c r="F543" s="439">
        <v>43880</v>
      </c>
      <c r="G543" s="430">
        <v>382.15</v>
      </c>
      <c r="H543" s="440"/>
      <c r="I543" s="440">
        <f t="shared" si="334"/>
        <v>382.15</v>
      </c>
      <c r="J543" s="440"/>
      <c r="L543" s="462">
        <f t="shared" si="335"/>
        <v>382.15</v>
      </c>
      <c r="M543" s="462"/>
      <c r="N543" s="444"/>
      <c r="O543" s="462">
        <f t="shared" si="336"/>
        <v>382.15</v>
      </c>
      <c r="R543" s="462">
        <f t="shared" si="337"/>
        <v>382.15</v>
      </c>
      <c r="U543" s="462">
        <f t="shared" si="338"/>
        <v>382.15</v>
      </c>
      <c r="X543" s="462">
        <f t="shared" si="339"/>
        <v>382.15</v>
      </c>
      <c r="AA543" s="462">
        <f t="shared" si="340"/>
        <v>382.15</v>
      </c>
      <c r="AD543" s="462">
        <f t="shared" si="341"/>
        <v>382.15</v>
      </c>
      <c r="AG543" s="462">
        <f t="shared" si="342"/>
        <v>382.15</v>
      </c>
      <c r="AJ543" s="462">
        <f t="shared" si="343"/>
        <v>382.15</v>
      </c>
      <c r="AM543" s="462">
        <f t="shared" si="349"/>
        <v>382.15</v>
      </c>
      <c r="AP543" s="462">
        <f t="shared" si="344"/>
        <v>382.15</v>
      </c>
      <c r="AS543" s="459">
        <f t="shared" si="348"/>
        <v>382.15</v>
      </c>
      <c r="AV543" s="462">
        <f t="shared" si="345"/>
        <v>382.15</v>
      </c>
      <c r="AW543" s="447" t="s">
        <v>2091</v>
      </c>
      <c r="AY543" s="462">
        <f t="shared" si="346"/>
        <v>382.15</v>
      </c>
      <c r="AZ543" s="447" t="s">
        <v>2133</v>
      </c>
      <c r="BB543" s="462">
        <f t="shared" si="347"/>
        <v>382.15</v>
      </c>
      <c r="BC543" s="447" t="s">
        <v>2218</v>
      </c>
      <c r="BE543" s="462">
        <f t="shared" si="322"/>
        <v>382.15</v>
      </c>
      <c r="BF543" s="447" t="s">
        <v>2239</v>
      </c>
      <c r="BH543" s="462">
        <f t="shared" si="323"/>
        <v>382.15</v>
      </c>
      <c r="BI543" s="447" t="s">
        <v>2294</v>
      </c>
      <c r="BK543" s="462">
        <f t="shared" si="324"/>
        <v>382.15</v>
      </c>
      <c r="BL543" s="447" t="s">
        <v>2341</v>
      </c>
      <c r="BN543" s="462">
        <f t="shared" si="325"/>
        <v>382.15</v>
      </c>
      <c r="BO543" s="447" t="s">
        <v>2364</v>
      </c>
      <c r="BQ543" s="462">
        <f t="shared" si="326"/>
        <v>382.15</v>
      </c>
      <c r="BT543" s="462">
        <f t="shared" si="327"/>
        <v>382.15</v>
      </c>
      <c r="BU543" s="447" t="s">
        <v>2134</v>
      </c>
      <c r="BW543" s="462">
        <f t="shared" si="328"/>
        <v>382.15</v>
      </c>
      <c r="BZ543" s="462">
        <f t="shared" si="329"/>
        <v>382.15</v>
      </c>
      <c r="CD543" s="418" t="str">
        <f t="shared" si="330"/>
        <v>CU1155001</v>
      </c>
      <c r="CE543" s="442" t="str">
        <f t="shared" si="331"/>
        <v>2020年2月</v>
      </c>
      <c r="CF543" s="418" t="str">
        <f t="shared" si="332"/>
        <v>艾蒙斯特朗clife服务费暂估</v>
      </c>
      <c r="CG543" s="418" t="str">
        <f t="shared" si="333"/>
        <v>2020年2月艾蒙斯特朗clife服务费暂估</v>
      </c>
    </row>
    <row r="544" spans="2:85" s="447" customFormat="1" ht="17.25" customHeight="1">
      <c r="B544" s="447" t="str">
        <f t="shared" si="321"/>
        <v>CU1159</v>
      </c>
      <c r="C544" s="431" t="s">
        <v>755</v>
      </c>
      <c r="D544" s="367" t="s">
        <v>1722</v>
      </c>
      <c r="E544" s="367" t="s">
        <v>1837</v>
      </c>
      <c r="F544" s="439">
        <v>43881</v>
      </c>
      <c r="G544" s="430">
        <v>346996.43</v>
      </c>
      <c r="H544" s="440"/>
      <c r="I544" s="440">
        <f t="shared" si="334"/>
        <v>346996.43</v>
      </c>
      <c r="J544" s="440"/>
      <c r="L544" s="462">
        <f t="shared" si="335"/>
        <v>346996.43</v>
      </c>
      <c r="M544" s="462"/>
      <c r="N544" s="444"/>
      <c r="O544" s="462">
        <f t="shared" si="336"/>
        <v>346996.43</v>
      </c>
      <c r="R544" s="462">
        <f t="shared" si="337"/>
        <v>346996.43</v>
      </c>
      <c r="U544" s="462">
        <f t="shared" si="338"/>
        <v>346996.43</v>
      </c>
      <c r="X544" s="462">
        <f t="shared" si="339"/>
        <v>346996.43</v>
      </c>
      <c r="AA544" s="462">
        <f t="shared" si="340"/>
        <v>346996.43</v>
      </c>
      <c r="AD544" s="462">
        <f t="shared" si="341"/>
        <v>346996.43</v>
      </c>
      <c r="AG544" s="462">
        <f t="shared" si="342"/>
        <v>346996.43</v>
      </c>
      <c r="AJ544" s="462">
        <f t="shared" si="343"/>
        <v>346996.43</v>
      </c>
      <c r="AM544" s="462">
        <f t="shared" si="349"/>
        <v>346996.43</v>
      </c>
      <c r="AP544" s="462">
        <f t="shared" si="344"/>
        <v>346996.43</v>
      </c>
      <c r="AS544" s="459">
        <f t="shared" si="348"/>
        <v>346996.43</v>
      </c>
      <c r="AV544" s="462">
        <f t="shared" si="345"/>
        <v>346996.43</v>
      </c>
      <c r="AW544" s="447" t="s">
        <v>2091</v>
      </c>
      <c r="AY544" s="462">
        <f t="shared" si="346"/>
        <v>346996.43</v>
      </c>
      <c r="AZ544" s="447" t="s">
        <v>2133</v>
      </c>
      <c r="BA544" s="447">
        <f>ROUND(361084.08/1.06,2)</f>
        <v>340645.36</v>
      </c>
      <c r="BB544" s="462">
        <f t="shared" si="347"/>
        <v>6351.070000000007</v>
      </c>
      <c r="BC544" s="447" t="s">
        <v>2218</v>
      </c>
      <c r="BD544" s="462">
        <f>BB544</f>
        <v>6351.070000000007</v>
      </c>
      <c r="BE544" s="462">
        <f t="shared" si="322"/>
        <v>0</v>
      </c>
      <c r="BF544" s="447" t="s">
        <v>2239</v>
      </c>
      <c r="BH544" s="462">
        <f t="shared" si="323"/>
        <v>0</v>
      </c>
      <c r="BK544" s="462">
        <f t="shared" si="324"/>
        <v>0</v>
      </c>
      <c r="BN544" s="462">
        <f t="shared" si="325"/>
        <v>0</v>
      </c>
      <c r="BQ544" s="462">
        <f t="shared" si="326"/>
        <v>0</v>
      </c>
      <c r="BT544" s="462">
        <f t="shared" si="327"/>
        <v>0</v>
      </c>
      <c r="BW544" s="462">
        <f t="shared" si="328"/>
        <v>0</v>
      </c>
      <c r="BZ544" s="462">
        <f t="shared" si="329"/>
        <v>0</v>
      </c>
      <c r="CD544" s="418" t="str">
        <f t="shared" si="330"/>
        <v>CU1159001</v>
      </c>
      <c r="CE544" s="442" t="str">
        <f t="shared" si="331"/>
        <v>2020年2月</v>
      </c>
      <c r="CF544" s="418" t="str">
        <f t="shared" si="332"/>
        <v>北京万国长clife服务费暂估</v>
      </c>
      <c r="CG544" s="418" t="str">
        <f t="shared" si="333"/>
        <v>2020年2月北京万国长clife服务费暂估</v>
      </c>
    </row>
    <row r="545" spans="2:85" s="447" customFormat="1" ht="17.25" customHeight="1">
      <c r="B545" s="447" t="str">
        <f t="shared" si="321"/>
        <v>CU1223</v>
      </c>
      <c r="C545" s="431" t="s">
        <v>755</v>
      </c>
      <c r="D545" s="367" t="s">
        <v>1842</v>
      </c>
      <c r="E545" s="367" t="s">
        <v>1838</v>
      </c>
      <c r="F545" s="439">
        <v>43882</v>
      </c>
      <c r="G545" s="430">
        <v>8740.4699999999993</v>
      </c>
      <c r="H545" s="440"/>
      <c r="I545" s="440">
        <f t="shared" si="334"/>
        <v>8740.4699999999993</v>
      </c>
      <c r="J545" s="440"/>
      <c r="L545" s="462">
        <f t="shared" si="335"/>
        <v>8740.4699999999993</v>
      </c>
      <c r="M545" s="462"/>
      <c r="N545" s="444"/>
      <c r="O545" s="462">
        <f t="shared" si="336"/>
        <v>8740.4699999999993</v>
      </c>
      <c r="R545" s="462">
        <f t="shared" si="337"/>
        <v>8740.4699999999993</v>
      </c>
      <c r="U545" s="462">
        <f t="shared" si="338"/>
        <v>8740.4699999999993</v>
      </c>
      <c r="X545" s="462">
        <f t="shared" si="339"/>
        <v>8740.4699999999993</v>
      </c>
      <c r="AA545" s="462">
        <f t="shared" si="340"/>
        <v>8740.4699999999993</v>
      </c>
      <c r="AD545" s="462">
        <f t="shared" si="341"/>
        <v>8740.4699999999993</v>
      </c>
      <c r="AG545" s="462">
        <f t="shared" si="342"/>
        <v>8740.4699999999993</v>
      </c>
      <c r="AJ545" s="462">
        <f t="shared" si="343"/>
        <v>8740.4699999999993</v>
      </c>
      <c r="AM545" s="462">
        <f t="shared" si="349"/>
        <v>8740.4699999999993</v>
      </c>
      <c r="AP545" s="462">
        <f t="shared" si="344"/>
        <v>8740.4699999999993</v>
      </c>
      <c r="AS545" s="459">
        <f t="shared" si="348"/>
        <v>8740.4699999999993</v>
      </c>
      <c r="AV545" s="462">
        <f t="shared" si="345"/>
        <v>8740.4699999999993</v>
      </c>
      <c r="AW545" s="447" t="s">
        <v>2091</v>
      </c>
      <c r="AY545" s="462">
        <f t="shared" si="346"/>
        <v>8740.4699999999993</v>
      </c>
      <c r="AZ545" s="447" t="s">
        <v>2133</v>
      </c>
      <c r="BB545" s="462">
        <f t="shared" si="347"/>
        <v>8740.4699999999993</v>
      </c>
      <c r="BC545" s="447" t="s">
        <v>2218</v>
      </c>
      <c r="BE545" s="462">
        <f t="shared" si="322"/>
        <v>8740.4699999999993</v>
      </c>
      <c r="BF545" s="447" t="s">
        <v>2239</v>
      </c>
      <c r="BH545" s="462">
        <f t="shared" si="323"/>
        <v>8740.4699999999993</v>
      </c>
      <c r="BI545" s="447" t="s">
        <v>2294</v>
      </c>
      <c r="BJ545" s="462">
        <f>BH545</f>
        <v>8740.4699999999993</v>
      </c>
      <c r="BK545" s="462">
        <f t="shared" si="324"/>
        <v>0</v>
      </c>
      <c r="BN545" s="462">
        <f t="shared" si="325"/>
        <v>0</v>
      </c>
      <c r="BQ545" s="462">
        <f t="shared" si="326"/>
        <v>0</v>
      </c>
      <c r="BT545" s="462">
        <f t="shared" si="327"/>
        <v>0</v>
      </c>
      <c r="BW545" s="462">
        <f t="shared" si="328"/>
        <v>0</v>
      </c>
      <c r="BZ545" s="462">
        <f t="shared" si="329"/>
        <v>0</v>
      </c>
      <c r="CD545" s="418" t="str">
        <f t="shared" si="330"/>
        <v>CU1223001</v>
      </c>
      <c r="CE545" s="442" t="str">
        <f t="shared" si="331"/>
        <v>2020年2月</v>
      </c>
      <c r="CF545" s="418" t="str">
        <f t="shared" si="332"/>
        <v>上海品盛化clife服务费暂估</v>
      </c>
      <c r="CG545" s="418" t="str">
        <f t="shared" si="333"/>
        <v>2020年2月上海品盛化clife服务费暂估</v>
      </c>
    </row>
    <row r="546" spans="2:85" s="447" customFormat="1" ht="17.25" customHeight="1">
      <c r="B546" s="447" t="str">
        <f t="shared" si="321"/>
        <v>CU1705</v>
      </c>
      <c r="C546" s="431" t="s">
        <v>755</v>
      </c>
      <c r="D546" s="552" t="s">
        <v>1848</v>
      </c>
      <c r="E546" s="552" t="s">
        <v>1845</v>
      </c>
      <c r="F546" s="553">
        <v>43883</v>
      </c>
      <c r="G546" s="554">
        <v>320051.36</v>
      </c>
      <c r="H546" s="440"/>
      <c r="I546" s="440">
        <f t="shared" si="334"/>
        <v>320051.36</v>
      </c>
      <c r="J546" s="440"/>
      <c r="L546" s="462">
        <f t="shared" si="335"/>
        <v>320051.36</v>
      </c>
      <c r="M546" s="462"/>
      <c r="N546" s="444"/>
      <c r="O546" s="462">
        <f t="shared" si="336"/>
        <v>320051.36</v>
      </c>
      <c r="R546" s="462">
        <f t="shared" si="337"/>
        <v>320051.36</v>
      </c>
      <c r="U546" s="462">
        <f t="shared" si="338"/>
        <v>320051.36</v>
      </c>
      <c r="X546" s="462">
        <f t="shared" si="339"/>
        <v>320051.36</v>
      </c>
      <c r="AA546" s="462">
        <f t="shared" si="340"/>
        <v>320051.36</v>
      </c>
      <c r="AD546" s="462">
        <f t="shared" si="341"/>
        <v>320051.36</v>
      </c>
      <c r="AG546" s="462">
        <f t="shared" si="342"/>
        <v>320051.36</v>
      </c>
      <c r="AJ546" s="462">
        <f t="shared" si="343"/>
        <v>320051.36</v>
      </c>
      <c r="AM546" s="462">
        <f t="shared" si="349"/>
        <v>320051.36</v>
      </c>
      <c r="AP546" s="462">
        <f t="shared" si="344"/>
        <v>320051.36</v>
      </c>
      <c r="AS546" s="459">
        <f t="shared" si="348"/>
        <v>320051.36</v>
      </c>
      <c r="AV546" s="462">
        <f t="shared" si="345"/>
        <v>320051.36</v>
      </c>
      <c r="AW546" s="447" t="s">
        <v>2091</v>
      </c>
      <c r="AX546" s="447">
        <v>306430.18</v>
      </c>
      <c r="AY546" s="462">
        <f t="shared" si="346"/>
        <v>13621.179999999993</v>
      </c>
      <c r="AZ546" s="447" t="s">
        <v>2133</v>
      </c>
      <c r="BB546" s="462">
        <f t="shared" si="347"/>
        <v>13621.179999999993</v>
      </c>
      <c r="BC546" s="447" t="s">
        <v>2218</v>
      </c>
      <c r="BD546" s="462">
        <f>BB546</f>
        <v>13621.179999999993</v>
      </c>
      <c r="BE546" s="462">
        <f t="shared" si="322"/>
        <v>0</v>
      </c>
      <c r="BF546" s="447" t="s">
        <v>2239</v>
      </c>
      <c r="BH546" s="462">
        <f t="shared" si="323"/>
        <v>0</v>
      </c>
      <c r="BK546" s="462">
        <f t="shared" si="324"/>
        <v>0</v>
      </c>
      <c r="BN546" s="462">
        <f t="shared" si="325"/>
        <v>0</v>
      </c>
      <c r="BQ546" s="462">
        <f t="shared" si="326"/>
        <v>0</v>
      </c>
      <c r="BT546" s="462">
        <f t="shared" si="327"/>
        <v>0</v>
      </c>
      <c r="BW546" s="462">
        <f t="shared" si="328"/>
        <v>0</v>
      </c>
      <c r="BZ546" s="462">
        <f t="shared" si="329"/>
        <v>0</v>
      </c>
      <c r="CD546" s="418" t="str">
        <f t="shared" si="330"/>
        <v>CU1705001</v>
      </c>
      <c r="CE546" s="442" t="str">
        <f t="shared" si="331"/>
        <v>2020年2月</v>
      </c>
      <c r="CF546" s="418" t="str">
        <f t="shared" si="332"/>
        <v>通标标准技clife服务费暂估</v>
      </c>
      <c r="CG546" s="418" t="str">
        <f t="shared" si="333"/>
        <v>2020年2月通标标准技clife服务费暂估</v>
      </c>
    </row>
    <row r="547" spans="2:85" s="447" customFormat="1" ht="17.25" customHeight="1">
      <c r="B547" s="447" t="str">
        <f t="shared" si="321"/>
        <v>CU1853</v>
      </c>
      <c r="C547" s="431" t="s">
        <v>755</v>
      </c>
      <c r="D547" s="452" t="s">
        <v>2099</v>
      </c>
      <c r="E547" s="463" t="s">
        <v>2100</v>
      </c>
      <c r="F547" s="439">
        <v>43884</v>
      </c>
      <c r="G547" s="430">
        <v>100000</v>
      </c>
      <c r="H547" s="440"/>
      <c r="I547" s="440">
        <f t="shared" si="334"/>
        <v>100000</v>
      </c>
      <c r="J547" s="440"/>
      <c r="L547" s="462">
        <f t="shared" si="335"/>
        <v>100000</v>
      </c>
      <c r="M547" s="462"/>
      <c r="N547" s="444"/>
      <c r="O547" s="462">
        <f t="shared" si="336"/>
        <v>100000</v>
      </c>
      <c r="R547" s="462">
        <f t="shared" si="337"/>
        <v>100000</v>
      </c>
      <c r="U547" s="462">
        <f t="shared" si="338"/>
        <v>100000</v>
      </c>
      <c r="X547" s="462">
        <f t="shared" si="339"/>
        <v>100000</v>
      </c>
      <c r="AA547" s="462">
        <f t="shared" si="340"/>
        <v>100000</v>
      </c>
      <c r="AD547" s="462">
        <f t="shared" si="341"/>
        <v>100000</v>
      </c>
      <c r="AG547" s="462">
        <f t="shared" si="342"/>
        <v>100000</v>
      </c>
      <c r="AJ547" s="462">
        <f t="shared" si="343"/>
        <v>100000</v>
      </c>
      <c r="AM547" s="462">
        <f t="shared" si="349"/>
        <v>100000</v>
      </c>
      <c r="AP547" s="462">
        <f t="shared" si="344"/>
        <v>100000</v>
      </c>
      <c r="AS547" s="459">
        <f t="shared" si="348"/>
        <v>100000</v>
      </c>
      <c r="AV547" s="462">
        <f t="shared" si="345"/>
        <v>100000</v>
      </c>
      <c r="AW547" s="447" t="s">
        <v>369</v>
      </c>
      <c r="AY547" s="462">
        <f t="shared" si="346"/>
        <v>100000</v>
      </c>
      <c r="AZ547" s="447" t="s">
        <v>2133</v>
      </c>
      <c r="BB547" s="462">
        <f t="shared" si="347"/>
        <v>100000</v>
      </c>
      <c r="BC547" s="447" t="s">
        <v>2218</v>
      </c>
      <c r="BE547" s="462">
        <f t="shared" si="322"/>
        <v>100000</v>
      </c>
      <c r="BF547" s="447" t="s">
        <v>2239</v>
      </c>
      <c r="BG547" s="447">
        <v>100000</v>
      </c>
      <c r="BH547" s="462">
        <f t="shared" si="323"/>
        <v>0</v>
      </c>
      <c r="BK547" s="462">
        <f t="shared" si="324"/>
        <v>0</v>
      </c>
      <c r="BN547" s="462">
        <f t="shared" si="325"/>
        <v>0</v>
      </c>
      <c r="BQ547" s="462">
        <f t="shared" si="326"/>
        <v>0</v>
      </c>
      <c r="BT547" s="462">
        <f t="shared" si="327"/>
        <v>0</v>
      </c>
      <c r="BW547" s="462">
        <f t="shared" si="328"/>
        <v>0</v>
      </c>
      <c r="BZ547" s="462">
        <f t="shared" si="329"/>
        <v>0</v>
      </c>
      <c r="CD547" s="418" t="str">
        <f t="shared" si="330"/>
        <v>CU1853001</v>
      </c>
      <c r="CE547" s="442" t="str">
        <f t="shared" si="331"/>
        <v>2020年2月</v>
      </c>
      <c r="CF547" s="418" t="str">
        <f t="shared" si="332"/>
        <v>北京易车互clife服务费暂估</v>
      </c>
      <c r="CG547" s="418" t="str">
        <f t="shared" si="333"/>
        <v>2020年2月北京易车互clife服务费暂估</v>
      </c>
    </row>
    <row r="548" spans="2:85" s="447" customFormat="1" ht="17.25" customHeight="1">
      <c r="B548" s="447" t="str">
        <f t="shared" si="321"/>
        <v>CU1861</v>
      </c>
      <c r="C548" s="431" t="s">
        <v>755</v>
      </c>
      <c r="D548" s="452" t="s">
        <v>2098</v>
      </c>
      <c r="E548" s="463" t="s">
        <v>2101</v>
      </c>
      <c r="F548" s="439">
        <v>43885</v>
      </c>
      <c r="G548" s="430">
        <v>156999.07</v>
      </c>
      <c r="H548" s="440"/>
      <c r="I548" s="440">
        <f t="shared" si="334"/>
        <v>156999.07</v>
      </c>
      <c r="J548" s="440"/>
      <c r="L548" s="462">
        <f t="shared" si="335"/>
        <v>156999.07</v>
      </c>
      <c r="M548" s="462"/>
      <c r="N548" s="444"/>
      <c r="O548" s="462">
        <f t="shared" si="336"/>
        <v>156999.07</v>
      </c>
      <c r="R548" s="462">
        <f t="shared" si="337"/>
        <v>156999.07</v>
      </c>
      <c r="U548" s="462">
        <f t="shared" si="338"/>
        <v>156999.07</v>
      </c>
      <c r="X548" s="462">
        <f t="shared" si="339"/>
        <v>156999.07</v>
      </c>
      <c r="AA548" s="462">
        <f t="shared" si="340"/>
        <v>156999.07</v>
      </c>
      <c r="AD548" s="462">
        <f t="shared" si="341"/>
        <v>156999.07</v>
      </c>
      <c r="AG548" s="462">
        <f t="shared" si="342"/>
        <v>156999.07</v>
      </c>
      <c r="AJ548" s="462">
        <f t="shared" si="343"/>
        <v>156999.07</v>
      </c>
      <c r="AM548" s="462">
        <f t="shared" si="349"/>
        <v>156999.07</v>
      </c>
      <c r="AP548" s="462">
        <f t="shared" si="344"/>
        <v>156999.07</v>
      </c>
      <c r="AS548" s="459">
        <f t="shared" si="348"/>
        <v>156999.07</v>
      </c>
      <c r="AV548" s="462">
        <f t="shared" si="345"/>
        <v>156999.07</v>
      </c>
      <c r="AW548" s="447" t="s">
        <v>369</v>
      </c>
      <c r="AY548" s="462">
        <f t="shared" si="346"/>
        <v>156999.07</v>
      </c>
      <c r="AZ548" s="447" t="s">
        <v>2133</v>
      </c>
      <c r="BB548" s="462">
        <f t="shared" si="347"/>
        <v>156999.07</v>
      </c>
      <c r="BC548" s="447" t="s">
        <v>2218</v>
      </c>
      <c r="BD548" s="462">
        <f>BB548</f>
        <v>156999.07</v>
      </c>
      <c r="BE548" s="462">
        <f t="shared" si="322"/>
        <v>0</v>
      </c>
      <c r="BF548" s="447" t="s">
        <v>2239</v>
      </c>
      <c r="BH548" s="462">
        <f t="shared" si="323"/>
        <v>0</v>
      </c>
      <c r="BK548" s="462">
        <f t="shared" si="324"/>
        <v>0</v>
      </c>
      <c r="BN548" s="462">
        <f t="shared" si="325"/>
        <v>0</v>
      </c>
      <c r="BQ548" s="462">
        <f t="shared" si="326"/>
        <v>0</v>
      </c>
      <c r="BT548" s="462">
        <f t="shared" si="327"/>
        <v>0</v>
      </c>
      <c r="BW548" s="462">
        <f t="shared" si="328"/>
        <v>0</v>
      </c>
      <c r="BZ548" s="462">
        <f t="shared" si="329"/>
        <v>0</v>
      </c>
      <c r="CD548" s="418" t="str">
        <f t="shared" si="330"/>
        <v>CU1861001</v>
      </c>
      <c r="CE548" s="442" t="str">
        <f t="shared" si="331"/>
        <v>2020年2月</v>
      </c>
      <c r="CF548" s="418" t="str">
        <f t="shared" si="332"/>
        <v>丞家（上海clife服务费暂估</v>
      </c>
      <c r="CG548" s="418" t="str">
        <f t="shared" si="333"/>
        <v>2020年2月丞家（上海clife服务费暂估</v>
      </c>
    </row>
    <row r="549" spans="2:85" s="447" customFormat="1" ht="17.25" customHeight="1">
      <c r="B549" s="447" t="str">
        <f t="shared" si="321"/>
        <v>CU0562</v>
      </c>
      <c r="C549" s="431" t="s">
        <v>755</v>
      </c>
      <c r="D549" s="452" t="s">
        <v>2110</v>
      </c>
      <c r="E549" s="463" t="s">
        <v>2109</v>
      </c>
      <c r="F549" s="439">
        <v>43885</v>
      </c>
      <c r="G549" s="430">
        <v>10449.5</v>
      </c>
      <c r="H549" s="440"/>
      <c r="I549" s="440">
        <f t="shared" ref="I549:I580" si="350">G549-H549</f>
        <v>10449.5</v>
      </c>
      <c r="J549" s="440"/>
      <c r="L549" s="462">
        <f t="shared" ref="L549:L580" si="351">I549-K549</f>
        <v>10449.5</v>
      </c>
      <c r="M549" s="462"/>
      <c r="N549" s="444"/>
      <c r="O549" s="462">
        <f t="shared" ref="O549:O580" si="352">L549-N549</f>
        <v>10449.5</v>
      </c>
      <c r="R549" s="462">
        <f t="shared" ref="R549:R580" si="353">O549-Q549</f>
        <v>10449.5</v>
      </c>
      <c r="U549" s="462">
        <f t="shared" ref="U549:U580" si="354">R549-T549</f>
        <v>10449.5</v>
      </c>
      <c r="X549" s="462">
        <f t="shared" ref="X549:X580" si="355">U549-W549</f>
        <v>10449.5</v>
      </c>
      <c r="AA549" s="462">
        <f t="shared" ref="AA549:AA580" si="356">X549-Z549</f>
        <v>10449.5</v>
      </c>
      <c r="AD549" s="462">
        <f t="shared" ref="AD549:AD580" si="357">AA549-AC549</f>
        <v>10449.5</v>
      </c>
      <c r="AG549" s="462">
        <f t="shared" ref="AG549:AG580" si="358">AD549-AF549</f>
        <v>10449.5</v>
      </c>
      <c r="AJ549" s="462">
        <f t="shared" ref="AJ549:AJ580" si="359">AG549-AI549</f>
        <v>10449.5</v>
      </c>
      <c r="AM549" s="462">
        <f t="shared" si="349"/>
        <v>10449.5</v>
      </c>
      <c r="AP549" s="462">
        <f t="shared" ref="AP549:AP580" si="360">AM549-AO549</f>
        <v>10449.5</v>
      </c>
      <c r="AS549" s="459">
        <f t="shared" si="348"/>
        <v>10449.5</v>
      </c>
      <c r="AV549" s="462">
        <f t="shared" ref="AV549:AV580" si="361">AS549-AU549</f>
        <v>10449.5</v>
      </c>
      <c r="AY549" s="462">
        <f t="shared" ref="AY549:AY580" si="362">AV549-AX549</f>
        <v>10449.5</v>
      </c>
      <c r="AZ549" s="447" t="s">
        <v>2133</v>
      </c>
      <c r="BB549" s="462">
        <f t="shared" ref="BB549:BB580" si="363">AY549-BA549</f>
        <v>10449.5</v>
      </c>
      <c r="BC549" s="447" t="s">
        <v>2218</v>
      </c>
      <c r="BE549" s="462">
        <f t="shared" si="322"/>
        <v>10449.5</v>
      </c>
      <c r="BF549" s="447" t="s">
        <v>2239</v>
      </c>
      <c r="BH549" s="462">
        <f t="shared" si="323"/>
        <v>10449.5</v>
      </c>
      <c r="BI549" s="447" t="s">
        <v>2294</v>
      </c>
      <c r="BK549" s="462">
        <f t="shared" si="324"/>
        <v>10449.5</v>
      </c>
      <c r="BL549" s="447" t="s">
        <v>2341</v>
      </c>
      <c r="BN549" s="462">
        <f t="shared" si="325"/>
        <v>10449.5</v>
      </c>
      <c r="BO549" s="447" t="s">
        <v>2364</v>
      </c>
      <c r="BQ549" s="462">
        <f t="shared" si="326"/>
        <v>10449.5</v>
      </c>
      <c r="BT549" s="462">
        <f t="shared" si="327"/>
        <v>10449.5</v>
      </c>
      <c r="BU549" s="447" t="s">
        <v>2134</v>
      </c>
      <c r="BW549" s="462">
        <f t="shared" si="328"/>
        <v>10449.5</v>
      </c>
      <c r="BZ549" s="462">
        <f t="shared" si="329"/>
        <v>10449.5</v>
      </c>
      <c r="CD549" s="418" t="str">
        <f t="shared" si="330"/>
        <v>CU0562001</v>
      </c>
      <c r="CE549" s="442" t="str">
        <f t="shared" si="331"/>
        <v>2020年2月</v>
      </c>
      <c r="CF549" s="418" t="str">
        <f t="shared" si="332"/>
        <v>杭州康晟健clife服务费暂估</v>
      </c>
      <c r="CG549" s="418" t="str">
        <f t="shared" si="333"/>
        <v>2020年2月杭州康晟健clife服务费暂估</v>
      </c>
    </row>
    <row r="550" spans="2:85" s="447" customFormat="1" ht="17.25" customHeight="1">
      <c r="B550" s="447" t="str">
        <f t="shared" si="321"/>
        <v>CU0017</v>
      </c>
      <c r="C550" s="431" t="s">
        <v>755</v>
      </c>
      <c r="D550" s="452" t="s">
        <v>2024</v>
      </c>
      <c r="E550" s="463" t="s">
        <v>2146</v>
      </c>
      <c r="F550" s="439">
        <v>43891</v>
      </c>
      <c r="G550" s="430">
        <v>1912.9</v>
      </c>
      <c r="H550" s="440"/>
      <c r="I550" s="440">
        <f t="shared" si="350"/>
        <v>1912.9</v>
      </c>
      <c r="J550" s="440"/>
      <c r="L550" s="462">
        <f t="shared" si="351"/>
        <v>1912.9</v>
      </c>
      <c r="M550" s="462"/>
      <c r="N550" s="444"/>
      <c r="O550" s="462">
        <f t="shared" si="352"/>
        <v>1912.9</v>
      </c>
      <c r="R550" s="462">
        <f t="shared" si="353"/>
        <v>1912.9</v>
      </c>
      <c r="U550" s="462">
        <f t="shared" si="354"/>
        <v>1912.9</v>
      </c>
      <c r="X550" s="462">
        <f t="shared" si="355"/>
        <v>1912.9</v>
      </c>
      <c r="AA550" s="462">
        <f t="shared" si="356"/>
        <v>1912.9</v>
      </c>
      <c r="AD550" s="462">
        <f t="shared" si="357"/>
        <v>1912.9</v>
      </c>
      <c r="AG550" s="462">
        <f t="shared" si="358"/>
        <v>1912.9</v>
      </c>
      <c r="AJ550" s="462">
        <f t="shared" si="359"/>
        <v>1912.9</v>
      </c>
      <c r="AM550" s="462">
        <f t="shared" si="349"/>
        <v>1912.9</v>
      </c>
      <c r="AP550" s="462">
        <f t="shared" si="360"/>
        <v>1912.9</v>
      </c>
      <c r="AS550" s="459">
        <f t="shared" si="348"/>
        <v>1912.9</v>
      </c>
      <c r="AV550" s="462">
        <f t="shared" si="361"/>
        <v>1912.9</v>
      </c>
      <c r="AY550" s="462">
        <f t="shared" si="362"/>
        <v>1912.9</v>
      </c>
      <c r="AZ550" s="447" t="s">
        <v>2183</v>
      </c>
      <c r="BA550" s="462">
        <f>1010+1804+12770+1985-BA455-BA525</f>
        <v>1256.619999999999</v>
      </c>
      <c r="BB550" s="462">
        <f t="shared" si="363"/>
        <v>656.28000000000111</v>
      </c>
      <c r="BD550" s="447">
        <v>636</v>
      </c>
      <c r="BE550" s="462">
        <f t="shared" si="322"/>
        <v>20.28000000000111</v>
      </c>
      <c r="BF550" s="447" t="s">
        <v>2240</v>
      </c>
      <c r="BH550" s="462">
        <f t="shared" si="323"/>
        <v>20.28000000000111</v>
      </c>
      <c r="BK550" s="462">
        <f t="shared" si="324"/>
        <v>20.28000000000111</v>
      </c>
      <c r="BL550" s="447" t="s">
        <v>2341</v>
      </c>
      <c r="BN550" s="462">
        <f t="shared" si="325"/>
        <v>20.28000000000111</v>
      </c>
      <c r="BO550" s="447" t="s">
        <v>2364</v>
      </c>
      <c r="BQ550" s="462">
        <f t="shared" si="326"/>
        <v>20.28</v>
      </c>
      <c r="BT550" s="462">
        <f t="shared" si="327"/>
        <v>20.28</v>
      </c>
      <c r="BU550" s="447" t="s">
        <v>2134</v>
      </c>
      <c r="BW550" s="462">
        <f t="shared" si="328"/>
        <v>20.28</v>
      </c>
      <c r="BZ550" s="462">
        <f t="shared" si="329"/>
        <v>20.28</v>
      </c>
      <c r="CD550" s="418" t="str">
        <f t="shared" si="330"/>
        <v>CU0017001</v>
      </c>
      <c r="CE550" s="442" t="str">
        <f t="shared" si="331"/>
        <v>2020年3月</v>
      </c>
      <c r="CF550" s="418" t="str">
        <f t="shared" si="332"/>
        <v>易趋宏挤压clife服务费暂估</v>
      </c>
      <c r="CG550" s="418" t="str">
        <f t="shared" si="333"/>
        <v>2020年3月易趋宏挤压clife服务费暂估</v>
      </c>
    </row>
    <row r="551" spans="2:85" s="447" customFormat="1" ht="17.25" customHeight="1">
      <c r="B551" s="447" t="str">
        <f t="shared" si="321"/>
        <v>CU0109</v>
      </c>
      <c r="C551" s="431" t="s">
        <v>755</v>
      </c>
      <c r="D551" s="452" t="s">
        <v>1642</v>
      </c>
      <c r="E551" s="463" t="s">
        <v>2130</v>
      </c>
      <c r="F551" s="439">
        <v>43891</v>
      </c>
      <c r="G551" s="430">
        <v>8019</v>
      </c>
      <c r="H551" s="440"/>
      <c r="I551" s="440">
        <f t="shared" si="350"/>
        <v>8019</v>
      </c>
      <c r="J551" s="440"/>
      <c r="L551" s="462">
        <f t="shared" si="351"/>
        <v>8019</v>
      </c>
      <c r="M551" s="462"/>
      <c r="N551" s="444"/>
      <c r="O551" s="462">
        <f t="shared" si="352"/>
        <v>8019</v>
      </c>
      <c r="R551" s="462">
        <f t="shared" si="353"/>
        <v>8019</v>
      </c>
      <c r="U551" s="462">
        <f t="shared" si="354"/>
        <v>8019</v>
      </c>
      <c r="X551" s="462">
        <f t="shared" si="355"/>
        <v>8019</v>
      </c>
      <c r="AA551" s="462">
        <f t="shared" si="356"/>
        <v>8019</v>
      </c>
      <c r="AD551" s="462">
        <f t="shared" si="357"/>
        <v>8019</v>
      </c>
      <c r="AG551" s="462">
        <f t="shared" si="358"/>
        <v>8019</v>
      </c>
      <c r="AJ551" s="462">
        <f t="shared" si="359"/>
        <v>8019</v>
      </c>
      <c r="AM551" s="462">
        <f t="shared" si="349"/>
        <v>8019</v>
      </c>
      <c r="AP551" s="462">
        <f t="shared" si="360"/>
        <v>8019</v>
      </c>
      <c r="AS551" s="459">
        <f t="shared" si="348"/>
        <v>8019</v>
      </c>
      <c r="AV551" s="462">
        <f t="shared" si="361"/>
        <v>8019</v>
      </c>
      <c r="AY551" s="462">
        <f t="shared" si="362"/>
        <v>8019</v>
      </c>
      <c r="AZ551" s="447" t="s">
        <v>2183</v>
      </c>
      <c r="BB551" s="462">
        <f t="shared" si="363"/>
        <v>8019</v>
      </c>
      <c r="BE551" s="462">
        <f t="shared" si="322"/>
        <v>8019</v>
      </c>
      <c r="BF551" s="447" t="s">
        <v>2240</v>
      </c>
      <c r="BG551" s="462">
        <f>BE551</f>
        <v>8019</v>
      </c>
      <c r="BH551" s="462">
        <f t="shared" si="323"/>
        <v>0</v>
      </c>
      <c r="BK551" s="462">
        <f t="shared" si="324"/>
        <v>0</v>
      </c>
      <c r="BN551" s="462">
        <f t="shared" si="325"/>
        <v>0</v>
      </c>
      <c r="BQ551" s="462">
        <f t="shared" si="326"/>
        <v>0</v>
      </c>
      <c r="BT551" s="462">
        <f t="shared" si="327"/>
        <v>0</v>
      </c>
      <c r="BW551" s="462">
        <f t="shared" si="328"/>
        <v>0</v>
      </c>
      <c r="BZ551" s="462">
        <f t="shared" si="329"/>
        <v>0</v>
      </c>
      <c r="CD551" s="418" t="str">
        <f t="shared" si="330"/>
        <v>CU0109001</v>
      </c>
      <c r="CE551" s="442" t="str">
        <f t="shared" si="331"/>
        <v>2020年3月</v>
      </c>
      <c r="CF551" s="418" t="str">
        <f t="shared" si="332"/>
        <v>普拉达clife服务费暂估</v>
      </c>
      <c r="CG551" s="418" t="str">
        <f t="shared" si="333"/>
        <v>2020年3月普拉达clife服务费暂估</v>
      </c>
    </row>
    <row r="552" spans="2:85" s="447" customFormat="1" ht="17.25" customHeight="1">
      <c r="B552" s="447" t="str">
        <f t="shared" si="321"/>
        <v>CU0145</v>
      </c>
      <c r="C552" s="431" t="s">
        <v>755</v>
      </c>
      <c r="D552" s="452" t="s">
        <v>1451</v>
      </c>
      <c r="E552" s="463" t="s">
        <v>2147</v>
      </c>
      <c r="F552" s="439">
        <v>43891</v>
      </c>
      <c r="G552" s="430">
        <v>200755.95</v>
      </c>
      <c r="H552" s="440"/>
      <c r="I552" s="440">
        <f t="shared" si="350"/>
        <v>200755.95</v>
      </c>
      <c r="J552" s="440"/>
      <c r="L552" s="462">
        <f t="shared" si="351"/>
        <v>200755.95</v>
      </c>
      <c r="M552" s="462"/>
      <c r="N552" s="444"/>
      <c r="O552" s="462">
        <f t="shared" si="352"/>
        <v>200755.95</v>
      </c>
      <c r="R552" s="462">
        <f t="shared" si="353"/>
        <v>200755.95</v>
      </c>
      <c r="U552" s="462">
        <f t="shared" si="354"/>
        <v>200755.95</v>
      </c>
      <c r="X552" s="462">
        <f t="shared" si="355"/>
        <v>200755.95</v>
      </c>
      <c r="AA552" s="462">
        <f t="shared" si="356"/>
        <v>200755.95</v>
      </c>
      <c r="AD552" s="462">
        <f t="shared" si="357"/>
        <v>200755.95</v>
      </c>
      <c r="AG552" s="462">
        <f t="shared" si="358"/>
        <v>200755.95</v>
      </c>
      <c r="AJ552" s="462">
        <f t="shared" si="359"/>
        <v>200755.95</v>
      </c>
      <c r="AM552" s="462">
        <f t="shared" si="349"/>
        <v>200755.95</v>
      </c>
      <c r="AP552" s="462">
        <f t="shared" si="360"/>
        <v>200755.95</v>
      </c>
      <c r="AS552" s="459">
        <f t="shared" si="348"/>
        <v>200755.95</v>
      </c>
      <c r="AV552" s="462">
        <f t="shared" si="361"/>
        <v>200755.95</v>
      </c>
      <c r="AY552" s="462">
        <f t="shared" si="362"/>
        <v>200755.95</v>
      </c>
      <c r="AZ552" s="447" t="s">
        <v>2183</v>
      </c>
      <c r="BA552" s="447">
        <v>86255.37</v>
      </c>
      <c r="BB552" s="462">
        <f t="shared" si="363"/>
        <v>114500.58000000002</v>
      </c>
      <c r="BE552" s="462">
        <f t="shared" si="322"/>
        <v>114500.58000000002</v>
      </c>
      <c r="BF552" s="447" t="s">
        <v>2240</v>
      </c>
      <c r="BH552" s="462">
        <f t="shared" si="323"/>
        <v>114500.58000000002</v>
      </c>
      <c r="BI552" s="447" t="s">
        <v>2295</v>
      </c>
      <c r="BK552" s="462">
        <f t="shared" si="324"/>
        <v>114500.58000000002</v>
      </c>
      <c r="BL552" s="447" t="s">
        <v>2341</v>
      </c>
      <c r="BN552" s="462">
        <f t="shared" si="325"/>
        <v>114500.58000000002</v>
      </c>
      <c r="BO552" s="447" t="s">
        <v>2364</v>
      </c>
      <c r="BQ552" s="462">
        <f t="shared" si="326"/>
        <v>114500.58</v>
      </c>
      <c r="BS552" s="462">
        <f>BQ552</f>
        <v>114500.58</v>
      </c>
      <c r="BT552" s="462">
        <f t="shared" si="327"/>
        <v>0</v>
      </c>
      <c r="BW552" s="462">
        <f t="shared" si="328"/>
        <v>0</v>
      </c>
      <c r="BZ552" s="462">
        <f t="shared" si="329"/>
        <v>0</v>
      </c>
      <c r="CD552" s="418" t="str">
        <f t="shared" si="330"/>
        <v>CU0145001</v>
      </c>
      <c r="CE552" s="442" t="str">
        <f t="shared" si="331"/>
        <v>2020年3月</v>
      </c>
      <c r="CF552" s="418" t="str">
        <f t="shared" si="332"/>
        <v>锐珂亚太投clife服务费暂估</v>
      </c>
      <c r="CG552" s="418" t="str">
        <f t="shared" si="333"/>
        <v>2020年3月锐珂亚太投clife服务费暂估</v>
      </c>
    </row>
    <row r="553" spans="2:85" s="447" customFormat="1" ht="17.25" customHeight="1">
      <c r="B553" s="447" t="str">
        <f t="shared" si="321"/>
        <v>CU0182</v>
      </c>
      <c r="C553" s="431" t="s">
        <v>755</v>
      </c>
      <c r="D553" s="452" t="s">
        <v>1452</v>
      </c>
      <c r="E553" s="463" t="s">
        <v>2129</v>
      </c>
      <c r="F553" s="439">
        <v>43891</v>
      </c>
      <c r="G553" s="430">
        <v>615.04999999999995</v>
      </c>
      <c r="H553" s="440"/>
      <c r="I553" s="440">
        <f t="shared" si="350"/>
        <v>615.04999999999995</v>
      </c>
      <c r="J553" s="440"/>
      <c r="L553" s="462">
        <f t="shared" si="351"/>
        <v>615.04999999999995</v>
      </c>
      <c r="M553" s="462"/>
      <c r="N553" s="444"/>
      <c r="O553" s="462">
        <f t="shared" si="352"/>
        <v>615.04999999999995</v>
      </c>
      <c r="R553" s="462">
        <f t="shared" si="353"/>
        <v>615.04999999999995</v>
      </c>
      <c r="U553" s="462">
        <f t="shared" si="354"/>
        <v>615.04999999999995</v>
      </c>
      <c r="X553" s="462">
        <f t="shared" si="355"/>
        <v>615.04999999999995</v>
      </c>
      <c r="AA553" s="462">
        <f t="shared" si="356"/>
        <v>615.04999999999995</v>
      </c>
      <c r="AD553" s="462">
        <f t="shared" si="357"/>
        <v>615.04999999999995</v>
      </c>
      <c r="AG553" s="462">
        <f t="shared" si="358"/>
        <v>615.04999999999995</v>
      </c>
      <c r="AJ553" s="462">
        <f t="shared" si="359"/>
        <v>615.04999999999995</v>
      </c>
      <c r="AM553" s="462">
        <f t="shared" si="349"/>
        <v>615.04999999999995</v>
      </c>
      <c r="AP553" s="462">
        <f t="shared" si="360"/>
        <v>615.04999999999995</v>
      </c>
      <c r="AS553" s="459">
        <f t="shared" si="348"/>
        <v>615.04999999999995</v>
      </c>
      <c r="AV553" s="462">
        <f t="shared" si="361"/>
        <v>615.04999999999995</v>
      </c>
      <c r="AY553" s="462">
        <f t="shared" si="362"/>
        <v>615.04999999999995</v>
      </c>
      <c r="AZ553" s="447" t="s">
        <v>2183</v>
      </c>
      <c r="BB553" s="462">
        <f t="shared" si="363"/>
        <v>615.04999999999995</v>
      </c>
      <c r="BE553" s="462">
        <f t="shared" si="322"/>
        <v>615.04999999999995</v>
      </c>
      <c r="BF553" s="447" t="s">
        <v>2240</v>
      </c>
      <c r="BH553" s="462">
        <f t="shared" si="323"/>
        <v>615.04999999999995</v>
      </c>
      <c r="BI553" s="447" t="s">
        <v>2295</v>
      </c>
      <c r="BK553" s="462">
        <f t="shared" si="324"/>
        <v>615.04999999999995</v>
      </c>
      <c r="BL553" s="447" t="s">
        <v>2341</v>
      </c>
      <c r="BN553" s="462">
        <f t="shared" si="325"/>
        <v>615.04999999999995</v>
      </c>
      <c r="BO553" s="447" t="s">
        <v>2364</v>
      </c>
      <c r="BQ553" s="462">
        <f t="shared" si="326"/>
        <v>615.04999999999995</v>
      </c>
      <c r="BT553" s="462">
        <f t="shared" si="327"/>
        <v>615.04999999999995</v>
      </c>
      <c r="BU553" s="447" t="s">
        <v>2134</v>
      </c>
      <c r="BW553" s="462">
        <f t="shared" si="328"/>
        <v>615.04999999999995</v>
      </c>
      <c r="BZ553" s="462">
        <f t="shared" si="329"/>
        <v>615.04999999999995</v>
      </c>
      <c r="CD553" s="418" t="str">
        <f t="shared" si="330"/>
        <v>CU0182001</v>
      </c>
      <c r="CE553" s="442" t="str">
        <f t="shared" si="331"/>
        <v>2020年3月</v>
      </c>
      <c r="CF553" s="418" t="str">
        <f t="shared" si="332"/>
        <v>阿姆斯壮clife服务费暂估</v>
      </c>
      <c r="CG553" s="418" t="str">
        <f t="shared" si="333"/>
        <v>2020年3月阿姆斯壮clife服务费暂估</v>
      </c>
    </row>
    <row r="554" spans="2:85" s="447" customFormat="1" ht="17.25" customHeight="1">
      <c r="B554" s="447" t="str">
        <f t="shared" si="321"/>
        <v>CU0238</v>
      </c>
      <c r="C554" s="431" t="s">
        <v>755</v>
      </c>
      <c r="D554" s="452" t="s">
        <v>1987</v>
      </c>
      <c r="E554" s="463" t="s">
        <v>2148</v>
      </c>
      <c r="F554" s="439">
        <v>43891</v>
      </c>
      <c r="G554" s="430">
        <v>99</v>
      </c>
      <c r="H554" s="440"/>
      <c r="I554" s="440">
        <f t="shared" si="350"/>
        <v>99</v>
      </c>
      <c r="J554" s="440"/>
      <c r="L554" s="462">
        <f t="shared" si="351"/>
        <v>99</v>
      </c>
      <c r="M554" s="462"/>
      <c r="N554" s="444"/>
      <c r="O554" s="462">
        <f t="shared" si="352"/>
        <v>99</v>
      </c>
      <c r="R554" s="462">
        <f t="shared" si="353"/>
        <v>99</v>
      </c>
      <c r="U554" s="462">
        <f t="shared" si="354"/>
        <v>99</v>
      </c>
      <c r="X554" s="462">
        <f t="shared" si="355"/>
        <v>99</v>
      </c>
      <c r="AA554" s="462">
        <f t="shared" si="356"/>
        <v>99</v>
      </c>
      <c r="AD554" s="462">
        <f t="shared" si="357"/>
        <v>99</v>
      </c>
      <c r="AG554" s="462">
        <f t="shared" si="358"/>
        <v>99</v>
      </c>
      <c r="AJ554" s="462">
        <f t="shared" si="359"/>
        <v>99</v>
      </c>
      <c r="AM554" s="462">
        <f t="shared" si="349"/>
        <v>99</v>
      </c>
      <c r="AP554" s="462">
        <f t="shared" si="360"/>
        <v>99</v>
      </c>
      <c r="AS554" s="459">
        <f t="shared" si="348"/>
        <v>99</v>
      </c>
      <c r="AV554" s="462">
        <f t="shared" si="361"/>
        <v>99</v>
      </c>
      <c r="AY554" s="462">
        <f t="shared" si="362"/>
        <v>99</v>
      </c>
      <c r="AZ554" s="447" t="s">
        <v>2183</v>
      </c>
      <c r="BB554" s="462">
        <f t="shared" si="363"/>
        <v>99</v>
      </c>
      <c r="BE554" s="462">
        <f t="shared" si="322"/>
        <v>99</v>
      </c>
      <c r="BF554" s="447" t="s">
        <v>2240</v>
      </c>
      <c r="BH554" s="462">
        <f t="shared" si="323"/>
        <v>99</v>
      </c>
      <c r="BI554" s="447" t="s">
        <v>2295</v>
      </c>
      <c r="BK554" s="462">
        <f t="shared" si="324"/>
        <v>99</v>
      </c>
      <c r="BL554" s="447" t="s">
        <v>2341</v>
      </c>
      <c r="BN554" s="462">
        <f t="shared" si="325"/>
        <v>99</v>
      </c>
      <c r="BO554" s="447" t="s">
        <v>2364</v>
      </c>
      <c r="BQ554" s="462">
        <f t="shared" si="326"/>
        <v>99</v>
      </c>
      <c r="BS554" s="462">
        <f>BQ554</f>
        <v>99</v>
      </c>
      <c r="BT554" s="462">
        <f t="shared" si="327"/>
        <v>0</v>
      </c>
      <c r="BW554" s="462">
        <f t="shared" si="328"/>
        <v>0</v>
      </c>
      <c r="BZ554" s="462">
        <f t="shared" si="329"/>
        <v>0</v>
      </c>
      <c r="CD554" s="418" t="str">
        <f t="shared" si="330"/>
        <v>CU0238001</v>
      </c>
      <c r="CE554" s="442" t="str">
        <f t="shared" si="331"/>
        <v>2020年3月</v>
      </c>
      <c r="CF554" s="418" t="str">
        <f t="shared" si="332"/>
        <v>丘奇鞋业clife服务费暂估</v>
      </c>
      <c r="CG554" s="418" t="str">
        <f t="shared" si="333"/>
        <v>2020年3月丘奇鞋业clife服务费暂估</v>
      </c>
    </row>
    <row r="555" spans="2:85" s="447" customFormat="1" ht="17.25" customHeight="1">
      <c r="B555" s="447" t="str">
        <f t="shared" si="321"/>
        <v>CU0351</v>
      </c>
      <c r="C555" s="431" t="s">
        <v>755</v>
      </c>
      <c r="D555" s="452" t="s">
        <v>1571</v>
      </c>
      <c r="E555" s="463" t="s">
        <v>2149</v>
      </c>
      <c r="F555" s="439">
        <v>43891</v>
      </c>
      <c r="G555" s="430">
        <v>33017.25</v>
      </c>
      <c r="H555" s="440"/>
      <c r="I555" s="440">
        <f t="shared" si="350"/>
        <v>33017.25</v>
      </c>
      <c r="J555" s="440"/>
      <c r="L555" s="462">
        <f t="shared" si="351"/>
        <v>33017.25</v>
      </c>
      <c r="M555" s="462"/>
      <c r="N555" s="444"/>
      <c r="O555" s="462">
        <f t="shared" si="352"/>
        <v>33017.25</v>
      </c>
      <c r="R555" s="462">
        <f t="shared" si="353"/>
        <v>33017.25</v>
      </c>
      <c r="U555" s="462">
        <f t="shared" si="354"/>
        <v>33017.25</v>
      </c>
      <c r="X555" s="462">
        <f t="shared" si="355"/>
        <v>33017.25</v>
      </c>
      <c r="AA555" s="462">
        <f t="shared" si="356"/>
        <v>33017.25</v>
      </c>
      <c r="AD555" s="462">
        <f t="shared" si="357"/>
        <v>33017.25</v>
      </c>
      <c r="AG555" s="462">
        <f t="shared" si="358"/>
        <v>33017.25</v>
      </c>
      <c r="AJ555" s="462">
        <f t="shared" si="359"/>
        <v>33017.25</v>
      </c>
      <c r="AM555" s="462">
        <f t="shared" si="349"/>
        <v>33017.25</v>
      </c>
      <c r="AP555" s="462">
        <f t="shared" si="360"/>
        <v>33017.25</v>
      </c>
      <c r="AS555" s="459">
        <f t="shared" ref="AS555:AS586" si="364">AP555-AR555</f>
        <v>33017.25</v>
      </c>
      <c r="AV555" s="462">
        <f t="shared" si="361"/>
        <v>33017.25</v>
      </c>
      <c r="AY555" s="462">
        <f t="shared" si="362"/>
        <v>33017.25</v>
      </c>
      <c r="AZ555" s="447" t="s">
        <v>2183</v>
      </c>
      <c r="BA555" s="462">
        <f>ROUND(63955.69/1.06,2)-BA360-BA461</f>
        <v>33017.25</v>
      </c>
      <c r="BB555" s="462">
        <f t="shared" si="363"/>
        <v>0</v>
      </c>
      <c r="BE555" s="462">
        <f t="shared" si="322"/>
        <v>0</v>
      </c>
      <c r="BH555" s="462">
        <f t="shared" si="323"/>
        <v>0</v>
      </c>
      <c r="BK555" s="462">
        <f t="shared" si="324"/>
        <v>0</v>
      </c>
      <c r="BN555" s="462">
        <f t="shared" si="325"/>
        <v>0</v>
      </c>
      <c r="BQ555" s="462">
        <f t="shared" si="326"/>
        <v>0</v>
      </c>
      <c r="BT555" s="462">
        <f t="shared" si="327"/>
        <v>0</v>
      </c>
      <c r="BW555" s="462">
        <f t="shared" si="328"/>
        <v>0</v>
      </c>
      <c r="BZ555" s="462">
        <f t="shared" si="329"/>
        <v>0</v>
      </c>
      <c r="CD555" s="418" t="str">
        <f t="shared" si="330"/>
        <v>CU0351001</v>
      </c>
      <c r="CE555" s="442" t="str">
        <f t="shared" si="331"/>
        <v>2020年3月</v>
      </c>
      <c r="CF555" s="418" t="str">
        <f t="shared" si="332"/>
        <v>克鲁勃润滑clife服务费暂估</v>
      </c>
      <c r="CG555" s="418" t="str">
        <f t="shared" si="333"/>
        <v>2020年3月克鲁勃润滑clife服务费暂估</v>
      </c>
    </row>
    <row r="556" spans="2:85" s="447" customFormat="1" ht="17.25" customHeight="1">
      <c r="B556" s="447" t="str">
        <f t="shared" si="321"/>
        <v>CU0448</v>
      </c>
      <c r="C556" s="431" t="s">
        <v>755</v>
      </c>
      <c r="D556" s="452" t="s">
        <v>2197</v>
      </c>
      <c r="E556" s="463" t="s">
        <v>2150</v>
      </c>
      <c r="F556" s="439">
        <v>43891</v>
      </c>
      <c r="G556" s="430">
        <v>789000</v>
      </c>
      <c r="H556" s="440"/>
      <c r="I556" s="440">
        <f t="shared" si="350"/>
        <v>789000</v>
      </c>
      <c r="J556" s="440"/>
      <c r="L556" s="462">
        <f t="shared" si="351"/>
        <v>789000</v>
      </c>
      <c r="M556" s="462"/>
      <c r="N556" s="444"/>
      <c r="O556" s="462">
        <f t="shared" si="352"/>
        <v>789000</v>
      </c>
      <c r="R556" s="462">
        <f t="shared" si="353"/>
        <v>789000</v>
      </c>
      <c r="U556" s="462">
        <f t="shared" si="354"/>
        <v>789000</v>
      </c>
      <c r="X556" s="462">
        <f t="shared" si="355"/>
        <v>789000</v>
      </c>
      <c r="AA556" s="462">
        <f t="shared" si="356"/>
        <v>789000</v>
      </c>
      <c r="AD556" s="462">
        <f t="shared" si="357"/>
        <v>789000</v>
      </c>
      <c r="AG556" s="462">
        <f t="shared" si="358"/>
        <v>789000</v>
      </c>
      <c r="AJ556" s="462">
        <f t="shared" si="359"/>
        <v>789000</v>
      </c>
      <c r="AM556" s="462">
        <f t="shared" si="349"/>
        <v>789000</v>
      </c>
      <c r="AP556" s="462">
        <f t="shared" si="360"/>
        <v>789000</v>
      </c>
      <c r="AS556" s="459">
        <f t="shared" si="364"/>
        <v>789000</v>
      </c>
      <c r="AV556" s="462">
        <f t="shared" si="361"/>
        <v>789000</v>
      </c>
      <c r="AY556" s="462">
        <f t="shared" si="362"/>
        <v>789000</v>
      </c>
      <c r="AZ556" s="447" t="s">
        <v>2183</v>
      </c>
      <c r="BA556" s="462">
        <f>AY556</f>
        <v>789000</v>
      </c>
      <c r="BB556" s="462">
        <f t="shared" si="363"/>
        <v>0</v>
      </c>
      <c r="BE556" s="462">
        <f t="shared" si="322"/>
        <v>0</v>
      </c>
      <c r="BH556" s="462">
        <f t="shared" si="323"/>
        <v>0</v>
      </c>
      <c r="BK556" s="462">
        <f t="shared" si="324"/>
        <v>0</v>
      </c>
      <c r="BN556" s="462">
        <f t="shared" si="325"/>
        <v>0</v>
      </c>
      <c r="BQ556" s="462">
        <f t="shared" si="326"/>
        <v>0</v>
      </c>
      <c r="BT556" s="462">
        <f t="shared" si="327"/>
        <v>0</v>
      </c>
      <c r="BW556" s="462">
        <f t="shared" si="328"/>
        <v>0</v>
      </c>
      <c r="BZ556" s="462">
        <f t="shared" si="329"/>
        <v>0</v>
      </c>
      <c r="CD556" s="418" t="str">
        <f t="shared" si="330"/>
        <v>CU0448001</v>
      </c>
      <c r="CE556" s="442" t="str">
        <f t="shared" si="331"/>
        <v>2020年3月</v>
      </c>
      <c r="CF556" s="418" t="str">
        <f t="shared" si="332"/>
        <v>北京蓝色印clife服务费暂估</v>
      </c>
      <c r="CG556" s="418" t="str">
        <f t="shared" si="333"/>
        <v>2020年3月北京蓝色印clife服务费暂估</v>
      </c>
    </row>
    <row r="557" spans="2:85" s="447" customFormat="1" ht="17.25" customHeight="1">
      <c r="B557" s="447" t="str">
        <f t="shared" si="321"/>
        <v>CU1065</v>
      </c>
      <c r="C557" s="431" t="s">
        <v>755</v>
      </c>
      <c r="D557" s="452" t="s">
        <v>1573</v>
      </c>
      <c r="E557" s="463" t="s">
        <v>2177</v>
      </c>
      <c r="F557" s="439">
        <v>43891</v>
      </c>
      <c r="G557" s="430">
        <v>130284.71</v>
      </c>
      <c r="H557" s="440"/>
      <c r="I557" s="440">
        <f t="shared" si="350"/>
        <v>130284.71</v>
      </c>
      <c r="J557" s="440"/>
      <c r="L557" s="462">
        <f t="shared" si="351"/>
        <v>130284.71</v>
      </c>
      <c r="M557" s="462"/>
      <c r="N557" s="444"/>
      <c r="O557" s="462">
        <f t="shared" si="352"/>
        <v>130284.71</v>
      </c>
      <c r="R557" s="462">
        <f t="shared" si="353"/>
        <v>130284.71</v>
      </c>
      <c r="U557" s="462">
        <f t="shared" si="354"/>
        <v>130284.71</v>
      </c>
      <c r="X557" s="462">
        <f t="shared" si="355"/>
        <v>130284.71</v>
      </c>
      <c r="AA557" s="462">
        <f t="shared" si="356"/>
        <v>130284.71</v>
      </c>
      <c r="AD557" s="462">
        <f t="shared" si="357"/>
        <v>130284.71</v>
      </c>
      <c r="AG557" s="462">
        <f t="shared" si="358"/>
        <v>130284.71</v>
      </c>
      <c r="AJ557" s="462">
        <f t="shared" si="359"/>
        <v>130284.71</v>
      </c>
      <c r="AM557" s="462">
        <f t="shared" ref="AM557:AM587" si="365">G557</f>
        <v>130284.71</v>
      </c>
      <c r="AP557" s="462">
        <f t="shared" si="360"/>
        <v>130284.71</v>
      </c>
      <c r="AS557" s="459">
        <f t="shared" si="364"/>
        <v>130284.71</v>
      </c>
      <c r="AV557" s="462">
        <f t="shared" si="361"/>
        <v>130284.71</v>
      </c>
      <c r="AY557" s="462">
        <f t="shared" si="362"/>
        <v>130284.71</v>
      </c>
      <c r="AZ557" s="447" t="s">
        <v>2183</v>
      </c>
      <c r="BB557" s="462">
        <f t="shared" si="363"/>
        <v>130284.71</v>
      </c>
      <c r="BC557" s="447" t="s">
        <v>2207</v>
      </c>
      <c r="BE557" s="462">
        <f t="shared" si="322"/>
        <v>130284.71</v>
      </c>
      <c r="BF557" s="447" t="s">
        <v>2240</v>
      </c>
      <c r="BG557" s="462">
        <f>BE557</f>
        <v>130284.71</v>
      </c>
      <c r="BH557" s="462">
        <f t="shared" si="323"/>
        <v>0</v>
      </c>
      <c r="BK557" s="462">
        <f t="shared" si="324"/>
        <v>0</v>
      </c>
      <c r="BN557" s="462">
        <f t="shared" si="325"/>
        <v>0</v>
      </c>
      <c r="BQ557" s="462">
        <f t="shared" si="326"/>
        <v>0</v>
      </c>
      <c r="BT557" s="462">
        <f t="shared" si="327"/>
        <v>0</v>
      </c>
      <c r="BW557" s="462">
        <f t="shared" si="328"/>
        <v>0</v>
      </c>
      <c r="BZ557" s="462">
        <f t="shared" si="329"/>
        <v>0</v>
      </c>
      <c r="CD557" s="418" t="str">
        <f t="shared" si="330"/>
        <v>CU1065001</v>
      </c>
      <c r="CE557" s="442" t="str">
        <f t="shared" si="331"/>
        <v>2020年3月</v>
      </c>
      <c r="CF557" s="418" t="str">
        <f t="shared" si="332"/>
        <v>湖北长江蔚clife服务费暂估</v>
      </c>
      <c r="CG557" s="418" t="str">
        <f t="shared" si="333"/>
        <v>2020年3月湖北长江蔚clife服务费暂估</v>
      </c>
    </row>
    <row r="558" spans="2:85" s="447" customFormat="1" ht="17.25" customHeight="1">
      <c r="B558" s="447" t="str">
        <f t="shared" si="321"/>
        <v>CU0531</v>
      </c>
      <c r="C558" s="431" t="s">
        <v>755</v>
      </c>
      <c r="D558" s="452" t="s">
        <v>1453</v>
      </c>
      <c r="E558" s="463" t="s">
        <v>2088</v>
      </c>
      <c r="F558" s="439">
        <v>43891</v>
      </c>
      <c r="G558" s="430">
        <v>31988.080000000002</v>
      </c>
      <c r="H558" s="440"/>
      <c r="I558" s="440">
        <f t="shared" si="350"/>
        <v>31988.080000000002</v>
      </c>
      <c r="J558" s="440"/>
      <c r="L558" s="462">
        <f t="shared" si="351"/>
        <v>31988.080000000002</v>
      </c>
      <c r="M558" s="462"/>
      <c r="N558" s="444"/>
      <c r="O558" s="462">
        <f t="shared" si="352"/>
        <v>31988.080000000002</v>
      </c>
      <c r="R558" s="462">
        <f t="shared" si="353"/>
        <v>31988.080000000002</v>
      </c>
      <c r="U558" s="462">
        <f t="shared" si="354"/>
        <v>31988.080000000002</v>
      </c>
      <c r="X558" s="462">
        <f t="shared" si="355"/>
        <v>31988.080000000002</v>
      </c>
      <c r="AA558" s="462">
        <f t="shared" si="356"/>
        <v>31988.080000000002</v>
      </c>
      <c r="AD558" s="462">
        <f t="shared" si="357"/>
        <v>31988.080000000002</v>
      </c>
      <c r="AG558" s="462">
        <f t="shared" si="358"/>
        <v>31988.080000000002</v>
      </c>
      <c r="AJ558" s="462">
        <f t="shared" si="359"/>
        <v>31988.080000000002</v>
      </c>
      <c r="AM558" s="462">
        <f t="shared" si="365"/>
        <v>31988.080000000002</v>
      </c>
      <c r="AP558" s="462">
        <f t="shared" si="360"/>
        <v>31988.080000000002</v>
      </c>
      <c r="AS558" s="459">
        <f t="shared" si="364"/>
        <v>31988.080000000002</v>
      </c>
      <c r="AV558" s="462">
        <f t="shared" si="361"/>
        <v>31988.080000000002</v>
      </c>
      <c r="AY558" s="462">
        <f t="shared" si="362"/>
        <v>31988.080000000002</v>
      </c>
      <c r="AZ558" s="447" t="s">
        <v>2183</v>
      </c>
      <c r="BB558" s="462">
        <f t="shared" si="363"/>
        <v>31988.080000000002</v>
      </c>
      <c r="BC558" s="447" t="s">
        <v>2207</v>
      </c>
      <c r="BE558" s="462">
        <f t="shared" si="322"/>
        <v>31988.080000000002</v>
      </c>
      <c r="BF558" s="447" t="s">
        <v>2240</v>
      </c>
      <c r="BH558" s="462">
        <f t="shared" si="323"/>
        <v>31988.080000000002</v>
      </c>
      <c r="BI558" s="447" t="s">
        <v>2295</v>
      </c>
      <c r="BK558" s="462">
        <f t="shared" si="324"/>
        <v>31988.080000000002</v>
      </c>
      <c r="BL558" s="447" t="s">
        <v>2341</v>
      </c>
      <c r="BN558" s="462">
        <f t="shared" si="325"/>
        <v>31988.080000000002</v>
      </c>
      <c r="BO558" s="447" t="s">
        <v>2364</v>
      </c>
      <c r="BQ558" s="462">
        <f t="shared" si="326"/>
        <v>31988.080000000002</v>
      </c>
      <c r="BT558" s="462">
        <f t="shared" si="327"/>
        <v>31988.080000000002</v>
      </c>
      <c r="BU558" s="447" t="s">
        <v>2134</v>
      </c>
      <c r="BW558" s="462">
        <f t="shared" si="328"/>
        <v>31988.080000000002</v>
      </c>
      <c r="BZ558" s="462">
        <f t="shared" si="329"/>
        <v>31988.080000000002</v>
      </c>
      <c r="CD558" s="418" t="str">
        <f t="shared" si="330"/>
        <v>CU0531001</v>
      </c>
      <c r="CE558" s="442" t="str">
        <f t="shared" si="331"/>
        <v>2020年3月</v>
      </c>
      <c r="CF558" s="418" t="str">
        <f t="shared" si="332"/>
        <v>恩思恩clife服务费暂估</v>
      </c>
      <c r="CG558" s="418" t="str">
        <f t="shared" si="333"/>
        <v>2020年3月恩思恩clife服务费暂估</v>
      </c>
    </row>
    <row r="559" spans="2:85" s="447" customFormat="1" ht="17.25" customHeight="1">
      <c r="B559" s="447" t="str">
        <f t="shared" si="321"/>
        <v>CU0562</v>
      </c>
      <c r="C559" s="431" t="s">
        <v>755</v>
      </c>
      <c r="D559" s="452" t="s">
        <v>2025</v>
      </c>
      <c r="E559" s="463" t="s">
        <v>2151</v>
      </c>
      <c r="F559" s="439">
        <v>43891</v>
      </c>
      <c r="G559" s="430">
        <v>20899</v>
      </c>
      <c r="H559" s="440"/>
      <c r="I559" s="440">
        <f t="shared" si="350"/>
        <v>20899</v>
      </c>
      <c r="J559" s="440"/>
      <c r="L559" s="462">
        <f t="shared" si="351"/>
        <v>20899</v>
      </c>
      <c r="M559" s="462"/>
      <c r="N559" s="444"/>
      <c r="O559" s="462">
        <f t="shared" si="352"/>
        <v>20899</v>
      </c>
      <c r="R559" s="462">
        <f t="shared" si="353"/>
        <v>20899</v>
      </c>
      <c r="U559" s="462">
        <f t="shared" si="354"/>
        <v>20899</v>
      </c>
      <c r="X559" s="462">
        <f t="shared" si="355"/>
        <v>20899</v>
      </c>
      <c r="AA559" s="462">
        <f t="shared" si="356"/>
        <v>20899</v>
      </c>
      <c r="AD559" s="462">
        <f t="shared" si="357"/>
        <v>20899</v>
      </c>
      <c r="AG559" s="462">
        <f t="shared" si="358"/>
        <v>20899</v>
      </c>
      <c r="AJ559" s="462">
        <f t="shared" si="359"/>
        <v>20899</v>
      </c>
      <c r="AM559" s="462">
        <f t="shared" si="365"/>
        <v>20899</v>
      </c>
      <c r="AP559" s="462">
        <f t="shared" si="360"/>
        <v>20899</v>
      </c>
      <c r="AS559" s="459">
        <f t="shared" si="364"/>
        <v>20899</v>
      </c>
      <c r="AV559" s="462">
        <f t="shared" si="361"/>
        <v>20899</v>
      </c>
      <c r="AY559" s="462">
        <f t="shared" si="362"/>
        <v>20899</v>
      </c>
      <c r="AZ559" s="447" t="s">
        <v>2183</v>
      </c>
      <c r="BB559" s="462">
        <f t="shared" si="363"/>
        <v>20899</v>
      </c>
      <c r="BC559" s="447" t="s">
        <v>2207</v>
      </c>
      <c r="BE559" s="462">
        <f t="shared" si="322"/>
        <v>20899</v>
      </c>
      <c r="BF559" s="447" t="s">
        <v>2240</v>
      </c>
      <c r="BH559" s="462">
        <f t="shared" si="323"/>
        <v>20899</v>
      </c>
      <c r="BI559" s="447" t="s">
        <v>2295</v>
      </c>
      <c r="BK559" s="462">
        <f t="shared" si="324"/>
        <v>20899</v>
      </c>
      <c r="BL559" s="447" t="s">
        <v>2341</v>
      </c>
      <c r="BN559" s="462">
        <f t="shared" si="325"/>
        <v>20899</v>
      </c>
      <c r="BO559" s="447" t="s">
        <v>2364</v>
      </c>
      <c r="BQ559" s="462">
        <f t="shared" si="326"/>
        <v>20899</v>
      </c>
      <c r="BT559" s="462">
        <f t="shared" si="327"/>
        <v>20899</v>
      </c>
      <c r="BU559" s="447" t="s">
        <v>2134</v>
      </c>
      <c r="BW559" s="462">
        <f t="shared" si="328"/>
        <v>20899</v>
      </c>
      <c r="BZ559" s="462">
        <f t="shared" si="329"/>
        <v>20899</v>
      </c>
      <c r="CD559" s="418" t="str">
        <f t="shared" si="330"/>
        <v>CU0562001</v>
      </c>
      <c r="CE559" s="442" t="str">
        <f t="shared" si="331"/>
        <v>2020年3月</v>
      </c>
      <c r="CF559" s="418" t="str">
        <f t="shared" si="332"/>
        <v>杭州康晟健clife服务费暂估</v>
      </c>
      <c r="CG559" s="418" t="str">
        <f t="shared" si="333"/>
        <v>2020年3月杭州康晟健clife服务费暂估</v>
      </c>
    </row>
    <row r="560" spans="2:85" s="447" customFormat="1" ht="17.25" customHeight="1">
      <c r="B560" s="447" t="str">
        <f t="shared" si="321"/>
        <v>CU0570</v>
      </c>
      <c r="C560" s="431" t="s">
        <v>755</v>
      </c>
      <c r="D560" s="452" t="s">
        <v>1758</v>
      </c>
      <c r="E560" s="463" t="s">
        <v>2152</v>
      </c>
      <c r="F560" s="439">
        <v>43891</v>
      </c>
      <c r="G560" s="430">
        <v>167457.70000000001</v>
      </c>
      <c r="H560" s="440"/>
      <c r="I560" s="440">
        <f t="shared" si="350"/>
        <v>167457.70000000001</v>
      </c>
      <c r="J560" s="440"/>
      <c r="L560" s="462">
        <f t="shared" si="351"/>
        <v>167457.70000000001</v>
      </c>
      <c r="M560" s="462"/>
      <c r="N560" s="444"/>
      <c r="O560" s="462">
        <f t="shared" si="352"/>
        <v>167457.70000000001</v>
      </c>
      <c r="R560" s="462">
        <f t="shared" si="353"/>
        <v>167457.70000000001</v>
      </c>
      <c r="U560" s="462">
        <f t="shared" si="354"/>
        <v>167457.70000000001</v>
      </c>
      <c r="X560" s="462">
        <f t="shared" si="355"/>
        <v>167457.70000000001</v>
      </c>
      <c r="AA560" s="462">
        <f t="shared" si="356"/>
        <v>167457.70000000001</v>
      </c>
      <c r="AD560" s="462">
        <f t="shared" si="357"/>
        <v>167457.70000000001</v>
      </c>
      <c r="AG560" s="462">
        <f t="shared" si="358"/>
        <v>167457.70000000001</v>
      </c>
      <c r="AJ560" s="462">
        <f t="shared" si="359"/>
        <v>167457.70000000001</v>
      </c>
      <c r="AM560" s="462">
        <f t="shared" si="365"/>
        <v>167457.70000000001</v>
      </c>
      <c r="AP560" s="462">
        <f t="shared" si="360"/>
        <v>167457.70000000001</v>
      </c>
      <c r="AS560" s="459">
        <f t="shared" si="364"/>
        <v>167457.70000000001</v>
      </c>
      <c r="AV560" s="462">
        <f t="shared" si="361"/>
        <v>167457.70000000001</v>
      </c>
      <c r="AY560" s="462">
        <f t="shared" si="362"/>
        <v>167457.70000000001</v>
      </c>
      <c r="AZ560" s="447" t="s">
        <v>2183</v>
      </c>
      <c r="BB560" s="462">
        <f t="shared" si="363"/>
        <v>167457.70000000001</v>
      </c>
      <c r="BC560" s="447" t="s">
        <v>2207</v>
      </c>
      <c r="BD560" s="462">
        <f>BB560</f>
        <v>167457.70000000001</v>
      </c>
      <c r="BE560" s="462">
        <f t="shared" si="322"/>
        <v>0</v>
      </c>
      <c r="BF560" s="447" t="s">
        <v>2240</v>
      </c>
      <c r="BH560" s="462">
        <f t="shared" si="323"/>
        <v>0</v>
      </c>
      <c r="BK560" s="462">
        <f t="shared" si="324"/>
        <v>0</v>
      </c>
      <c r="BN560" s="462">
        <f t="shared" si="325"/>
        <v>0</v>
      </c>
      <c r="BQ560" s="462">
        <f t="shared" si="326"/>
        <v>0</v>
      </c>
      <c r="BT560" s="462">
        <f t="shared" si="327"/>
        <v>0</v>
      </c>
      <c r="BW560" s="462">
        <f t="shared" si="328"/>
        <v>0</v>
      </c>
      <c r="BZ560" s="462">
        <f t="shared" si="329"/>
        <v>0</v>
      </c>
      <c r="CD560" s="418" t="str">
        <f t="shared" si="330"/>
        <v>CU0570001</v>
      </c>
      <c r="CE560" s="442" t="str">
        <f t="shared" si="331"/>
        <v>2020年3月</v>
      </c>
      <c r="CF560" s="418" t="str">
        <f t="shared" si="332"/>
        <v>华院数据技clife服务费暂估</v>
      </c>
      <c r="CG560" s="418" t="str">
        <f t="shared" si="333"/>
        <v>2020年3月华院数据技clife服务费暂估</v>
      </c>
    </row>
    <row r="561" spans="2:85" s="447" customFormat="1" ht="17.25" customHeight="1">
      <c r="B561" s="447" t="str">
        <f t="shared" si="321"/>
        <v>CU0636</v>
      </c>
      <c r="C561" s="431" t="s">
        <v>755</v>
      </c>
      <c r="D561" s="452" t="s">
        <v>1759</v>
      </c>
      <c r="E561" s="463" t="s">
        <v>2153</v>
      </c>
      <c r="F561" s="439">
        <v>43891</v>
      </c>
      <c r="G561" s="430">
        <v>458377.17</v>
      </c>
      <c r="H561" s="440"/>
      <c r="I561" s="440">
        <f t="shared" si="350"/>
        <v>458377.17</v>
      </c>
      <c r="J561" s="440"/>
      <c r="L561" s="462">
        <f t="shared" si="351"/>
        <v>458377.17</v>
      </c>
      <c r="M561" s="462"/>
      <c r="N561" s="444"/>
      <c r="O561" s="462">
        <f t="shared" si="352"/>
        <v>458377.17</v>
      </c>
      <c r="R561" s="462">
        <f t="shared" si="353"/>
        <v>458377.17</v>
      </c>
      <c r="U561" s="462">
        <f t="shared" si="354"/>
        <v>458377.17</v>
      </c>
      <c r="X561" s="462">
        <f t="shared" si="355"/>
        <v>458377.17</v>
      </c>
      <c r="AA561" s="462">
        <f t="shared" si="356"/>
        <v>458377.17</v>
      </c>
      <c r="AD561" s="462">
        <f t="shared" si="357"/>
        <v>458377.17</v>
      </c>
      <c r="AG561" s="462">
        <f t="shared" si="358"/>
        <v>458377.17</v>
      </c>
      <c r="AJ561" s="462">
        <f t="shared" si="359"/>
        <v>458377.17</v>
      </c>
      <c r="AM561" s="462">
        <f t="shared" si="365"/>
        <v>458377.17</v>
      </c>
      <c r="AP561" s="462">
        <f t="shared" si="360"/>
        <v>458377.17</v>
      </c>
      <c r="AS561" s="459">
        <f t="shared" si="364"/>
        <v>458377.17</v>
      </c>
      <c r="AV561" s="462">
        <f t="shared" si="361"/>
        <v>458377.17</v>
      </c>
      <c r="AY561" s="462">
        <f t="shared" si="362"/>
        <v>458377.17</v>
      </c>
      <c r="AZ561" s="447" t="s">
        <v>2183</v>
      </c>
      <c r="BB561" s="462">
        <f t="shared" si="363"/>
        <v>458377.17</v>
      </c>
      <c r="BC561" s="447" t="s">
        <v>2207</v>
      </c>
      <c r="BD561" s="462">
        <f>ROUND(322800/1.06,2)-BD188-BD335-BD362-BD427-BD465-BD495</f>
        <v>169704.99000000005</v>
      </c>
      <c r="BE561" s="462">
        <f t="shared" si="322"/>
        <v>288672.17999999993</v>
      </c>
      <c r="BF561" s="447" t="s">
        <v>2240</v>
      </c>
      <c r="BG561" s="447">
        <f>ROUND(107600/1.06,2)</f>
        <v>101509.43</v>
      </c>
      <c r="BH561" s="462">
        <f t="shared" si="323"/>
        <v>187162.74999999994</v>
      </c>
      <c r="BI561" s="447" t="s">
        <v>2295</v>
      </c>
      <c r="BK561" s="462">
        <f t="shared" si="324"/>
        <v>187162.74999999994</v>
      </c>
      <c r="BL561" s="447" t="s">
        <v>2341</v>
      </c>
      <c r="BN561" s="462">
        <f t="shared" si="325"/>
        <v>187162.74999999994</v>
      </c>
      <c r="BO561" s="447" t="s">
        <v>2364</v>
      </c>
      <c r="BQ561" s="462">
        <f t="shared" si="326"/>
        <v>187162.75</v>
      </c>
      <c r="BT561" s="462">
        <f t="shared" si="327"/>
        <v>187162.75</v>
      </c>
      <c r="BU561" s="447" t="s">
        <v>2134</v>
      </c>
      <c r="BW561" s="462">
        <f t="shared" si="328"/>
        <v>187162.75</v>
      </c>
      <c r="BZ561" s="462">
        <f t="shared" si="329"/>
        <v>187162.75</v>
      </c>
      <c r="CD561" s="418" t="str">
        <f t="shared" si="330"/>
        <v>CU0636001</v>
      </c>
      <c r="CE561" s="442" t="str">
        <f t="shared" si="331"/>
        <v>2020年3月</v>
      </c>
      <c r="CF561" s="418" t="str">
        <f t="shared" si="332"/>
        <v>巴丽商业clife服务费暂估</v>
      </c>
      <c r="CG561" s="418" t="str">
        <f t="shared" si="333"/>
        <v>2020年3月巴丽商业clife服务费暂估</v>
      </c>
    </row>
    <row r="562" spans="2:85" s="447" customFormat="1" ht="17.25" customHeight="1">
      <c r="B562" s="447" t="str">
        <f t="shared" si="321"/>
        <v>CU0667</v>
      </c>
      <c r="C562" s="431" t="s">
        <v>755</v>
      </c>
      <c r="D562" s="452" t="s">
        <v>1454</v>
      </c>
      <c r="E562" s="463" t="s">
        <v>2154</v>
      </c>
      <c r="F562" s="439">
        <v>43891</v>
      </c>
      <c r="G562" s="430">
        <v>855.98</v>
      </c>
      <c r="H562" s="440"/>
      <c r="I562" s="440">
        <f t="shared" si="350"/>
        <v>855.98</v>
      </c>
      <c r="J562" s="440"/>
      <c r="L562" s="462">
        <f t="shared" si="351"/>
        <v>855.98</v>
      </c>
      <c r="M562" s="462"/>
      <c r="N562" s="444"/>
      <c r="O562" s="462">
        <f t="shared" si="352"/>
        <v>855.98</v>
      </c>
      <c r="R562" s="462">
        <f t="shared" si="353"/>
        <v>855.98</v>
      </c>
      <c r="U562" s="462">
        <f t="shared" si="354"/>
        <v>855.98</v>
      </c>
      <c r="X562" s="462">
        <f t="shared" si="355"/>
        <v>855.98</v>
      </c>
      <c r="AA562" s="462">
        <f t="shared" si="356"/>
        <v>855.98</v>
      </c>
      <c r="AD562" s="462">
        <f t="shared" si="357"/>
        <v>855.98</v>
      </c>
      <c r="AG562" s="462">
        <f t="shared" si="358"/>
        <v>855.98</v>
      </c>
      <c r="AJ562" s="462">
        <f t="shared" si="359"/>
        <v>855.98</v>
      </c>
      <c r="AM562" s="462">
        <f t="shared" si="365"/>
        <v>855.98</v>
      </c>
      <c r="AP562" s="462">
        <f t="shared" si="360"/>
        <v>855.98</v>
      </c>
      <c r="AS562" s="459">
        <f t="shared" si="364"/>
        <v>855.98</v>
      </c>
      <c r="AV562" s="462">
        <f t="shared" si="361"/>
        <v>855.98</v>
      </c>
      <c r="AY562" s="462">
        <f t="shared" si="362"/>
        <v>855.98</v>
      </c>
      <c r="AZ562" s="447" t="s">
        <v>2183</v>
      </c>
      <c r="BB562" s="462">
        <f t="shared" si="363"/>
        <v>855.98</v>
      </c>
      <c r="BC562" s="447" t="s">
        <v>2207</v>
      </c>
      <c r="BE562" s="462">
        <f t="shared" si="322"/>
        <v>855.98</v>
      </c>
      <c r="BF562" s="447" t="s">
        <v>2240</v>
      </c>
      <c r="BH562" s="462">
        <f t="shared" si="323"/>
        <v>855.98</v>
      </c>
      <c r="BI562" s="447" t="s">
        <v>2295</v>
      </c>
      <c r="BK562" s="462">
        <f t="shared" si="324"/>
        <v>855.98</v>
      </c>
      <c r="BL562" s="447" t="s">
        <v>2341</v>
      </c>
      <c r="BM562" s="462">
        <f>BK562</f>
        <v>855.98</v>
      </c>
      <c r="BN562" s="462">
        <f t="shared" si="325"/>
        <v>0</v>
      </c>
      <c r="BQ562" s="462">
        <f t="shared" si="326"/>
        <v>0</v>
      </c>
      <c r="BT562" s="462">
        <f t="shared" si="327"/>
        <v>0</v>
      </c>
      <c r="BW562" s="462">
        <f t="shared" si="328"/>
        <v>0</v>
      </c>
      <c r="BZ562" s="462">
        <f t="shared" si="329"/>
        <v>0</v>
      </c>
      <c r="CD562" s="418" t="str">
        <f t="shared" si="330"/>
        <v>CU0667001</v>
      </c>
      <c r="CE562" s="442" t="str">
        <f t="shared" si="331"/>
        <v>2020年3月</v>
      </c>
      <c r="CF562" s="418" t="str">
        <f t="shared" si="332"/>
        <v>北京杰迪安clife服务费暂估</v>
      </c>
      <c r="CG562" s="418" t="str">
        <f t="shared" si="333"/>
        <v>2020年3月北京杰迪安clife服务费暂估</v>
      </c>
    </row>
    <row r="563" spans="2:85" s="447" customFormat="1" ht="17.25" customHeight="1">
      <c r="B563" s="447" t="str">
        <f t="shared" si="321"/>
        <v>CU0804</v>
      </c>
      <c r="C563" s="431" t="s">
        <v>755</v>
      </c>
      <c r="D563" s="452" t="s">
        <v>2141</v>
      </c>
      <c r="E563" s="463" t="s">
        <v>2155</v>
      </c>
      <c r="F563" s="439">
        <v>43891</v>
      </c>
      <c r="G563" s="430">
        <v>433500</v>
      </c>
      <c r="H563" s="440"/>
      <c r="I563" s="440">
        <f t="shared" si="350"/>
        <v>433500</v>
      </c>
      <c r="J563" s="440"/>
      <c r="L563" s="462">
        <f t="shared" si="351"/>
        <v>433500</v>
      </c>
      <c r="M563" s="462"/>
      <c r="N563" s="444"/>
      <c r="O563" s="462">
        <f t="shared" si="352"/>
        <v>433500</v>
      </c>
      <c r="R563" s="462">
        <f t="shared" si="353"/>
        <v>433500</v>
      </c>
      <c r="U563" s="462">
        <f t="shared" si="354"/>
        <v>433500</v>
      </c>
      <c r="X563" s="462">
        <f t="shared" si="355"/>
        <v>433500</v>
      </c>
      <c r="AA563" s="462">
        <f t="shared" si="356"/>
        <v>433500</v>
      </c>
      <c r="AD563" s="462">
        <f t="shared" si="357"/>
        <v>433500</v>
      </c>
      <c r="AG563" s="462">
        <f t="shared" si="358"/>
        <v>433500</v>
      </c>
      <c r="AJ563" s="462">
        <f t="shared" si="359"/>
        <v>433500</v>
      </c>
      <c r="AM563" s="462">
        <f t="shared" si="365"/>
        <v>433500</v>
      </c>
      <c r="AP563" s="462">
        <f t="shared" si="360"/>
        <v>433500</v>
      </c>
      <c r="AS563" s="459">
        <f t="shared" si="364"/>
        <v>433500</v>
      </c>
      <c r="AV563" s="462">
        <f t="shared" si="361"/>
        <v>433500</v>
      </c>
      <c r="AY563" s="462">
        <f t="shared" si="362"/>
        <v>433500</v>
      </c>
      <c r="AZ563" s="447" t="s">
        <v>2183</v>
      </c>
      <c r="BA563" s="462">
        <f>AY563</f>
        <v>433500</v>
      </c>
      <c r="BB563" s="462">
        <f t="shared" si="363"/>
        <v>0</v>
      </c>
      <c r="BC563" s="447" t="s">
        <v>2207</v>
      </c>
      <c r="BE563" s="462">
        <f t="shared" si="322"/>
        <v>0</v>
      </c>
      <c r="BH563" s="462">
        <f t="shared" si="323"/>
        <v>0</v>
      </c>
      <c r="BK563" s="462">
        <f t="shared" si="324"/>
        <v>0</v>
      </c>
      <c r="BN563" s="462">
        <f t="shared" si="325"/>
        <v>0</v>
      </c>
      <c r="BQ563" s="462">
        <f t="shared" si="326"/>
        <v>0</v>
      </c>
      <c r="BT563" s="462">
        <f t="shared" si="327"/>
        <v>0</v>
      </c>
      <c r="BW563" s="462">
        <f t="shared" si="328"/>
        <v>0</v>
      </c>
      <c r="BZ563" s="462">
        <f t="shared" si="329"/>
        <v>0</v>
      </c>
      <c r="CD563" s="418" t="str">
        <f t="shared" si="330"/>
        <v>CU0804001</v>
      </c>
      <c r="CE563" s="442" t="str">
        <f t="shared" si="331"/>
        <v>2020年3月</v>
      </c>
      <c r="CF563" s="418" t="str">
        <f t="shared" si="332"/>
        <v>众安clife服务费暂估</v>
      </c>
      <c r="CG563" s="418" t="str">
        <f t="shared" si="333"/>
        <v>2020年3月众安clife服务费暂估</v>
      </c>
    </row>
    <row r="564" spans="2:85" s="447" customFormat="1" ht="17.25" customHeight="1">
      <c r="B564" s="447" t="str">
        <f t="shared" si="321"/>
        <v>CU0812</v>
      </c>
      <c r="C564" s="431" t="s">
        <v>755</v>
      </c>
      <c r="D564" s="452" t="s">
        <v>1455</v>
      </c>
      <c r="E564" s="463" t="s">
        <v>1534</v>
      </c>
      <c r="F564" s="439">
        <v>43891</v>
      </c>
      <c r="G564" s="430">
        <v>8825.94</v>
      </c>
      <c r="H564" s="440"/>
      <c r="I564" s="440">
        <f t="shared" si="350"/>
        <v>8825.94</v>
      </c>
      <c r="J564" s="440"/>
      <c r="L564" s="462">
        <f t="shared" si="351"/>
        <v>8825.94</v>
      </c>
      <c r="M564" s="462"/>
      <c r="N564" s="444"/>
      <c r="O564" s="462">
        <f t="shared" si="352"/>
        <v>8825.94</v>
      </c>
      <c r="R564" s="462">
        <f t="shared" si="353"/>
        <v>8825.94</v>
      </c>
      <c r="U564" s="462">
        <f t="shared" si="354"/>
        <v>8825.94</v>
      </c>
      <c r="X564" s="462">
        <f t="shared" si="355"/>
        <v>8825.94</v>
      </c>
      <c r="AA564" s="462">
        <f t="shared" si="356"/>
        <v>8825.94</v>
      </c>
      <c r="AD564" s="462">
        <f t="shared" si="357"/>
        <v>8825.94</v>
      </c>
      <c r="AG564" s="462">
        <f t="shared" si="358"/>
        <v>8825.94</v>
      </c>
      <c r="AJ564" s="462">
        <f t="shared" si="359"/>
        <v>8825.94</v>
      </c>
      <c r="AM564" s="462">
        <f t="shared" si="365"/>
        <v>8825.94</v>
      </c>
      <c r="AP564" s="462">
        <f t="shared" si="360"/>
        <v>8825.94</v>
      </c>
      <c r="AS564" s="459">
        <f t="shared" si="364"/>
        <v>8825.94</v>
      </c>
      <c r="AV564" s="462">
        <f t="shared" si="361"/>
        <v>8825.94</v>
      </c>
      <c r="AY564" s="462">
        <f t="shared" si="362"/>
        <v>8825.94</v>
      </c>
      <c r="AZ564" s="447" t="s">
        <v>2183</v>
      </c>
      <c r="BB564" s="462">
        <f t="shared" si="363"/>
        <v>8825.94</v>
      </c>
      <c r="BC564" s="447" t="s">
        <v>2207</v>
      </c>
      <c r="BE564" s="462">
        <f t="shared" si="322"/>
        <v>8825.94</v>
      </c>
      <c r="BF564" s="447" t="s">
        <v>2240</v>
      </c>
      <c r="BH564" s="462">
        <f t="shared" si="323"/>
        <v>8825.94</v>
      </c>
      <c r="BI564" s="447" t="s">
        <v>2295</v>
      </c>
      <c r="BK564" s="462">
        <f t="shared" si="324"/>
        <v>8825.94</v>
      </c>
      <c r="BL564" s="447" t="s">
        <v>2341</v>
      </c>
      <c r="BN564" s="462">
        <f t="shared" si="325"/>
        <v>8825.94</v>
      </c>
      <c r="BO564" s="447" t="s">
        <v>2364</v>
      </c>
      <c r="BP564" s="462">
        <f>BN564</f>
        <v>8825.94</v>
      </c>
      <c r="BQ564" s="462">
        <f t="shared" si="326"/>
        <v>0</v>
      </c>
      <c r="BT564" s="462">
        <f t="shared" si="327"/>
        <v>0</v>
      </c>
      <c r="BW564" s="462">
        <f t="shared" si="328"/>
        <v>0</v>
      </c>
      <c r="BZ564" s="462">
        <f t="shared" si="329"/>
        <v>0</v>
      </c>
      <c r="CD564" s="418" t="str">
        <f t="shared" si="330"/>
        <v>CU0812001</v>
      </c>
      <c r="CE564" s="442" t="str">
        <f t="shared" si="331"/>
        <v>2020年3月</v>
      </c>
      <c r="CF564" s="418" t="str">
        <f t="shared" si="332"/>
        <v>上海恩派社clife服务费暂估</v>
      </c>
      <c r="CG564" s="418" t="str">
        <f t="shared" si="333"/>
        <v>2020年3月上海恩派社clife服务费暂估</v>
      </c>
    </row>
    <row r="565" spans="2:85" s="447" customFormat="1" ht="17.25" customHeight="1">
      <c r="B565" s="447" t="str">
        <f t="shared" si="321"/>
        <v>CU0823</v>
      </c>
      <c r="C565" s="431" t="s">
        <v>755</v>
      </c>
      <c r="D565" s="452" t="s">
        <v>1457</v>
      </c>
      <c r="E565" s="463" t="s">
        <v>2156</v>
      </c>
      <c r="F565" s="439">
        <v>43891</v>
      </c>
      <c r="G565" s="430">
        <v>34883.83</v>
      </c>
      <c r="H565" s="440"/>
      <c r="I565" s="440">
        <f t="shared" si="350"/>
        <v>34883.83</v>
      </c>
      <c r="J565" s="440"/>
      <c r="L565" s="462">
        <f t="shared" si="351"/>
        <v>34883.83</v>
      </c>
      <c r="M565" s="462"/>
      <c r="N565" s="444"/>
      <c r="O565" s="462">
        <f t="shared" si="352"/>
        <v>34883.83</v>
      </c>
      <c r="R565" s="462">
        <f t="shared" si="353"/>
        <v>34883.83</v>
      </c>
      <c r="U565" s="462">
        <f t="shared" si="354"/>
        <v>34883.83</v>
      </c>
      <c r="X565" s="462">
        <f t="shared" si="355"/>
        <v>34883.83</v>
      </c>
      <c r="AA565" s="462">
        <f t="shared" si="356"/>
        <v>34883.83</v>
      </c>
      <c r="AD565" s="462">
        <f t="shared" si="357"/>
        <v>34883.83</v>
      </c>
      <c r="AG565" s="462">
        <f t="shared" si="358"/>
        <v>34883.83</v>
      </c>
      <c r="AJ565" s="462">
        <f t="shared" si="359"/>
        <v>34883.83</v>
      </c>
      <c r="AM565" s="462">
        <f t="shared" si="365"/>
        <v>34883.83</v>
      </c>
      <c r="AP565" s="462">
        <f t="shared" si="360"/>
        <v>34883.83</v>
      </c>
      <c r="AS565" s="459">
        <f t="shared" si="364"/>
        <v>34883.83</v>
      </c>
      <c r="AV565" s="462">
        <f t="shared" si="361"/>
        <v>34883.83</v>
      </c>
      <c r="AY565" s="462">
        <f t="shared" si="362"/>
        <v>34883.83</v>
      </c>
      <c r="AZ565" s="447" t="s">
        <v>2183</v>
      </c>
      <c r="BB565" s="462">
        <f t="shared" si="363"/>
        <v>34883.83</v>
      </c>
      <c r="BC565" s="447" t="s">
        <v>2207</v>
      </c>
      <c r="BE565" s="462">
        <f t="shared" si="322"/>
        <v>34883.83</v>
      </c>
      <c r="BF565" s="447" t="s">
        <v>2240</v>
      </c>
      <c r="BH565" s="462">
        <f t="shared" si="323"/>
        <v>34883.83</v>
      </c>
      <c r="BI565" s="447" t="s">
        <v>2295</v>
      </c>
      <c r="BK565" s="462">
        <f t="shared" si="324"/>
        <v>34883.83</v>
      </c>
      <c r="BL565" s="447" t="s">
        <v>2341</v>
      </c>
      <c r="BN565" s="462">
        <f t="shared" si="325"/>
        <v>34883.83</v>
      </c>
      <c r="BO565" s="447" t="s">
        <v>2364</v>
      </c>
      <c r="BQ565" s="462">
        <f t="shared" si="326"/>
        <v>34883.83</v>
      </c>
      <c r="BT565" s="462">
        <f t="shared" si="327"/>
        <v>34883.83</v>
      </c>
      <c r="BU565" s="447" t="s">
        <v>2134</v>
      </c>
      <c r="BW565" s="462">
        <f t="shared" si="328"/>
        <v>34883.83</v>
      </c>
      <c r="BZ565" s="462">
        <f t="shared" si="329"/>
        <v>34883.83</v>
      </c>
      <c r="CD565" s="418" t="str">
        <f t="shared" si="330"/>
        <v>CU0823001</v>
      </c>
      <c r="CE565" s="442" t="str">
        <f t="shared" si="331"/>
        <v>2020年3月</v>
      </c>
      <c r="CF565" s="418" t="str">
        <f t="shared" si="332"/>
        <v>凯杰生物工clife服务费暂估</v>
      </c>
      <c r="CG565" s="418" t="str">
        <f t="shared" si="333"/>
        <v>2020年3月凯杰生物工clife服务费暂估</v>
      </c>
    </row>
    <row r="566" spans="2:85" s="447" customFormat="1" ht="17.25" customHeight="1">
      <c r="B566" s="447" t="str">
        <f t="shared" si="321"/>
        <v>CU0824</v>
      </c>
      <c r="C566" s="431" t="s">
        <v>755</v>
      </c>
      <c r="D566" s="452" t="s">
        <v>1458</v>
      </c>
      <c r="E566" s="463" t="s">
        <v>2157</v>
      </c>
      <c r="F566" s="439">
        <v>43891</v>
      </c>
      <c r="G566" s="430">
        <v>810.16</v>
      </c>
      <c r="H566" s="440"/>
      <c r="I566" s="440">
        <f t="shared" si="350"/>
        <v>810.16</v>
      </c>
      <c r="J566" s="440"/>
      <c r="L566" s="462">
        <f t="shared" si="351"/>
        <v>810.16</v>
      </c>
      <c r="M566" s="462"/>
      <c r="N566" s="444"/>
      <c r="O566" s="462">
        <f t="shared" si="352"/>
        <v>810.16</v>
      </c>
      <c r="R566" s="462">
        <f t="shared" si="353"/>
        <v>810.16</v>
      </c>
      <c r="U566" s="462">
        <f t="shared" si="354"/>
        <v>810.16</v>
      </c>
      <c r="X566" s="462">
        <f t="shared" si="355"/>
        <v>810.16</v>
      </c>
      <c r="AA566" s="462">
        <f t="shared" si="356"/>
        <v>810.16</v>
      </c>
      <c r="AD566" s="462">
        <f t="shared" si="357"/>
        <v>810.16</v>
      </c>
      <c r="AG566" s="462">
        <f t="shared" si="358"/>
        <v>810.16</v>
      </c>
      <c r="AJ566" s="462">
        <f t="shared" si="359"/>
        <v>810.16</v>
      </c>
      <c r="AM566" s="462">
        <f t="shared" si="365"/>
        <v>810.16</v>
      </c>
      <c r="AP566" s="462">
        <f t="shared" si="360"/>
        <v>810.16</v>
      </c>
      <c r="AS566" s="459">
        <f t="shared" si="364"/>
        <v>810.16</v>
      </c>
      <c r="AV566" s="462">
        <f t="shared" si="361"/>
        <v>810.16</v>
      </c>
      <c r="AY566" s="462">
        <f t="shared" si="362"/>
        <v>810.16</v>
      </c>
      <c r="AZ566" s="447" t="s">
        <v>2183</v>
      </c>
      <c r="BB566" s="462">
        <f t="shared" si="363"/>
        <v>810.16</v>
      </c>
      <c r="BC566" s="447" t="s">
        <v>2207</v>
      </c>
      <c r="BD566" s="462">
        <f>BB566</f>
        <v>810.16</v>
      </c>
      <c r="BE566" s="462">
        <f t="shared" si="322"/>
        <v>0</v>
      </c>
      <c r="BH566" s="462">
        <f t="shared" si="323"/>
        <v>0</v>
      </c>
      <c r="BK566" s="462">
        <f t="shared" si="324"/>
        <v>0</v>
      </c>
      <c r="BN566" s="462">
        <f t="shared" si="325"/>
        <v>0</v>
      </c>
      <c r="BQ566" s="462">
        <f t="shared" si="326"/>
        <v>0</v>
      </c>
      <c r="BT566" s="462">
        <f t="shared" si="327"/>
        <v>0</v>
      </c>
      <c r="BW566" s="462">
        <f t="shared" si="328"/>
        <v>0</v>
      </c>
      <c r="BZ566" s="462">
        <f t="shared" si="329"/>
        <v>0</v>
      </c>
      <c r="CD566" s="418" t="str">
        <f t="shared" si="330"/>
        <v>CU0824001</v>
      </c>
      <c r="CE566" s="442" t="str">
        <f t="shared" si="331"/>
        <v>2020年3月</v>
      </c>
      <c r="CF566" s="418" t="str">
        <f t="shared" si="332"/>
        <v>苏州舒尔贸clife服务费暂估</v>
      </c>
      <c r="CG566" s="418" t="str">
        <f t="shared" si="333"/>
        <v>2020年3月苏州舒尔贸clife服务费暂估</v>
      </c>
    </row>
    <row r="567" spans="2:85" s="447" customFormat="1" ht="17.25" customHeight="1">
      <c r="B567" s="447" t="str">
        <f t="shared" si="321"/>
        <v>CU0848</v>
      </c>
      <c r="C567" s="431" t="s">
        <v>755</v>
      </c>
      <c r="D567" s="452" t="s">
        <v>1462</v>
      </c>
      <c r="E567" s="463" t="s">
        <v>2158</v>
      </c>
      <c r="F567" s="439">
        <v>43891</v>
      </c>
      <c r="G567" s="430">
        <v>16436.55</v>
      </c>
      <c r="H567" s="440"/>
      <c r="I567" s="440">
        <f t="shared" si="350"/>
        <v>16436.55</v>
      </c>
      <c r="J567" s="440"/>
      <c r="L567" s="462">
        <f t="shared" si="351"/>
        <v>16436.55</v>
      </c>
      <c r="M567" s="462"/>
      <c r="N567" s="444"/>
      <c r="O567" s="462">
        <f t="shared" si="352"/>
        <v>16436.55</v>
      </c>
      <c r="R567" s="462">
        <f t="shared" si="353"/>
        <v>16436.55</v>
      </c>
      <c r="U567" s="462">
        <f t="shared" si="354"/>
        <v>16436.55</v>
      </c>
      <c r="X567" s="462">
        <f t="shared" si="355"/>
        <v>16436.55</v>
      </c>
      <c r="AA567" s="462">
        <f t="shared" si="356"/>
        <v>16436.55</v>
      </c>
      <c r="AD567" s="462">
        <f t="shared" si="357"/>
        <v>16436.55</v>
      </c>
      <c r="AG567" s="462">
        <f t="shared" si="358"/>
        <v>16436.55</v>
      </c>
      <c r="AJ567" s="462">
        <f t="shared" si="359"/>
        <v>16436.55</v>
      </c>
      <c r="AM567" s="462">
        <f t="shared" si="365"/>
        <v>16436.55</v>
      </c>
      <c r="AP567" s="462">
        <f t="shared" si="360"/>
        <v>16436.55</v>
      </c>
      <c r="AS567" s="459">
        <f t="shared" si="364"/>
        <v>16436.55</v>
      </c>
      <c r="AV567" s="462">
        <f t="shared" si="361"/>
        <v>16436.55</v>
      </c>
      <c r="AY567" s="462">
        <f t="shared" si="362"/>
        <v>16436.55</v>
      </c>
      <c r="AZ567" s="447" t="s">
        <v>2183</v>
      </c>
      <c r="BB567" s="462">
        <f t="shared" si="363"/>
        <v>16436.55</v>
      </c>
      <c r="BC567" s="447" t="s">
        <v>2207</v>
      </c>
      <c r="BD567" s="462">
        <f>ROUND(87841.21/1.06,2)-BD500</f>
        <v>16436.549999999988</v>
      </c>
      <c r="BE567" s="462">
        <f t="shared" si="322"/>
        <v>0</v>
      </c>
      <c r="BH567" s="462">
        <f t="shared" si="323"/>
        <v>0</v>
      </c>
      <c r="BK567" s="462">
        <f t="shared" si="324"/>
        <v>0</v>
      </c>
      <c r="BN567" s="462">
        <f t="shared" si="325"/>
        <v>0</v>
      </c>
      <c r="BQ567" s="462">
        <f t="shared" si="326"/>
        <v>0</v>
      </c>
      <c r="BT567" s="462">
        <f t="shared" si="327"/>
        <v>0</v>
      </c>
      <c r="BW567" s="462">
        <f t="shared" si="328"/>
        <v>0</v>
      </c>
      <c r="BZ567" s="462">
        <f t="shared" si="329"/>
        <v>0</v>
      </c>
      <c r="CD567" s="418" t="str">
        <f t="shared" si="330"/>
        <v>CU0848001</v>
      </c>
      <c r="CE567" s="442" t="str">
        <f t="shared" si="331"/>
        <v>2020年3月</v>
      </c>
      <c r="CF567" s="418" t="str">
        <f t="shared" si="332"/>
        <v>爱德觅尔clife服务费暂估</v>
      </c>
      <c r="CG567" s="418" t="str">
        <f t="shared" si="333"/>
        <v>2020年3月爱德觅尔clife服务费暂估</v>
      </c>
    </row>
    <row r="568" spans="2:85" s="447" customFormat="1" ht="17.25" customHeight="1">
      <c r="B568" s="447" t="str">
        <f t="shared" si="321"/>
        <v>CU0869</v>
      </c>
      <c r="C568" s="431" t="s">
        <v>755</v>
      </c>
      <c r="D568" s="452" t="s">
        <v>1459</v>
      </c>
      <c r="E568" s="463" t="s">
        <v>2159</v>
      </c>
      <c r="F568" s="439">
        <v>43891</v>
      </c>
      <c r="G568" s="430">
        <v>46368.47</v>
      </c>
      <c r="H568" s="440"/>
      <c r="I568" s="440">
        <f t="shared" si="350"/>
        <v>46368.47</v>
      </c>
      <c r="J568" s="440"/>
      <c r="L568" s="462">
        <f t="shared" si="351"/>
        <v>46368.47</v>
      </c>
      <c r="M568" s="462"/>
      <c r="N568" s="444"/>
      <c r="O568" s="462">
        <f t="shared" si="352"/>
        <v>46368.47</v>
      </c>
      <c r="R568" s="462">
        <f t="shared" si="353"/>
        <v>46368.47</v>
      </c>
      <c r="U568" s="462">
        <f t="shared" si="354"/>
        <v>46368.47</v>
      </c>
      <c r="X568" s="462">
        <f t="shared" si="355"/>
        <v>46368.47</v>
      </c>
      <c r="AA568" s="462">
        <f t="shared" si="356"/>
        <v>46368.47</v>
      </c>
      <c r="AD568" s="462">
        <f t="shared" si="357"/>
        <v>46368.47</v>
      </c>
      <c r="AG568" s="462">
        <f t="shared" si="358"/>
        <v>46368.47</v>
      </c>
      <c r="AJ568" s="462">
        <f t="shared" si="359"/>
        <v>46368.47</v>
      </c>
      <c r="AM568" s="462">
        <f t="shared" si="365"/>
        <v>46368.47</v>
      </c>
      <c r="AP568" s="462">
        <f t="shared" si="360"/>
        <v>46368.47</v>
      </c>
      <c r="AS568" s="459">
        <f t="shared" si="364"/>
        <v>46368.47</v>
      </c>
      <c r="AV568" s="462">
        <f t="shared" si="361"/>
        <v>46368.47</v>
      </c>
      <c r="AY568" s="462">
        <f t="shared" si="362"/>
        <v>46368.47</v>
      </c>
      <c r="AZ568" s="447" t="s">
        <v>2183</v>
      </c>
      <c r="BB568" s="462">
        <f t="shared" si="363"/>
        <v>46368.47</v>
      </c>
      <c r="BC568" s="447" t="s">
        <v>2207</v>
      </c>
      <c r="BE568" s="462">
        <f t="shared" si="322"/>
        <v>46368.47</v>
      </c>
      <c r="BF568" s="447" t="s">
        <v>2240</v>
      </c>
      <c r="BG568" s="462">
        <f>BE568</f>
        <v>46368.47</v>
      </c>
      <c r="BH568" s="462">
        <f t="shared" si="323"/>
        <v>0</v>
      </c>
      <c r="BK568" s="462">
        <f t="shared" si="324"/>
        <v>0</v>
      </c>
      <c r="BN568" s="462">
        <f t="shared" si="325"/>
        <v>0</v>
      </c>
      <c r="BQ568" s="462">
        <f t="shared" si="326"/>
        <v>0</v>
      </c>
      <c r="BT568" s="462">
        <f t="shared" si="327"/>
        <v>0</v>
      </c>
      <c r="BW568" s="462">
        <f t="shared" si="328"/>
        <v>0</v>
      </c>
      <c r="BZ568" s="462">
        <f t="shared" si="329"/>
        <v>0</v>
      </c>
      <c r="CD568" s="418" t="str">
        <f t="shared" si="330"/>
        <v>CU0869001</v>
      </c>
      <c r="CE568" s="442" t="str">
        <f t="shared" si="331"/>
        <v>2020年3月</v>
      </c>
      <c r="CF568" s="418" t="str">
        <f t="shared" si="332"/>
        <v>智睿企业咨clife服务费暂估</v>
      </c>
      <c r="CG568" s="418" t="str">
        <f t="shared" si="333"/>
        <v>2020年3月智睿企业咨clife服务费暂估</v>
      </c>
    </row>
    <row r="569" spans="2:85" s="447" customFormat="1" ht="17.25" customHeight="1">
      <c r="B569" s="447" t="str">
        <f t="shared" si="321"/>
        <v>CU0904</v>
      </c>
      <c r="C569" s="431" t="s">
        <v>755</v>
      </c>
      <c r="D569" s="452" t="s">
        <v>1460</v>
      </c>
      <c r="E569" s="463" t="s">
        <v>2160</v>
      </c>
      <c r="F569" s="439">
        <v>43891</v>
      </c>
      <c r="G569" s="430">
        <v>23843.24</v>
      </c>
      <c r="H569" s="440"/>
      <c r="I569" s="440">
        <f t="shared" si="350"/>
        <v>23843.24</v>
      </c>
      <c r="J569" s="440"/>
      <c r="L569" s="462">
        <f t="shared" si="351"/>
        <v>23843.24</v>
      </c>
      <c r="M569" s="462"/>
      <c r="N569" s="444"/>
      <c r="O569" s="462">
        <f t="shared" si="352"/>
        <v>23843.24</v>
      </c>
      <c r="R569" s="462">
        <f t="shared" si="353"/>
        <v>23843.24</v>
      </c>
      <c r="U569" s="462">
        <f t="shared" si="354"/>
        <v>23843.24</v>
      </c>
      <c r="X569" s="462">
        <f t="shared" si="355"/>
        <v>23843.24</v>
      </c>
      <c r="AA569" s="462">
        <f t="shared" si="356"/>
        <v>23843.24</v>
      </c>
      <c r="AD569" s="462">
        <f t="shared" si="357"/>
        <v>23843.24</v>
      </c>
      <c r="AG569" s="462">
        <f t="shared" si="358"/>
        <v>23843.24</v>
      </c>
      <c r="AJ569" s="462">
        <f t="shared" si="359"/>
        <v>23843.24</v>
      </c>
      <c r="AM569" s="462">
        <f t="shared" si="365"/>
        <v>23843.24</v>
      </c>
      <c r="AP569" s="462">
        <f t="shared" si="360"/>
        <v>23843.24</v>
      </c>
      <c r="AS569" s="459">
        <f t="shared" si="364"/>
        <v>23843.24</v>
      </c>
      <c r="AV569" s="462">
        <f t="shared" si="361"/>
        <v>23843.24</v>
      </c>
      <c r="AY569" s="462">
        <f t="shared" si="362"/>
        <v>23843.24</v>
      </c>
      <c r="AZ569" s="447" t="s">
        <v>2183</v>
      </c>
      <c r="BB569" s="462">
        <f t="shared" si="363"/>
        <v>23843.24</v>
      </c>
      <c r="BC569" s="447" t="s">
        <v>2207</v>
      </c>
      <c r="BE569" s="462">
        <f t="shared" si="322"/>
        <v>23843.24</v>
      </c>
      <c r="BF569" s="447" t="s">
        <v>2240</v>
      </c>
      <c r="BH569" s="462">
        <f t="shared" si="323"/>
        <v>23843.24</v>
      </c>
      <c r="BI569" s="447" t="s">
        <v>2295</v>
      </c>
      <c r="BJ569" s="462">
        <f>20000-BJ514-BJ539</f>
        <v>10509.379999999986</v>
      </c>
      <c r="BK569" s="462">
        <f t="shared" si="324"/>
        <v>13333.860000000015</v>
      </c>
      <c r="BL569" s="447" t="s">
        <v>2341</v>
      </c>
      <c r="BN569" s="462">
        <f t="shared" si="325"/>
        <v>13333.860000000015</v>
      </c>
      <c r="BO569" s="447" t="s">
        <v>2364</v>
      </c>
      <c r="BQ569" s="462">
        <f t="shared" si="326"/>
        <v>13333.86</v>
      </c>
      <c r="BS569" s="462">
        <f>BQ569</f>
        <v>13333.86</v>
      </c>
      <c r="BT569" s="462">
        <f t="shared" si="327"/>
        <v>0</v>
      </c>
      <c r="BW569" s="462">
        <f t="shared" si="328"/>
        <v>0</v>
      </c>
      <c r="BZ569" s="462">
        <f t="shared" si="329"/>
        <v>0</v>
      </c>
      <c r="CD569" s="418" t="str">
        <f t="shared" si="330"/>
        <v>CU0904001</v>
      </c>
      <c r="CE569" s="442" t="str">
        <f t="shared" si="331"/>
        <v>2020年3月</v>
      </c>
      <c r="CF569" s="418" t="str">
        <f t="shared" si="332"/>
        <v>紫光电子商clife服务费暂估</v>
      </c>
      <c r="CG569" s="418" t="str">
        <f t="shared" si="333"/>
        <v>2020年3月紫光电子商clife服务费暂估</v>
      </c>
    </row>
    <row r="570" spans="2:85" s="447" customFormat="1" ht="17.25" customHeight="1">
      <c r="B570" s="447" t="str">
        <f t="shared" si="321"/>
        <v>CU0914</v>
      </c>
      <c r="C570" s="431" t="s">
        <v>755</v>
      </c>
      <c r="D570" s="452" t="s">
        <v>1721</v>
      </c>
      <c r="E570" s="463" t="s">
        <v>2161</v>
      </c>
      <c r="F570" s="439">
        <v>43891</v>
      </c>
      <c r="G570" s="430">
        <v>1049413.22</v>
      </c>
      <c r="H570" s="440"/>
      <c r="I570" s="440">
        <f t="shared" si="350"/>
        <v>1049413.22</v>
      </c>
      <c r="J570" s="440"/>
      <c r="L570" s="462">
        <f t="shared" si="351"/>
        <v>1049413.22</v>
      </c>
      <c r="M570" s="462"/>
      <c r="N570" s="444"/>
      <c r="O570" s="462">
        <f t="shared" si="352"/>
        <v>1049413.22</v>
      </c>
      <c r="R570" s="462">
        <f t="shared" si="353"/>
        <v>1049413.22</v>
      </c>
      <c r="U570" s="462">
        <f t="shared" si="354"/>
        <v>1049413.22</v>
      </c>
      <c r="X570" s="462">
        <f t="shared" si="355"/>
        <v>1049413.22</v>
      </c>
      <c r="AA570" s="462">
        <f t="shared" si="356"/>
        <v>1049413.22</v>
      </c>
      <c r="AD570" s="462">
        <f t="shared" si="357"/>
        <v>1049413.22</v>
      </c>
      <c r="AG570" s="462">
        <f t="shared" si="358"/>
        <v>1049413.22</v>
      </c>
      <c r="AJ570" s="462">
        <f t="shared" si="359"/>
        <v>1049413.22</v>
      </c>
      <c r="AM570" s="462">
        <f t="shared" si="365"/>
        <v>1049413.22</v>
      </c>
      <c r="AP570" s="462">
        <f t="shared" si="360"/>
        <v>1049413.22</v>
      </c>
      <c r="AS570" s="459">
        <f t="shared" si="364"/>
        <v>1049413.22</v>
      </c>
      <c r="AV570" s="462">
        <f t="shared" si="361"/>
        <v>1049413.22</v>
      </c>
      <c r="AY570" s="462">
        <f t="shared" si="362"/>
        <v>1049413.22</v>
      </c>
      <c r="AZ570" s="447" t="s">
        <v>2183</v>
      </c>
      <c r="BB570" s="462">
        <f t="shared" si="363"/>
        <v>1049413.22</v>
      </c>
      <c r="BC570" s="447" t="s">
        <v>2207</v>
      </c>
      <c r="BE570" s="462">
        <f t="shared" si="322"/>
        <v>1049413.22</v>
      </c>
      <c r="BF570" s="447" t="s">
        <v>2240</v>
      </c>
      <c r="BG570" s="447">
        <f>ROUND((538000+215200)/1.06,2)-56299.39+395146.57</f>
        <v>1049413.22</v>
      </c>
      <c r="BH570" s="462">
        <f t="shared" si="323"/>
        <v>0</v>
      </c>
      <c r="BK570" s="462">
        <f t="shared" si="324"/>
        <v>0</v>
      </c>
      <c r="BN570" s="462">
        <f t="shared" si="325"/>
        <v>0</v>
      </c>
      <c r="BQ570" s="462">
        <f t="shared" si="326"/>
        <v>0</v>
      </c>
      <c r="BT570" s="462">
        <f t="shared" si="327"/>
        <v>0</v>
      </c>
      <c r="BW570" s="462">
        <f t="shared" si="328"/>
        <v>0</v>
      </c>
      <c r="BZ570" s="462">
        <f t="shared" si="329"/>
        <v>0</v>
      </c>
      <c r="CD570" s="418" t="str">
        <f t="shared" si="330"/>
        <v>CU0914001</v>
      </c>
      <c r="CE570" s="442" t="str">
        <f t="shared" si="331"/>
        <v>2020年3月</v>
      </c>
      <c r="CF570" s="418" t="str">
        <f t="shared" si="332"/>
        <v>鑫车投资clife服务费暂估</v>
      </c>
      <c r="CG570" s="418" t="str">
        <f t="shared" si="333"/>
        <v>2020年3月鑫车投资clife服务费暂估</v>
      </c>
    </row>
    <row r="571" spans="2:85" s="447" customFormat="1" ht="17.25" customHeight="1">
      <c r="B571" s="447" t="str">
        <f t="shared" si="321"/>
        <v>CU1016</v>
      </c>
      <c r="C571" s="431" t="s">
        <v>755</v>
      </c>
      <c r="D571" s="452" t="s">
        <v>1524</v>
      </c>
      <c r="E571" s="463" t="s">
        <v>2162</v>
      </c>
      <c r="F571" s="439">
        <v>43891</v>
      </c>
      <c r="G571" s="430">
        <v>2345.13</v>
      </c>
      <c r="H571" s="440"/>
      <c r="I571" s="440">
        <f t="shared" si="350"/>
        <v>2345.13</v>
      </c>
      <c r="J571" s="440"/>
      <c r="L571" s="462">
        <f t="shared" si="351"/>
        <v>2345.13</v>
      </c>
      <c r="M571" s="462"/>
      <c r="N571" s="444"/>
      <c r="O571" s="462">
        <f t="shared" si="352"/>
        <v>2345.13</v>
      </c>
      <c r="R571" s="462">
        <f t="shared" si="353"/>
        <v>2345.13</v>
      </c>
      <c r="U571" s="462">
        <f t="shared" si="354"/>
        <v>2345.13</v>
      </c>
      <c r="X571" s="462">
        <f t="shared" si="355"/>
        <v>2345.13</v>
      </c>
      <c r="AA571" s="462">
        <f t="shared" si="356"/>
        <v>2345.13</v>
      </c>
      <c r="AD571" s="462">
        <f t="shared" si="357"/>
        <v>2345.13</v>
      </c>
      <c r="AG571" s="462">
        <f t="shared" si="358"/>
        <v>2345.13</v>
      </c>
      <c r="AJ571" s="462">
        <f t="shared" si="359"/>
        <v>2345.13</v>
      </c>
      <c r="AM571" s="462">
        <f t="shared" si="365"/>
        <v>2345.13</v>
      </c>
      <c r="AP571" s="462">
        <f t="shared" si="360"/>
        <v>2345.13</v>
      </c>
      <c r="AS571" s="459">
        <f t="shared" si="364"/>
        <v>2345.13</v>
      </c>
      <c r="AV571" s="462">
        <f t="shared" si="361"/>
        <v>2345.13</v>
      </c>
      <c r="AY571" s="462">
        <f t="shared" si="362"/>
        <v>2345.13</v>
      </c>
      <c r="AZ571" s="447" t="s">
        <v>2183</v>
      </c>
      <c r="BB571" s="462">
        <f t="shared" si="363"/>
        <v>2345.13</v>
      </c>
      <c r="BC571" s="447" t="s">
        <v>2207</v>
      </c>
      <c r="BE571" s="462">
        <f t="shared" si="322"/>
        <v>2345.13</v>
      </c>
      <c r="BF571" s="447" t="s">
        <v>2240</v>
      </c>
      <c r="BH571" s="462">
        <f t="shared" si="323"/>
        <v>2345.13</v>
      </c>
      <c r="BI571" s="447" t="s">
        <v>2295</v>
      </c>
      <c r="BK571" s="462">
        <f t="shared" si="324"/>
        <v>2345.13</v>
      </c>
      <c r="BL571" s="447" t="s">
        <v>2341</v>
      </c>
      <c r="BN571" s="462">
        <f t="shared" si="325"/>
        <v>2345.13</v>
      </c>
      <c r="BO571" s="447" t="s">
        <v>2364</v>
      </c>
      <c r="BQ571" s="462">
        <f t="shared" si="326"/>
        <v>2345.13</v>
      </c>
      <c r="BS571" s="462">
        <f>BQ571</f>
        <v>2345.13</v>
      </c>
      <c r="BT571" s="462">
        <f t="shared" si="327"/>
        <v>0</v>
      </c>
      <c r="BW571" s="462">
        <f t="shared" si="328"/>
        <v>0</v>
      </c>
      <c r="BZ571" s="462">
        <f t="shared" si="329"/>
        <v>0</v>
      </c>
      <c r="CD571" s="418" t="str">
        <f t="shared" si="330"/>
        <v>CU1016001</v>
      </c>
      <c r="CE571" s="442" t="str">
        <f t="shared" si="331"/>
        <v>2020年3月</v>
      </c>
      <c r="CF571" s="418" t="str">
        <f t="shared" si="332"/>
        <v>乔治阿玛尼clife服务费暂估</v>
      </c>
      <c r="CG571" s="418" t="str">
        <f t="shared" si="333"/>
        <v>2020年3月乔治阿玛尼clife服务费暂估</v>
      </c>
    </row>
    <row r="572" spans="2:85" s="447" customFormat="1" ht="17.25" customHeight="1">
      <c r="B572" s="447" t="str">
        <f t="shared" si="321"/>
        <v>CU1155</v>
      </c>
      <c r="C572" s="431" t="s">
        <v>755</v>
      </c>
      <c r="D572" s="452" t="s">
        <v>1698</v>
      </c>
      <c r="E572" s="463" t="s">
        <v>2163</v>
      </c>
      <c r="F572" s="439">
        <v>43891</v>
      </c>
      <c r="G572" s="430">
        <v>286.62</v>
      </c>
      <c r="H572" s="440"/>
      <c r="I572" s="440">
        <f t="shared" si="350"/>
        <v>286.62</v>
      </c>
      <c r="J572" s="440"/>
      <c r="L572" s="462">
        <f t="shared" si="351"/>
        <v>286.62</v>
      </c>
      <c r="M572" s="462"/>
      <c r="N572" s="444"/>
      <c r="O572" s="462">
        <f t="shared" si="352"/>
        <v>286.62</v>
      </c>
      <c r="R572" s="462">
        <f t="shared" si="353"/>
        <v>286.62</v>
      </c>
      <c r="U572" s="462">
        <f t="shared" si="354"/>
        <v>286.62</v>
      </c>
      <c r="X572" s="462">
        <f t="shared" si="355"/>
        <v>286.62</v>
      </c>
      <c r="AA572" s="462">
        <f t="shared" si="356"/>
        <v>286.62</v>
      </c>
      <c r="AD572" s="462">
        <f t="shared" si="357"/>
        <v>286.62</v>
      </c>
      <c r="AG572" s="462">
        <f t="shared" si="358"/>
        <v>286.62</v>
      </c>
      <c r="AJ572" s="462">
        <f t="shared" si="359"/>
        <v>286.62</v>
      </c>
      <c r="AM572" s="462">
        <f t="shared" si="365"/>
        <v>286.62</v>
      </c>
      <c r="AP572" s="462">
        <f t="shared" si="360"/>
        <v>286.62</v>
      </c>
      <c r="AS572" s="459">
        <f t="shared" si="364"/>
        <v>286.62</v>
      </c>
      <c r="AV572" s="462">
        <f t="shared" si="361"/>
        <v>286.62</v>
      </c>
      <c r="AY572" s="462">
        <f t="shared" si="362"/>
        <v>286.62</v>
      </c>
      <c r="AZ572" s="447" t="s">
        <v>2183</v>
      </c>
      <c r="BB572" s="462">
        <f t="shared" si="363"/>
        <v>286.62</v>
      </c>
      <c r="BC572" s="447" t="s">
        <v>2207</v>
      </c>
      <c r="BE572" s="462">
        <f t="shared" si="322"/>
        <v>286.62</v>
      </c>
      <c r="BF572" s="447" t="s">
        <v>2240</v>
      </c>
      <c r="BH572" s="462">
        <f t="shared" si="323"/>
        <v>286.62</v>
      </c>
      <c r="BI572" s="447" t="s">
        <v>2295</v>
      </c>
      <c r="BK572" s="462">
        <f t="shared" si="324"/>
        <v>286.62</v>
      </c>
      <c r="BL572" s="447" t="s">
        <v>2341</v>
      </c>
      <c r="BN572" s="462">
        <f t="shared" si="325"/>
        <v>286.62</v>
      </c>
      <c r="BO572" s="447" t="s">
        <v>2364</v>
      </c>
      <c r="BQ572" s="462">
        <f t="shared" si="326"/>
        <v>286.62</v>
      </c>
      <c r="BT572" s="462">
        <f t="shared" si="327"/>
        <v>286.62</v>
      </c>
      <c r="BU572" s="447" t="s">
        <v>2134</v>
      </c>
      <c r="BW572" s="462">
        <f t="shared" si="328"/>
        <v>286.62</v>
      </c>
      <c r="BZ572" s="462">
        <f t="shared" si="329"/>
        <v>286.62</v>
      </c>
      <c r="CD572" s="418" t="str">
        <f t="shared" si="330"/>
        <v>CU1155001</v>
      </c>
      <c r="CE572" s="442" t="str">
        <f t="shared" si="331"/>
        <v>2020年3月</v>
      </c>
      <c r="CF572" s="418" t="str">
        <f t="shared" si="332"/>
        <v>艾蒙斯特朗clife服务费暂估</v>
      </c>
      <c r="CG572" s="418" t="str">
        <f t="shared" si="333"/>
        <v>2020年3月艾蒙斯特朗clife服务费暂估</v>
      </c>
    </row>
    <row r="573" spans="2:85" s="447" customFormat="1" ht="17.25" customHeight="1">
      <c r="B573" s="447" t="str">
        <f t="shared" si="321"/>
        <v>CU1159</v>
      </c>
      <c r="C573" s="431" t="s">
        <v>755</v>
      </c>
      <c r="D573" s="452" t="s">
        <v>1722</v>
      </c>
      <c r="E573" s="463" t="s">
        <v>2164</v>
      </c>
      <c r="F573" s="439">
        <v>43891</v>
      </c>
      <c r="G573" s="430">
        <v>315893.09999999998</v>
      </c>
      <c r="H573" s="440"/>
      <c r="I573" s="440">
        <f t="shared" si="350"/>
        <v>315893.09999999998</v>
      </c>
      <c r="J573" s="440"/>
      <c r="L573" s="462">
        <f t="shared" si="351"/>
        <v>315893.09999999998</v>
      </c>
      <c r="M573" s="462"/>
      <c r="N573" s="444"/>
      <c r="O573" s="462">
        <f t="shared" si="352"/>
        <v>315893.09999999998</v>
      </c>
      <c r="R573" s="462">
        <f t="shared" si="353"/>
        <v>315893.09999999998</v>
      </c>
      <c r="U573" s="462">
        <f t="shared" si="354"/>
        <v>315893.09999999998</v>
      </c>
      <c r="X573" s="462">
        <f t="shared" si="355"/>
        <v>315893.09999999998</v>
      </c>
      <c r="AA573" s="462">
        <f t="shared" si="356"/>
        <v>315893.09999999998</v>
      </c>
      <c r="AD573" s="462">
        <f t="shared" si="357"/>
        <v>315893.09999999998</v>
      </c>
      <c r="AG573" s="462">
        <f t="shared" si="358"/>
        <v>315893.09999999998</v>
      </c>
      <c r="AJ573" s="462">
        <f t="shared" si="359"/>
        <v>315893.09999999998</v>
      </c>
      <c r="AM573" s="462">
        <f t="shared" si="365"/>
        <v>315893.09999999998</v>
      </c>
      <c r="AP573" s="462">
        <f t="shared" si="360"/>
        <v>315893.09999999998</v>
      </c>
      <c r="AS573" s="459">
        <f t="shared" si="364"/>
        <v>315893.09999999998</v>
      </c>
      <c r="AV573" s="462">
        <f t="shared" si="361"/>
        <v>315893.09999999998</v>
      </c>
      <c r="AY573" s="462">
        <f t="shared" si="362"/>
        <v>315893.09999999998</v>
      </c>
      <c r="AZ573" s="447" t="s">
        <v>2183</v>
      </c>
      <c r="BB573" s="462">
        <f t="shared" si="363"/>
        <v>315893.09999999998</v>
      </c>
      <c r="BC573" s="447" t="s">
        <v>2207</v>
      </c>
      <c r="BD573" s="462">
        <f>BB573</f>
        <v>315893.09999999998</v>
      </c>
      <c r="BE573" s="462">
        <f t="shared" si="322"/>
        <v>0</v>
      </c>
      <c r="BF573" s="447" t="s">
        <v>2240</v>
      </c>
      <c r="BH573" s="462">
        <f t="shared" si="323"/>
        <v>0</v>
      </c>
      <c r="BK573" s="462">
        <f t="shared" si="324"/>
        <v>0</v>
      </c>
      <c r="BN573" s="462">
        <f t="shared" si="325"/>
        <v>0</v>
      </c>
      <c r="BQ573" s="462">
        <f t="shared" si="326"/>
        <v>0</v>
      </c>
      <c r="BT573" s="462">
        <f t="shared" si="327"/>
        <v>0</v>
      </c>
      <c r="BW573" s="462">
        <f t="shared" si="328"/>
        <v>0</v>
      </c>
      <c r="BZ573" s="462">
        <f t="shared" si="329"/>
        <v>0</v>
      </c>
      <c r="CD573" s="418" t="str">
        <f t="shared" si="330"/>
        <v>CU1159001</v>
      </c>
      <c r="CE573" s="442" t="str">
        <f t="shared" si="331"/>
        <v>2020年3月</v>
      </c>
      <c r="CF573" s="418" t="str">
        <f t="shared" si="332"/>
        <v>北京万国长clife服务费暂估</v>
      </c>
      <c r="CG573" s="418" t="str">
        <f t="shared" si="333"/>
        <v>2020年3月北京万国长clife服务费暂估</v>
      </c>
    </row>
    <row r="574" spans="2:85" s="447" customFormat="1" ht="17.25" customHeight="1">
      <c r="B574" s="447" t="str">
        <f t="shared" si="321"/>
        <v>CU1198</v>
      </c>
      <c r="C574" s="431" t="s">
        <v>755</v>
      </c>
      <c r="D574" s="452" t="s">
        <v>1538</v>
      </c>
      <c r="E574" s="463" t="s">
        <v>2165</v>
      </c>
      <c r="F574" s="439">
        <v>43891</v>
      </c>
      <c r="G574" s="430">
        <v>45536.4</v>
      </c>
      <c r="H574" s="440"/>
      <c r="I574" s="440">
        <f t="shared" si="350"/>
        <v>45536.4</v>
      </c>
      <c r="J574" s="440"/>
      <c r="L574" s="462">
        <f t="shared" si="351"/>
        <v>45536.4</v>
      </c>
      <c r="M574" s="462"/>
      <c r="N574" s="444"/>
      <c r="O574" s="462">
        <f t="shared" si="352"/>
        <v>45536.4</v>
      </c>
      <c r="R574" s="462">
        <f t="shared" si="353"/>
        <v>45536.4</v>
      </c>
      <c r="U574" s="462">
        <f t="shared" si="354"/>
        <v>45536.4</v>
      </c>
      <c r="X574" s="462">
        <f t="shared" si="355"/>
        <v>45536.4</v>
      </c>
      <c r="AA574" s="462">
        <f t="shared" si="356"/>
        <v>45536.4</v>
      </c>
      <c r="AD574" s="462">
        <f t="shared" si="357"/>
        <v>45536.4</v>
      </c>
      <c r="AG574" s="462">
        <f t="shared" si="358"/>
        <v>45536.4</v>
      </c>
      <c r="AJ574" s="462">
        <f t="shared" si="359"/>
        <v>45536.4</v>
      </c>
      <c r="AM574" s="462">
        <f t="shared" si="365"/>
        <v>45536.4</v>
      </c>
      <c r="AP574" s="462">
        <f t="shared" si="360"/>
        <v>45536.4</v>
      </c>
      <c r="AS574" s="459">
        <f t="shared" si="364"/>
        <v>45536.4</v>
      </c>
      <c r="AV574" s="462">
        <f t="shared" si="361"/>
        <v>45536.4</v>
      </c>
      <c r="AY574" s="462">
        <f t="shared" si="362"/>
        <v>45536.4</v>
      </c>
      <c r="AZ574" s="447" t="s">
        <v>2183</v>
      </c>
      <c r="BA574" s="462">
        <f>AY574</f>
        <v>45536.4</v>
      </c>
      <c r="BB574" s="462">
        <f t="shared" si="363"/>
        <v>0</v>
      </c>
      <c r="BC574" s="447" t="s">
        <v>2207</v>
      </c>
      <c r="BE574" s="462">
        <f t="shared" si="322"/>
        <v>0</v>
      </c>
      <c r="BH574" s="462">
        <f t="shared" si="323"/>
        <v>0</v>
      </c>
      <c r="BK574" s="462">
        <f t="shared" si="324"/>
        <v>0</v>
      </c>
      <c r="BN574" s="462">
        <f t="shared" si="325"/>
        <v>0</v>
      </c>
      <c r="BQ574" s="462">
        <f t="shared" si="326"/>
        <v>0</v>
      </c>
      <c r="BT574" s="462">
        <f t="shared" si="327"/>
        <v>0</v>
      </c>
      <c r="BW574" s="462">
        <f t="shared" si="328"/>
        <v>0</v>
      </c>
      <c r="BZ574" s="462">
        <f t="shared" si="329"/>
        <v>0</v>
      </c>
      <c r="CD574" s="418" t="str">
        <f t="shared" si="330"/>
        <v>CU1198001</v>
      </c>
      <c r="CE574" s="442" t="str">
        <f t="shared" si="331"/>
        <v>2020年3月</v>
      </c>
      <c r="CF574" s="418" t="str">
        <f t="shared" si="332"/>
        <v>通用公正技clife服务费暂估</v>
      </c>
      <c r="CG574" s="418" t="str">
        <f t="shared" si="333"/>
        <v>2020年3月通用公正技clife服务费暂估</v>
      </c>
    </row>
    <row r="575" spans="2:85" s="447" customFormat="1" ht="17.25" customHeight="1">
      <c r="B575" s="447" t="str">
        <f t="shared" si="321"/>
        <v>CU1204</v>
      </c>
      <c r="C575" s="431" t="s">
        <v>755</v>
      </c>
      <c r="D575" s="452" t="s">
        <v>1656</v>
      </c>
      <c r="E575" s="463" t="s">
        <v>2166</v>
      </c>
      <c r="F575" s="439">
        <v>43891</v>
      </c>
      <c r="G575" s="430">
        <v>137610</v>
      </c>
      <c r="H575" s="440"/>
      <c r="I575" s="440">
        <f t="shared" si="350"/>
        <v>137610</v>
      </c>
      <c r="J575" s="440"/>
      <c r="L575" s="462">
        <f t="shared" si="351"/>
        <v>137610</v>
      </c>
      <c r="M575" s="462"/>
      <c r="N575" s="444"/>
      <c r="O575" s="462">
        <f t="shared" si="352"/>
        <v>137610</v>
      </c>
      <c r="R575" s="462">
        <f t="shared" si="353"/>
        <v>137610</v>
      </c>
      <c r="U575" s="462">
        <f t="shared" si="354"/>
        <v>137610</v>
      </c>
      <c r="X575" s="462">
        <f t="shared" si="355"/>
        <v>137610</v>
      </c>
      <c r="AA575" s="462">
        <f t="shared" si="356"/>
        <v>137610</v>
      </c>
      <c r="AD575" s="462">
        <f t="shared" si="357"/>
        <v>137610</v>
      </c>
      <c r="AG575" s="462">
        <f t="shared" si="358"/>
        <v>137610</v>
      </c>
      <c r="AJ575" s="462">
        <f t="shared" si="359"/>
        <v>137610</v>
      </c>
      <c r="AM575" s="462">
        <f t="shared" si="365"/>
        <v>137610</v>
      </c>
      <c r="AP575" s="462">
        <f t="shared" si="360"/>
        <v>137610</v>
      </c>
      <c r="AS575" s="459">
        <f t="shared" si="364"/>
        <v>137610</v>
      </c>
      <c r="AV575" s="462">
        <f t="shared" si="361"/>
        <v>137610</v>
      </c>
      <c r="AY575" s="462">
        <f t="shared" si="362"/>
        <v>137610</v>
      </c>
      <c r="AZ575" s="447" t="s">
        <v>2183</v>
      </c>
      <c r="BB575" s="462">
        <f t="shared" si="363"/>
        <v>137610</v>
      </c>
      <c r="BC575" s="447" t="s">
        <v>2207</v>
      </c>
      <c r="BE575" s="462">
        <f t="shared" si="322"/>
        <v>137610</v>
      </c>
      <c r="BF575" s="447" t="s">
        <v>2240</v>
      </c>
      <c r="BH575" s="462">
        <f t="shared" si="323"/>
        <v>137610</v>
      </c>
      <c r="BI575" s="447" t="s">
        <v>2295</v>
      </c>
      <c r="BK575" s="462">
        <f t="shared" si="324"/>
        <v>137610</v>
      </c>
      <c r="BL575" s="447" t="s">
        <v>2341</v>
      </c>
      <c r="BM575" s="462">
        <f>BK575</f>
        <v>137610</v>
      </c>
      <c r="BN575" s="462">
        <f t="shared" si="325"/>
        <v>0</v>
      </c>
      <c r="BQ575" s="462">
        <f t="shared" si="326"/>
        <v>0</v>
      </c>
      <c r="BT575" s="462">
        <f t="shared" si="327"/>
        <v>0</v>
      </c>
      <c r="BW575" s="462">
        <f t="shared" si="328"/>
        <v>0</v>
      </c>
      <c r="BZ575" s="462">
        <f t="shared" si="329"/>
        <v>0</v>
      </c>
      <c r="CD575" s="418" t="str">
        <f t="shared" si="330"/>
        <v>CU1204001</v>
      </c>
      <c r="CE575" s="442" t="str">
        <f t="shared" si="331"/>
        <v>2020年3月</v>
      </c>
      <c r="CF575" s="418" t="str">
        <f t="shared" si="332"/>
        <v>固特异轮胎clife服务费暂估</v>
      </c>
      <c r="CG575" s="418" t="str">
        <f t="shared" si="333"/>
        <v>2020年3月固特异轮胎clife服务费暂估</v>
      </c>
    </row>
    <row r="576" spans="2:85" s="447" customFormat="1" ht="17.25" customHeight="1">
      <c r="B576" s="447" t="str">
        <f t="shared" si="321"/>
        <v>CU1223</v>
      </c>
      <c r="C576" s="431" t="s">
        <v>755</v>
      </c>
      <c r="D576" s="452" t="s">
        <v>1842</v>
      </c>
      <c r="E576" s="463" t="s">
        <v>2167</v>
      </c>
      <c r="F576" s="439">
        <v>43891</v>
      </c>
      <c r="G576" s="430">
        <v>7187.69</v>
      </c>
      <c r="H576" s="440"/>
      <c r="I576" s="440">
        <f t="shared" si="350"/>
        <v>7187.69</v>
      </c>
      <c r="J576" s="440"/>
      <c r="L576" s="462">
        <f t="shared" si="351"/>
        <v>7187.69</v>
      </c>
      <c r="M576" s="462"/>
      <c r="N576" s="444"/>
      <c r="O576" s="462">
        <f t="shared" si="352"/>
        <v>7187.69</v>
      </c>
      <c r="R576" s="462">
        <f t="shared" si="353"/>
        <v>7187.69</v>
      </c>
      <c r="U576" s="462">
        <f t="shared" si="354"/>
        <v>7187.69</v>
      </c>
      <c r="X576" s="462">
        <f t="shared" si="355"/>
        <v>7187.69</v>
      </c>
      <c r="AA576" s="462">
        <f t="shared" si="356"/>
        <v>7187.69</v>
      </c>
      <c r="AD576" s="462">
        <f t="shared" si="357"/>
        <v>7187.69</v>
      </c>
      <c r="AG576" s="462">
        <f t="shared" si="358"/>
        <v>7187.69</v>
      </c>
      <c r="AJ576" s="462">
        <f t="shared" si="359"/>
        <v>7187.69</v>
      </c>
      <c r="AM576" s="462">
        <f t="shared" si="365"/>
        <v>7187.69</v>
      </c>
      <c r="AP576" s="462">
        <f t="shared" si="360"/>
        <v>7187.69</v>
      </c>
      <c r="AS576" s="459">
        <f t="shared" si="364"/>
        <v>7187.69</v>
      </c>
      <c r="AV576" s="462">
        <f t="shared" si="361"/>
        <v>7187.69</v>
      </c>
      <c r="AY576" s="462">
        <f t="shared" si="362"/>
        <v>7187.69</v>
      </c>
      <c r="AZ576" s="447" t="s">
        <v>2183</v>
      </c>
      <c r="BB576" s="462">
        <f t="shared" si="363"/>
        <v>7187.69</v>
      </c>
      <c r="BC576" s="447" t="s">
        <v>2207</v>
      </c>
      <c r="BE576" s="462">
        <f t="shared" si="322"/>
        <v>7187.69</v>
      </c>
      <c r="BF576" s="447" t="s">
        <v>2240</v>
      </c>
      <c r="BH576" s="462">
        <f t="shared" si="323"/>
        <v>7187.69</v>
      </c>
      <c r="BI576" s="447" t="s">
        <v>2295</v>
      </c>
      <c r="BJ576" s="462">
        <f>BH576</f>
        <v>7187.69</v>
      </c>
      <c r="BK576" s="462">
        <f t="shared" si="324"/>
        <v>0</v>
      </c>
      <c r="BN576" s="462">
        <f t="shared" si="325"/>
        <v>0</v>
      </c>
      <c r="BQ576" s="462">
        <f t="shared" si="326"/>
        <v>0</v>
      </c>
      <c r="BT576" s="462">
        <f t="shared" si="327"/>
        <v>0</v>
      </c>
      <c r="BW576" s="462">
        <f t="shared" si="328"/>
        <v>0</v>
      </c>
      <c r="BZ576" s="462">
        <f t="shared" si="329"/>
        <v>0</v>
      </c>
      <c r="CD576" s="418" t="str">
        <f t="shared" si="330"/>
        <v>CU1223001</v>
      </c>
      <c r="CE576" s="442" t="str">
        <f t="shared" si="331"/>
        <v>2020年3月</v>
      </c>
      <c r="CF576" s="418" t="str">
        <f t="shared" si="332"/>
        <v>上海品盛化clife服务费暂估</v>
      </c>
      <c r="CG576" s="418" t="str">
        <f t="shared" si="333"/>
        <v>2020年3月上海品盛化clife服务费暂估</v>
      </c>
    </row>
    <row r="577" spans="2:85" s="447" customFormat="1" ht="17.25" customHeight="1">
      <c r="B577" s="447" t="str">
        <f t="shared" si="321"/>
        <v>CU1430</v>
      </c>
      <c r="C577" s="431" t="s">
        <v>755</v>
      </c>
      <c r="D577" s="452" t="s">
        <v>1847</v>
      </c>
      <c r="E577" s="463" t="s">
        <v>2168</v>
      </c>
      <c r="F577" s="439">
        <v>43891</v>
      </c>
      <c r="G577" s="430">
        <v>15782.62</v>
      </c>
      <c r="H577" s="440"/>
      <c r="I577" s="440">
        <f t="shared" si="350"/>
        <v>15782.62</v>
      </c>
      <c r="J577" s="440"/>
      <c r="L577" s="462">
        <f t="shared" si="351"/>
        <v>15782.62</v>
      </c>
      <c r="M577" s="462"/>
      <c r="N577" s="444"/>
      <c r="O577" s="462">
        <f t="shared" si="352"/>
        <v>15782.62</v>
      </c>
      <c r="R577" s="462">
        <f t="shared" si="353"/>
        <v>15782.62</v>
      </c>
      <c r="U577" s="462">
        <f t="shared" si="354"/>
        <v>15782.62</v>
      </c>
      <c r="X577" s="462">
        <f t="shared" si="355"/>
        <v>15782.62</v>
      </c>
      <c r="AA577" s="462">
        <f t="shared" si="356"/>
        <v>15782.62</v>
      </c>
      <c r="AD577" s="462">
        <f t="shared" si="357"/>
        <v>15782.62</v>
      </c>
      <c r="AG577" s="462">
        <f t="shared" si="358"/>
        <v>15782.62</v>
      </c>
      <c r="AJ577" s="462">
        <f t="shared" si="359"/>
        <v>15782.62</v>
      </c>
      <c r="AM577" s="462">
        <f t="shared" si="365"/>
        <v>15782.62</v>
      </c>
      <c r="AP577" s="462">
        <f t="shared" si="360"/>
        <v>15782.62</v>
      </c>
      <c r="AS577" s="459">
        <f t="shared" si="364"/>
        <v>15782.62</v>
      </c>
      <c r="AV577" s="462">
        <f t="shared" si="361"/>
        <v>15782.62</v>
      </c>
      <c r="AY577" s="462">
        <f t="shared" si="362"/>
        <v>15782.62</v>
      </c>
      <c r="AZ577" s="447" t="s">
        <v>2183</v>
      </c>
      <c r="BB577" s="462">
        <f t="shared" si="363"/>
        <v>15782.62</v>
      </c>
      <c r="BC577" s="447" t="s">
        <v>2207</v>
      </c>
      <c r="BE577" s="462">
        <f t="shared" si="322"/>
        <v>15782.62</v>
      </c>
      <c r="BF577" s="447" t="s">
        <v>2240</v>
      </c>
      <c r="BH577" s="462">
        <f t="shared" si="323"/>
        <v>15782.62</v>
      </c>
      <c r="BI577" s="447" t="s">
        <v>2295</v>
      </c>
      <c r="BK577" s="462">
        <f t="shared" si="324"/>
        <v>15782.62</v>
      </c>
      <c r="BL577" s="447" t="s">
        <v>2341</v>
      </c>
      <c r="BN577" s="462">
        <f t="shared" si="325"/>
        <v>15782.62</v>
      </c>
      <c r="BO577" s="447" t="s">
        <v>2364</v>
      </c>
      <c r="BQ577" s="462">
        <f t="shared" si="326"/>
        <v>15782.62</v>
      </c>
      <c r="BT577" s="462">
        <f t="shared" si="327"/>
        <v>15782.62</v>
      </c>
      <c r="BU577" s="447" t="s">
        <v>2134</v>
      </c>
      <c r="BV577" s="462">
        <f>50000-BV381-BV412-BV450-BV483</f>
        <v>14250.060000000001</v>
      </c>
      <c r="BW577" s="462">
        <f t="shared" si="328"/>
        <v>1532.56</v>
      </c>
      <c r="BZ577" s="462">
        <f t="shared" si="329"/>
        <v>1532.56</v>
      </c>
      <c r="CD577" s="418" t="str">
        <f t="shared" si="330"/>
        <v>CU1430001</v>
      </c>
      <c r="CE577" s="442" t="str">
        <f t="shared" si="331"/>
        <v>2020年3月</v>
      </c>
      <c r="CF577" s="418" t="str">
        <f t="shared" si="332"/>
        <v>连云港锐巴clife服务费暂估</v>
      </c>
      <c r="CG577" s="418" t="str">
        <f t="shared" si="333"/>
        <v>2020年3月连云港锐巴clife服务费暂估</v>
      </c>
    </row>
    <row r="578" spans="2:85" s="447" customFormat="1" ht="17.25" customHeight="1">
      <c r="B578" s="447" t="str">
        <f t="shared" si="321"/>
        <v>CU1345</v>
      </c>
      <c r="C578" s="431" t="s">
        <v>755</v>
      </c>
      <c r="D578" s="452" t="s">
        <v>1843</v>
      </c>
      <c r="E578" s="463" t="s">
        <v>2169</v>
      </c>
      <c r="F578" s="439">
        <v>43891</v>
      </c>
      <c r="G578" s="430">
        <v>54637.51</v>
      </c>
      <c r="H578" s="440"/>
      <c r="I578" s="440">
        <f t="shared" si="350"/>
        <v>54637.51</v>
      </c>
      <c r="J578" s="440"/>
      <c r="L578" s="462">
        <f t="shared" si="351"/>
        <v>54637.51</v>
      </c>
      <c r="M578" s="462"/>
      <c r="N578" s="444"/>
      <c r="O578" s="462">
        <f t="shared" si="352"/>
        <v>54637.51</v>
      </c>
      <c r="R578" s="462">
        <f t="shared" si="353"/>
        <v>54637.51</v>
      </c>
      <c r="U578" s="462">
        <f t="shared" si="354"/>
        <v>54637.51</v>
      </c>
      <c r="X578" s="462">
        <f t="shared" si="355"/>
        <v>54637.51</v>
      </c>
      <c r="AA578" s="462">
        <f t="shared" si="356"/>
        <v>54637.51</v>
      </c>
      <c r="AD578" s="462">
        <f t="shared" si="357"/>
        <v>54637.51</v>
      </c>
      <c r="AG578" s="462">
        <f t="shared" si="358"/>
        <v>54637.51</v>
      </c>
      <c r="AJ578" s="462">
        <f t="shared" si="359"/>
        <v>54637.51</v>
      </c>
      <c r="AM578" s="462">
        <f t="shared" si="365"/>
        <v>54637.51</v>
      </c>
      <c r="AP578" s="462">
        <f t="shared" si="360"/>
        <v>54637.51</v>
      </c>
      <c r="AS578" s="459">
        <f t="shared" si="364"/>
        <v>54637.51</v>
      </c>
      <c r="AV578" s="462">
        <f t="shared" si="361"/>
        <v>54637.51</v>
      </c>
      <c r="AY578" s="462">
        <f t="shared" si="362"/>
        <v>54637.51</v>
      </c>
      <c r="AZ578" s="447" t="s">
        <v>2183</v>
      </c>
      <c r="BB578" s="462">
        <f t="shared" si="363"/>
        <v>54637.51</v>
      </c>
      <c r="BC578" s="447" t="s">
        <v>2207</v>
      </c>
      <c r="BE578" s="462">
        <f t="shared" si="322"/>
        <v>54637.51</v>
      </c>
      <c r="BF578" s="447" t="s">
        <v>2240</v>
      </c>
      <c r="BG578" s="462">
        <f>BE578</f>
        <v>54637.51</v>
      </c>
      <c r="BH578" s="462">
        <f t="shared" si="323"/>
        <v>0</v>
      </c>
      <c r="BK578" s="462">
        <f t="shared" si="324"/>
        <v>0</v>
      </c>
      <c r="BN578" s="462">
        <f t="shared" si="325"/>
        <v>0</v>
      </c>
      <c r="BQ578" s="462">
        <f t="shared" si="326"/>
        <v>0</v>
      </c>
      <c r="BT578" s="462">
        <f t="shared" si="327"/>
        <v>0</v>
      </c>
      <c r="BW578" s="462">
        <f t="shared" si="328"/>
        <v>0</v>
      </c>
      <c r="BZ578" s="462">
        <f t="shared" si="329"/>
        <v>0</v>
      </c>
      <c r="CD578" s="418" t="str">
        <f t="shared" si="330"/>
        <v>CU1345001</v>
      </c>
      <c r="CE578" s="442" t="str">
        <f t="shared" si="331"/>
        <v>2020年3月</v>
      </c>
      <c r="CF578" s="418" t="str">
        <f t="shared" si="332"/>
        <v>上海创米科clife服务费暂估</v>
      </c>
      <c r="CG578" s="418" t="str">
        <f t="shared" si="333"/>
        <v>2020年3月上海创米科clife服务费暂估</v>
      </c>
    </row>
    <row r="579" spans="2:85" s="447" customFormat="1" ht="17.25" customHeight="1">
      <c r="B579" s="447" t="str">
        <f t="shared" ref="B579:B642" si="366">LEFT(D579,6)</f>
        <v>CU1705</v>
      </c>
      <c r="C579" s="431" t="s">
        <v>755</v>
      </c>
      <c r="D579" s="452" t="s">
        <v>1848</v>
      </c>
      <c r="E579" s="463" t="s">
        <v>2170</v>
      </c>
      <c r="F579" s="439">
        <v>43891</v>
      </c>
      <c r="G579" s="430">
        <v>52337.15</v>
      </c>
      <c r="H579" s="440"/>
      <c r="I579" s="440">
        <f t="shared" si="350"/>
        <v>52337.15</v>
      </c>
      <c r="J579" s="440"/>
      <c r="L579" s="462">
        <f t="shared" si="351"/>
        <v>52337.15</v>
      </c>
      <c r="M579" s="462"/>
      <c r="N579" s="444"/>
      <c r="O579" s="462">
        <f t="shared" si="352"/>
        <v>52337.15</v>
      </c>
      <c r="R579" s="462">
        <f t="shared" si="353"/>
        <v>52337.15</v>
      </c>
      <c r="U579" s="462">
        <f t="shared" si="354"/>
        <v>52337.15</v>
      </c>
      <c r="X579" s="462">
        <f t="shared" si="355"/>
        <v>52337.15</v>
      </c>
      <c r="AA579" s="462">
        <f t="shared" si="356"/>
        <v>52337.15</v>
      </c>
      <c r="AD579" s="462">
        <f t="shared" si="357"/>
        <v>52337.15</v>
      </c>
      <c r="AG579" s="462">
        <f t="shared" si="358"/>
        <v>52337.15</v>
      </c>
      <c r="AJ579" s="462">
        <f t="shared" si="359"/>
        <v>52337.15</v>
      </c>
      <c r="AM579" s="462">
        <f t="shared" si="365"/>
        <v>52337.15</v>
      </c>
      <c r="AP579" s="462">
        <f t="shared" si="360"/>
        <v>52337.15</v>
      </c>
      <c r="AS579" s="459">
        <f t="shared" si="364"/>
        <v>52337.15</v>
      </c>
      <c r="AV579" s="462">
        <f t="shared" si="361"/>
        <v>52337.15</v>
      </c>
      <c r="AY579" s="462">
        <f t="shared" si="362"/>
        <v>52337.15</v>
      </c>
      <c r="AZ579" s="447" t="s">
        <v>2183</v>
      </c>
      <c r="BB579" s="462">
        <f t="shared" si="363"/>
        <v>52337.15</v>
      </c>
      <c r="BC579" s="447" t="s">
        <v>2207</v>
      </c>
      <c r="BD579" s="462">
        <f>BB579</f>
        <v>52337.15</v>
      </c>
      <c r="BE579" s="462">
        <f t="shared" si="322"/>
        <v>0</v>
      </c>
      <c r="BF579" s="447" t="s">
        <v>2240</v>
      </c>
      <c r="BH579" s="462">
        <f t="shared" si="323"/>
        <v>0</v>
      </c>
      <c r="BK579" s="462">
        <f t="shared" si="324"/>
        <v>0</v>
      </c>
      <c r="BN579" s="462">
        <f t="shared" si="325"/>
        <v>0</v>
      </c>
      <c r="BQ579" s="462">
        <f t="shared" si="326"/>
        <v>0</v>
      </c>
      <c r="BT579" s="462">
        <f t="shared" si="327"/>
        <v>0</v>
      </c>
      <c r="BW579" s="462">
        <f t="shared" si="328"/>
        <v>0</v>
      </c>
      <c r="BZ579" s="462">
        <f t="shared" si="329"/>
        <v>0</v>
      </c>
      <c r="CD579" s="418" t="str">
        <f t="shared" si="330"/>
        <v>CU1705001</v>
      </c>
      <c r="CE579" s="442" t="str">
        <f t="shared" si="331"/>
        <v>2020年3月</v>
      </c>
      <c r="CF579" s="418" t="str">
        <f t="shared" si="332"/>
        <v>通标标准技clife服务费暂估</v>
      </c>
      <c r="CG579" s="418" t="str">
        <f t="shared" si="333"/>
        <v>2020年3月通标标准技clife服务费暂估</v>
      </c>
    </row>
    <row r="580" spans="2:85" s="447" customFormat="1" ht="17.25" customHeight="1">
      <c r="B580" s="447" t="str">
        <f t="shared" si="366"/>
        <v>CU1738</v>
      </c>
      <c r="C580" s="431" t="s">
        <v>755</v>
      </c>
      <c r="D580" s="452" t="s">
        <v>2027</v>
      </c>
      <c r="E580" s="463" t="s">
        <v>2193</v>
      </c>
      <c r="F580" s="439">
        <v>43891</v>
      </c>
      <c r="G580" s="430">
        <v>33405.49</v>
      </c>
      <c r="H580" s="440"/>
      <c r="I580" s="440">
        <f t="shared" si="350"/>
        <v>33405.49</v>
      </c>
      <c r="J580" s="440"/>
      <c r="L580" s="462">
        <f t="shared" si="351"/>
        <v>33405.49</v>
      </c>
      <c r="M580" s="462"/>
      <c r="N580" s="444"/>
      <c r="O580" s="462">
        <f t="shared" si="352"/>
        <v>33405.49</v>
      </c>
      <c r="R580" s="462">
        <f t="shared" si="353"/>
        <v>33405.49</v>
      </c>
      <c r="U580" s="462">
        <f t="shared" si="354"/>
        <v>33405.49</v>
      </c>
      <c r="X580" s="462">
        <f t="shared" si="355"/>
        <v>33405.49</v>
      </c>
      <c r="AA580" s="462">
        <f t="shared" si="356"/>
        <v>33405.49</v>
      </c>
      <c r="AD580" s="462">
        <f t="shared" si="357"/>
        <v>33405.49</v>
      </c>
      <c r="AG580" s="462">
        <f t="shared" si="358"/>
        <v>33405.49</v>
      </c>
      <c r="AJ580" s="462">
        <f t="shared" si="359"/>
        <v>33405.49</v>
      </c>
      <c r="AM580" s="462">
        <f t="shared" si="365"/>
        <v>33405.49</v>
      </c>
      <c r="AP580" s="462">
        <f t="shared" si="360"/>
        <v>33405.49</v>
      </c>
      <c r="AS580" s="459">
        <f t="shared" si="364"/>
        <v>33405.49</v>
      </c>
      <c r="AV580" s="462">
        <f t="shared" si="361"/>
        <v>33405.49</v>
      </c>
      <c r="AY580" s="462">
        <f t="shared" si="362"/>
        <v>33405.49</v>
      </c>
      <c r="AZ580" s="447" t="s">
        <v>2183</v>
      </c>
      <c r="BB580" s="462">
        <f t="shared" si="363"/>
        <v>33405.49</v>
      </c>
      <c r="BC580" s="447" t="s">
        <v>2207</v>
      </c>
      <c r="BE580" s="462">
        <f t="shared" ref="BE580:BE643" si="367">BB580-BD580</f>
        <v>33405.49</v>
      </c>
      <c r="BF580" s="447" t="s">
        <v>2240</v>
      </c>
      <c r="BH580" s="462">
        <f t="shared" ref="BH580:BH643" si="368">BE580-BG580</f>
        <v>33405.49</v>
      </c>
      <c r="BI580" s="447" t="s">
        <v>2295</v>
      </c>
      <c r="BK580" s="462">
        <f t="shared" ref="BK580:BK643" si="369">BH580-BJ580</f>
        <v>33405.49</v>
      </c>
      <c r="BL580" s="447" t="s">
        <v>2341</v>
      </c>
      <c r="BN580" s="462">
        <f t="shared" ref="BN580:BN643" si="370">BK580-BM580</f>
        <v>33405.49</v>
      </c>
      <c r="BO580" s="447" t="s">
        <v>2364</v>
      </c>
      <c r="BQ580" s="462">
        <f t="shared" ref="BQ580:BQ643" si="371">ROUND((BN580-BP580),2)</f>
        <v>33405.49</v>
      </c>
      <c r="BT580" s="462">
        <f t="shared" ref="BT580:BT643" si="372">ROUND((BQ580-BS580),2)</f>
        <v>33405.49</v>
      </c>
      <c r="BU580" s="447" t="s">
        <v>2134</v>
      </c>
      <c r="BW580" s="462">
        <f t="shared" ref="BW580:BW643" si="373">ROUND((BT580-BV580),2)</f>
        <v>33405.49</v>
      </c>
      <c r="BZ580" s="462">
        <f t="shared" ref="BZ580:BZ643" si="374">ROUND((BW580-BY580),2)</f>
        <v>33405.49</v>
      </c>
      <c r="CD580" s="418" t="str">
        <f t="shared" ref="CD580:CD643" si="375">B580&amp;$B$1</f>
        <v>CU1738001</v>
      </c>
      <c r="CE580" s="442" t="str">
        <f t="shared" ref="CE580:CE643" si="376">YEAR(F580)&amp;"年"&amp;MONTH(F580)&amp;"月"</f>
        <v>2020年3月</v>
      </c>
      <c r="CF580" s="418" t="str">
        <f t="shared" ref="CF580:CF643" si="377">LEFT(E580,5)&amp;$E$1</f>
        <v>酩悦轩尼诗clife服务费暂估</v>
      </c>
      <c r="CG580" s="418" t="str">
        <f t="shared" ref="CG580:CG643" si="378">CE580&amp;CF580</f>
        <v>2020年3月酩悦轩尼诗clife服务费暂估</v>
      </c>
    </row>
    <row r="581" spans="2:85" s="447" customFormat="1" ht="17.25" customHeight="1">
      <c r="B581" s="447" t="str">
        <f t="shared" si="366"/>
        <v>CU1780</v>
      </c>
      <c r="C581" s="431" t="s">
        <v>755</v>
      </c>
      <c r="D581" s="452" t="s">
        <v>1990</v>
      </c>
      <c r="E581" s="463" t="s">
        <v>2171</v>
      </c>
      <c r="F581" s="439">
        <v>43891</v>
      </c>
      <c r="G581" s="430">
        <v>8122.26</v>
      </c>
      <c r="H581" s="440"/>
      <c r="I581" s="440">
        <f t="shared" ref="I581:I587" si="379">G581-H581</f>
        <v>8122.26</v>
      </c>
      <c r="J581" s="440"/>
      <c r="L581" s="462">
        <f t="shared" ref="L581:L586" si="380">I581-K581</f>
        <v>8122.26</v>
      </c>
      <c r="M581" s="462"/>
      <c r="N581" s="444"/>
      <c r="O581" s="462">
        <f t="shared" ref="O581:O586" si="381">L581-N581</f>
        <v>8122.26</v>
      </c>
      <c r="R581" s="462">
        <f t="shared" ref="R581:R586" si="382">O581-Q581</f>
        <v>8122.26</v>
      </c>
      <c r="U581" s="462">
        <f t="shared" ref="U581:U586" si="383">R581-T581</f>
        <v>8122.26</v>
      </c>
      <c r="X581" s="462">
        <f t="shared" ref="X581:X586" si="384">U581-W581</f>
        <v>8122.26</v>
      </c>
      <c r="AA581" s="462">
        <f t="shared" ref="AA581:AA586" si="385">X581-Z581</f>
        <v>8122.26</v>
      </c>
      <c r="AD581" s="462">
        <f t="shared" ref="AD581:AD586" si="386">AA581-AC581</f>
        <v>8122.26</v>
      </c>
      <c r="AG581" s="462">
        <f t="shared" ref="AG581:AG586" si="387">AD581-AF581</f>
        <v>8122.26</v>
      </c>
      <c r="AJ581" s="462">
        <f t="shared" ref="AJ581:AJ586" si="388">AG581-AI581</f>
        <v>8122.26</v>
      </c>
      <c r="AM581" s="462">
        <f t="shared" si="365"/>
        <v>8122.26</v>
      </c>
      <c r="AP581" s="462">
        <f t="shared" ref="AP581:AP587" si="389">AM581-AO581</f>
        <v>8122.26</v>
      </c>
      <c r="AS581" s="459">
        <f t="shared" si="364"/>
        <v>8122.26</v>
      </c>
      <c r="AV581" s="462">
        <f t="shared" ref="AV581:AV624" si="390">AS581-AU581</f>
        <v>8122.26</v>
      </c>
      <c r="AY581" s="462">
        <f t="shared" ref="AY581:AY624" si="391">AV581-AX581</f>
        <v>8122.26</v>
      </c>
      <c r="AZ581" s="447" t="s">
        <v>2183</v>
      </c>
      <c r="BA581" s="462">
        <f>38035-BA453-BA486</f>
        <v>7573.7000000000007</v>
      </c>
      <c r="BB581" s="462">
        <f t="shared" ref="BB581:BB624" si="392">AY581-BA581</f>
        <v>548.55999999999949</v>
      </c>
      <c r="BC581" s="447" t="s">
        <v>2207</v>
      </c>
      <c r="BE581" s="462">
        <f t="shared" si="367"/>
        <v>548.55999999999949</v>
      </c>
      <c r="BF581" s="447" t="s">
        <v>2240</v>
      </c>
      <c r="BH581" s="462">
        <f t="shared" si="368"/>
        <v>548.55999999999949</v>
      </c>
      <c r="BI581" s="447" t="s">
        <v>2295</v>
      </c>
      <c r="BK581" s="462">
        <f t="shared" si="369"/>
        <v>548.55999999999949</v>
      </c>
      <c r="BL581" s="447" t="s">
        <v>2341</v>
      </c>
      <c r="BM581" s="447">
        <f>ROUND(581.47/1.06,2)</f>
        <v>548.55999999999995</v>
      </c>
      <c r="BN581" s="462">
        <f t="shared" si="370"/>
        <v>0</v>
      </c>
      <c r="BQ581" s="462">
        <f t="shared" si="371"/>
        <v>0</v>
      </c>
      <c r="BT581" s="462">
        <f t="shared" si="372"/>
        <v>0</v>
      </c>
      <c r="BW581" s="462">
        <f t="shared" si="373"/>
        <v>0</v>
      </c>
      <c r="BZ581" s="462">
        <f t="shared" si="374"/>
        <v>0</v>
      </c>
      <c r="CD581" s="418" t="str">
        <f t="shared" si="375"/>
        <v>CU1780001</v>
      </c>
      <c r="CE581" s="442" t="str">
        <f t="shared" si="376"/>
        <v>2020年3月</v>
      </c>
      <c r="CF581" s="418" t="str">
        <f t="shared" si="377"/>
        <v>博泽汽车技clife服务费暂估</v>
      </c>
      <c r="CG581" s="418" t="str">
        <f t="shared" si="378"/>
        <v>2020年3月博泽汽车技clife服务费暂估</v>
      </c>
    </row>
    <row r="582" spans="2:85" s="447" customFormat="1" ht="17.25" customHeight="1">
      <c r="B582" s="447" t="str">
        <f t="shared" si="366"/>
        <v>CU1861</v>
      </c>
      <c r="C582" s="431" t="s">
        <v>755</v>
      </c>
      <c r="D582" s="452" t="s">
        <v>2097</v>
      </c>
      <c r="E582" s="463" t="s">
        <v>2101</v>
      </c>
      <c r="F582" s="439">
        <v>43891</v>
      </c>
      <c r="G582" s="430">
        <v>148073.34</v>
      </c>
      <c r="H582" s="440"/>
      <c r="I582" s="440">
        <f t="shared" si="379"/>
        <v>148073.34</v>
      </c>
      <c r="J582" s="440"/>
      <c r="L582" s="462">
        <f t="shared" si="380"/>
        <v>148073.34</v>
      </c>
      <c r="M582" s="462"/>
      <c r="N582" s="444"/>
      <c r="O582" s="462">
        <f t="shared" si="381"/>
        <v>148073.34</v>
      </c>
      <c r="R582" s="462">
        <f t="shared" si="382"/>
        <v>148073.34</v>
      </c>
      <c r="U582" s="462">
        <f t="shared" si="383"/>
        <v>148073.34</v>
      </c>
      <c r="X582" s="462">
        <f t="shared" si="384"/>
        <v>148073.34</v>
      </c>
      <c r="AA582" s="462">
        <f t="shared" si="385"/>
        <v>148073.34</v>
      </c>
      <c r="AD582" s="462">
        <f t="shared" si="386"/>
        <v>148073.34</v>
      </c>
      <c r="AG582" s="462">
        <f t="shared" si="387"/>
        <v>148073.34</v>
      </c>
      <c r="AJ582" s="462">
        <f t="shared" si="388"/>
        <v>148073.34</v>
      </c>
      <c r="AM582" s="462">
        <f t="shared" si="365"/>
        <v>148073.34</v>
      </c>
      <c r="AP582" s="462">
        <f t="shared" si="389"/>
        <v>148073.34</v>
      </c>
      <c r="AS582" s="459">
        <f t="shared" si="364"/>
        <v>148073.34</v>
      </c>
      <c r="AV582" s="462">
        <f t="shared" si="390"/>
        <v>148073.34</v>
      </c>
      <c r="AY582" s="462">
        <f t="shared" si="391"/>
        <v>148073.34</v>
      </c>
      <c r="AZ582" s="447" t="s">
        <v>2183</v>
      </c>
      <c r="BB582" s="462">
        <f t="shared" si="392"/>
        <v>148073.34</v>
      </c>
      <c r="BC582" s="447" t="s">
        <v>2207</v>
      </c>
      <c r="BD582" s="462">
        <f>200000+30000-BD548</f>
        <v>73000.929999999993</v>
      </c>
      <c r="BE582" s="462">
        <f t="shared" si="367"/>
        <v>75072.41</v>
      </c>
      <c r="BF582" s="447" t="s">
        <v>2240</v>
      </c>
      <c r="BG582" s="447">
        <v>72853.899999999994</v>
      </c>
      <c r="BH582" s="462">
        <f t="shared" si="368"/>
        <v>2218.5100000000093</v>
      </c>
      <c r="BI582" s="447" t="s">
        <v>2295</v>
      </c>
      <c r="BK582" s="462">
        <f t="shared" si="369"/>
        <v>2218.5100000000093</v>
      </c>
      <c r="BL582" s="447" t="s">
        <v>2341</v>
      </c>
      <c r="BN582" s="462">
        <f t="shared" si="370"/>
        <v>2218.5100000000093</v>
      </c>
      <c r="BO582" s="447" t="s">
        <v>2364</v>
      </c>
      <c r="BQ582" s="462">
        <f t="shared" si="371"/>
        <v>2218.5100000000002</v>
      </c>
      <c r="BT582" s="462">
        <f t="shared" si="372"/>
        <v>2218.5100000000002</v>
      </c>
      <c r="BU582" s="447" t="s">
        <v>2134</v>
      </c>
      <c r="BW582" s="462">
        <f t="shared" si="373"/>
        <v>2218.5100000000002</v>
      </c>
      <c r="BZ582" s="462">
        <f t="shared" si="374"/>
        <v>2218.5100000000002</v>
      </c>
      <c r="CD582" s="418" t="str">
        <f t="shared" si="375"/>
        <v>CU1861001</v>
      </c>
      <c r="CE582" s="442" t="str">
        <f t="shared" si="376"/>
        <v>2020年3月</v>
      </c>
      <c r="CF582" s="418" t="str">
        <f t="shared" si="377"/>
        <v>丞家（上海clife服务费暂估</v>
      </c>
      <c r="CG582" s="418" t="str">
        <f t="shared" si="378"/>
        <v>2020年3月丞家（上海clife服务费暂估</v>
      </c>
    </row>
    <row r="583" spans="2:85" s="447" customFormat="1" ht="17.25" customHeight="1">
      <c r="B583" s="447" t="str">
        <f t="shared" si="366"/>
        <v>CU1874</v>
      </c>
      <c r="C583" s="431" t="s">
        <v>755</v>
      </c>
      <c r="D583" s="452" t="s">
        <v>2198</v>
      </c>
      <c r="E583" s="463" t="s">
        <v>2172</v>
      </c>
      <c r="F583" s="439">
        <v>43891</v>
      </c>
      <c r="G583" s="430">
        <v>1271561.1499999999</v>
      </c>
      <c r="H583" s="440"/>
      <c r="I583" s="440">
        <f t="shared" si="379"/>
        <v>1271561.1499999999</v>
      </c>
      <c r="J583" s="440"/>
      <c r="L583" s="462">
        <f t="shared" si="380"/>
        <v>1271561.1499999999</v>
      </c>
      <c r="M583" s="462"/>
      <c r="N583" s="444"/>
      <c r="O583" s="462">
        <f t="shared" si="381"/>
        <v>1271561.1499999999</v>
      </c>
      <c r="R583" s="462">
        <f t="shared" si="382"/>
        <v>1271561.1499999999</v>
      </c>
      <c r="U583" s="462">
        <f t="shared" si="383"/>
        <v>1271561.1499999999</v>
      </c>
      <c r="X583" s="462">
        <f t="shared" si="384"/>
        <v>1271561.1499999999</v>
      </c>
      <c r="AA583" s="462">
        <f t="shared" si="385"/>
        <v>1271561.1499999999</v>
      </c>
      <c r="AD583" s="462">
        <f t="shared" si="386"/>
        <v>1271561.1499999999</v>
      </c>
      <c r="AG583" s="462">
        <f t="shared" si="387"/>
        <v>1271561.1499999999</v>
      </c>
      <c r="AJ583" s="462">
        <f t="shared" si="388"/>
        <v>1271561.1499999999</v>
      </c>
      <c r="AM583" s="462">
        <f t="shared" si="365"/>
        <v>1271561.1499999999</v>
      </c>
      <c r="AP583" s="462">
        <f t="shared" si="389"/>
        <v>1271561.1499999999</v>
      </c>
      <c r="AS583" s="459">
        <f t="shared" si="364"/>
        <v>1271561.1499999999</v>
      </c>
      <c r="AV583" s="462">
        <f t="shared" si="390"/>
        <v>1271561.1499999999</v>
      </c>
      <c r="AY583" s="462">
        <f t="shared" si="391"/>
        <v>1271561.1499999999</v>
      </c>
      <c r="AZ583" s="447" t="s">
        <v>2183</v>
      </c>
      <c r="BA583" s="447">
        <v>800909.43</v>
      </c>
      <c r="BB583" s="462">
        <f t="shared" si="392"/>
        <v>470651.71999999986</v>
      </c>
      <c r="BC583" s="447" t="s">
        <v>2207</v>
      </c>
      <c r="BE583" s="462">
        <f t="shared" si="367"/>
        <v>470651.71999999986</v>
      </c>
      <c r="BF583" s="447" t="s">
        <v>2240</v>
      </c>
      <c r="BG583" s="447">
        <v>304528.3</v>
      </c>
      <c r="BH583" s="462">
        <f t="shared" si="368"/>
        <v>166123.41999999987</v>
      </c>
      <c r="BI583" s="447" t="s">
        <v>2295</v>
      </c>
      <c r="BJ583" s="462"/>
      <c r="BK583" s="462">
        <f t="shared" si="369"/>
        <v>166123.41999999987</v>
      </c>
      <c r="BL583" s="447" t="s">
        <v>2341</v>
      </c>
      <c r="BM583" s="462">
        <f>BK583</f>
        <v>166123.41999999987</v>
      </c>
      <c r="BN583" s="462">
        <f t="shared" si="370"/>
        <v>0</v>
      </c>
      <c r="BQ583" s="462">
        <f t="shared" si="371"/>
        <v>0</v>
      </c>
      <c r="BT583" s="462">
        <f t="shared" si="372"/>
        <v>0</v>
      </c>
      <c r="BW583" s="462">
        <f t="shared" si="373"/>
        <v>0</v>
      </c>
      <c r="BZ583" s="462">
        <f t="shared" si="374"/>
        <v>0</v>
      </c>
      <c r="CD583" s="418" t="str">
        <f t="shared" si="375"/>
        <v>CU1874001</v>
      </c>
      <c r="CE583" s="442" t="str">
        <f t="shared" si="376"/>
        <v>2020年3月</v>
      </c>
      <c r="CF583" s="418" t="str">
        <f t="shared" si="377"/>
        <v>富祥塑胶制clife服务费暂估</v>
      </c>
      <c r="CG583" s="418" t="str">
        <f t="shared" si="378"/>
        <v>2020年3月富祥塑胶制clife服务费暂估</v>
      </c>
    </row>
    <row r="584" spans="2:85" s="447" customFormat="1" ht="17.25" customHeight="1">
      <c r="B584" s="447" t="str">
        <f t="shared" si="366"/>
        <v>CU0944</v>
      </c>
      <c r="C584" s="431" t="s">
        <v>755</v>
      </c>
      <c r="D584" s="452" t="s">
        <v>2143</v>
      </c>
      <c r="E584" s="463" t="s">
        <v>2174</v>
      </c>
      <c r="F584" s="439">
        <v>43891</v>
      </c>
      <c r="G584" s="430">
        <v>329433.96000000002</v>
      </c>
      <c r="H584" s="440"/>
      <c r="I584" s="440">
        <f t="shared" si="379"/>
        <v>329433.96000000002</v>
      </c>
      <c r="J584" s="440"/>
      <c r="L584" s="462">
        <f t="shared" si="380"/>
        <v>329433.96000000002</v>
      </c>
      <c r="M584" s="462"/>
      <c r="N584" s="444"/>
      <c r="O584" s="462">
        <f t="shared" si="381"/>
        <v>329433.96000000002</v>
      </c>
      <c r="R584" s="462">
        <f t="shared" si="382"/>
        <v>329433.96000000002</v>
      </c>
      <c r="U584" s="462">
        <f t="shared" si="383"/>
        <v>329433.96000000002</v>
      </c>
      <c r="X584" s="462">
        <f t="shared" si="384"/>
        <v>329433.96000000002</v>
      </c>
      <c r="AA584" s="462">
        <f t="shared" si="385"/>
        <v>329433.96000000002</v>
      </c>
      <c r="AD584" s="462">
        <f t="shared" si="386"/>
        <v>329433.96000000002</v>
      </c>
      <c r="AG584" s="462">
        <f t="shared" si="387"/>
        <v>329433.96000000002</v>
      </c>
      <c r="AJ584" s="462">
        <f t="shared" si="388"/>
        <v>329433.96000000002</v>
      </c>
      <c r="AM584" s="462">
        <f t="shared" si="365"/>
        <v>329433.96000000002</v>
      </c>
      <c r="AP584" s="462">
        <f t="shared" si="389"/>
        <v>329433.96000000002</v>
      </c>
      <c r="AS584" s="459">
        <f t="shared" si="364"/>
        <v>329433.96000000002</v>
      </c>
      <c r="AV584" s="462">
        <f t="shared" si="390"/>
        <v>329433.96000000002</v>
      </c>
      <c r="AY584" s="462">
        <f t="shared" si="391"/>
        <v>329433.96000000002</v>
      </c>
      <c r="AZ584" s="447" t="s">
        <v>2183</v>
      </c>
      <c r="BB584" s="462">
        <f t="shared" si="392"/>
        <v>329433.96000000002</v>
      </c>
      <c r="BC584" s="447" t="s">
        <v>2207</v>
      </c>
      <c r="BE584" s="462">
        <f t="shared" si="367"/>
        <v>329433.96000000002</v>
      </c>
      <c r="BF584" s="447" t="s">
        <v>2240</v>
      </c>
      <c r="BH584" s="462">
        <f t="shared" si="368"/>
        <v>329433.96000000002</v>
      </c>
      <c r="BI584" s="447" t="s">
        <v>2295</v>
      </c>
      <c r="BJ584" s="447">
        <v>108723</v>
      </c>
      <c r="BK584" s="462">
        <f t="shared" si="369"/>
        <v>220710.96000000002</v>
      </c>
      <c r="BL584" s="447" t="s">
        <v>2341</v>
      </c>
      <c r="BN584" s="462">
        <f t="shared" si="370"/>
        <v>220710.96000000002</v>
      </c>
      <c r="BO584" s="447" t="s">
        <v>2364</v>
      </c>
      <c r="BQ584" s="462">
        <f t="shared" si="371"/>
        <v>220710.96</v>
      </c>
      <c r="BT584" s="462">
        <f t="shared" si="372"/>
        <v>220710.96</v>
      </c>
      <c r="BU584" s="447" t="s">
        <v>2134</v>
      </c>
      <c r="BW584" s="462">
        <f t="shared" si="373"/>
        <v>220710.96</v>
      </c>
      <c r="BZ584" s="462">
        <f t="shared" si="374"/>
        <v>220710.96</v>
      </c>
      <c r="CD584" s="418" t="str">
        <f t="shared" si="375"/>
        <v>CU0944001</v>
      </c>
      <c r="CE584" s="442" t="str">
        <f t="shared" si="376"/>
        <v>2020年3月</v>
      </c>
      <c r="CF584" s="418" t="str">
        <f t="shared" si="377"/>
        <v>海伦尔赛咨clife服务费暂估</v>
      </c>
      <c r="CG584" s="418" t="str">
        <f t="shared" si="378"/>
        <v>2020年3月海伦尔赛咨clife服务费暂估</v>
      </c>
    </row>
    <row r="585" spans="2:85" s="447" customFormat="1" ht="17.25" customHeight="1">
      <c r="B585" s="447" t="str">
        <f t="shared" si="366"/>
        <v>CU1877</v>
      </c>
      <c r="C585" s="431" t="s">
        <v>755</v>
      </c>
      <c r="D585" s="452" t="s">
        <v>2144</v>
      </c>
      <c r="E585" s="463" t="s">
        <v>2173</v>
      </c>
      <c r="F585" s="439">
        <v>43891</v>
      </c>
      <c r="G585" s="430">
        <v>27600</v>
      </c>
      <c r="H585" s="440"/>
      <c r="I585" s="440">
        <f t="shared" si="379"/>
        <v>27600</v>
      </c>
      <c r="J585" s="440"/>
      <c r="L585" s="462">
        <f t="shared" si="380"/>
        <v>27600</v>
      </c>
      <c r="M585" s="462"/>
      <c r="N585" s="444"/>
      <c r="O585" s="462">
        <f t="shared" si="381"/>
        <v>27600</v>
      </c>
      <c r="R585" s="462">
        <f t="shared" si="382"/>
        <v>27600</v>
      </c>
      <c r="U585" s="462">
        <f t="shared" si="383"/>
        <v>27600</v>
      </c>
      <c r="X585" s="462">
        <f t="shared" si="384"/>
        <v>27600</v>
      </c>
      <c r="AA585" s="462">
        <f t="shared" si="385"/>
        <v>27600</v>
      </c>
      <c r="AD585" s="462">
        <f t="shared" si="386"/>
        <v>27600</v>
      </c>
      <c r="AG585" s="462">
        <f t="shared" si="387"/>
        <v>27600</v>
      </c>
      <c r="AJ585" s="462">
        <f t="shared" si="388"/>
        <v>27600</v>
      </c>
      <c r="AM585" s="462">
        <f t="shared" si="365"/>
        <v>27600</v>
      </c>
      <c r="AP585" s="462">
        <f t="shared" si="389"/>
        <v>27600</v>
      </c>
      <c r="AS585" s="459">
        <f t="shared" si="364"/>
        <v>27600</v>
      </c>
      <c r="AV585" s="462">
        <f t="shared" si="390"/>
        <v>27600</v>
      </c>
      <c r="AY585" s="462">
        <f t="shared" si="391"/>
        <v>27600</v>
      </c>
      <c r="AZ585" s="447" t="s">
        <v>2183</v>
      </c>
      <c r="BB585" s="462">
        <f t="shared" si="392"/>
        <v>27600</v>
      </c>
      <c r="BC585" s="447" t="s">
        <v>2207</v>
      </c>
      <c r="BE585" s="462">
        <f t="shared" si="367"/>
        <v>27600</v>
      </c>
      <c r="BF585" s="447" t="s">
        <v>2240</v>
      </c>
      <c r="BG585" s="447">
        <f>12308+ROUND((3417+2219.8)/1.06,2)+720+5700</f>
        <v>24045.739999999998</v>
      </c>
      <c r="BH585" s="462">
        <f t="shared" si="368"/>
        <v>3554.260000000002</v>
      </c>
      <c r="BI585" s="447" t="s">
        <v>2295</v>
      </c>
      <c r="BK585" s="462">
        <f t="shared" si="369"/>
        <v>3554.260000000002</v>
      </c>
      <c r="BL585" s="447" t="s">
        <v>2341</v>
      </c>
      <c r="BN585" s="462">
        <f t="shared" si="370"/>
        <v>3554.260000000002</v>
      </c>
      <c r="BO585" s="447" t="s">
        <v>2364</v>
      </c>
      <c r="BP585" s="447">
        <f>810+2362</f>
        <v>3172</v>
      </c>
      <c r="BQ585" s="462">
        <f t="shared" si="371"/>
        <v>382.26</v>
      </c>
      <c r="BT585" s="462">
        <f t="shared" si="372"/>
        <v>382.26</v>
      </c>
      <c r="BU585" s="447" t="s">
        <v>2134</v>
      </c>
      <c r="BV585" s="462">
        <f>BT585</f>
        <v>382.26</v>
      </c>
      <c r="BW585" s="462">
        <f t="shared" si="373"/>
        <v>0</v>
      </c>
      <c r="BZ585" s="462">
        <f t="shared" si="374"/>
        <v>0</v>
      </c>
      <c r="CD585" s="418" t="str">
        <f t="shared" si="375"/>
        <v>CU1877001</v>
      </c>
      <c r="CE585" s="442" t="str">
        <f t="shared" si="376"/>
        <v>2020年3月</v>
      </c>
      <c r="CF585" s="418" t="str">
        <f t="shared" si="377"/>
        <v>帕克环保技clife服务费暂估</v>
      </c>
      <c r="CG585" s="418" t="str">
        <f t="shared" si="378"/>
        <v>2020年3月帕克环保技clife服务费暂估</v>
      </c>
    </row>
    <row r="586" spans="2:85" s="447" customFormat="1" ht="17.25" customHeight="1">
      <c r="B586" s="447" t="str">
        <f t="shared" si="366"/>
        <v>CU0990</v>
      </c>
      <c r="C586" s="431" t="s">
        <v>755</v>
      </c>
      <c r="D586" s="452" t="s">
        <v>2178</v>
      </c>
      <c r="E586" s="463" t="s">
        <v>2175</v>
      </c>
      <c r="F586" s="439">
        <v>43891</v>
      </c>
      <c r="G586" s="430">
        <v>3019.81</v>
      </c>
      <c r="H586" s="440"/>
      <c r="I586" s="440">
        <f t="shared" si="379"/>
        <v>3019.81</v>
      </c>
      <c r="J586" s="440"/>
      <c r="L586" s="462">
        <f t="shared" si="380"/>
        <v>3019.81</v>
      </c>
      <c r="M586" s="462"/>
      <c r="N586" s="444"/>
      <c r="O586" s="462">
        <f t="shared" si="381"/>
        <v>3019.81</v>
      </c>
      <c r="R586" s="462">
        <f t="shared" si="382"/>
        <v>3019.81</v>
      </c>
      <c r="U586" s="462">
        <f t="shared" si="383"/>
        <v>3019.81</v>
      </c>
      <c r="X586" s="462">
        <f t="shared" si="384"/>
        <v>3019.81</v>
      </c>
      <c r="AA586" s="462">
        <f t="shared" si="385"/>
        <v>3019.81</v>
      </c>
      <c r="AD586" s="462">
        <f t="shared" si="386"/>
        <v>3019.81</v>
      </c>
      <c r="AG586" s="462">
        <f t="shared" si="387"/>
        <v>3019.81</v>
      </c>
      <c r="AJ586" s="462">
        <f t="shared" si="388"/>
        <v>3019.81</v>
      </c>
      <c r="AM586" s="462">
        <f t="shared" si="365"/>
        <v>3019.81</v>
      </c>
      <c r="AP586" s="462">
        <f t="shared" si="389"/>
        <v>3019.81</v>
      </c>
      <c r="AS586" s="459">
        <f t="shared" si="364"/>
        <v>3019.81</v>
      </c>
      <c r="AV586" s="462">
        <f t="shared" si="390"/>
        <v>3019.81</v>
      </c>
      <c r="AY586" s="462">
        <f t="shared" si="391"/>
        <v>3019.81</v>
      </c>
      <c r="AZ586" s="447" t="s">
        <v>2183</v>
      </c>
      <c r="BB586" s="462">
        <f t="shared" si="392"/>
        <v>3019.81</v>
      </c>
      <c r="BC586" s="447" t="s">
        <v>2207</v>
      </c>
      <c r="BE586" s="462">
        <f t="shared" si="367"/>
        <v>3019.81</v>
      </c>
      <c r="BF586" s="447" t="s">
        <v>2240</v>
      </c>
      <c r="BH586" s="462">
        <f t="shared" si="368"/>
        <v>3019.81</v>
      </c>
      <c r="BI586" s="447" t="s">
        <v>2295</v>
      </c>
      <c r="BK586" s="462">
        <f t="shared" si="369"/>
        <v>3019.81</v>
      </c>
      <c r="BL586" s="447" t="s">
        <v>2341</v>
      </c>
      <c r="BN586" s="462">
        <f t="shared" si="370"/>
        <v>3019.81</v>
      </c>
      <c r="BO586" s="447" t="s">
        <v>2364</v>
      </c>
      <c r="BQ586" s="462">
        <f t="shared" si="371"/>
        <v>3019.81</v>
      </c>
      <c r="BT586" s="462">
        <f t="shared" si="372"/>
        <v>3019.81</v>
      </c>
      <c r="BU586" s="447" t="s">
        <v>2134</v>
      </c>
      <c r="BW586" s="462">
        <f t="shared" si="373"/>
        <v>3019.81</v>
      </c>
      <c r="BZ586" s="462">
        <f t="shared" si="374"/>
        <v>3019.81</v>
      </c>
      <c r="CD586" s="418" t="str">
        <f t="shared" si="375"/>
        <v>CU0990001</v>
      </c>
      <c r="CE586" s="442" t="str">
        <f t="shared" si="376"/>
        <v>2020年3月</v>
      </c>
      <c r="CF586" s="418" t="str">
        <f t="shared" si="377"/>
        <v>依工玳纳特clife服务费暂估</v>
      </c>
      <c r="CG586" s="418" t="str">
        <f t="shared" si="378"/>
        <v>2020年3月依工玳纳特clife服务费暂估</v>
      </c>
    </row>
    <row r="587" spans="2:85" s="447" customFormat="1" ht="17.25" customHeight="1">
      <c r="B587" s="447" t="str">
        <f t="shared" si="366"/>
        <v>CU0558</v>
      </c>
      <c r="C587" s="431" t="s">
        <v>755</v>
      </c>
      <c r="D587" s="452" t="s">
        <v>2185</v>
      </c>
      <c r="E587" s="67" t="s">
        <v>1341</v>
      </c>
      <c r="F587" s="439">
        <v>43891</v>
      </c>
      <c r="G587" s="430">
        <v>29382.46</v>
      </c>
      <c r="H587" s="440"/>
      <c r="I587" s="440">
        <f t="shared" si="379"/>
        <v>29382.46</v>
      </c>
      <c r="J587" s="440"/>
      <c r="L587" s="462"/>
      <c r="M587" s="462"/>
      <c r="N587" s="444"/>
      <c r="O587" s="462"/>
      <c r="R587" s="462"/>
      <c r="U587" s="462"/>
      <c r="X587" s="462"/>
      <c r="AA587" s="462"/>
      <c r="AD587" s="462"/>
      <c r="AG587" s="462"/>
      <c r="AJ587" s="462"/>
      <c r="AM587" s="462">
        <f t="shared" si="365"/>
        <v>29382.46</v>
      </c>
      <c r="AP587" s="462">
        <f t="shared" si="389"/>
        <v>29382.46</v>
      </c>
      <c r="AS587" s="459">
        <f t="shared" ref="AS587" si="393">AP587-AR587</f>
        <v>29382.46</v>
      </c>
      <c r="AV587" s="462">
        <f t="shared" si="390"/>
        <v>29382.46</v>
      </c>
      <c r="AY587" s="462">
        <f t="shared" si="391"/>
        <v>29382.46</v>
      </c>
      <c r="AZ587" s="447" t="s">
        <v>921</v>
      </c>
      <c r="BB587" s="462">
        <f t="shared" si="392"/>
        <v>29382.46</v>
      </c>
      <c r="BC587" s="447" t="s">
        <v>2207</v>
      </c>
      <c r="BD587" s="462">
        <f>200000-BD510-BD533</f>
        <v>1841.5599999999977</v>
      </c>
      <c r="BE587" s="462">
        <f t="shared" si="367"/>
        <v>27540.9</v>
      </c>
      <c r="BF587" s="447" t="s">
        <v>2240</v>
      </c>
      <c r="BH587" s="462">
        <f t="shared" si="368"/>
        <v>27540.9</v>
      </c>
      <c r="BI587" s="447" t="s">
        <v>2295</v>
      </c>
      <c r="BK587" s="462">
        <f t="shared" si="369"/>
        <v>27540.9</v>
      </c>
      <c r="BL587" s="447" t="s">
        <v>2341</v>
      </c>
      <c r="BM587" s="462">
        <f>BK587</f>
        <v>27540.9</v>
      </c>
      <c r="BN587" s="462">
        <f t="shared" si="370"/>
        <v>0</v>
      </c>
      <c r="BQ587" s="462">
        <f t="shared" si="371"/>
        <v>0</v>
      </c>
      <c r="BT587" s="462">
        <f t="shared" si="372"/>
        <v>0</v>
      </c>
      <c r="BW587" s="462">
        <f t="shared" si="373"/>
        <v>0</v>
      </c>
      <c r="BZ587" s="462">
        <f t="shared" si="374"/>
        <v>0</v>
      </c>
      <c r="CD587" s="418" t="str">
        <f t="shared" si="375"/>
        <v>CU0558001</v>
      </c>
      <c r="CE587" s="442" t="str">
        <f t="shared" si="376"/>
        <v>2020年3月</v>
      </c>
      <c r="CF587" s="418" t="str">
        <f t="shared" si="377"/>
        <v>聚思鸿信息clife服务费暂估</v>
      </c>
      <c r="CG587" s="418" t="str">
        <f t="shared" si="378"/>
        <v>2020年3月聚思鸿信息clife服务费暂估</v>
      </c>
    </row>
    <row r="588" spans="2:85" s="447" customFormat="1" ht="17.25" customHeight="1">
      <c r="B588" s="447" t="str">
        <f t="shared" si="366"/>
        <v>CU0093</v>
      </c>
      <c r="C588" s="431" t="s">
        <v>755</v>
      </c>
      <c r="D588" s="488" t="s">
        <v>1832</v>
      </c>
      <c r="E588" s="463" t="s">
        <v>32</v>
      </c>
      <c r="F588" s="439">
        <v>43922</v>
      </c>
      <c r="G588" s="430">
        <v>3007.27</v>
      </c>
      <c r="H588" s="440"/>
      <c r="I588" s="440"/>
      <c r="J588" s="440"/>
      <c r="L588" s="462"/>
      <c r="M588" s="462"/>
      <c r="N588" s="444"/>
      <c r="O588" s="462"/>
      <c r="R588" s="462"/>
      <c r="U588" s="462"/>
      <c r="X588" s="462"/>
      <c r="AA588" s="462"/>
      <c r="AD588" s="462"/>
      <c r="AG588" s="462"/>
      <c r="AJ588" s="462"/>
      <c r="AM588" s="462"/>
      <c r="AP588" s="462"/>
      <c r="AS588" s="430">
        <v>3007.27</v>
      </c>
      <c r="AV588" s="462">
        <f t="shared" si="390"/>
        <v>3007.27</v>
      </c>
      <c r="AY588" s="462">
        <f t="shared" si="391"/>
        <v>3007.27</v>
      </c>
      <c r="BB588" s="462">
        <f t="shared" si="392"/>
        <v>3007.27</v>
      </c>
      <c r="BC588" s="447" t="s">
        <v>2219</v>
      </c>
      <c r="BD588" s="447">
        <f>ROUND(2000/1.06,2)-BD526-139.15</f>
        <v>444.4899999999999</v>
      </c>
      <c r="BE588" s="462">
        <f t="shared" si="367"/>
        <v>2562.7800000000002</v>
      </c>
      <c r="BF588" s="447" t="s">
        <v>2241</v>
      </c>
      <c r="BG588" s="462">
        <f>BE588</f>
        <v>2562.7800000000002</v>
      </c>
      <c r="BH588" s="462">
        <f t="shared" si="368"/>
        <v>0</v>
      </c>
      <c r="BK588" s="462">
        <f t="shared" si="369"/>
        <v>0</v>
      </c>
      <c r="BN588" s="462">
        <f t="shared" si="370"/>
        <v>0</v>
      </c>
      <c r="BQ588" s="462">
        <f t="shared" si="371"/>
        <v>0</v>
      </c>
      <c r="BT588" s="462">
        <f t="shared" si="372"/>
        <v>0</v>
      </c>
      <c r="BW588" s="462">
        <f t="shared" si="373"/>
        <v>0</v>
      </c>
      <c r="BZ588" s="462">
        <f t="shared" si="374"/>
        <v>0</v>
      </c>
      <c r="CD588" s="418" t="str">
        <f t="shared" si="375"/>
        <v>CU0093001</v>
      </c>
      <c r="CE588" s="442" t="str">
        <f t="shared" si="376"/>
        <v>2020年4月</v>
      </c>
      <c r="CF588" s="418" t="str">
        <f t="shared" si="377"/>
        <v>日立保险代clife服务费暂估</v>
      </c>
      <c r="CG588" s="418" t="str">
        <f t="shared" si="378"/>
        <v>2020年4月日立保险代clife服务费暂估</v>
      </c>
    </row>
    <row r="589" spans="2:85" s="447" customFormat="1" ht="17.25" customHeight="1">
      <c r="B589" s="447" t="str">
        <f t="shared" si="366"/>
        <v>CU0109</v>
      </c>
      <c r="C589" s="431" t="s">
        <v>755</v>
      </c>
      <c r="D589" s="488" t="s">
        <v>1642</v>
      </c>
      <c r="E589" s="463" t="s">
        <v>34</v>
      </c>
      <c r="F589" s="439">
        <v>43922</v>
      </c>
      <c r="G589" s="430">
        <v>34095.599999999999</v>
      </c>
      <c r="H589" s="440"/>
      <c r="I589" s="440"/>
      <c r="J589" s="440"/>
      <c r="L589" s="462"/>
      <c r="M589" s="462"/>
      <c r="N589" s="444"/>
      <c r="O589" s="462"/>
      <c r="R589" s="462"/>
      <c r="U589" s="462"/>
      <c r="X589" s="462"/>
      <c r="AA589" s="462"/>
      <c r="AD589" s="462"/>
      <c r="AG589" s="462"/>
      <c r="AJ589" s="462"/>
      <c r="AM589" s="462"/>
      <c r="AP589" s="462"/>
      <c r="AS589" s="430">
        <v>34095.599999999999</v>
      </c>
      <c r="AV589" s="462">
        <f t="shared" si="390"/>
        <v>34095.599999999999</v>
      </c>
      <c r="AY589" s="462">
        <f t="shared" si="391"/>
        <v>34095.599999999999</v>
      </c>
      <c r="BB589" s="462">
        <f t="shared" si="392"/>
        <v>34095.599999999999</v>
      </c>
      <c r="BC589" s="447" t="s">
        <v>2219</v>
      </c>
      <c r="BE589" s="462">
        <f t="shared" si="367"/>
        <v>34095.599999999999</v>
      </c>
      <c r="BF589" s="447" t="s">
        <v>2241</v>
      </c>
      <c r="BG589" s="462">
        <f>BE589</f>
        <v>34095.599999999999</v>
      </c>
      <c r="BH589" s="462">
        <f t="shared" si="368"/>
        <v>0</v>
      </c>
      <c r="BK589" s="462">
        <f t="shared" si="369"/>
        <v>0</v>
      </c>
      <c r="BN589" s="462">
        <f t="shared" si="370"/>
        <v>0</v>
      </c>
      <c r="BQ589" s="462">
        <f t="shared" si="371"/>
        <v>0</v>
      </c>
      <c r="BT589" s="462">
        <f t="shared" si="372"/>
        <v>0</v>
      </c>
      <c r="BW589" s="462">
        <f t="shared" si="373"/>
        <v>0</v>
      </c>
      <c r="BZ589" s="462">
        <f t="shared" si="374"/>
        <v>0</v>
      </c>
      <c r="CD589" s="418" t="str">
        <f t="shared" si="375"/>
        <v>CU0109001</v>
      </c>
      <c r="CE589" s="442" t="str">
        <f t="shared" si="376"/>
        <v>2020年4月</v>
      </c>
      <c r="CF589" s="418" t="str">
        <f t="shared" si="377"/>
        <v>普拉达时装clife服务费暂估</v>
      </c>
      <c r="CG589" s="418" t="str">
        <f t="shared" si="378"/>
        <v>2020年4月普拉达时装clife服务费暂估</v>
      </c>
    </row>
    <row r="590" spans="2:85" s="447" customFormat="1" ht="17.25" customHeight="1">
      <c r="B590" s="447" t="str">
        <f t="shared" si="366"/>
        <v>CU0145</v>
      </c>
      <c r="C590" s="431" t="s">
        <v>755</v>
      </c>
      <c r="D590" s="489" t="s">
        <v>1451</v>
      </c>
      <c r="E590" s="463" t="s">
        <v>1323</v>
      </c>
      <c r="F590" s="439">
        <v>43922</v>
      </c>
      <c r="G590" s="430">
        <v>16388.240000000002</v>
      </c>
      <c r="H590" s="440"/>
      <c r="I590" s="440"/>
      <c r="J590" s="440"/>
      <c r="L590" s="462"/>
      <c r="M590" s="462"/>
      <c r="N590" s="444"/>
      <c r="O590" s="462"/>
      <c r="R590" s="462"/>
      <c r="U590" s="462"/>
      <c r="X590" s="462"/>
      <c r="AA590" s="462"/>
      <c r="AD590" s="462"/>
      <c r="AG590" s="462"/>
      <c r="AJ590" s="462"/>
      <c r="AM590" s="462"/>
      <c r="AP590" s="462"/>
      <c r="AS590" s="430">
        <v>16388.240000000002</v>
      </c>
      <c r="AV590" s="462">
        <f t="shared" si="390"/>
        <v>16388.240000000002</v>
      </c>
      <c r="AY590" s="462">
        <f t="shared" si="391"/>
        <v>16388.240000000002</v>
      </c>
      <c r="BB590" s="462">
        <f t="shared" si="392"/>
        <v>16388.240000000002</v>
      </c>
      <c r="BC590" s="447" t="s">
        <v>2219</v>
      </c>
      <c r="BE590" s="462">
        <f t="shared" si="367"/>
        <v>16388.240000000002</v>
      </c>
      <c r="BF590" s="447" t="s">
        <v>2241</v>
      </c>
      <c r="BH590" s="462">
        <f t="shared" si="368"/>
        <v>16388.240000000002</v>
      </c>
      <c r="BI590" s="447" t="s">
        <v>2296</v>
      </c>
      <c r="BK590" s="462">
        <f t="shared" si="369"/>
        <v>16388.240000000002</v>
      </c>
      <c r="BL590" s="447" t="s">
        <v>2341</v>
      </c>
      <c r="BN590" s="462">
        <f t="shared" si="370"/>
        <v>16388.240000000002</v>
      </c>
      <c r="BO590" s="447" t="s">
        <v>2364</v>
      </c>
      <c r="BQ590" s="462">
        <f t="shared" si="371"/>
        <v>16388.240000000002</v>
      </c>
      <c r="BS590" s="462">
        <f>BQ590</f>
        <v>16388.240000000002</v>
      </c>
      <c r="BT590" s="462">
        <f t="shared" si="372"/>
        <v>0</v>
      </c>
      <c r="BW590" s="462">
        <f t="shared" si="373"/>
        <v>0</v>
      </c>
      <c r="BZ590" s="462">
        <f t="shared" si="374"/>
        <v>0</v>
      </c>
      <c r="CD590" s="418" t="str">
        <f t="shared" si="375"/>
        <v>CU0145001</v>
      </c>
      <c r="CE590" s="442" t="str">
        <f t="shared" si="376"/>
        <v>2020年4月</v>
      </c>
      <c r="CF590" s="418" t="str">
        <f t="shared" si="377"/>
        <v>锐珂亚太投clife服务费暂估</v>
      </c>
      <c r="CG590" s="418" t="str">
        <f t="shared" si="378"/>
        <v>2020年4月锐珂亚太投clife服务费暂估</v>
      </c>
    </row>
    <row r="591" spans="2:85" s="447" customFormat="1" ht="17.25" customHeight="1">
      <c r="B591" s="447" t="str">
        <f t="shared" si="366"/>
        <v>CU0182</v>
      </c>
      <c r="C591" s="431" t="s">
        <v>755</v>
      </c>
      <c r="D591" s="488" t="s">
        <v>1452</v>
      </c>
      <c r="E591" s="463" t="s">
        <v>821</v>
      </c>
      <c r="F591" s="439">
        <v>43922</v>
      </c>
      <c r="G591" s="430">
        <v>3690.32</v>
      </c>
      <c r="H591" s="440"/>
      <c r="I591" s="440"/>
      <c r="J591" s="440"/>
      <c r="L591" s="462"/>
      <c r="M591" s="462"/>
      <c r="N591" s="444"/>
      <c r="O591" s="462"/>
      <c r="R591" s="462"/>
      <c r="U591" s="462"/>
      <c r="X591" s="462"/>
      <c r="AA591" s="462"/>
      <c r="AD591" s="462"/>
      <c r="AG591" s="462"/>
      <c r="AJ591" s="462"/>
      <c r="AM591" s="462"/>
      <c r="AP591" s="462"/>
      <c r="AS591" s="430">
        <v>3690.32</v>
      </c>
      <c r="AV591" s="462">
        <f t="shared" si="390"/>
        <v>3690.32</v>
      </c>
      <c r="AY591" s="462">
        <f t="shared" si="391"/>
        <v>3690.32</v>
      </c>
      <c r="BB591" s="462">
        <f t="shared" si="392"/>
        <v>3690.32</v>
      </c>
      <c r="BC591" s="447" t="s">
        <v>2219</v>
      </c>
      <c r="BE591" s="462">
        <f t="shared" si="367"/>
        <v>3690.32</v>
      </c>
      <c r="BF591" s="447" t="s">
        <v>2241</v>
      </c>
      <c r="BH591" s="462">
        <f t="shared" si="368"/>
        <v>3690.32</v>
      </c>
      <c r="BI591" s="447" t="s">
        <v>2296</v>
      </c>
      <c r="BK591" s="462">
        <f t="shared" si="369"/>
        <v>3690.32</v>
      </c>
      <c r="BL591" s="447" t="s">
        <v>2341</v>
      </c>
      <c r="BN591" s="462">
        <f t="shared" si="370"/>
        <v>3690.32</v>
      </c>
      <c r="BO591" s="447" t="s">
        <v>2364</v>
      </c>
      <c r="BQ591" s="462">
        <f t="shared" si="371"/>
        <v>3690.32</v>
      </c>
      <c r="BT591" s="462">
        <f t="shared" si="372"/>
        <v>3690.32</v>
      </c>
      <c r="BU591" s="447" t="s">
        <v>2134</v>
      </c>
      <c r="BW591" s="462">
        <f t="shared" si="373"/>
        <v>3690.32</v>
      </c>
      <c r="BZ591" s="462">
        <f t="shared" si="374"/>
        <v>3690.32</v>
      </c>
      <c r="CD591" s="418" t="str">
        <f t="shared" si="375"/>
        <v>CU0182001</v>
      </c>
      <c r="CE591" s="442" t="str">
        <f t="shared" si="376"/>
        <v>2020年4月</v>
      </c>
      <c r="CF591" s="418" t="str">
        <f t="shared" si="377"/>
        <v>阿姆斯壮（clife服务费暂估</v>
      </c>
      <c r="CG591" s="418" t="str">
        <f t="shared" si="378"/>
        <v>2020年4月阿姆斯壮（clife服务费暂估</v>
      </c>
    </row>
    <row r="592" spans="2:85" s="447" customFormat="1" ht="17.25" customHeight="1">
      <c r="B592" s="447" t="str">
        <f t="shared" si="366"/>
        <v>CU0238</v>
      </c>
      <c r="C592" s="431" t="s">
        <v>755</v>
      </c>
      <c r="D592" s="488" t="s">
        <v>1987</v>
      </c>
      <c r="E592" s="463" t="s">
        <v>54</v>
      </c>
      <c r="F592" s="439">
        <v>43922</v>
      </c>
      <c r="G592" s="430">
        <v>594</v>
      </c>
      <c r="H592" s="440"/>
      <c r="I592" s="440"/>
      <c r="J592" s="440"/>
      <c r="L592" s="462"/>
      <c r="M592" s="462"/>
      <c r="N592" s="444"/>
      <c r="O592" s="462"/>
      <c r="R592" s="462"/>
      <c r="U592" s="462"/>
      <c r="X592" s="462"/>
      <c r="AA592" s="462"/>
      <c r="AD592" s="462"/>
      <c r="AG592" s="462"/>
      <c r="AJ592" s="462"/>
      <c r="AM592" s="462"/>
      <c r="AP592" s="462"/>
      <c r="AS592" s="430">
        <v>594</v>
      </c>
      <c r="AV592" s="462">
        <f t="shared" si="390"/>
        <v>594</v>
      </c>
      <c r="AY592" s="462">
        <f t="shared" si="391"/>
        <v>594</v>
      </c>
      <c r="BB592" s="462">
        <f t="shared" si="392"/>
        <v>594</v>
      </c>
      <c r="BC592" s="447" t="s">
        <v>2219</v>
      </c>
      <c r="BE592" s="462">
        <f t="shared" si="367"/>
        <v>594</v>
      </c>
      <c r="BF592" s="447" t="s">
        <v>2241</v>
      </c>
      <c r="BH592" s="462">
        <f t="shared" si="368"/>
        <v>594</v>
      </c>
      <c r="BI592" s="447" t="s">
        <v>2296</v>
      </c>
      <c r="BK592" s="462">
        <f t="shared" si="369"/>
        <v>594</v>
      </c>
      <c r="BL592" s="447" t="s">
        <v>2341</v>
      </c>
      <c r="BN592" s="462">
        <f t="shared" si="370"/>
        <v>594</v>
      </c>
      <c r="BO592" s="447" t="s">
        <v>2364</v>
      </c>
      <c r="BQ592" s="462">
        <f t="shared" si="371"/>
        <v>594</v>
      </c>
      <c r="BS592" s="462">
        <f>BQ592</f>
        <v>594</v>
      </c>
      <c r="BT592" s="462">
        <f t="shared" si="372"/>
        <v>0</v>
      </c>
      <c r="BW592" s="462">
        <f t="shared" si="373"/>
        <v>0</v>
      </c>
      <c r="BZ592" s="462">
        <f t="shared" si="374"/>
        <v>0</v>
      </c>
      <c r="CD592" s="418" t="str">
        <f t="shared" si="375"/>
        <v>CU0238001</v>
      </c>
      <c r="CE592" s="442" t="str">
        <f t="shared" si="376"/>
        <v>2020年4月</v>
      </c>
      <c r="CF592" s="418" t="str">
        <f t="shared" si="377"/>
        <v>丘奇鞋业（clife服务费暂估</v>
      </c>
      <c r="CG592" s="418" t="str">
        <f t="shared" si="378"/>
        <v>2020年4月丘奇鞋业（clife服务费暂估</v>
      </c>
    </row>
    <row r="593" spans="2:85" s="447" customFormat="1" ht="17.25" customHeight="1">
      <c r="B593" s="447" t="str">
        <f t="shared" si="366"/>
        <v>CU0289</v>
      </c>
      <c r="C593" s="431" t="s">
        <v>755</v>
      </c>
      <c r="D593" s="488" t="s">
        <v>1644</v>
      </c>
      <c r="E593" s="463" t="s">
        <v>19</v>
      </c>
      <c r="F593" s="439">
        <v>43922</v>
      </c>
      <c r="G593" s="430">
        <v>245830.72</v>
      </c>
      <c r="H593" s="440"/>
      <c r="I593" s="440"/>
      <c r="J593" s="440"/>
      <c r="L593" s="462"/>
      <c r="M593" s="462"/>
      <c r="N593" s="444"/>
      <c r="O593" s="462"/>
      <c r="R593" s="462"/>
      <c r="U593" s="462"/>
      <c r="X593" s="462"/>
      <c r="AA593" s="462"/>
      <c r="AD593" s="462"/>
      <c r="AG593" s="462"/>
      <c r="AJ593" s="462"/>
      <c r="AM593" s="462"/>
      <c r="AP593" s="462"/>
      <c r="AS593" s="430">
        <v>245830.72</v>
      </c>
      <c r="AV593" s="462">
        <f t="shared" si="390"/>
        <v>245830.72</v>
      </c>
      <c r="AY593" s="462">
        <f t="shared" si="391"/>
        <v>245830.72</v>
      </c>
      <c r="BB593" s="462">
        <f t="shared" si="392"/>
        <v>245830.72</v>
      </c>
      <c r="BC593" s="447" t="s">
        <v>2219</v>
      </c>
      <c r="BD593" s="447">
        <v>200000</v>
      </c>
      <c r="BE593" s="462">
        <f t="shared" si="367"/>
        <v>45830.720000000001</v>
      </c>
      <c r="BF593" s="447" t="s">
        <v>2241</v>
      </c>
      <c r="BH593" s="462">
        <f t="shared" si="368"/>
        <v>45830.720000000001</v>
      </c>
      <c r="BI593" s="447" t="s">
        <v>2296</v>
      </c>
      <c r="BK593" s="462">
        <f t="shared" si="369"/>
        <v>45830.720000000001</v>
      </c>
      <c r="BL593" s="447" t="s">
        <v>2341</v>
      </c>
      <c r="BN593" s="462">
        <f t="shared" si="370"/>
        <v>45830.720000000001</v>
      </c>
      <c r="BO593" s="447" t="s">
        <v>2364</v>
      </c>
      <c r="BQ593" s="462">
        <f t="shared" si="371"/>
        <v>45830.720000000001</v>
      </c>
      <c r="BT593" s="462">
        <f t="shared" si="372"/>
        <v>45830.720000000001</v>
      </c>
      <c r="BU593" s="447" t="s">
        <v>2134</v>
      </c>
      <c r="BV593" s="462">
        <f>BT593</f>
        <v>45830.720000000001</v>
      </c>
      <c r="BW593" s="462">
        <f t="shared" si="373"/>
        <v>0</v>
      </c>
      <c r="BZ593" s="462">
        <f t="shared" si="374"/>
        <v>0</v>
      </c>
      <c r="CD593" s="418" t="str">
        <f t="shared" si="375"/>
        <v>CU0289001</v>
      </c>
      <c r="CE593" s="442" t="str">
        <f t="shared" si="376"/>
        <v>2020年4月</v>
      </c>
      <c r="CF593" s="418" t="str">
        <f t="shared" si="377"/>
        <v>拉格代尔商clife服务费暂估</v>
      </c>
      <c r="CG593" s="418" t="str">
        <f t="shared" si="378"/>
        <v>2020年4月拉格代尔商clife服务费暂估</v>
      </c>
    </row>
    <row r="594" spans="2:85" s="447" customFormat="1" ht="17.25" customHeight="1">
      <c r="B594" s="447" t="str">
        <f t="shared" si="366"/>
        <v>CU0531</v>
      </c>
      <c r="C594" s="431" t="s">
        <v>755</v>
      </c>
      <c r="D594" s="488" t="s">
        <v>1453</v>
      </c>
      <c r="E594" s="463" t="s">
        <v>2088</v>
      </c>
      <c r="F594" s="439">
        <v>43922</v>
      </c>
      <c r="G594" s="430">
        <v>30944.99</v>
      </c>
      <c r="H594" s="440"/>
      <c r="I594" s="440"/>
      <c r="J594" s="440"/>
      <c r="L594" s="462"/>
      <c r="M594" s="462"/>
      <c r="N594" s="444"/>
      <c r="O594" s="462"/>
      <c r="R594" s="462"/>
      <c r="U594" s="462"/>
      <c r="X594" s="462"/>
      <c r="AA594" s="462"/>
      <c r="AD594" s="462"/>
      <c r="AG594" s="462"/>
      <c r="AJ594" s="462"/>
      <c r="AM594" s="462"/>
      <c r="AP594" s="462"/>
      <c r="AS594" s="430">
        <v>30944.99</v>
      </c>
      <c r="AV594" s="462">
        <f t="shared" si="390"/>
        <v>30944.99</v>
      </c>
      <c r="AY594" s="462">
        <f t="shared" si="391"/>
        <v>30944.99</v>
      </c>
      <c r="BB594" s="462">
        <f t="shared" si="392"/>
        <v>30944.99</v>
      </c>
      <c r="BC594" s="447" t="s">
        <v>2219</v>
      </c>
      <c r="BE594" s="462">
        <f t="shared" si="367"/>
        <v>30944.99</v>
      </c>
      <c r="BF594" s="447" t="s">
        <v>2241</v>
      </c>
      <c r="BH594" s="462">
        <f t="shared" si="368"/>
        <v>30944.99</v>
      </c>
      <c r="BI594" s="447" t="s">
        <v>2296</v>
      </c>
      <c r="BK594" s="462">
        <f t="shared" si="369"/>
        <v>30944.99</v>
      </c>
      <c r="BL594" s="447" t="s">
        <v>2341</v>
      </c>
      <c r="BN594" s="462">
        <f t="shared" si="370"/>
        <v>30944.99</v>
      </c>
      <c r="BO594" s="447" t="s">
        <v>2364</v>
      </c>
      <c r="BQ594" s="462">
        <f t="shared" si="371"/>
        <v>30944.99</v>
      </c>
      <c r="BT594" s="462">
        <f t="shared" si="372"/>
        <v>30944.99</v>
      </c>
      <c r="BU594" s="447" t="s">
        <v>2134</v>
      </c>
      <c r="BW594" s="462">
        <f t="shared" si="373"/>
        <v>30944.99</v>
      </c>
      <c r="BZ594" s="462">
        <f t="shared" si="374"/>
        <v>30944.99</v>
      </c>
      <c r="CD594" s="418" t="str">
        <f t="shared" si="375"/>
        <v>CU0531001</v>
      </c>
      <c r="CE594" s="442" t="str">
        <f t="shared" si="376"/>
        <v>2020年4月</v>
      </c>
      <c r="CF594" s="418" t="str">
        <f t="shared" si="377"/>
        <v>恩思恩clife服务费暂估</v>
      </c>
      <c r="CG594" s="418" t="str">
        <f t="shared" si="378"/>
        <v>2020年4月恩思恩clife服务费暂估</v>
      </c>
    </row>
    <row r="595" spans="2:85" s="447" customFormat="1" ht="17.25" customHeight="1">
      <c r="B595" s="447" t="str">
        <f t="shared" si="366"/>
        <v>CU0558</v>
      </c>
      <c r="C595" s="431" t="s">
        <v>755</v>
      </c>
      <c r="D595" s="488" t="s">
        <v>1647</v>
      </c>
      <c r="E595" s="463" t="s">
        <v>2210</v>
      </c>
      <c r="F595" s="439">
        <v>43922</v>
      </c>
      <c r="G595" s="430">
        <v>9900</v>
      </c>
      <c r="H595" s="440"/>
      <c r="I595" s="440"/>
      <c r="J595" s="440"/>
      <c r="L595" s="462"/>
      <c r="M595" s="462"/>
      <c r="N595" s="444"/>
      <c r="O595" s="462"/>
      <c r="R595" s="462"/>
      <c r="U595" s="462"/>
      <c r="X595" s="462"/>
      <c r="AA595" s="462"/>
      <c r="AD595" s="462"/>
      <c r="AG595" s="462"/>
      <c r="AJ595" s="462"/>
      <c r="AM595" s="462"/>
      <c r="AP595" s="462"/>
      <c r="AS595" s="430">
        <v>9900</v>
      </c>
      <c r="AV595" s="462">
        <f t="shared" si="390"/>
        <v>9900</v>
      </c>
      <c r="AY595" s="462">
        <f t="shared" si="391"/>
        <v>9900</v>
      </c>
      <c r="BB595" s="462">
        <f t="shared" si="392"/>
        <v>9900</v>
      </c>
      <c r="BC595" s="447" t="s">
        <v>2219</v>
      </c>
      <c r="BE595" s="462">
        <f t="shared" si="367"/>
        <v>9900</v>
      </c>
      <c r="BF595" s="447" t="s">
        <v>2241</v>
      </c>
      <c r="BH595" s="462">
        <f t="shared" si="368"/>
        <v>9900</v>
      </c>
      <c r="BI595" s="447" t="s">
        <v>2296</v>
      </c>
      <c r="BK595" s="462">
        <f t="shared" si="369"/>
        <v>9900</v>
      </c>
      <c r="BL595" s="447" t="s">
        <v>2341</v>
      </c>
      <c r="BM595" s="462">
        <f>BK595</f>
        <v>9900</v>
      </c>
      <c r="BN595" s="462">
        <f t="shared" si="370"/>
        <v>0</v>
      </c>
      <c r="BQ595" s="462">
        <f t="shared" si="371"/>
        <v>0</v>
      </c>
      <c r="BT595" s="462">
        <f t="shared" si="372"/>
        <v>0</v>
      </c>
      <c r="BW595" s="462">
        <f t="shared" si="373"/>
        <v>0</v>
      </c>
      <c r="BZ595" s="462">
        <f t="shared" si="374"/>
        <v>0</v>
      </c>
      <c r="CD595" s="418" t="str">
        <f t="shared" si="375"/>
        <v>CU0558001</v>
      </c>
      <c r="CE595" s="442" t="str">
        <f t="shared" si="376"/>
        <v>2020年4月</v>
      </c>
      <c r="CF595" s="418" t="str">
        <f t="shared" si="377"/>
        <v>深圳市顺荣clife服务费暂估</v>
      </c>
      <c r="CG595" s="418" t="str">
        <f t="shared" si="378"/>
        <v>2020年4月深圳市顺荣clife服务费暂估</v>
      </c>
    </row>
    <row r="596" spans="2:85" s="447" customFormat="1" ht="17.25" customHeight="1">
      <c r="B596" s="447" t="str">
        <f t="shared" si="366"/>
        <v>CU0562</v>
      </c>
      <c r="C596" s="431" t="s">
        <v>755</v>
      </c>
      <c r="D596" s="488" t="s">
        <v>2025</v>
      </c>
      <c r="E596" s="463" t="s">
        <v>1804</v>
      </c>
      <c r="F596" s="439">
        <v>43922</v>
      </c>
      <c r="G596" s="430">
        <v>1562.54</v>
      </c>
      <c r="H596" s="440"/>
      <c r="I596" s="440"/>
      <c r="J596" s="440"/>
      <c r="L596" s="462"/>
      <c r="M596" s="462"/>
      <c r="N596" s="444"/>
      <c r="O596" s="462"/>
      <c r="R596" s="462"/>
      <c r="U596" s="462"/>
      <c r="X596" s="462"/>
      <c r="AA596" s="462"/>
      <c r="AD596" s="462"/>
      <c r="AG596" s="462"/>
      <c r="AJ596" s="462"/>
      <c r="AM596" s="462"/>
      <c r="AP596" s="462"/>
      <c r="AS596" s="430">
        <v>1562.54</v>
      </c>
      <c r="AV596" s="462">
        <f t="shared" si="390"/>
        <v>1562.54</v>
      </c>
      <c r="AY596" s="462">
        <f t="shared" si="391"/>
        <v>1562.54</v>
      </c>
      <c r="BB596" s="462">
        <f t="shared" si="392"/>
        <v>1562.54</v>
      </c>
      <c r="BC596" s="447" t="s">
        <v>2219</v>
      </c>
      <c r="BE596" s="462">
        <f t="shared" si="367"/>
        <v>1562.54</v>
      </c>
      <c r="BF596" s="447" t="s">
        <v>2241</v>
      </c>
      <c r="BH596" s="462">
        <f t="shared" si="368"/>
        <v>1562.54</v>
      </c>
      <c r="BI596" s="447" t="s">
        <v>2296</v>
      </c>
      <c r="BK596" s="462">
        <f t="shared" si="369"/>
        <v>1562.54</v>
      </c>
      <c r="BL596" s="447" t="s">
        <v>2341</v>
      </c>
      <c r="BN596" s="462">
        <f t="shared" si="370"/>
        <v>1562.54</v>
      </c>
      <c r="BO596" s="447" t="s">
        <v>2364</v>
      </c>
      <c r="BQ596" s="462">
        <f t="shared" si="371"/>
        <v>1562.54</v>
      </c>
      <c r="BT596" s="462">
        <f t="shared" si="372"/>
        <v>1562.54</v>
      </c>
      <c r="BU596" s="447" t="s">
        <v>2134</v>
      </c>
      <c r="BW596" s="462">
        <f t="shared" si="373"/>
        <v>1562.54</v>
      </c>
      <c r="BZ596" s="462">
        <f t="shared" si="374"/>
        <v>1562.54</v>
      </c>
      <c r="CD596" s="418" t="str">
        <f t="shared" si="375"/>
        <v>CU0562001</v>
      </c>
      <c r="CE596" s="442" t="str">
        <f t="shared" si="376"/>
        <v>2020年4月</v>
      </c>
      <c r="CF596" s="418" t="str">
        <f t="shared" si="377"/>
        <v>杭州康晟健clife服务费暂估</v>
      </c>
      <c r="CG596" s="418" t="str">
        <f t="shared" si="378"/>
        <v>2020年4月杭州康晟健clife服务费暂估</v>
      </c>
    </row>
    <row r="597" spans="2:85" s="447" customFormat="1" ht="17.25" customHeight="1">
      <c r="B597" s="447" t="str">
        <f t="shared" si="366"/>
        <v>CU0570</v>
      </c>
      <c r="C597" s="431" t="s">
        <v>755</v>
      </c>
      <c r="D597" s="488" t="s">
        <v>1758</v>
      </c>
      <c r="E597" s="463" t="s">
        <v>1471</v>
      </c>
      <c r="F597" s="439">
        <v>43922</v>
      </c>
      <c r="G597" s="430">
        <v>170871</v>
      </c>
      <c r="H597" s="440"/>
      <c r="I597" s="440"/>
      <c r="J597" s="440"/>
      <c r="L597" s="462"/>
      <c r="M597" s="462"/>
      <c r="N597" s="444"/>
      <c r="O597" s="462"/>
      <c r="R597" s="462"/>
      <c r="U597" s="462"/>
      <c r="X597" s="462"/>
      <c r="AA597" s="462"/>
      <c r="AD597" s="462"/>
      <c r="AG597" s="462"/>
      <c r="AJ597" s="462"/>
      <c r="AM597" s="462"/>
      <c r="AP597" s="462"/>
      <c r="AS597" s="430">
        <v>170871</v>
      </c>
      <c r="AV597" s="462">
        <f t="shared" si="390"/>
        <v>170871</v>
      </c>
      <c r="AY597" s="462">
        <f t="shared" si="391"/>
        <v>170871</v>
      </c>
      <c r="BB597" s="462">
        <f t="shared" si="392"/>
        <v>170871</v>
      </c>
      <c r="BC597" s="447" t="s">
        <v>2219</v>
      </c>
      <c r="BD597" s="462">
        <f>BB597</f>
        <v>170871</v>
      </c>
      <c r="BE597" s="462">
        <f t="shared" si="367"/>
        <v>0</v>
      </c>
      <c r="BF597" s="447" t="s">
        <v>2241</v>
      </c>
      <c r="BH597" s="462">
        <f t="shared" si="368"/>
        <v>0</v>
      </c>
      <c r="BK597" s="462">
        <f t="shared" si="369"/>
        <v>0</v>
      </c>
      <c r="BN597" s="462">
        <f t="shared" si="370"/>
        <v>0</v>
      </c>
      <c r="BQ597" s="462">
        <f t="shared" si="371"/>
        <v>0</v>
      </c>
      <c r="BT597" s="462">
        <f t="shared" si="372"/>
        <v>0</v>
      </c>
      <c r="BW597" s="462">
        <f t="shared" si="373"/>
        <v>0</v>
      </c>
      <c r="BZ597" s="462">
        <f t="shared" si="374"/>
        <v>0</v>
      </c>
      <c r="CD597" s="418" t="str">
        <f t="shared" si="375"/>
        <v>CU0570001</v>
      </c>
      <c r="CE597" s="442" t="str">
        <f t="shared" si="376"/>
        <v>2020年4月</v>
      </c>
      <c r="CF597" s="418" t="str">
        <f t="shared" si="377"/>
        <v>华院数据技clife服务费暂估</v>
      </c>
      <c r="CG597" s="418" t="str">
        <f t="shared" si="378"/>
        <v>2020年4月华院数据技clife服务费暂估</v>
      </c>
    </row>
    <row r="598" spans="2:85" s="447" customFormat="1" ht="17.25" customHeight="1">
      <c r="B598" s="447" t="str">
        <f t="shared" si="366"/>
        <v>CU0636</v>
      </c>
      <c r="C598" s="431" t="s">
        <v>755</v>
      </c>
      <c r="D598" s="488" t="s">
        <v>1759</v>
      </c>
      <c r="E598" s="463" t="s">
        <v>23</v>
      </c>
      <c r="F598" s="439">
        <v>43922</v>
      </c>
      <c r="G598" s="430">
        <v>1835.55</v>
      </c>
      <c r="H598" s="440"/>
      <c r="I598" s="440"/>
      <c r="J598" s="440"/>
      <c r="L598" s="462"/>
      <c r="M598" s="462"/>
      <c r="N598" s="444"/>
      <c r="O598" s="462"/>
      <c r="R598" s="462"/>
      <c r="U598" s="462"/>
      <c r="X598" s="462"/>
      <c r="AA598" s="462"/>
      <c r="AD598" s="462"/>
      <c r="AG598" s="462"/>
      <c r="AJ598" s="462"/>
      <c r="AM598" s="462"/>
      <c r="AP598" s="462"/>
      <c r="AS598" s="430">
        <v>1835.55</v>
      </c>
      <c r="AV598" s="462">
        <f t="shared" si="390"/>
        <v>1835.55</v>
      </c>
      <c r="AY598" s="462">
        <f t="shared" si="391"/>
        <v>1835.55</v>
      </c>
      <c r="BB598" s="462">
        <f t="shared" si="392"/>
        <v>1835.55</v>
      </c>
      <c r="BC598" s="447" t="s">
        <v>2219</v>
      </c>
      <c r="BE598" s="462">
        <f t="shared" si="367"/>
        <v>1835.55</v>
      </c>
      <c r="BF598" s="447" t="s">
        <v>2241</v>
      </c>
      <c r="BH598" s="462">
        <f t="shared" si="368"/>
        <v>1835.55</v>
      </c>
      <c r="BI598" s="447" t="s">
        <v>2296</v>
      </c>
      <c r="BK598" s="462">
        <f t="shared" si="369"/>
        <v>1835.55</v>
      </c>
      <c r="BL598" s="447" t="s">
        <v>2341</v>
      </c>
      <c r="BN598" s="462">
        <f t="shared" si="370"/>
        <v>1835.55</v>
      </c>
      <c r="BO598" s="447" t="s">
        <v>2364</v>
      </c>
      <c r="BQ598" s="462">
        <f t="shared" si="371"/>
        <v>1835.55</v>
      </c>
      <c r="BT598" s="462">
        <f t="shared" si="372"/>
        <v>1835.55</v>
      </c>
      <c r="BU598" s="447" t="s">
        <v>2134</v>
      </c>
      <c r="BW598" s="462">
        <f t="shared" si="373"/>
        <v>1835.55</v>
      </c>
      <c r="BZ598" s="462">
        <f t="shared" si="374"/>
        <v>1835.55</v>
      </c>
      <c r="CD598" s="418" t="str">
        <f t="shared" si="375"/>
        <v>CU0636001</v>
      </c>
      <c r="CE598" s="442" t="str">
        <f t="shared" si="376"/>
        <v>2020年4月</v>
      </c>
      <c r="CF598" s="418" t="str">
        <f t="shared" si="377"/>
        <v>巴丽（上海clife服务费暂估</v>
      </c>
      <c r="CG598" s="418" t="str">
        <f t="shared" si="378"/>
        <v>2020年4月巴丽（上海clife服务费暂估</v>
      </c>
    </row>
    <row r="599" spans="2:85" s="447" customFormat="1" ht="17.25" customHeight="1">
      <c r="B599" s="447" t="str">
        <f t="shared" si="366"/>
        <v>CU0667</v>
      </c>
      <c r="C599" s="431" t="s">
        <v>755</v>
      </c>
      <c r="D599" s="489" t="s">
        <v>1454</v>
      </c>
      <c r="E599" s="463" t="s">
        <v>2215</v>
      </c>
      <c r="F599" s="439">
        <v>43922</v>
      </c>
      <c r="G599" s="430">
        <v>855.98</v>
      </c>
      <c r="H599" s="440"/>
      <c r="I599" s="440"/>
      <c r="J599" s="440"/>
      <c r="L599" s="462"/>
      <c r="M599" s="462"/>
      <c r="N599" s="444"/>
      <c r="O599" s="462"/>
      <c r="R599" s="462"/>
      <c r="U599" s="462"/>
      <c r="X599" s="462"/>
      <c r="AA599" s="462"/>
      <c r="AD599" s="462"/>
      <c r="AG599" s="462"/>
      <c r="AJ599" s="462"/>
      <c r="AM599" s="462"/>
      <c r="AP599" s="462"/>
      <c r="AS599" s="430">
        <v>855.98</v>
      </c>
      <c r="AV599" s="462">
        <f t="shared" si="390"/>
        <v>855.98</v>
      </c>
      <c r="AY599" s="462">
        <f t="shared" si="391"/>
        <v>855.98</v>
      </c>
      <c r="BB599" s="462">
        <f t="shared" si="392"/>
        <v>855.98</v>
      </c>
      <c r="BC599" s="447" t="s">
        <v>2219</v>
      </c>
      <c r="BE599" s="462">
        <f t="shared" si="367"/>
        <v>855.98</v>
      </c>
      <c r="BF599" s="447" t="s">
        <v>2241</v>
      </c>
      <c r="BH599" s="462">
        <f t="shared" si="368"/>
        <v>855.98</v>
      </c>
      <c r="BI599" s="447" t="s">
        <v>2296</v>
      </c>
      <c r="BK599" s="462">
        <f t="shared" si="369"/>
        <v>855.98</v>
      </c>
      <c r="BL599" s="447" t="s">
        <v>2341</v>
      </c>
      <c r="BM599" s="462">
        <f>BK599</f>
        <v>855.98</v>
      </c>
      <c r="BN599" s="462">
        <f t="shared" si="370"/>
        <v>0</v>
      </c>
      <c r="BQ599" s="462">
        <f t="shared" si="371"/>
        <v>0</v>
      </c>
      <c r="BT599" s="462">
        <f t="shared" si="372"/>
        <v>0</v>
      </c>
      <c r="BW599" s="462">
        <f t="shared" si="373"/>
        <v>0</v>
      </c>
      <c r="BZ599" s="462">
        <f t="shared" si="374"/>
        <v>0</v>
      </c>
      <c r="CD599" s="418" t="str">
        <f t="shared" si="375"/>
        <v>CU0667001</v>
      </c>
      <c r="CE599" s="442" t="str">
        <f t="shared" si="376"/>
        <v>2020年4月</v>
      </c>
      <c r="CF599" s="418" t="str">
        <f t="shared" si="377"/>
        <v>北京杰迪安clife服务费暂估</v>
      </c>
      <c r="CG599" s="418" t="str">
        <f t="shared" si="378"/>
        <v>2020年4月北京杰迪安clife服务费暂估</v>
      </c>
    </row>
    <row r="600" spans="2:85" s="447" customFormat="1" ht="17.25" customHeight="1">
      <c r="B600" s="447" t="str">
        <f t="shared" si="366"/>
        <v>CU0804</v>
      </c>
      <c r="C600" s="431" t="s">
        <v>755</v>
      </c>
      <c r="D600" s="488" t="s">
        <v>2141</v>
      </c>
      <c r="E600" s="463" t="s">
        <v>2216</v>
      </c>
      <c r="F600" s="439">
        <v>43922</v>
      </c>
      <c r="G600" s="430">
        <v>1299459.19</v>
      </c>
      <c r="H600" s="440"/>
      <c r="I600" s="440"/>
      <c r="J600" s="440"/>
      <c r="L600" s="462"/>
      <c r="M600" s="462"/>
      <c r="N600" s="444"/>
      <c r="O600" s="462"/>
      <c r="R600" s="462"/>
      <c r="U600" s="462"/>
      <c r="X600" s="462"/>
      <c r="AA600" s="462"/>
      <c r="AD600" s="462"/>
      <c r="AG600" s="462"/>
      <c r="AJ600" s="462"/>
      <c r="AM600" s="462"/>
      <c r="AP600" s="462"/>
      <c r="AS600" s="430">
        <v>1299459.19</v>
      </c>
      <c r="AV600" s="462">
        <f t="shared" si="390"/>
        <v>1299459.19</v>
      </c>
      <c r="AY600" s="462">
        <f t="shared" si="391"/>
        <v>1299459.19</v>
      </c>
      <c r="BB600" s="462">
        <f t="shared" si="392"/>
        <v>1299459.19</v>
      </c>
      <c r="BC600" s="447" t="s">
        <v>2219</v>
      </c>
      <c r="BD600" s="447">
        <f>103301.89+327443.2</f>
        <v>430745.09</v>
      </c>
      <c r="BE600" s="462">
        <f t="shared" si="367"/>
        <v>868714.09999999986</v>
      </c>
      <c r="BF600" s="447" t="s">
        <v>2241</v>
      </c>
      <c r="BG600" s="447">
        <v>432247.12</v>
      </c>
      <c r="BH600" s="462">
        <f t="shared" si="368"/>
        <v>436466.97999999986</v>
      </c>
      <c r="BI600" s="447" t="s">
        <v>2296</v>
      </c>
      <c r="BJ600" s="447">
        <f>ROUND(456089.79/1.06,2)</f>
        <v>430273.39</v>
      </c>
      <c r="BK600" s="462">
        <f t="shared" si="369"/>
        <v>6193.589999999851</v>
      </c>
      <c r="BL600" s="447" t="s">
        <v>2341</v>
      </c>
      <c r="BN600" s="462">
        <f t="shared" si="370"/>
        <v>6193.589999999851</v>
      </c>
      <c r="BO600" s="447" t="s">
        <v>2364</v>
      </c>
      <c r="BQ600" s="462">
        <f t="shared" si="371"/>
        <v>6193.59</v>
      </c>
      <c r="BT600" s="462">
        <f t="shared" si="372"/>
        <v>6193.59</v>
      </c>
      <c r="BU600" s="447" t="s">
        <v>2134</v>
      </c>
      <c r="BV600" s="462">
        <f>BT600</f>
        <v>6193.59</v>
      </c>
      <c r="BW600" s="462">
        <f t="shared" si="373"/>
        <v>0</v>
      </c>
      <c r="BZ600" s="462">
        <f t="shared" si="374"/>
        <v>0</v>
      </c>
      <c r="CD600" s="418" t="str">
        <f t="shared" si="375"/>
        <v>CU0804001</v>
      </c>
      <c r="CE600" s="442" t="str">
        <f t="shared" si="376"/>
        <v>2020年4月</v>
      </c>
      <c r="CF600" s="418" t="str">
        <f t="shared" si="377"/>
        <v>众安在线财clife服务费暂估</v>
      </c>
      <c r="CG600" s="418" t="str">
        <f t="shared" si="378"/>
        <v>2020年4月众安在线财clife服务费暂估</v>
      </c>
    </row>
    <row r="601" spans="2:85" s="447" customFormat="1" ht="17.25" customHeight="1">
      <c r="B601" s="447" t="str">
        <f t="shared" si="366"/>
        <v>CU0812</v>
      </c>
      <c r="C601" s="431" t="s">
        <v>755</v>
      </c>
      <c r="D601" s="488" t="s">
        <v>1455</v>
      </c>
      <c r="E601" s="463" t="s">
        <v>1534</v>
      </c>
      <c r="F601" s="439">
        <v>43922</v>
      </c>
      <c r="G601" s="430">
        <v>3191.29</v>
      </c>
      <c r="H601" s="440"/>
      <c r="I601" s="440"/>
      <c r="J601" s="440"/>
      <c r="L601" s="462"/>
      <c r="M601" s="462"/>
      <c r="N601" s="444"/>
      <c r="O601" s="462"/>
      <c r="R601" s="462"/>
      <c r="U601" s="462"/>
      <c r="X601" s="462"/>
      <c r="AA601" s="462"/>
      <c r="AD601" s="462"/>
      <c r="AG601" s="462"/>
      <c r="AJ601" s="462"/>
      <c r="AM601" s="462"/>
      <c r="AP601" s="462"/>
      <c r="AS601" s="430">
        <v>3191.29</v>
      </c>
      <c r="AV601" s="462">
        <f t="shared" si="390"/>
        <v>3191.29</v>
      </c>
      <c r="AY601" s="462">
        <f t="shared" si="391"/>
        <v>3191.29</v>
      </c>
      <c r="BB601" s="462">
        <f t="shared" si="392"/>
        <v>3191.29</v>
      </c>
      <c r="BC601" s="447" t="s">
        <v>2219</v>
      </c>
      <c r="BE601" s="462">
        <f t="shared" si="367"/>
        <v>3191.29</v>
      </c>
      <c r="BF601" s="447" t="s">
        <v>2241</v>
      </c>
      <c r="BH601" s="462">
        <f t="shared" si="368"/>
        <v>3191.29</v>
      </c>
      <c r="BI601" s="447" t="s">
        <v>2296</v>
      </c>
      <c r="BK601" s="462">
        <f t="shared" si="369"/>
        <v>3191.29</v>
      </c>
      <c r="BL601" s="447" t="s">
        <v>2341</v>
      </c>
      <c r="BN601" s="462">
        <f t="shared" si="370"/>
        <v>3191.29</v>
      </c>
      <c r="BO601" s="447" t="s">
        <v>2364</v>
      </c>
      <c r="BP601" s="462">
        <f>BN601</f>
        <v>3191.29</v>
      </c>
      <c r="BQ601" s="462">
        <f t="shared" si="371"/>
        <v>0</v>
      </c>
      <c r="BT601" s="462">
        <f t="shared" si="372"/>
        <v>0</v>
      </c>
      <c r="BW601" s="462">
        <f t="shared" si="373"/>
        <v>0</v>
      </c>
      <c r="BZ601" s="462">
        <f t="shared" si="374"/>
        <v>0</v>
      </c>
      <c r="CD601" s="418" t="str">
        <f t="shared" si="375"/>
        <v>CU0812001</v>
      </c>
      <c r="CE601" s="442" t="str">
        <f t="shared" si="376"/>
        <v>2020年4月</v>
      </c>
      <c r="CF601" s="418" t="str">
        <f t="shared" si="377"/>
        <v>上海恩派社clife服务费暂估</v>
      </c>
      <c r="CG601" s="418" t="str">
        <f t="shared" si="378"/>
        <v>2020年4月上海恩派社clife服务费暂估</v>
      </c>
    </row>
    <row r="602" spans="2:85" s="447" customFormat="1" ht="17.25" customHeight="1">
      <c r="B602" s="447" t="str">
        <f t="shared" si="366"/>
        <v>CU0822</v>
      </c>
      <c r="C602" s="431" t="s">
        <v>755</v>
      </c>
      <c r="D602" s="488" t="s">
        <v>1456</v>
      </c>
      <c r="E602" s="463" t="s">
        <v>239</v>
      </c>
      <c r="F602" s="439">
        <v>43922</v>
      </c>
      <c r="G602" s="430">
        <v>-12857.74</v>
      </c>
      <c r="H602" s="440"/>
      <c r="I602" s="440"/>
      <c r="J602" s="440"/>
      <c r="L602" s="462"/>
      <c r="M602" s="462"/>
      <c r="N602" s="444"/>
      <c r="O602" s="462"/>
      <c r="R602" s="462"/>
      <c r="U602" s="462"/>
      <c r="X602" s="462"/>
      <c r="AA602" s="462"/>
      <c r="AD602" s="462"/>
      <c r="AG602" s="462"/>
      <c r="AJ602" s="462"/>
      <c r="AM602" s="462"/>
      <c r="AP602" s="462"/>
      <c r="AS602" s="430">
        <v>-12857.74</v>
      </c>
      <c r="AV602" s="462">
        <f t="shared" si="390"/>
        <v>-12857.74</v>
      </c>
      <c r="AY602" s="462">
        <f t="shared" si="391"/>
        <v>-12857.74</v>
      </c>
      <c r="BB602" s="462">
        <f t="shared" si="392"/>
        <v>-12857.74</v>
      </c>
      <c r="BC602" s="447" t="s">
        <v>2219</v>
      </c>
      <c r="BE602" s="462">
        <f t="shared" si="367"/>
        <v>-12857.74</v>
      </c>
      <c r="BF602" s="447" t="s">
        <v>2241</v>
      </c>
      <c r="BG602" s="462">
        <f>BE602</f>
        <v>-12857.74</v>
      </c>
      <c r="BH602" s="462">
        <f t="shared" si="368"/>
        <v>0</v>
      </c>
      <c r="BK602" s="462">
        <f t="shared" si="369"/>
        <v>0</v>
      </c>
      <c r="BN602" s="462">
        <f t="shared" si="370"/>
        <v>0</v>
      </c>
      <c r="BQ602" s="462">
        <f t="shared" si="371"/>
        <v>0</v>
      </c>
      <c r="BT602" s="462">
        <f t="shared" si="372"/>
        <v>0</v>
      </c>
      <c r="BW602" s="462">
        <f t="shared" si="373"/>
        <v>0</v>
      </c>
      <c r="BZ602" s="462">
        <f t="shared" si="374"/>
        <v>0</v>
      </c>
      <c r="CD602" s="418" t="str">
        <f t="shared" si="375"/>
        <v>CU0822001</v>
      </c>
      <c r="CE602" s="442" t="str">
        <f t="shared" si="376"/>
        <v>2020年4月</v>
      </c>
      <c r="CF602" s="418" t="str">
        <f t="shared" si="377"/>
        <v>美克国际家clife服务费暂估</v>
      </c>
      <c r="CG602" s="418" t="str">
        <f t="shared" si="378"/>
        <v>2020年4月美克国际家clife服务费暂估</v>
      </c>
    </row>
    <row r="603" spans="2:85" s="447" customFormat="1" ht="17.25" customHeight="1">
      <c r="B603" s="447" t="str">
        <f t="shared" si="366"/>
        <v>CU0823</v>
      </c>
      <c r="C603" s="431" t="s">
        <v>755</v>
      </c>
      <c r="D603" s="488" t="s">
        <v>1457</v>
      </c>
      <c r="E603" s="463" t="s">
        <v>581</v>
      </c>
      <c r="F603" s="439">
        <v>43922</v>
      </c>
      <c r="G603" s="430">
        <v>65561.06</v>
      </c>
      <c r="H603" s="440"/>
      <c r="I603" s="440"/>
      <c r="J603" s="440"/>
      <c r="L603" s="462"/>
      <c r="M603" s="462"/>
      <c r="N603" s="444"/>
      <c r="O603" s="462"/>
      <c r="R603" s="462"/>
      <c r="U603" s="462"/>
      <c r="X603" s="462"/>
      <c r="AA603" s="462"/>
      <c r="AD603" s="462"/>
      <c r="AG603" s="462"/>
      <c r="AJ603" s="462"/>
      <c r="AM603" s="462"/>
      <c r="AP603" s="462"/>
      <c r="AS603" s="430">
        <v>65561.06</v>
      </c>
      <c r="AV603" s="462">
        <f t="shared" si="390"/>
        <v>65561.06</v>
      </c>
      <c r="AY603" s="462">
        <f t="shared" si="391"/>
        <v>65561.06</v>
      </c>
      <c r="BB603" s="462">
        <f t="shared" si="392"/>
        <v>65561.06</v>
      </c>
      <c r="BC603" s="447" t="s">
        <v>2219</v>
      </c>
      <c r="BE603" s="462">
        <f t="shared" si="367"/>
        <v>65561.06</v>
      </c>
      <c r="BF603" s="447" t="s">
        <v>2241</v>
      </c>
      <c r="BH603" s="462">
        <f t="shared" si="368"/>
        <v>65561.06</v>
      </c>
      <c r="BI603" s="447" t="s">
        <v>2296</v>
      </c>
      <c r="BK603" s="462">
        <f t="shared" si="369"/>
        <v>65561.06</v>
      </c>
      <c r="BL603" s="447" t="s">
        <v>2341</v>
      </c>
      <c r="BN603" s="462">
        <f t="shared" si="370"/>
        <v>65561.06</v>
      </c>
      <c r="BO603" s="447" t="s">
        <v>2364</v>
      </c>
      <c r="BQ603" s="462">
        <f t="shared" si="371"/>
        <v>65561.06</v>
      </c>
      <c r="BT603" s="462">
        <f t="shared" si="372"/>
        <v>65561.06</v>
      </c>
      <c r="BU603" s="447" t="s">
        <v>2134</v>
      </c>
      <c r="BW603" s="462">
        <f t="shared" si="373"/>
        <v>65561.06</v>
      </c>
      <c r="BZ603" s="462">
        <f t="shared" si="374"/>
        <v>65561.06</v>
      </c>
      <c r="CD603" s="418" t="str">
        <f t="shared" si="375"/>
        <v>CU0823001</v>
      </c>
      <c r="CE603" s="442" t="str">
        <f t="shared" si="376"/>
        <v>2020年4月</v>
      </c>
      <c r="CF603" s="418" t="str">
        <f t="shared" si="377"/>
        <v>凯杰生物工clife服务费暂估</v>
      </c>
      <c r="CG603" s="418" t="str">
        <f t="shared" si="378"/>
        <v>2020年4月凯杰生物工clife服务费暂估</v>
      </c>
    </row>
    <row r="604" spans="2:85" s="447" customFormat="1" ht="17.25" customHeight="1">
      <c r="B604" s="447" t="str">
        <f t="shared" si="366"/>
        <v>CU0824</v>
      </c>
      <c r="C604" s="431" t="s">
        <v>755</v>
      </c>
      <c r="D604" s="488" t="s">
        <v>1458</v>
      </c>
      <c r="E604" s="463" t="s">
        <v>1292</v>
      </c>
      <c r="F604" s="439">
        <v>43922</v>
      </c>
      <c r="G604" s="430">
        <v>810.16</v>
      </c>
      <c r="H604" s="440"/>
      <c r="I604" s="440"/>
      <c r="J604" s="440"/>
      <c r="L604" s="462"/>
      <c r="M604" s="462"/>
      <c r="N604" s="444"/>
      <c r="O604" s="462"/>
      <c r="R604" s="462"/>
      <c r="U604" s="462"/>
      <c r="X604" s="462"/>
      <c r="AA604" s="462"/>
      <c r="AD604" s="462"/>
      <c r="AG604" s="462"/>
      <c r="AJ604" s="462"/>
      <c r="AM604" s="462"/>
      <c r="AP604" s="462"/>
      <c r="AS604" s="430">
        <v>810.16</v>
      </c>
      <c r="AV604" s="462">
        <f t="shared" si="390"/>
        <v>810.16</v>
      </c>
      <c r="AY604" s="462">
        <f t="shared" si="391"/>
        <v>810.16</v>
      </c>
      <c r="BB604" s="462">
        <f t="shared" si="392"/>
        <v>810.16</v>
      </c>
      <c r="BC604" s="447" t="s">
        <v>2219</v>
      </c>
      <c r="BD604" s="462">
        <f>ROUND(3219.47/1.06,2)-BD397-BD434-BD469-BD499-BD566</f>
        <v>321.43999999999994</v>
      </c>
      <c r="BE604" s="462">
        <f>BB604-BD604</f>
        <v>488.72</v>
      </c>
      <c r="BF604" s="447" t="s">
        <v>2241</v>
      </c>
      <c r="BH604" s="462">
        <f t="shared" si="368"/>
        <v>488.72</v>
      </c>
      <c r="BI604" s="447" t="s">
        <v>2296</v>
      </c>
      <c r="BK604" s="462">
        <f t="shared" si="369"/>
        <v>488.72</v>
      </c>
      <c r="BL604" s="447" t="s">
        <v>2341</v>
      </c>
      <c r="BM604" s="462">
        <f>BK604</f>
        <v>488.72</v>
      </c>
      <c r="BN604" s="462">
        <f t="shared" si="370"/>
        <v>0</v>
      </c>
      <c r="BQ604" s="462">
        <f t="shared" si="371"/>
        <v>0</v>
      </c>
      <c r="BT604" s="462">
        <f t="shared" si="372"/>
        <v>0</v>
      </c>
      <c r="BW604" s="462">
        <f t="shared" si="373"/>
        <v>0</v>
      </c>
      <c r="BZ604" s="462">
        <f t="shared" si="374"/>
        <v>0</v>
      </c>
      <c r="CD604" s="418" t="str">
        <f t="shared" si="375"/>
        <v>CU0824001</v>
      </c>
      <c r="CE604" s="442" t="str">
        <f t="shared" si="376"/>
        <v>2020年4月</v>
      </c>
      <c r="CF604" s="418" t="str">
        <f t="shared" si="377"/>
        <v>苏州舒尔贸clife服务费暂估</v>
      </c>
      <c r="CG604" s="418" t="str">
        <f t="shared" si="378"/>
        <v>2020年4月苏州舒尔贸clife服务费暂估</v>
      </c>
    </row>
    <row r="605" spans="2:85" s="447" customFormat="1" ht="17.25" customHeight="1">
      <c r="B605" s="447" t="str">
        <f t="shared" si="366"/>
        <v>CU0869</v>
      </c>
      <c r="C605" s="431" t="s">
        <v>755</v>
      </c>
      <c r="D605" s="488" t="s">
        <v>1459</v>
      </c>
      <c r="E605" s="463" t="s">
        <v>2090</v>
      </c>
      <c r="F605" s="439">
        <v>43922</v>
      </c>
      <c r="G605" s="430">
        <v>62626.49</v>
      </c>
      <c r="H605" s="440"/>
      <c r="I605" s="440"/>
      <c r="J605" s="440"/>
      <c r="L605" s="462"/>
      <c r="M605" s="462"/>
      <c r="N605" s="444"/>
      <c r="O605" s="462"/>
      <c r="R605" s="462"/>
      <c r="U605" s="462"/>
      <c r="X605" s="462"/>
      <c r="AA605" s="462"/>
      <c r="AD605" s="462"/>
      <c r="AG605" s="462"/>
      <c r="AJ605" s="462"/>
      <c r="AM605" s="462"/>
      <c r="AP605" s="462"/>
      <c r="AS605" s="430">
        <v>62626.49</v>
      </c>
      <c r="AV605" s="462">
        <f t="shared" si="390"/>
        <v>62626.49</v>
      </c>
      <c r="AY605" s="462">
        <f t="shared" si="391"/>
        <v>62626.49</v>
      </c>
      <c r="BB605" s="462">
        <f t="shared" si="392"/>
        <v>62626.49</v>
      </c>
      <c r="BC605" s="447" t="s">
        <v>2219</v>
      </c>
      <c r="BE605" s="462">
        <f t="shared" si="367"/>
        <v>62626.49</v>
      </c>
      <c r="BF605" s="447" t="s">
        <v>2241</v>
      </c>
      <c r="BG605" s="462">
        <f>ROUND(197100/1.06,2)-BG501-BG538-BG568</f>
        <v>8842.8799999999756</v>
      </c>
      <c r="BH605" s="462">
        <f t="shared" si="368"/>
        <v>53783.610000000022</v>
      </c>
      <c r="BI605" s="447" t="s">
        <v>2296</v>
      </c>
      <c r="BK605" s="462">
        <f t="shared" si="369"/>
        <v>53783.610000000022</v>
      </c>
      <c r="BL605" s="447" t="s">
        <v>2341</v>
      </c>
      <c r="BM605" s="447">
        <v>1907</v>
      </c>
      <c r="BN605" s="462">
        <f t="shared" si="370"/>
        <v>51876.610000000022</v>
      </c>
      <c r="BO605" s="447" t="s">
        <v>2364</v>
      </c>
      <c r="BQ605" s="462">
        <f t="shared" si="371"/>
        <v>51876.61</v>
      </c>
      <c r="BS605" s="462">
        <f>BQ605</f>
        <v>51876.61</v>
      </c>
      <c r="BT605" s="462">
        <f t="shared" si="372"/>
        <v>0</v>
      </c>
      <c r="BW605" s="462">
        <f t="shared" si="373"/>
        <v>0</v>
      </c>
      <c r="BZ605" s="462">
        <f t="shared" si="374"/>
        <v>0</v>
      </c>
      <c r="CD605" s="418" t="str">
        <f t="shared" si="375"/>
        <v>CU0869001</v>
      </c>
      <c r="CE605" s="442" t="str">
        <f t="shared" si="376"/>
        <v>2020年4月</v>
      </c>
      <c r="CF605" s="418" t="str">
        <f t="shared" si="377"/>
        <v>智睿企业咨clife服务费暂估</v>
      </c>
      <c r="CG605" s="418" t="str">
        <f t="shared" si="378"/>
        <v>2020年4月智睿企业咨clife服务费暂估</v>
      </c>
    </row>
    <row r="606" spans="2:85" s="447" customFormat="1" ht="17.25" customHeight="1">
      <c r="B606" s="447" t="str">
        <f t="shared" si="366"/>
        <v>CU0904</v>
      </c>
      <c r="C606" s="431" t="s">
        <v>755</v>
      </c>
      <c r="D606" s="488" t="s">
        <v>1460</v>
      </c>
      <c r="E606" s="463" t="s">
        <v>955</v>
      </c>
      <c r="F606" s="439">
        <v>43922</v>
      </c>
      <c r="G606" s="430">
        <v>124353.88</v>
      </c>
      <c r="H606" s="440"/>
      <c r="I606" s="440"/>
      <c r="J606" s="440"/>
      <c r="L606" s="462"/>
      <c r="M606" s="462"/>
      <c r="N606" s="444"/>
      <c r="O606" s="462"/>
      <c r="R606" s="462"/>
      <c r="U606" s="462"/>
      <c r="X606" s="462"/>
      <c r="AA606" s="462"/>
      <c r="AD606" s="462"/>
      <c r="AG606" s="462"/>
      <c r="AJ606" s="462"/>
      <c r="AM606" s="462"/>
      <c r="AP606" s="462"/>
      <c r="AS606" s="430">
        <v>124353.88</v>
      </c>
      <c r="AV606" s="462">
        <f t="shared" si="390"/>
        <v>124353.88</v>
      </c>
      <c r="AY606" s="462">
        <f t="shared" si="391"/>
        <v>124353.88</v>
      </c>
      <c r="BB606" s="462">
        <f t="shared" si="392"/>
        <v>124353.88</v>
      </c>
      <c r="BC606" s="447" t="s">
        <v>2219</v>
      </c>
      <c r="BE606" s="462">
        <f t="shared" si="367"/>
        <v>124353.88</v>
      </c>
      <c r="BF606" s="447" t="s">
        <v>2241</v>
      </c>
      <c r="BH606" s="462">
        <f t="shared" si="368"/>
        <v>124353.88</v>
      </c>
      <c r="BI606" s="447" t="s">
        <v>2296</v>
      </c>
      <c r="BK606" s="462">
        <f t="shared" si="369"/>
        <v>124353.88</v>
      </c>
      <c r="BL606" s="447" t="s">
        <v>2341</v>
      </c>
      <c r="BN606" s="462">
        <f t="shared" si="370"/>
        <v>124353.88</v>
      </c>
      <c r="BO606" s="447" t="s">
        <v>2364</v>
      </c>
      <c r="BQ606" s="462">
        <f t="shared" si="371"/>
        <v>124353.88</v>
      </c>
      <c r="BS606" s="462">
        <f>BQ606</f>
        <v>124353.88</v>
      </c>
      <c r="BT606" s="462">
        <f t="shared" si="372"/>
        <v>0</v>
      </c>
      <c r="BW606" s="462">
        <f t="shared" si="373"/>
        <v>0</v>
      </c>
      <c r="BZ606" s="462">
        <f t="shared" si="374"/>
        <v>0</v>
      </c>
      <c r="CD606" s="418" t="str">
        <f t="shared" si="375"/>
        <v>CU0904001</v>
      </c>
      <c r="CE606" s="442" t="str">
        <f t="shared" si="376"/>
        <v>2020年4月</v>
      </c>
      <c r="CF606" s="418" t="str">
        <f t="shared" si="377"/>
        <v>紫光电子商clife服务费暂估</v>
      </c>
      <c r="CG606" s="418" t="str">
        <f t="shared" si="378"/>
        <v>2020年4月紫光电子商clife服务费暂估</v>
      </c>
    </row>
    <row r="607" spans="2:85" s="447" customFormat="1" ht="17.25" customHeight="1">
      <c r="B607" s="447" t="str">
        <f t="shared" si="366"/>
        <v>CU1016</v>
      </c>
      <c r="C607" s="431" t="s">
        <v>755</v>
      </c>
      <c r="D607" s="488" t="s">
        <v>1524</v>
      </c>
      <c r="E607" s="463" t="s">
        <v>1536</v>
      </c>
      <c r="F607" s="439">
        <v>43922</v>
      </c>
      <c r="G607" s="430">
        <v>8794.24</v>
      </c>
      <c r="H607" s="440"/>
      <c r="I607" s="440"/>
      <c r="J607" s="440"/>
      <c r="L607" s="462"/>
      <c r="M607" s="462"/>
      <c r="N607" s="444"/>
      <c r="O607" s="462"/>
      <c r="R607" s="462"/>
      <c r="U607" s="462"/>
      <c r="X607" s="462"/>
      <c r="AA607" s="462"/>
      <c r="AD607" s="462"/>
      <c r="AG607" s="462"/>
      <c r="AJ607" s="462"/>
      <c r="AM607" s="462"/>
      <c r="AP607" s="462"/>
      <c r="AS607" s="430">
        <v>8794.24</v>
      </c>
      <c r="AV607" s="462">
        <f t="shared" si="390"/>
        <v>8794.24</v>
      </c>
      <c r="AY607" s="462">
        <f t="shared" si="391"/>
        <v>8794.24</v>
      </c>
      <c r="BB607" s="462">
        <f t="shared" si="392"/>
        <v>8794.24</v>
      </c>
      <c r="BC607" s="447" t="s">
        <v>2219</v>
      </c>
      <c r="BE607" s="462">
        <f t="shared" si="367"/>
        <v>8794.24</v>
      </c>
      <c r="BF607" s="447" t="s">
        <v>2241</v>
      </c>
      <c r="BH607" s="462">
        <f t="shared" si="368"/>
        <v>8794.24</v>
      </c>
      <c r="BI607" s="447" t="s">
        <v>2296</v>
      </c>
      <c r="BK607" s="462">
        <f t="shared" si="369"/>
        <v>8794.24</v>
      </c>
      <c r="BL607" s="447" t="s">
        <v>2341</v>
      </c>
      <c r="BN607" s="462">
        <f t="shared" si="370"/>
        <v>8794.24</v>
      </c>
      <c r="BO607" s="447" t="s">
        <v>2364</v>
      </c>
      <c r="BQ607" s="462">
        <f t="shared" si="371"/>
        <v>8794.24</v>
      </c>
      <c r="BS607" s="462">
        <f>BQ607</f>
        <v>8794.24</v>
      </c>
      <c r="BT607" s="462">
        <f t="shared" si="372"/>
        <v>0</v>
      </c>
      <c r="BW607" s="462">
        <f t="shared" si="373"/>
        <v>0</v>
      </c>
      <c r="BZ607" s="462">
        <f t="shared" si="374"/>
        <v>0</v>
      </c>
      <c r="CD607" s="418" t="str">
        <f t="shared" si="375"/>
        <v>CU1016001</v>
      </c>
      <c r="CE607" s="442" t="str">
        <f t="shared" si="376"/>
        <v>2020年4月</v>
      </c>
      <c r="CF607" s="418" t="str">
        <f t="shared" si="377"/>
        <v>乔治阿玛尼clife服务费暂估</v>
      </c>
      <c r="CG607" s="418" t="str">
        <f t="shared" si="378"/>
        <v>2020年4月乔治阿玛尼clife服务费暂估</v>
      </c>
    </row>
    <row r="608" spans="2:85" s="447" customFormat="1" ht="17.25" customHeight="1">
      <c r="B608" s="447" t="str">
        <f t="shared" si="366"/>
        <v>CU1065</v>
      </c>
      <c r="C608" s="431" t="s">
        <v>755</v>
      </c>
      <c r="D608" s="488" t="s">
        <v>1573</v>
      </c>
      <c r="E608" s="463" t="s">
        <v>1332</v>
      </c>
      <c r="F608" s="439">
        <v>43922</v>
      </c>
      <c r="G608" s="430">
        <v>130284.71</v>
      </c>
      <c r="H608" s="440"/>
      <c r="I608" s="440"/>
      <c r="J608" s="440"/>
      <c r="L608" s="462"/>
      <c r="M608" s="462"/>
      <c r="N608" s="444"/>
      <c r="O608" s="462"/>
      <c r="R608" s="462"/>
      <c r="U608" s="462"/>
      <c r="X608" s="462"/>
      <c r="AA608" s="462"/>
      <c r="AD608" s="462"/>
      <c r="AG608" s="462"/>
      <c r="AJ608" s="462"/>
      <c r="AM608" s="462"/>
      <c r="AP608" s="462"/>
      <c r="AS608" s="430">
        <v>130284.71</v>
      </c>
      <c r="AV608" s="462">
        <f t="shared" si="390"/>
        <v>130284.71</v>
      </c>
      <c r="AY608" s="462">
        <f t="shared" si="391"/>
        <v>130284.71</v>
      </c>
      <c r="BB608" s="462">
        <f t="shared" si="392"/>
        <v>130284.71</v>
      </c>
      <c r="BC608" s="447" t="s">
        <v>2219</v>
      </c>
      <c r="BE608" s="462">
        <f t="shared" si="367"/>
        <v>130284.71</v>
      </c>
      <c r="BF608" s="447" t="s">
        <v>2241</v>
      </c>
      <c r="BG608" s="462">
        <f>ROUND(538000/1.06,2)-BG277-BG518-BG531-BG557</f>
        <v>44622.259999999966</v>
      </c>
      <c r="BH608" s="462">
        <f t="shared" si="368"/>
        <v>85662.450000000041</v>
      </c>
      <c r="BI608" s="447" t="s">
        <v>2296</v>
      </c>
      <c r="BJ608" s="462">
        <f>BH608</f>
        <v>85662.450000000041</v>
      </c>
      <c r="BK608" s="462">
        <f t="shared" si="369"/>
        <v>0</v>
      </c>
      <c r="BN608" s="462">
        <f t="shared" si="370"/>
        <v>0</v>
      </c>
      <c r="BQ608" s="462">
        <f t="shared" si="371"/>
        <v>0</v>
      </c>
      <c r="BT608" s="462">
        <f t="shared" si="372"/>
        <v>0</v>
      </c>
      <c r="BW608" s="462">
        <f t="shared" si="373"/>
        <v>0</v>
      </c>
      <c r="BZ608" s="462">
        <f t="shared" si="374"/>
        <v>0</v>
      </c>
      <c r="CD608" s="418" t="str">
        <f t="shared" si="375"/>
        <v>CU1065001</v>
      </c>
      <c r="CE608" s="442" t="str">
        <f t="shared" si="376"/>
        <v>2020年4月</v>
      </c>
      <c r="CF608" s="418" t="str">
        <f t="shared" si="377"/>
        <v>湖北长江蔚clife服务费暂估</v>
      </c>
      <c r="CG608" s="418" t="str">
        <f t="shared" si="378"/>
        <v>2020年4月湖北长江蔚clife服务费暂估</v>
      </c>
    </row>
    <row r="609" spans="2:85" s="447" customFormat="1" ht="17.25" customHeight="1">
      <c r="B609" s="447" t="str">
        <f t="shared" si="366"/>
        <v>CU1155</v>
      </c>
      <c r="C609" s="431" t="s">
        <v>755</v>
      </c>
      <c r="D609" s="488" t="s">
        <v>1698</v>
      </c>
      <c r="E609" s="463" t="s">
        <v>1681</v>
      </c>
      <c r="F609" s="439">
        <v>43922</v>
      </c>
      <c r="G609" s="430">
        <v>1433.07</v>
      </c>
      <c r="H609" s="440"/>
      <c r="I609" s="440"/>
      <c r="J609" s="440"/>
      <c r="L609" s="462"/>
      <c r="M609" s="462"/>
      <c r="N609" s="444"/>
      <c r="O609" s="462"/>
      <c r="R609" s="462"/>
      <c r="U609" s="462"/>
      <c r="X609" s="462"/>
      <c r="AA609" s="462"/>
      <c r="AD609" s="462"/>
      <c r="AG609" s="462"/>
      <c r="AJ609" s="462"/>
      <c r="AM609" s="462"/>
      <c r="AP609" s="462"/>
      <c r="AS609" s="430">
        <v>1433.07</v>
      </c>
      <c r="AV609" s="462">
        <f t="shared" si="390"/>
        <v>1433.07</v>
      </c>
      <c r="AY609" s="462">
        <f t="shared" si="391"/>
        <v>1433.07</v>
      </c>
      <c r="BB609" s="462">
        <f t="shared" si="392"/>
        <v>1433.07</v>
      </c>
      <c r="BC609" s="447" t="s">
        <v>2219</v>
      </c>
      <c r="BE609" s="462">
        <f t="shared" si="367"/>
        <v>1433.07</v>
      </c>
      <c r="BF609" s="447" t="s">
        <v>2241</v>
      </c>
      <c r="BH609" s="462">
        <f t="shared" si="368"/>
        <v>1433.07</v>
      </c>
      <c r="BI609" s="447" t="s">
        <v>2296</v>
      </c>
      <c r="BK609" s="462">
        <f t="shared" si="369"/>
        <v>1433.07</v>
      </c>
      <c r="BL609" s="447" t="s">
        <v>2341</v>
      </c>
      <c r="BN609" s="462">
        <f t="shared" si="370"/>
        <v>1433.07</v>
      </c>
      <c r="BO609" s="447" t="s">
        <v>2364</v>
      </c>
      <c r="BQ609" s="462">
        <f t="shared" si="371"/>
        <v>1433.07</v>
      </c>
      <c r="BT609" s="462">
        <f t="shared" si="372"/>
        <v>1433.07</v>
      </c>
      <c r="BU609" s="447" t="s">
        <v>2134</v>
      </c>
      <c r="BW609" s="462">
        <f t="shared" si="373"/>
        <v>1433.07</v>
      </c>
      <c r="BZ609" s="462">
        <f t="shared" si="374"/>
        <v>1433.07</v>
      </c>
      <c r="CD609" s="418" t="str">
        <f t="shared" si="375"/>
        <v>CU1155001</v>
      </c>
      <c r="CE609" s="442" t="str">
        <f t="shared" si="376"/>
        <v>2020年4月</v>
      </c>
      <c r="CF609" s="418" t="str">
        <f t="shared" si="377"/>
        <v>艾蒙斯特朗clife服务费暂估</v>
      </c>
      <c r="CG609" s="418" t="str">
        <f t="shared" si="378"/>
        <v>2020年4月艾蒙斯特朗clife服务费暂估</v>
      </c>
    </row>
    <row r="610" spans="2:85" s="447" customFormat="1" ht="17.25" customHeight="1">
      <c r="B610" s="447" t="str">
        <f t="shared" si="366"/>
        <v>CU1159</v>
      </c>
      <c r="C610" s="431" t="s">
        <v>755</v>
      </c>
      <c r="D610" s="488" t="s">
        <v>1722</v>
      </c>
      <c r="E610" s="463" t="s">
        <v>1837</v>
      </c>
      <c r="F610" s="439">
        <v>43922</v>
      </c>
      <c r="G610" s="430">
        <v>102185.93</v>
      </c>
      <c r="H610" s="440"/>
      <c r="I610" s="440"/>
      <c r="J610" s="440"/>
      <c r="L610" s="462"/>
      <c r="M610" s="462"/>
      <c r="N610" s="444"/>
      <c r="O610" s="462"/>
      <c r="R610" s="462"/>
      <c r="U610" s="462"/>
      <c r="X610" s="462"/>
      <c r="AA610" s="462"/>
      <c r="AD610" s="462"/>
      <c r="AG610" s="462"/>
      <c r="AJ610" s="462"/>
      <c r="AM610" s="462"/>
      <c r="AP610" s="462"/>
      <c r="AS610" s="430">
        <v>102185.93</v>
      </c>
      <c r="AV610" s="462">
        <f t="shared" si="390"/>
        <v>102185.93</v>
      </c>
      <c r="AY610" s="462">
        <f t="shared" si="391"/>
        <v>102185.93</v>
      </c>
      <c r="BB610" s="462">
        <f t="shared" si="392"/>
        <v>102185.93</v>
      </c>
      <c r="BC610" s="447" t="s">
        <v>2219</v>
      </c>
      <c r="BD610" s="462">
        <f>372610.68-BD573-BD544-BD374</f>
        <v>43979.869999999995</v>
      </c>
      <c r="BE610" s="462">
        <f t="shared" si="367"/>
        <v>58206.06</v>
      </c>
      <c r="BF610" s="447" t="s">
        <v>2241</v>
      </c>
      <c r="BH610" s="462">
        <f t="shared" si="368"/>
        <v>58206.06</v>
      </c>
      <c r="BI610" s="447" t="s">
        <v>2296</v>
      </c>
      <c r="BK610" s="462">
        <f t="shared" si="369"/>
        <v>58206.06</v>
      </c>
      <c r="BL610" s="447" t="s">
        <v>2341</v>
      </c>
      <c r="BN610" s="462">
        <f t="shared" si="370"/>
        <v>58206.06</v>
      </c>
      <c r="BO610" s="447" t="s">
        <v>2364</v>
      </c>
      <c r="BQ610" s="462">
        <f t="shared" si="371"/>
        <v>58206.06</v>
      </c>
      <c r="BT610" s="462">
        <f t="shared" si="372"/>
        <v>58206.06</v>
      </c>
      <c r="BU610" s="447" t="s">
        <v>2134</v>
      </c>
      <c r="BW610" s="462">
        <f t="shared" si="373"/>
        <v>58206.06</v>
      </c>
      <c r="BZ610" s="462">
        <f t="shared" si="374"/>
        <v>58206.06</v>
      </c>
      <c r="CD610" s="418" t="str">
        <f t="shared" si="375"/>
        <v>CU1159001</v>
      </c>
      <c r="CE610" s="442" t="str">
        <f t="shared" si="376"/>
        <v>2020年4月</v>
      </c>
      <c r="CF610" s="418" t="str">
        <f t="shared" si="377"/>
        <v>北京万国长clife服务费暂估</v>
      </c>
      <c r="CG610" s="418" t="str">
        <f t="shared" si="378"/>
        <v>2020年4月北京万国长clife服务费暂估</v>
      </c>
    </row>
    <row r="611" spans="2:85" s="447" customFormat="1" ht="17.25" customHeight="1">
      <c r="B611" s="447" t="str">
        <f t="shared" si="366"/>
        <v>CU1172</v>
      </c>
      <c r="C611" s="431" t="s">
        <v>755</v>
      </c>
      <c r="D611" s="488" t="s">
        <v>1841</v>
      </c>
      <c r="E611" s="463" t="s">
        <v>1831</v>
      </c>
      <c r="F611" s="439">
        <v>43922</v>
      </c>
      <c r="G611" s="430">
        <v>39927.370000000003</v>
      </c>
      <c r="H611" s="440"/>
      <c r="I611" s="440"/>
      <c r="J611" s="440"/>
      <c r="L611" s="462"/>
      <c r="M611" s="462"/>
      <c r="N611" s="444"/>
      <c r="O611" s="462"/>
      <c r="R611" s="462"/>
      <c r="U611" s="462"/>
      <c r="X611" s="462"/>
      <c r="AA611" s="462"/>
      <c r="AD611" s="462"/>
      <c r="AG611" s="462"/>
      <c r="AJ611" s="462"/>
      <c r="AM611" s="462"/>
      <c r="AP611" s="462"/>
      <c r="AS611" s="430">
        <v>39927.370000000003</v>
      </c>
      <c r="AV611" s="462">
        <f t="shared" si="390"/>
        <v>39927.370000000003</v>
      </c>
      <c r="AY611" s="462">
        <f t="shared" si="391"/>
        <v>39927.370000000003</v>
      </c>
      <c r="BB611" s="462">
        <f t="shared" si="392"/>
        <v>39927.370000000003</v>
      </c>
      <c r="BC611" s="447" t="s">
        <v>2219</v>
      </c>
      <c r="BD611" s="462">
        <f>5448+15834-BD375-BD477+27374+6165+114</f>
        <v>39728.410000000003</v>
      </c>
      <c r="BE611" s="462">
        <f t="shared" si="367"/>
        <v>198.95999999999913</v>
      </c>
      <c r="BF611" s="447" t="s">
        <v>2241</v>
      </c>
      <c r="BH611" s="462">
        <f t="shared" si="368"/>
        <v>198.95999999999913</v>
      </c>
      <c r="BI611" s="447" t="s">
        <v>2296</v>
      </c>
      <c r="BK611" s="462">
        <f t="shared" si="369"/>
        <v>198.95999999999913</v>
      </c>
      <c r="BL611" s="447" t="s">
        <v>2341</v>
      </c>
      <c r="BM611" s="462">
        <f>BK611</f>
        <v>198.95999999999913</v>
      </c>
      <c r="BN611" s="462">
        <f t="shared" si="370"/>
        <v>0</v>
      </c>
      <c r="BQ611" s="462">
        <f t="shared" si="371"/>
        <v>0</v>
      </c>
      <c r="BT611" s="462">
        <f t="shared" si="372"/>
        <v>0</v>
      </c>
      <c r="BW611" s="462">
        <f t="shared" si="373"/>
        <v>0</v>
      </c>
      <c r="BZ611" s="462">
        <f t="shared" si="374"/>
        <v>0</v>
      </c>
      <c r="CD611" s="418" t="str">
        <f t="shared" si="375"/>
        <v>CU1172001</v>
      </c>
      <c r="CE611" s="442" t="str">
        <f t="shared" si="376"/>
        <v>2020年4月</v>
      </c>
      <c r="CF611" s="418" t="str">
        <f t="shared" si="377"/>
        <v>之宝（中国clife服务费暂估</v>
      </c>
      <c r="CG611" s="418" t="str">
        <f t="shared" si="378"/>
        <v>2020年4月之宝（中国clife服务费暂估</v>
      </c>
    </row>
    <row r="612" spans="2:85" s="447" customFormat="1" ht="17.25" customHeight="1">
      <c r="B612" s="447" t="str">
        <f t="shared" si="366"/>
        <v>CU1198</v>
      </c>
      <c r="C612" s="431" t="s">
        <v>755</v>
      </c>
      <c r="D612" s="488" t="s">
        <v>1538</v>
      </c>
      <c r="E612" s="463" t="s">
        <v>1537</v>
      </c>
      <c r="F612" s="439">
        <v>43922</v>
      </c>
      <c r="G612" s="430">
        <v>95221.2399</v>
      </c>
      <c r="H612" s="440"/>
      <c r="I612" s="440"/>
      <c r="J612" s="440"/>
      <c r="L612" s="462"/>
      <c r="M612" s="462"/>
      <c r="N612" s="444"/>
      <c r="O612" s="462"/>
      <c r="R612" s="462"/>
      <c r="U612" s="462"/>
      <c r="X612" s="462"/>
      <c r="AA612" s="462"/>
      <c r="AD612" s="462"/>
      <c r="AG612" s="462"/>
      <c r="AJ612" s="462"/>
      <c r="AM612" s="462"/>
      <c r="AP612" s="462"/>
      <c r="AS612" s="430">
        <v>95221.2399</v>
      </c>
      <c r="AV612" s="462">
        <f t="shared" si="390"/>
        <v>95221.2399</v>
      </c>
      <c r="AY612" s="462">
        <f t="shared" si="391"/>
        <v>95221.2399</v>
      </c>
      <c r="BB612" s="462">
        <f t="shared" si="392"/>
        <v>95221.2399</v>
      </c>
      <c r="BC612" s="447" t="s">
        <v>2219</v>
      </c>
      <c r="BE612" s="462">
        <f t="shared" si="367"/>
        <v>95221.2399</v>
      </c>
      <c r="BF612" s="447" t="s">
        <v>2241</v>
      </c>
      <c r="BG612" s="447">
        <v>83104.88</v>
      </c>
      <c r="BH612" s="462">
        <f t="shared" si="368"/>
        <v>12116.359899999996</v>
      </c>
      <c r="BI612" s="447" t="s">
        <v>2296</v>
      </c>
      <c r="BJ612" s="462">
        <f>BH612</f>
        <v>12116.359899999996</v>
      </c>
      <c r="BK612" s="462">
        <f t="shared" si="369"/>
        <v>0</v>
      </c>
      <c r="BN612" s="462">
        <f t="shared" si="370"/>
        <v>0</v>
      </c>
      <c r="BQ612" s="462">
        <f t="shared" si="371"/>
        <v>0</v>
      </c>
      <c r="BT612" s="462">
        <f t="shared" si="372"/>
        <v>0</v>
      </c>
      <c r="BW612" s="462">
        <f t="shared" si="373"/>
        <v>0</v>
      </c>
      <c r="BZ612" s="462">
        <f t="shared" si="374"/>
        <v>0</v>
      </c>
      <c r="CD612" s="418" t="str">
        <f t="shared" si="375"/>
        <v>CU1198001</v>
      </c>
      <c r="CE612" s="442" t="str">
        <f t="shared" si="376"/>
        <v>2020年4月</v>
      </c>
      <c r="CF612" s="418" t="str">
        <f t="shared" si="377"/>
        <v>通用公正技clife服务费暂估</v>
      </c>
      <c r="CG612" s="418" t="str">
        <f t="shared" si="378"/>
        <v>2020年4月通用公正技clife服务费暂估</v>
      </c>
    </row>
    <row r="613" spans="2:85" s="447" customFormat="1" ht="17.25" customHeight="1">
      <c r="B613" s="447" t="str">
        <f t="shared" si="366"/>
        <v>CU1204</v>
      </c>
      <c r="C613" s="431" t="s">
        <v>755</v>
      </c>
      <c r="D613" s="488" t="s">
        <v>1656</v>
      </c>
      <c r="E613" s="463" t="s">
        <v>1582</v>
      </c>
      <c r="F613" s="439">
        <v>43922</v>
      </c>
      <c r="G613" s="430">
        <v>93159</v>
      </c>
      <c r="H613" s="440"/>
      <c r="I613" s="440"/>
      <c r="J613" s="440"/>
      <c r="L613" s="462"/>
      <c r="M613" s="462"/>
      <c r="N613" s="444"/>
      <c r="O613" s="462"/>
      <c r="R613" s="462"/>
      <c r="U613" s="462"/>
      <c r="X613" s="462"/>
      <c r="AA613" s="462"/>
      <c r="AD613" s="462"/>
      <c r="AG613" s="462"/>
      <c r="AJ613" s="462"/>
      <c r="AM613" s="462"/>
      <c r="AP613" s="462"/>
      <c r="AS613" s="430">
        <v>93159</v>
      </c>
      <c r="AV613" s="462">
        <f t="shared" si="390"/>
        <v>93159</v>
      </c>
      <c r="AY613" s="462">
        <f t="shared" si="391"/>
        <v>93159</v>
      </c>
      <c r="BB613" s="462">
        <f t="shared" si="392"/>
        <v>93159</v>
      </c>
      <c r="BC613" s="447" t="s">
        <v>2219</v>
      </c>
      <c r="BE613" s="462">
        <f t="shared" si="367"/>
        <v>93159</v>
      </c>
      <c r="BF613" s="447" t="s">
        <v>2241</v>
      </c>
      <c r="BH613" s="462">
        <f t="shared" si="368"/>
        <v>93159</v>
      </c>
      <c r="BI613" s="447" t="s">
        <v>2296</v>
      </c>
      <c r="BK613" s="462">
        <f t="shared" si="369"/>
        <v>93159</v>
      </c>
      <c r="BL613" s="447" t="s">
        <v>2341</v>
      </c>
      <c r="BM613" s="462">
        <f>BK613</f>
        <v>93159</v>
      </c>
      <c r="BN613" s="462">
        <f t="shared" si="370"/>
        <v>0</v>
      </c>
      <c r="BQ613" s="462">
        <f t="shared" si="371"/>
        <v>0</v>
      </c>
      <c r="BT613" s="462">
        <f t="shared" si="372"/>
        <v>0</v>
      </c>
      <c r="BW613" s="462">
        <f t="shared" si="373"/>
        <v>0</v>
      </c>
      <c r="BZ613" s="462">
        <f t="shared" si="374"/>
        <v>0</v>
      </c>
      <c r="CD613" s="418" t="str">
        <f t="shared" si="375"/>
        <v>CU1204001</v>
      </c>
      <c r="CE613" s="442" t="str">
        <f t="shared" si="376"/>
        <v>2020年4月</v>
      </c>
      <c r="CF613" s="418" t="str">
        <f t="shared" si="377"/>
        <v>固特异轮胎clife服务费暂估</v>
      </c>
      <c r="CG613" s="418" t="str">
        <f t="shared" si="378"/>
        <v>2020年4月固特异轮胎clife服务费暂估</v>
      </c>
    </row>
    <row r="614" spans="2:85" s="447" customFormat="1" ht="17.25" customHeight="1">
      <c r="B614" s="447" t="str">
        <f t="shared" si="366"/>
        <v>CU1223</v>
      </c>
      <c r="C614" s="431" t="s">
        <v>755</v>
      </c>
      <c r="D614" s="488" t="s">
        <v>1842</v>
      </c>
      <c r="E614" s="463" t="s">
        <v>1838</v>
      </c>
      <c r="F614" s="439">
        <v>43922</v>
      </c>
      <c r="G614" s="430">
        <v>9521.74</v>
      </c>
      <c r="H614" s="440"/>
      <c r="I614" s="440"/>
      <c r="J614" s="440"/>
      <c r="L614" s="462"/>
      <c r="M614" s="462"/>
      <c r="N614" s="444"/>
      <c r="O614" s="462"/>
      <c r="R614" s="462"/>
      <c r="U614" s="462"/>
      <c r="X614" s="462"/>
      <c r="AA614" s="462"/>
      <c r="AD614" s="462"/>
      <c r="AG614" s="462"/>
      <c r="AJ614" s="462"/>
      <c r="AM614" s="462"/>
      <c r="AP614" s="462"/>
      <c r="AS614" s="430">
        <v>9521.74</v>
      </c>
      <c r="AV614" s="462">
        <f t="shared" si="390"/>
        <v>9521.74</v>
      </c>
      <c r="AY614" s="462">
        <f t="shared" si="391"/>
        <v>9521.74</v>
      </c>
      <c r="BB614" s="462">
        <f t="shared" si="392"/>
        <v>9521.74</v>
      </c>
      <c r="BC614" s="447" t="s">
        <v>2219</v>
      </c>
      <c r="BE614" s="462">
        <f t="shared" si="367"/>
        <v>9521.74</v>
      </c>
      <c r="BF614" s="447" t="s">
        <v>2241</v>
      </c>
      <c r="BH614" s="462">
        <f t="shared" si="368"/>
        <v>9521.74</v>
      </c>
      <c r="BI614" s="447" t="s">
        <v>2296</v>
      </c>
      <c r="BJ614" s="462">
        <f>BH614</f>
        <v>9521.74</v>
      </c>
      <c r="BK614" s="462">
        <f t="shared" si="369"/>
        <v>0</v>
      </c>
      <c r="BN614" s="462">
        <f t="shared" si="370"/>
        <v>0</v>
      </c>
      <c r="BQ614" s="462">
        <f t="shared" si="371"/>
        <v>0</v>
      </c>
      <c r="BT614" s="462">
        <f t="shared" si="372"/>
        <v>0</v>
      </c>
      <c r="BW614" s="462">
        <f t="shared" si="373"/>
        <v>0</v>
      </c>
      <c r="BZ614" s="462">
        <f t="shared" si="374"/>
        <v>0</v>
      </c>
      <c r="CD614" s="418" t="str">
        <f t="shared" si="375"/>
        <v>CU1223001</v>
      </c>
      <c r="CE614" s="442" t="str">
        <f t="shared" si="376"/>
        <v>2020年4月</v>
      </c>
      <c r="CF614" s="418" t="str">
        <f t="shared" si="377"/>
        <v>上海品盛化clife服务费暂估</v>
      </c>
      <c r="CG614" s="418" t="str">
        <f t="shared" si="378"/>
        <v>2020年4月上海品盛化clife服务费暂估</v>
      </c>
    </row>
    <row r="615" spans="2:85" s="447" customFormat="1" ht="17.25" customHeight="1">
      <c r="B615" s="447" t="str">
        <f t="shared" si="366"/>
        <v>CU1345</v>
      </c>
      <c r="C615" s="431" t="s">
        <v>755</v>
      </c>
      <c r="D615" s="488" t="s">
        <v>1843</v>
      </c>
      <c r="E615" s="463" t="s">
        <v>1839</v>
      </c>
      <c r="F615" s="439">
        <v>43922</v>
      </c>
      <c r="G615" s="430">
        <v>109275.01</v>
      </c>
      <c r="H615" s="440"/>
      <c r="I615" s="440"/>
      <c r="J615" s="440"/>
      <c r="L615" s="462"/>
      <c r="M615" s="462"/>
      <c r="N615" s="444"/>
      <c r="O615" s="462"/>
      <c r="R615" s="462"/>
      <c r="U615" s="462"/>
      <c r="X615" s="462"/>
      <c r="AA615" s="462"/>
      <c r="AD615" s="462"/>
      <c r="AG615" s="462"/>
      <c r="AJ615" s="462"/>
      <c r="AM615" s="462"/>
      <c r="AP615" s="462"/>
      <c r="AS615" s="430">
        <v>109275.01</v>
      </c>
      <c r="AV615" s="462">
        <f t="shared" si="390"/>
        <v>109275.01</v>
      </c>
      <c r="AY615" s="462">
        <f t="shared" si="391"/>
        <v>109275.01</v>
      </c>
      <c r="BB615" s="462">
        <f t="shared" si="392"/>
        <v>109275.01</v>
      </c>
      <c r="BC615" s="447" t="s">
        <v>2219</v>
      </c>
      <c r="BE615" s="462">
        <f t="shared" si="367"/>
        <v>109275.01</v>
      </c>
      <c r="BF615" s="447" t="s">
        <v>2241</v>
      </c>
      <c r="BG615" s="462">
        <f>ROUND((10950+65128.72)/1.06,2)-BG506-BG578</f>
        <v>10561.719999999987</v>
      </c>
      <c r="BH615" s="462">
        <f t="shared" si="368"/>
        <v>98713.290000000008</v>
      </c>
      <c r="BI615" s="447" t="s">
        <v>2296</v>
      </c>
      <c r="BK615" s="462">
        <f t="shared" si="369"/>
        <v>98713.290000000008</v>
      </c>
      <c r="BL615" s="447" t="s">
        <v>2341</v>
      </c>
      <c r="BM615" s="462">
        <f>BK615</f>
        <v>98713.290000000008</v>
      </c>
      <c r="BN615" s="462">
        <f t="shared" si="370"/>
        <v>0</v>
      </c>
      <c r="BQ615" s="462">
        <f t="shared" si="371"/>
        <v>0</v>
      </c>
      <c r="BT615" s="462">
        <f t="shared" si="372"/>
        <v>0</v>
      </c>
      <c r="BW615" s="462">
        <f t="shared" si="373"/>
        <v>0</v>
      </c>
      <c r="BZ615" s="462">
        <f t="shared" si="374"/>
        <v>0</v>
      </c>
      <c r="CD615" s="418" t="str">
        <f t="shared" si="375"/>
        <v>CU1345001</v>
      </c>
      <c r="CE615" s="442" t="str">
        <f t="shared" si="376"/>
        <v>2020年4月</v>
      </c>
      <c r="CF615" s="418" t="str">
        <f t="shared" si="377"/>
        <v>上海创米科clife服务费暂估</v>
      </c>
      <c r="CG615" s="418" t="str">
        <f t="shared" si="378"/>
        <v>2020年4月上海创米科clife服务费暂估</v>
      </c>
    </row>
    <row r="616" spans="2:85" s="447" customFormat="1" ht="17.25" customHeight="1">
      <c r="B616" s="447" t="str">
        <f t="shared" si="366"/>
        <v>CU1354</v>
      </c>
      <c r="C616" s="431" t="s">
        <v>755</v>
      </c>
      <c r="D616" s="488" t="s">
        <v>1723</v>
      </c>
      <c r="E616" s="463" t="s">
        <v>1840</v>
      </c>
      <c r="F616" s="439">
        <v>43922</v>
      </c>
      <c r="G616" s="430">
        <v>13502.29</v>
      </c>
      <c r="H616" s="440"/>
      <c r="I616" s="440"/>
      <c r="J616" s="440"/>
      <c r="L616" s="462"/>
      <c r="M616" s="462"/>
      <c r="N616" s="444"/>
      <c r="O616" s="462"/>
      <c r="R616" s="462"/>
      <c r="U616" s="462"/>
      <c r="X616" s="462"/>
      <c r="AA616" s="462"/>
      <c r="AD616" s="462"/>
      <c r="AG616" s="462"/>
      <c r="AJ616" s="462"/>
      <c r="AM616" s="462"/>
      <c r="AP616" s="462"/>
      <c r="AS616" s="430">
        <v>13502.29</v>
      </c>
      <c r="AV616" s="462">
        <f t="shared" si="390"/>
        <v>13502.29</v>
      </c>
      <c r="AY616" s="462">
        <f t="shared" si="391"/>
        <v>13502.29</v>
      </c>
      <c r="BB616" s="462">
        <f t="shared" si="392"/>
        <v>13502.29</v>
      </c>
      <c r="BC616" s="447" t="s">
        <v>2219</v>
      </c>
      <c r="BE616" s="462">
        <f t="shared" si="367"/>
        <v>13502.29</v>
      </c>
      <c r="BF616" s="447" t="s">
        <v>2241</v>
      </c>
      <c r="BH616" s="462">
        <f t="shared" si="368"/>
        <v>13502.29</v>
      </c>
      <c r="BI616" s="447" t="s">
        <v>2296</v>
      </c>
      <c r="BK616" s="462">
        <f t="shared" si="369"/>
        <v>13502.29</v>
      </c>
      <c r="BL616" s="447" t="s">
        <v>2341</v>
      </c>
      <c r="BN616" s="462">
        <f t="shared" si="370"/>
        <v>13502.29</v>
      </c>
      <c r="BO616" s="447" t="s">
        <v>2364</v>
      </c>
      <c r="BP616" s="462">
        <f>BN616</f>
        <v>13502.29</v>
      </c>
      <c r="BQ616" s="462">
        <f t="shared" si="371"/>
        <v>0</v>
      </c>
      <c r="BT616" s="462">
        <f t="shared" si="372"/>
        <v>0</v>
      </c>
      <c r="BW616" s="462">
        <f t="shared" si="373"/>
        <v>0</v>
      </c>
      <c r="BZ616" s="462">
        <f t="shared" si="374"/>
        <v>0</v>
      </c>
      <c r="CD616" s="418" t="str">
        <f t="shared" si="375"/>
        <v>CU1354001</v>
      </c>
      <c r="CE616" s="442" t="str">
        <f t="shared" si="376"/>
        <v>2020年4月</v>
      </c>
      <c r="CF616" s="418" t="str">
        <f t="shared" si="377"/>
        <v>威内源企业clife服务费暂估</v>
      </c>
      <c r="CG616" s="418" t="str">
        <f t="shared" si="378"/>
        <v>2020年4月威内源企业clife服务费暂估</v>
      </c>
    </row>
    <row r="617" spans="2:85" s="447" customFormat="1" ht="17.25" customHeight="1">
      <c r="B617" s="447" t="str">
        <f t="shared" si="366"/>
        <v>CU1430</v>
      </c>
      <c r="C617" s="431" t="s">
        <v>755</v>
      </c>
      <c r="D617" s="488" t="s">
        <v>1847</v>
      </c>
      <c r="E617" s="463" t="s">
        <v>1844</v>
      </c>
      <c r="F617" s="439">
        <v>43922</v>
      </c>
      <c r="G617" s="430">
        <v>9843.31</v>
      </c>
      <c r="H617" s="440"/>
      <c r="I617" s="440"/>
      <c r="J617" s="440"/>
      <c r="L617" s="462"/>
      <c r="M617" s="462"/>
      <c r="N617" s="444"/>
      <c r="O617" s="462"/>
      <c r="R617" s="462"/>
      <c r="U617" s="462"/>
      <c r="X617" s="462"/>
      <c r="AA617" s="462"/>
      <c r="AD617" s="462"/>
      <c r="AG617" s="462"/>
      <c r="AJ617" s="462"/>
      <c r="AM617" s="462"/>
      <c r="AP617" s="462"/>
      <c r="AS617" s="430">
        <v>9843.31</v>
      </c>
      <c r="AV617" s="462">
        <f t="shared" si="390"/>
        <v>9843.31</v>
      </c>
      <c r="AY617" s="462">
        <f t="shared" si="391"/>
        <v>9843.31</v>
      </c>
      <c r="BB617" s="462">
        <f t="shared" si="392"/>
        <v>9843.31</v>
      </c>
      <c r="BC617" s="447" t="s">
        <v>2219</v>
      </c>
      <c r="BE617" s="462">
        <f t="shared" si="367"/>
        <v>9843.31</v>
      </c>
      <c r="BF617" s="447" t="s">
        <v>2241</v>
      </c>
      <c r="BH617" s="462">
        <f t="shared" si="368"/>
        <v>9843.31</v>
      </c>
      <c r="BI617" s="447" t="s">
        <v>2296</v>
      </c>
      <c r="BK617" s="462">
        <f t="shared" si="369"/>
        <v>9843.31</v>
      </c>
      <c r="BL617" s="447" t="s">
        <v>2341</v>
      </c>
      <c r="BN617" s="462">
        <f t="shared" si="370"/>
        <v>9843.31</v>
      </c>
      <c r="BO617" s="447" t="s">
        <v>2364</v>
      </c>
      <c r="BQ617" s="462">
        <f t="shared" si="371"/>
        <v>9843.31</v>
      </c>
      <c r="BT617" s="462">
        <f t="shared" si="372"/>
        <v>9843.31</v>
      </c>
      <c r="BU617" s="447" t="s">
        <v>2134</v>
      </c>
      <c r="BV617" s="462"/>
      <c r="BW617" s="462">
        <f t="shared" si="373"/>
        <v>9843.31</v>
      </c>
      <c r="BZ617" s="462">
        <f t="shared" si="374"/>
        <v>9843.31</v>
      </c>
      <c r="CD617" s="418" t="str">
        <f t="shared" si="375"/>
        <v>CU1430001</v>
      </c>
      <c r="CE617" s="442" t="str">
        <f t="shared" si="376"/>
        <v>2020年4月</v>
      </c>
      <c r="CF617" s="418" t="str">
        <f t="shared" si="377"/>
        <v>连云港锐巴clife服务费暂估</v>
      </c>
      <c r="CG617" s="418" t="str">
        <f t="shared" si="378"/>
        <v>2020年4月连云港锐巴clife服务费暂估</v>
      </c>
    </row>
    <row r="618" spans="2:85" s="447" customFormat="1" ht="17.25" customHeight="1">
      <c r="B618" s="447" t="str">
        <f t="shared" si="366"/>
        <v>CU1705</v>
      </c>
      <c r="C618" s="431" t="s">
        <v>755</v>
      </c>
      <c r="D618" s="488" t="s">
        <v>1848</v>
      </c>
      <c r="E618" s="463" t="s">
        <v>1845</v>
      </c>
      <c r="F618" s="439">
        <v>43922</v>
      </c>
      <c r="G618" s="430">
        <v>128365.17</v>
      </c>
      <c r="H618" s="440"/>
      <c r="I618" s="440"/>
      <c r="J618" s="440"/>
      <c r="L618" s="462"/>
      <c r="M618" s="462"/>
      <c r="N618" s="444"/>
      <c r="O618" s="462"/>
      <c r="R618" s="462"/>
      <c r="U618" s="462"/>
      <c r="X618" s="462"/>
      <c r="AA618" s="462"/>
      <c r="AD618" s="462"/>
      <c r="AG618" s="462"/>
      <c r="AJ618" s="462"/>
      <c r="AM618" s="462"/>
      <c r="AP618" s="462"/>
      <c r="AS618" s="430">
        <v>128365.17</v>
      </c>
      <c r="AV618" s="462">
        <f t="shared" si="390"/>
        <v>128365.17</v>
      </c>
      <c r="AY618" s="462">
        <f t="shared" si="391"/>
        <v>128365.17</v>
      </c>
      <c r="BB618" s="462">
        <f t="shared" si="392"/>
        <v>128365.17</v>
      </c>
      <c r="BC618" s="447" t="s">
        <v>2219</v>
      </c>
      <c r="BD618" s="462">
        <f>190114.51-BD579-BD546</f>
        <v>124156.18000000002</v>
      </c>
      <c r="BE618" s="462">
        <f t="shared" si="367"/>
        <v>4208.9899999999761</v>
      </c>
      <c r="BF618" s="447" t="s">
        <v>2241</v>
      </c>
      <c r="BG618" s="462">
        <f>BE618</f>
        <v>4208.9899999999761</v>
      </c>
      <c r="BH618" s="462">
        <f t="shared" si="368"/>
        <v>0</v>
      </c>
      <c r="BK618" s="462">
        <f t="shared" si="369"/>
        <v>0</v>
      </c>
      <c r="BN618" s="462">
        <f t="shared" si="370"/>
        <v>0</v>
      </c>
      <c r="BQ618" s="462">
        <f t="shared" si="371"/>
        <v>0</v>
      </c>
      <c r="BT618" s="462">
        <f t="shared" si="372"/>
        <v>0</v>
      </c>
      <c r="BW618" s="462">
        <f t="shared" si="373"/>
        <v>0</v>
      </c>
      <c r="BZ618" s="462">
        <f t="shared" si="374"/>
        <v>0</v>
      </c>
      <c r="CD618" s="418" t="str">
        <f t="shared" si="375"/>
        <v>CU1705001</v>
      </c>
      <c r="CE618" s="442" t="str">
        <f t="shared" si="376"/>
        <v>2020年4月</v>
      </c>
      <c r="CF618" s="418" t="str">
        <f t="shared" si="377"/>
        <v>通标标准技clife服务费暂估</v>
      </c>
      <c r="CG618" s="418" t="str">
        <f t="shared" si="378"/>
        <v>2020年4月通标标准技clife服务费暂估</v>
      </c>
    </row>
    <row r="619" spans="2:85" s="447" customFormat="1" ht="17.25" customHeight="1">
      <c r="B619" s="447" t="str">
        <f t="shared" si="366"/>
        <v>CU1718</v>
      </c>
      <c r="C619" s="431" t="s">
        <v>755</v>
      </c>
      <c r="D619" s="488" t="s">
        <v>1849</v>
      </c>
      <c r="E619" s="463" t="s">
        <v>1984</v>
      </c>
      <c r="F619" s="439">
        <v>43922</v>
      </c>
      <c r="G619" s="430">
        <v>1900</v>
      </c>
      <c r="H619" s="440"/>
      <c r="I619" s="440"/>
      <c r="J619" s="440"/>
      <c r="L619" s="462"/>
      <c r="M619" s="462"/>
      <c r="N619" s="444"/>
      <c r="O619" s="462"/>
      <c r="R619" s="462"/>
      <c r="U619" s="462"/>
      <c r="X619" s="462"/>
      <c r="AA619" s="462"/>
      <c r="AD619" s="462"/>
      <c r="AG619" s="462"/>
      <c r="AJ619" s="462"/>
      <c r="AM619" s="462"/>
      <c r="AP619" s="462"/>
      <c r="AS619" s="430">
        <v>1900</v>
      </c>
      <c r="AV619" s="462">
        <f t="shared" si="390"/>
        <v>1900</v>
      </c>
      <c r="AY619" s="462">
        <f t="shared" si="391"/>
        <v>1900</v>
      </c>
      <c r="BB619" s="462">
        <f t="shared" si="392"/>
        <v>1900</v>
      </c>
      <c r="BC619" s="447" t="s">
        <v>2219</v>
      </c>
      <c r="BE619" s="462">
        <f t="shared" si="367"/>
        <v>1900</v>
      </c>
      <c r="BF619" s="447" t="s">
        <v>2241</v>
      </c>
      <c r="BH619" s="462">
        <f t="shared" si="368"/>
        <v>1900</v>
      </c>
      <c r="BI619" s="447" t="s">
        <v>2296</v>
      </c>
      <c r="BK619" s="462">
        <f t="shared" si="369"/>
        <v>1900</v>
      </c>
      <c r="BL619" s="447" t="s">
        <v>2341</v>
      </c>
      <c r="BM619" s="462">
        <f>BK619</f>
        <v>1900</v>
      </c>
      <c r="BN619" s="462">
        <f t="shared" si="370"/>
        <v>0</v>
      </c>
      <c r="BQ619" s="462">
        <f t="shared" si="371"/>
        <v>0</v>
      </c>
      <c r="BT619" s="462">
        <f t="shared" si="372"/>
        <v>0</v>
      </c>
      <c r="BW619" s="462">
        <f t="shared" si="373"/>
        <v>0</v>
      </c>
      <c r="BZ619" s="462">
        <f t="shared" si="374"/>
        <v>0</v>
      </c>
      <c r="CD619" s="418" t="str">
        <f t="shared" si="375"/>
        <v>CU1718001</v>
      </c>
      <c r="CE619" s="442" t="str">
        <f t="shared" si="376"/>
        <v>2020年4月</v>
      </c>
      <c r="CF619" s="418" t="str">
        <f t="shared" si="377"/>
        <v>Worldclife服务费暂估</v>
      </c>
      <c r="CG619" s="418" t="str">
        <f t="shared" si="378"/>
        <v>2020年4月Worldclife服务费暂估</v>
      </c>
    </row>
    <row r="620" spans="2:85" s="447" customFormat="1" ht="17.25" customHeight="1">
      <c r="B620" s="447" t="str">
        <f t="shared" si="366"/>
        <v>CU1745</v>
      </c>
      <c r="C620" s="431" t="s">
        <v>755</v>
      </c>
      <c r="D620" s="488" t="s">
        <v>1875</v>
      </c>
      <c r="E620" s="490" t="s">
        <v>2211</v>
      </c>
      <c r="F620" s="439">
        <v>43922</v>
      </c>
      <c r="G620" s="430">
        <v>1013.84</v>
      </c>
      <c r="H620" s="440"/>
      <c r="I620" s="440"/>
      <c r="J620" s="440"/>
      <c r="L620" s="462"/>
      <c r="M620" s="462"/>
      <c r="N620" s="444"/>
      <c r="O620" s="462"/>
      <c r="R620" s="462"/>
      <c r="U620" s="462"/>
      <c r="X620" s="462"/>
      <c r="AA620" s="462"/>
      <c r="AD620" s="462"/>
      <c r="AG620" s="462"/>
      <c r="AJ620" s="462"/>
      <c r="AM620" s="462"/>
      <c r="AP620" s="462"/>
      <c r="AS620" s="430">
        <v>1013.84</v>
      </c>
      <c r="AV620" s="462">
        <f t="shared" si="390"/>
        <v>1013.84</v>
      </c>
      <c r="AY620" s="462">
        <f t="shared" si="391"/>
        <v>1013.84</v>
      </c>
      <c r="BB620" s="462">
        <f t="shared" si="392"/>
        <v>1013.84</v>
      </c>
      <c r="BC620" s="447" t="s">
        <v>2219</v>
      </c>
      <c r="BD620" s="462">
        <f>ROUND(2482/1.06,2)-BD415</f>
        <v>877.31000000000017</v>
      </c>
      <c r="BE620" s="462">
        <f t="shared" si="367"/>
        <v>136.52999999999986</v>
      </c>
      <c r="BF620" s="447" t="s">
        <v>2241</v>
      </c>
      <c r="BH620" s="462">
        <f t="shared" si="368"/>
        <v>136.52999999999986</v>
      </c>
      <c r="BI620" s="447" t="s">
        <v>2296</v>
      </c>
      <c r="BK620" s="462">
        <f t="shared" si="369"/>
        <v>136.52999999999986</v>
      </c>
      <c r="BL620" s="447" t="s">
        <v>2341</v>
      </c>
      <c r="BN620" s="462">
        <f t="shared" si="370"/>
        <v>136.52999999999986</v>
      </c>
      <c r="BO620" s="447" t="s">
        <v>2364</v>
      </c>
      <c r="BQ620" s="462">
        <f t="shared" si="371"/>
        <v>136.53</v>
      </c>
      <c r="BT620" s="462">
        <f t="shared" si="372"/>
        <v>136.53</v>
      </c>
      <c r="BU620" s="447" t="s">
        <v>2134</v>
      </c>
      <c r="BW620" s="462">
        <f t="shared" si="373"/>
        <v>136.53</v>
      </c>
      <c r="BZ620" s="462">
        <f t="shared" si="374"/>
        <v>136.53</v>
      </c>
      <c r="CD620" s="418" t="str">
        <f t="shared" si="375"/>
        <v>CU1745001</v>
      </c>
      <c r="CE620" s="442" t="str">
        <f t="shared" si="376"/>
        <v>2020年4月</v>
      </c>
      <c r="CF620" s="418" t="str">
        <f t="shared" si="377"/>
        <v>格林机床（clife服务费暂估</v>
      </c>
      <c r="CG620" s="418" t="str">
        <f t="shared" si="378"/>
        <v>2020年4月格林机床（clife服务费暂估</v>
      </c>
    </row>
    <row r="621" spans="2:85" s="447" customFormat="1" ht="17.25" customHeight="1">
      <c r="B621" s="447" t="str">
        <f t="shared" si="366"/>
        <v>CU1809</v>
      </c>
      <c r="C621" s="431" t="s">
        <v>755</v>
      </c>
      <c r="D621" s="488" t="s">
        <v>2196</v>
      </c>
      <c r="E621" s="463" t="s">
        <v>2212</v>
      </c>
      <c r="F621" s="439">
        <v>43922</v>
      </c>
      <c r="G621" s="430">
        <v>16968.240000000002</v>
      </c>
      <c r="H621" s="440"/>
      <c r="I621" s="440"/>
      <c r="J621" s="440"/>
      <c r="L621" s="462"/>
      <c r="M621" s="462"/>
      <c r="N621" s="444"/>
      <c r="O621" s="462"/>
      <c r="R621" s="462"/>
      <c r="U621" s="462"/>
      <c r="X621" s="462"/>
      <c r="AA621" s="462"/>
      <c r="AD621" s="462"/>
      <c r="AG621" s="462"/>
      <c r="AJ621" s="462"/>
      <c r="AM621" s="462"/>
      <c r="AP621" s="462"/>
      <c r="AS621" s="430">
        <v>16968.240000000002</v>
      </c>
      <c r="AV621" s="462">
        <f t="shared" si="390"/>
        <v>16968.240000000002</v>
      </c>
      <c r="AY621" s="462">
        <f t="shared" si="391"/>
        <v>16968.240000000002</v>
      </c>
      <c r="BB621" s="462">
        <f t="shared" si="392"/>
        <v>16968.240000000002</v>
      </c>
      <c r="BC621" s="447" t="s">
        <v>2219</v>
      </c>
      <c r="BE621" s="462">
        <f t="shared" si="367"/>
        <v>16968.240000000002</v>
      </c>
      <c r="BF621" s="447" t="s">
        <v>2241</v>
      </c>
      <c r="BH621" s="462">
        <f t="shared" si="368"/>
        <v>16968.240000000002</v>
      </c>
      <c r="BI621" s="447" t="s">
        <v>2296</v>
      </c>
      <c r="BK621" s="462">
        <f t="shared" si="369"/>
        <v>16968.240000000002</v>
      </c>
      <c r="BL621" s="447" t="s">
        <v>2341</v>
      </c>
      <c r="BN621" s="462">
        <f t="shared" si="370"/>
        <v>16968.240000000002</v>
      </c>
      <c r="BO621" s="447" t="s">
        <v>2364</v>
      </c>
      <c r="BQ621" s="462">
        <f t="shared" si="371"/>
        <v>16968.240000000002</v>
      </c>
      <c r="BS621" s="462"/>
      <c r="BT621" s="462">
        <f t="shared" si="372"/>
        <v>16968.240000000002</v>
      </c>
      <c r="BU621" s="447" t="s">
        <v>2134</v>
      </c>
      <c r="BV621" s="462">
        <f>BT621</f>
        <v>16968.240000000002</v>
      </c>
      <c r="BW621" s="462">
        <f t="shared" si="373"/>
        <v>0</v>
      </c>
      <c r="BZ621" s="462">
        <f t="shared" si="374"/>
        <v>0</v>
      </c>
      <c r="CD621" s="418" t="str">
        <f t="shared" si="375"/>
        <v>CU1809001</v>
      </c>
      <c r="CE621" s="442" t="str">
        <f t="shared" si="376"/>
        <v>2020年4月</v>
      </c>
      <c r="CF621" s="418" t="str">
        <f t="shared" si="377"/>
        <v>伟亚安医疗clife服务费暂估</v>
      </c>
      <c r="CG621" s="418" t="str">
        <f t="shared" si="378"/>
        <v>2020年4月伟亚安医疗clife服务费暂估</v>
      </c>
    </row>
    <row r="622" spans="2:85" s="447" customFormat="1" ht="17.25" customHeight="1">
      <c r="B622" s="447" t="str">
        <f t="shared" si="366"/>
        <v>CU1844</v>
      </c>
      <c r="C622" s="431" t="s">
        <v>755</v>
      </c>
      <c r="D622" s="488" t="s">
        <v>2209</v>
      </c>
      <c r="E622" s="463" t="s">
        <v>2213</v>
      </c>
      <c r="F622" s="439">
        <v>43922</v>
      </c>
      <c r="G622" s="430">
        <v>133020.72</v>
      </c>
      <c r="H622" s="440"/>
      <c r="I622" s="440"/>
      <c r="J622" s="440"/>
      <c r="L622" s="462"/>
      <c r="M622" s="462"/>
      <c r="N622" s="444"/>
      <c r="O622" s="462"/>
      <c r="R622" s="462"/>
      <c r="U622" s="462"/>
      <c r="X622" s="462"/>
      <c r="AA622" s="462"/>
      <c r="AD622" s="462"/>
      <c r="AG622" s="462"/>
      <c r="AJ622" s="462"/>
      <c r="AM622" s="462"/>
      <c r="AP622" s="462"/>
      <c r="AS622" s="430">
        <v>133020.72</v>
      </c>
      <c r="AV622" s="462">
        <f t="shared" si="390"/>
        <v>133020.72</v>
      </c>
      <c r="AY622" s="462">
        <f t="shared" si="391"/>
        <v>133020.72</v>
      </c>
      <c r="BB622" s="462">
        <f t="shared" si="392"/>
        <v>133020.72</v>
      </c>
      <c r="BC622" s="447" t="s">
        <v>2219</v>
      </c>
      <c r="BE622" s="462">
        <f t="shared" si="367"/>
        <v>133020.72</v>
      </c>
      <c r="BF622" s="447" t="s">
        <v>2241</v>
      </c>
      <c r="BG622" s="447">
        <f>133020.72</f>
        <v>133020.72</v>
      </c>
      <c r="BH622" s="462">
        <f t="shared" si="368"/>
        <v>0</v>
      </c>
      <c r="BK622" s="462">
        <f t="shared" si="369"/>
        <v>0</v>
      </c>
      <c r="BN622" s="462">
        <f t="shared" si="370"/>
        <v>0</v>
      </c>
      <c r="BQ622" s="462">
        <f t="shared" si="371"/>
        <v>0</v>
      </c>
      <c r="BT622" s="462">
        <f t="shared" si="372"/>
        <v>0</v>
      </c>
      <c r="BW622" s="462">
        <f t="shared" si="373"/>
        <v>0</v>
      </c>
      <c r="BZ622" s="462">
        <f t="shared" si="374"/>
        <v>0</v>
      </c>
      <c r="CD622" s="418" t="str">
        <f t="shared" si="375"/>
        <v>CU1844001</v>
      </c>
      <c r="CE622" s="442" t="str">
        <f t="shared" si="376"/>
        <v>2020年4月</v>
      </c>
      <c r="CF622" s="418" t="str">
        <f t="shared" si="377"/>
        <v>上海仙豆智clife服务费暂估</v>
      </c>
      <c r="CG622" s="418" t="str">
        <f t="shared" si="378"/>
        <v>2020年4月上海仙豆智clife服务费暂估</v>
      </c>
    </row>
    <row r="623" spans="2:85" s="447" customFormat="1" ht="17.25" customHeight="1">
      <c r="B623" s="447" t="str">
        <f t="shared" si="366"/>
        <v>CU1853</v>
      </c>
      <c r="C623" s="431" t="s">
        <v>755</v>
      </c>
      <c r="D623" s="490" t="s">
        <v>2096</v>
      </c>
      <c r="E623" s="463" t="s">
        <v>2100</v>
      </c>
      <c r="F623" s="439">
        <v>43922</v>
      </c>
      <c r="G623" s="430">
        <v>174367.19999999998</v>
      </c>
      <c r="H623" s="440"/>
      <c r="I623" s="440"/>
      <c r="J623" s="440"/>
      <c r="L623" s="462"/>
      <c r="M623" s="462"/>
      <c r="N623" s="444"/>
      <c r="O623" s="462"/>
      <c r="R623" s="462"/>
      <c r="U623" s="462"/>
      <c r="X623" s="462"/>
      <c r="AA623" s="462"/>
      <c r="AD623" s="462"/>
      <c r="AG623" s="462"/>
      <c r="AJ623" s="462"/>
      <c r="AM623" s="462"/>
      <c r="AP623" s="462"/>
      <c r="AS623" s="430">
        <v>174367.19999999998</v>
      </c>
      <c r="AV623" s="462">
        <f t="shared" si="390"/>
        <v>174367.19999999998</v>
      </c>
      <c r="AY623" s="462">
        <f t="shared" si="391"/>
        <v>174367.19999999998</v>
      </c>
      <c r="BB623" s="462">
        <f t="shared" si="392"/>
        <v>174367.19999999998</v>
      </c>
      <c r="BC623" s="447" t="s">
        <v>2219</v>
      </c>
      <c r="BE623" s="462">
        <f t="shared" si="367"/>
        <v>174367.19999999998</v>
      </c>
      <c r="BF623" s="447" t="s">
        <v>2241</v>
      </c>
      <c r="BH623" s="462">
        <f t="shared" si="368"/>
        <v>174367.19999999998</v>
      </c>
      <c r="BI623" s="447" t="s">
        <v>2296</v>
      </c>
      <c r="BK623" s="462">
        <f t="shared" si="369"/>
        <v>174367.19999999998</v>
      </c>
      <c r="BL623" s="447" t="s">
        <v>2341</v>
      </c>
      <c r="BN623" s="462">
        <f t="shared" si="370"/>
        <v>174367.19999999998</v>
      </c>
      <c r="BO623" s="447" t="s">
        <v>2364</v>
      </c>
      <c r="BQ623" s="462">
        <f t="shared" si="371"/>
        <v>174367.2</v>
      </c>
      <c r="BT623" s="462">
        <f t="shared" si="372"/>
        <v>174367.2</v>
      </c>
      <c r="BU623" s="447" t="s">
        <v>2134</v>
      </c>
      <c r="BW623" s="462">
        <f t="shared" si="373"/>
        <v>174367.2</v>
      </c>
      <c r="BZ623" s="462">
        <f t="shared" si="374"/>
        <v>174367.2</v>
      </c>
      <c r="CD623" s="418" t="str">
        <f t="shared" si="375"/>
        <v>CU1853001</v>
      </c>
      <c r="CE623" s="442" t="str">
        <f t="shared" si="376"/>
        <v>2020年4月</v>
      </c>
      <c r="CF623" s="418" t="str">
        <f t="shared" si="377"/>
        <v>北京易车互clife服务费暂估</v>
      </c>
      <c r="CG623" s="418" t="str">
        <f t="shared" si="378"/>
        <v>2020年4月北京易车互clife服务费暂估</v>
      </c>
    </row>
    <row r="624" spans="2:85" s="447" customFormat="1" ht="17.25" customHeight="1">
      <c r="B624" s="447" t="str">
        <f t="shared" si="366"/>
        <v>CU1874</v>
      </c>
      <c r="C624" s="431" t="s">
        <v>755</v>
      </c>
      <c r="D624" s="490" t="s">
        <v>2142</v>
      </c>
      <c r="E624" s="463" t="s">
        <v>2214</v>
      </c>
      <c r="F624" s="439">
        <v>43922</v>
      </c>
      <c r="G624" s="430">
        <v>121583.2</v>
      </c>
      <c r="H624" s="440"/>
      <c r="I624" s="440"/>
      <c r="J624" s="440"/>
      <c r="L624" s="462"/>
      <c r="M624" s="462"/>
      <c r="N624" s="444"/>
      <c r="O624" s="462"/>
      <c r="R624" s="462"/>
      <c r="U624" s="462"/>
      <c r="X624" s="462"/>
      <c r="AA624" s="462"/>
      <c r="AD624" s="462"/>
      <c r="AG624" s="462"/>
      <c r="AJ624" s="462"/>
      <c r="AM624" s="462"/>
      <c r="AP624" s="462"/>
      <c r="AS624" s="430">
        <v>121583.2</v>
      </c>
      <c r="AV624" s="462">
        <f t="shared" si="390"/>
        <v>121583.2</v>
      </c>
      <c r="AY624" s="462">
        <f t="shared" si="391"/>
        <v>121583.2</v>
      </c>
      <c r="BB624" s="462">
        <f t="shared" si="392"/>
        <v>121583.2</v>
      </c>
      <c r="BC624" s="447" t="s">
        <v>2219</v>
      </c>
      <c r="BE624" s="462">
        <f t="shared" si="367"/>
        <v>121583.2</v>
      </c>
      <c r="BF624" s="447" t="s">
        <v>2241</v>
      </c>
      <c r="BH624" s="462">
        <f t="shared" si="368"/>
        <v>121583.2</v>
      </c>
      <c r="BI624" s="447" t="s">
        <v>2296</v>
      </c>
      <c r="BJ624" s="462"/>
      <c r="BK624" s="462">
        <f t="shared" si="369"/>
        <v>121583.2</v>
      </c>
      <c r="BL624" s="447" t="s">
        <v>2341</v>
      </c>
      <c r="BM624" s="462">
        <f>ROUND(205725/1.06,2)-BM583+93626.43</f>
        <v>121583.20000000013</v>
      </c>
      <c r="BN624" s="462">
        <f t="shared" si="370"/>
        <v>-1.3096723705530167E-10</v>
      </c>
      <c r="BQ624" s="462">
        <f t="shared" si="371"/>
        <v>0</v>
      </c>
      <c r="BT624" s="462">
        <f t="shared" si="372"/>
        <v>0</v>
      </c>
      <c r="BW624" s="462">
        <f t="shared" si="373"/>
        <v>0</v>
      </c>
      <c r="BZ624" s="462">
        <f t="shared" si="374"/>
        <v>0</v>
      </c>
      <c r="CD624" s="418" t="str">
        <f t="shared" si="375"/>
        <v>CU1874001</v>
      </c>
      <c r="CE624" s="442" t="str">
        <f t="shared" si="376"/>
        <v>2020年4月</v>
      </c>
      <c r="CF624" s="418" t="str">
        <f t="shared" si="377"/>
        <v>富祥塑胶制clife服务费暂估</v>
      </c>
      <c r="CG624" s="418" t="str">
        <f t="shared" si="378"/>
        <v>2020年4月富祥塑胶制clife服务费暂估</v>
      </c>
    </row>
    <row r="625" spans="2:85" s="447" customFormat="1" ht="17.25" customHeight="1">
      <c r="B625" s="447" t="str">
        <f t="shared" si="366"/>
        <v>CU0017</v>
      </c>
      <c r="C625" s="431" t="s">
        <v>755</v>
      </c>
      <c r="D625" s="490" t="s">
        <v>2024</v>
      </c>
      <c r="E625" s="463" t="s">
        <v>2018</v>
      </c>
      <c r="F625" s="439">
        <v>43952</v>
      </c>
      <c r="G625" s="462">
        <v>10520.98</v>
      </c>
      <c r="H625" s="440"/>
      <c r="I625" s="440"/>
      <c r="J625" s="440"/>
      <c r="L625" s="462"/>
      <c r="M625" s="462"/>
      <c r="N625" s="444"/>
      <c r="O625" s="462"/>
      <c r="R625" s="462"/>
      <c r="U625" s="462"/>
      <c r="X625" s="462"/>
      <c r="AA625" s="462"/>
      <c r="AD625" s="462"/>
      <c r="AG625" s="462"/>
      <c r="AJ625" s="462"/>
      <c r="AM625" s="462"/>
      <c r="AP625" s="462"/>
      <c r="AS625" s="424"/>
      <c r="AV625" s="462"/>
      <c r="AY625" s="462"/>
      <c r="BB625" s="462">
        <v>10520.98</v>
      </c>
      <c r="BE625" s="462">
        <f t="shared" si="367"/>
        <v>10520.98</v>
      </c>
      <c r="BF625" s="447" t="s">
        <v>2259</v>
      </c>
      <c r="BH625" s="462">
        <f t="shared" si="368"/>
        <v>10520.98</v>
      </c>
      <c r="BI625" s="447" t="s">
        <v>2297</v>
      </c>
      <c r="BK625" s="462">
        <f t="shared" si="369"/>
        <v>10520.98</v>
      </c>
      <c r="BL625" s="447" t="s">
        <v>2341</v>
      </c>
      <c r="BN625" s="462">
        <f t="shared" si="370"/>
        <v>10520.98</v>
      </c>
      <c r="BO625" s="447" t="s">
        <v>2364</v>
      </c>
      <c r="BQ625" s="462">
        <f t="shared" si="371"/>
        <v>10520.98</v>
      </c>
      <c r="BT625" s="462">
        <f t="shared" si="372"/>
        <v>10520.98</v>
      </c>
      <c r="BU625" s="447" t="s">
        <v>2134</v>
      </c>
      <c r="BW625" s="462">
        <f t="shared" si="373"/>
        <v>10520.98</v>
      </c>
      <c r="BZ625" s="462">
        <f t="shared" si="374"/>
        <v>10520.98</v>
      </c>
      <c r="CD625" s="418" t="str">
        <f t="shared" si="375"/>
        <v>CU0017001</v>
      </c>
      <c r="CE625" s="442" t="str">
        <f t="shared" si="376"/>
        <v>2020年5月</v>
      </c>
      <c r="CF625" s="418" t="str">
        <f t="shared" si="377"/>
        <v>易趋宏挤压clife服务费暂估</v>
      </c>
      <c r="CG625" s="418" t="str">
        <f t="shared" si="378"/>
        <v>2020年5月易趋宏挤压clife服务费暂估</v>
      </c>
    </row>
    <row r="626" spans="2:85" s="447" customFormat="1" ht="17.25" customHeight="1">
      <c r="B626" s="447" t="str">
        <f t="shared" si="366"/>
        <v>CU0093</v>
      </c>
      <c r="C626" s="431" t="s">
        <v>755</v>
      </c>
      <c r="D626" s="490" t="s">
        <v>1832</v>
      </c>
      <c r="E626" s="463" t="s">
        <v>32</v>
      </c>
      <c r="F626" s="439">
        <v>43953</v>
      </c>
      <c r="G626" s="430">
        <v>3007.27</v>
      </c>
      <c r="H626" s="440"/>
      <c r="I626" s="440"/>
      <c r="J626" s="440"/>
      <c r="L626" s="462"/>
      <c r="M626" s="462"/>
      <c r="N626" s="444"/>
      <c r="O626" s="462"/>
      <c r="R626" s="462"/>
      <c r="U626" s="462"/>
      <c r="X626" s="462"/>
      <c r="AA626" s="462"/>
      <c r="AD626" s="462"/>
      <c r="AG626" s="462"/>
      <c r="AJ626" s="462"/>
      <c r="AM626" s="462"/>
      <c r="AP626" s="462"/>
      <c r="AS626" s="424"/>
      <c r="AV626" s="462"/>
      <c r="AY626" s="462"/>
      <c r="BB626" s="462">
        <f>G626</f>
        <v>3007.27</v>
      </c>
      <c r="BE626" s="462">
        <f t="shared" si="367"/>
        <v>3007.27</v>
      </c>
      <c r="BF626" s="447" t="s">
        <v>2259</v>
      </c>
      <c r="BG626" s="462">
        <f>3266-BG588+ROUND(2731/1.06,2)-272.37</f>
        <v>3007.27</v>
      </c>
      <c r="BH626" s="462">
        <f t="shared" si="368"/>
        <v>0</v>
      </c>
      <c r="BK626" s="462">
        <f t="shared" si="369"/>
        <v>0</v>
      </c>
      <c r="BN626" s="462">
        <f t="shared" si="370"/>
        <v>0</v>
      </c>
      <c r="BQ626" s="462">
        <f t="shared" si="371"/>
        <v>0</v>
      </c>
      <c r="BT626" s="462">
        <f t="shared" si="372"/>
        <v>0</v>
      </c>
      <c r="BW626" s="462">
        <f t="shared" si="373"/>
        <v>0</v>
      </c>
      <c r="BZ626" s="462">
        <f t="shared" si="374"/>
        <v>0</v>
      </c>
      <c r="CD626" s="418" t="str">
        <f t="shared" si="375"/>
        <v>CU0093001</v>
      </c>
      <c r="CE626" s="442" t="str">
        <f t="shared" si="376"/>
        <v>2020年5月</v>
      </c>
      <c r="CF626" s="418" t="str">
        <f t="shared" si="377"/>
        <v>日立保险代clife服务费暂估</v>
      </c>
      <c r="CG626" s="418" t="str">
        <f t="shared" si="378"/>
        <v>2020年5月日立保险代clife服务费暂估</v>
      </c>
    </row>
    <row r="627" spans="2:85" s="447" customFormat="1" ht="17.25" customHeight="1">
      <c r="B627" s="447" t="str">
        <f t="shared" si="366"/>
        <v>CU0109</v>
      </c>
      <c r="C627" s="431" t="s">
        <v>755</v>
      </c>
      <c r="D627" s="490" t="s">
        <v>1642</v>
      </c>
      <c r="E627" s="463" t="s">
        <v>34</v>
      </c>
      <c r="F627" s="439">
        <v>43954</v>
      </c>
      <c r="G627" s="430">
        <v>7644</v>
      </c>
      <c r="H627" s="440"/>
      <c r="I627" s="440"/>
      <c r="J627" s="440"/>
      <c r="L627" s="462"/>
      <c r="M627" s="462"/>
      <c r="N627" s="444"/>
      <c r="O627" s="462"/>
      <c r="R627" s="462"/>
      <c r="U627" s="462"/>
      <c r="X627" s="462"/>
      <c r="AA627" s="462"/>
      <c r="AD627" s="462"/>
      <c r="AG627" s="462"/>
      <c r="AJ627" s="462"/>
      <c r="AM627" s="462"/>
      <c r="AP627" s="462"/>
      <c r="AS627" s="424"/>
      <c r="AV627" s="462"/>
      <c r="AY627" s="462"/>
      <c r="BB627" s="462">
        <f t="shared" ref="BB627:BB656" si="394">G627</f>
        <v>7644</v>
      </c>
      <c r="BE627" s="462">
        <f t="shared" si="367"/>
        <v>7644</v>
      </c>
      <c r="BF627" s="447" t="s">
        <v>2259</v>
      </c>
      <c r="BG627" s="462">
        <f>ROUND(55423.7/1.06,2)-BG527-BG551-BG589</f>
        <v>5483.5499999999884</v>
      </c>
      <c r="BH627" s="462">
        <f t="shared" si="368"/>
        <v>2160.4500000000116</v>
      </c>
      <c r="BI627" s="447" t="s">
        <v>2297</v>
      </c>
      <c r="BK627" s="462">
        <f t="shared" si="369"/>
        <v>2160.4500000000116</v>
      </c>
      <c r="BL627" s="447" t="s">
        <v>2341</v>
      </c>
      <c r="BN627" s="462">
        <f t="shared" si="370"/>
        <v>2160.4500000000116</v>
      </c>
      <c r="BO627" s="447" t="s">
        <v>2364</v>
      </c>
      <c r="BQ627" s="462">
        <f t="shared" si="371"/>
        <v>2160.4499999999998</v>
      </c>
      <c r="BT627" s="462">
        <f t="shared" si="372"/>
        <v>2160.4499999999998</v>
      </c>
      <c r="BU627" s="447" t="s">
        <v>2134</v>
      </c>
      <c r="BW627" s="462">
        <f t="shared" si="373"/>
        <v>2160.4499999999998</v>
      </c>
      <c r="BZ627" s="462">
        <f t="shared" si="374"/>
        <v>2160.4499999999998</v>
      </c>
      <c r="CD627" s="418" t="str">
        <f t="shared" si="375"/>
        <v>CU0109001</v>
      </c>
      <c r="CE627" s="442" t="str">
        <f t="shared" si="376"/>
        <v>2020年5月</v>
      </c>
      <c r="CF627" s="418" t="str">
        <f t="shared" si="377"/>
        <v>普拉达时装clife服务费暂估</v>
      </c>
      <c r="CG627" s="418" t="str">
        <f t="shared" si="378"/>
        <v>2020年5月普拉达时装clife服务费暂估</v>
      </c>
    </row>
    <row r="628" spans="2:85" s="447" customFormat="1" ht="17.25" customHeight="1">
      <c r="B628" s="447" t="str">
        <f t="shared" si="366"/>
        <v>CU0145</v>
      </c>
      <c r="C628" s="431" t="s">
        <v>755</v>
      </c>
      <c r="D628" s="490" t="s">
        <v>1451</v>
      </c>
      <c r="E628" s="463" t="s">
        <v>1323</v>
      </c>
      <c r="F628" s="439">
        <v>43955</v>
      </c>
      <c r="G628" s="430">
        <v>501573.12</v>
      </c>
      <c r="H628" s="440"/>
      <c r="I628" s="440"/>
      <c r="J628" s="440"/>
      <c r="L628" s="462"/>
      <c r="M628" s="462"/>
      <c r="N628" s="444"/>
      <c r="O628" s="462"/>
      <c r="R628" s="462"/>
      <c r="U628" s="462"/>
      <c r="X628" s="462"/>
      <c r="AA628" s="462"/>
      <c r="AD628" s="462"/>
      <c r="AG628" s="462"/>
      <c r="AJ628" s="462"/>
      <c r="AM628" s="462"/>
      <c r="AP628" s="462"/>
      <c r="AS628" s="424"/>
      <c r="AV628" s="462"/>
      <c r="AY628" s="462"/>
      <c r="BB628" s="462">
        <f t="shared" si="394"/>
        <v>501573.12</v>
      </c>
      <c r="BE628" s="462">
        <f t="shared" si="367"/>
        <v>501573.12</v>
      </c>
      <c r="BF628" s="447" t="s">
        <v>2259</v>
      </c>
      <c r="BH628" s="462">
        <f t="shared" si="368"/>
        <v>501573.12</v>
      </c>
      <c r="BI628" s="447" t="s">
        <v>2297</v>
      </c>
      <c r="BK628" s="462">
        <f t="shared" si="369"/>
        <v>501573.12</v>
      </c>
      <c r="BL628" s="447" t="s">
        <v>2341</v>
      </c>
      <c r="BN628" s="462">
        <f t="shared" si="370"/>
        <v>501573.12</v>
      </c>
      <c r="BO628" s="447" t="s">
        <v>2364</v>
      </c>
      <c r="BQ628" s="462">
        <f t="shared" si="371"/>
        <v>501573.12</v>
      </c>
      <c r="BS628" s="462">
        <f>ROUND(529861.05/1.06,2)-BS552-BS590</f>
        <v>368980.1</v>
      </c>
      <c r="BT628" s="462">
        <f t="shared" si="372"/>
        <v>132593.01999999999</v>
      </c>
      <c r="BU628" s="447" t="s">
        <v>2134</v>
      </c>
      <c r="BV628" s="462">
        <f>BT628</f>
        <v>132593.01999999999</v>
      </c>
      <c r="BW628" s="462">
        <f t="shared" si="373"/>
        <v>0</v>
      </c>
      <c r="BZ628" s="462">
        <f t="shared" si="374"/>
        <v>0</v>
      </c>
      <c r="CD628" s="418" t="str">
        <f t="shared" si="375"/>
        <v>CU0145001</v>
      </c>
      <c r="CE628" s="442" t="str">
        <f t="shared" si="376"/>
        <v>2020年5月</v>
      </c>
      <c r="CF628" s="418" t="str">
        <f t="shared" si="377"/>
        <v>锐珂亚太投clife服务费暂估</v>
      </c>
      <c r="CG628" s="418" t="str">
        <f t="shared" si="378"/>
        <v>2020年5月锐珂亚太投clife服务费暂估</v>
      </c>
    </row>
    <row r="629" spans="2:85" s="447" customFormat="1" ht="17.25" customHeight="1">
      <c r="B629" s="447" t="str">
        <f t="shared" si="366"/>
        <v>CU0238</v>
      </c>
      <c r="C629" s="431" t="s">
        <v>755</v>
      </c>
      <c r="D629" s="490" t="s">
        <v>1987</v>
      </c>
      <c r="E629" s="463" t="s">
        <v>54</v>
      </c>
      <c r="F629" s="439">
        <v>43956</v>
      </c>
      <c r="G629" s="430">
        <v>99</v>
      </c>
      <c r="H629" s="440"/>
      <c r="I629" s="440"/>
      <c r="J629" s="440"/>
      <c r="L629" s="462"/>
      <c r="M629" s="462"/>
      <c r="N629" s="444"/>
      <c r="O629" s="462"/>
      <c r="R629" s="462"/>
      <c r="U629" s="462"/>
      <c r="X629" s="462"/>
      <c r="AA629" s="462"/>
      <c r="AD629" s="462"/>
      <c r="AG629" s="462"/>
      <c r="AJ629" s="462"/>
      <c r="AM629" s="462"/>
      <c r="AP629" s="462"/>
      <c r="AS629" s="424"/>
      <c r="AV629" s="462"/>
      <c r="AY629" s="462"/>
      <c r="BB629" s="462">
        <f t="shared" si="394"/>
        <v>99</v>
      </c>
      <c r="BE629" s="462">
        <f t="shared" si="367"/>
        <v>99</v>
      </c>
      <c r="BF629" s="447" t="s">
        <v>2259</v>
      </c>
      <c r="BH629" s="462">
        <f t="shared" si="368"/>
        <v>99</v>
      </c>
      <c r="BI629" s="447" t="s">
        <v>2297</v>
      </c>
      <c r="BK629" s="462">
        <f t="shared" si="369"/>
        <v>99</v>
      </c>
      <c r="BL629" s="447" t="s">
        <v>2341</v>
      </c>
      <c r="BN629" s="462">
        <f t="shared" si="370"/>
        <v>99</v>
      </c>
      <c r="BO629" s="447" t="s">
        <v>2364</v>
      </c>
      <c r="BQ629" s="462">
        <f t="shared" si="371"/>
        <v>99</v>
      </c>
      <c r="BS629" s="462">
        <f>BQ629</f>
        <v>99</v>
      </c>
      <c r="BT629" s="462">
        <f t="shared" si="372"/>
        <v>0</v>
      </c>
      <c r="BW629" s="462">
        <f t="shared" si="373"/>
        <v>0</v>
      </c>
      <c r="BZ629" s="462">
        <f t="shared" si="374"/>
        <v>0</v>
      </c>
      <c r="CD629" s="418" t="str">
        <f t="shared" si="375"/>
        <v>CU0238001</v>
      </c>
      <c r="CE629" s="442" t="str">
        <f t="shared" si="376"/>
        <v>2020年5月</v>
      </c>
      <c r="CF629" s="418" t="str">
        <f t="shared" si="377"/>
        <v>丘奇鞋业（clife服务费暂估</v>
      </c>
      <c r="CG629" s="418" t="str">
        <f t="shared" si="378"/>
        <v>2020年5月丘奇鞋业（clife服务费暂估</v>
      </c>
    </row>
    <row r="630" spans="2:85" s="447" customFormat="1" ht="17.25" customHeight="1">
      <c r="B630" s="447" t="str">
        <f t="shared" si="366"/>
        <v>CU0285</v>
      </c>
      <c r="C630" s="431" t="s">
        <v>755</v>
      </c>
      <c r="D630" s="490" t="s">
        <v>1643</v>
      </c>
      <c r="E630" s="463" t="s">
        <v>17</v>
      </c>
      <c r="F630" s="439">
        <v>43957</v>
      </c>
      <c r="G630" s="430">
        <v>724750.89</v>
      </c>
      <c r="H630" s="440"/>
      <c r="I630" s="440"/>
      <c r="J630" s="440"/>
      <c r="L630" s="462"/>
      <c r="M630" s="462"/>
      <c r="N630" s="444"/>
      <c r="O630" s="462"/>
      <c r="R630" s="462"/>
      <c r="U630" s="462"/>
      <c r="X630" s="462"/>
      <c r="AA630" s="462"/>
      <c r="AD630" s="462"/>
      <c r="AG630" s="462"/>
      <c r="AJ630" s="462"/>
      <c r="AM630" s="462"/>
      <c r="AP630" s="462"/>
      <c r="AS630" s="424"/>
      <c r="AV630" s="462"/>
      <c r="AY630" s="462"/>
      <c r="BB630" s="462">
        <f t="shared" si="394"/>
        <v>724750.89</v>
      </c>
      <c r="BE630" s="462">
        <f t="shared" si="367"/>
        <v>724750.89</v>
      </c>
      <c r="BF630" s="447" t="s">
        <v>2259</v>
      </c>
      <c r="BH630" s="462">
        <f t="shared" si="368"/>
        <v>724750.89</v>
      </c>
      <c r="BI630" s="447" t="s">
        <v>2297</v>
      </c>
      <c r="BK630" s="462">
        <f t="shared" si="369"/>
        <v>724750.89</v>
      </c>
      <c r="BL630" s="447" t="s">
        <v>2341</v>
      </c>
      <c r="BM630" s="462">
        <f>ROUND(432747/1.06,2)-BM326-BM421+200000</f>
        <v>497497.33000000019</v>
      </c>
      <c r="BN630" s="462">
        <f t="shared" si="370"/>
        <v>227253.55999999982</v>
      </c>
      <c r="BO630" s="447" t="s">
        <v>2364</v>
      </c>
      <c r="BP630" s="447">
        <f>ROUND(156620/1.06,2)</f>
        <v>147754.72</v>
      </c>
      <c r="BQ630" s="462">
        <f t="shared" si="371"/>
        <v>79498.84</v>
      </c>
      <c r="BT630" s="462">
        <f t="shared" si="372"/>
        <v>79498.84</v>
      </c>
      <c r="BU630" s="447" t="s">
        <v>2134</v>
      </c>
      <c r="BV630" s="462">
        <f>BT630</f>
        <v>79498.84</v>
      </c>
      <c r="BW630" s="462">
        <f t="shared" si="373"/>
        <v>0</v>
      </c>
      <c r="BZ630" s="462">
        <f t="shared" si="374"/>
        <v>0</v>
      </c>
      <c r="CD630" s="418" t="str">
        <f t="shared" si="375"/>
        <v>CU0285001</v>
      </c>
      <c r="CE630" s="442" t="str">
        <f t="shared" si="376"/>
        <v>2020年5月</v>
      </c>
      <c r="CF630" s="418" t="str">
        <f t="shared" si="377"/>
        <v>文思海辉技clife服务费暂估</v>
      </c>
      <c r="CG630" s="418" t="str">
        <f t="shared" si="378"/>
        <v>2020年5月文思海辉技clife服务费暂估</v>
      </c>
    </row>
    <row r="631" spans="2:85" s="447" customFormat="1" ht="17.25" customHeight="1">
      <c r="B631" s="447" t="str">
        <f t="shared" si="366"/>
        <v>CU0531</v>
      </c>
      <c r="C631" s="431" t="s">
        <v>755</v>
      </c>
      <c r="D631" s="490" t="s">
        <v>1453</v>
      </c>
      <c r="E631" s="463" t="s">
        <v>2088</v>
      </c>
      <c r="F631" s="439">
        <v>43958</v>
      </c>
      <c r="G631" s="430">
        <v>29252.63</v>
      </c>
      <c r="H631" s="440"/>
      <c r="I631" s="440"/>
      <c r="J631" s="440"/>
      <c r="L631" s="462"/>
      <c r="M631" s="462"/>
      <c r="N631" s="444"/>
      <c r="O631" s="462"/>
      <c r="R631" s="462"/>
      <c r="U631" s="462"/>
      <c r="X631" s="462"/>
      <c r="AA631" s="462"/>
      <c r="AD631" s="462"/>
      <c r="AG631" s="462"/>
      <c r="AJ631" s="462"/>
      <c r="AM631" s="462"/>
      <c r="AP631" s="462"/>
      <c r="AS631" s="424"/>
      <c r="AV631" s="462"/>
      <c r="AY631" s="462"/>
      <c r="BB631" s="462">
        <f t="shared" si="394"/>
        <v>29252.63</v>
      </c>
      <c r="BE631" s="462">
        <f t="shared" si="367"/>
        <v>29252.63</v>
      </c>
      <c r="BF631" s="447" t="s">
        <v>2259</v>
      </c>
      <c r="BH631" s="462">
        <f t="shared" si="368"/>
        <v>29252.63</v>
      </c>
      <c r="BI631" s="447" t="s">
        <v>2297</v>
      </c>
      <c r="BK631" s="462">
        <f t="shared" si="369"/>
        <v>29252.63</v>
      </c>
      <c r="BL631" s="447" t="s">
        <v>2341</v>
      </c>
      <c r="BN631" s="462">
        <f t="shared" si="370"/>
        <v>29252.63</v>
      </c>
      <c r="BO631" s="447" t="s">
        <v>2364</v>
      </c>
      <c r="BQ631" s="462">
        <f t="shared" si="371"/>
        <v>29252.63</v>
      </c>
      <c r="BT631" s="462">
        <f t="shared" si="372"/>
        <v>29252.63</v>
      </c>
      <c r="BU631" s="447" t="s">
        <v>2134</v>
      </c>
      <c r="BW631" s="462">
        <f t="shared" si="373"/>
        <v>29252.63</v>
      </c>
      <c r="BZ631" s="462">
        <f t="shared" si="374"/>
        <v>29252.63</v>
      </c>
      <c r="CD631" s="418" t="str">
        <f t="shared" si="375"/>
        <v>CU0531001</v>
      </c>
      <c r="CE631" s="442" t="str">
        <f t="shared" si="376"/>
        <v>2020年5月</v>
      </c>
      <c r="CF631" s="418" t="str">
        <f t="shared" si="377"/>
        <v>恩思恩clife服务费暂估</v>
      </c>
      <c r="CG631" s="418" t="str">
        <f t="shared" si="378"/>
        <v>2020年5月恩思恩clife服务费暂估</v>
      </c>
    </row>
    <row r="632" spans="2:85" s="447" customFormat="1" ht="17.25" customHeight="1">
      <c r="B632" s="447" t="str">
        <f t="shared" si="366"/>
        <v>CU0558</v>
      </c>
      <c r="C632" s="431" t="s">
        <v>755</v>
      </c>
      <c r="D632" s="490" t="s">
        <v>1647</v>
      </c>
      <c r="E632" s="463" t="s">
        <v>2210</v>
      </c>
      <c r="F632" s="439">
        <v>43959</v>
      </c>
      <c r="G632" s="430">
        <v>3528</v>
      </c>
      <c r="H632" s="440"/>
      <c r="I632" s="440"/>
      <c r="J632" s="440"/>
      <c r="L632" s="462"/>
      <c r="M632" s="462"/>
      <c r="N632" s="444"/>
      <c r="O632" s="462"/>
      <c r="R632" s="462"/>
      <c r="U632" s="462"/>
      <c r="X632" s="462"/>
      <c r="AA632" s="462"/>
      <c r="AD632" s="462"/>
      <c r="AG632" s="462"/>
      <c r="AJ632" s="462"/>
      <c r="AM632" s="462"/>
      <c r="AP632" s="462"/>
      <c r="AS632" s="424"/>
      <c r="AV632" s="462"/>
      <c r="AY632" s="462"/>
      <c r="BB632" s="462">
        <f t="shared" si="394"/>
        <v>3528</v>
      </c>
      <c r="BE632" s="462">
        <f t="shared" si="367"/>
        <v>3528</v>
      </c>
      <c r="BF632" s="447" t="s">
        <v>2259</v>
      </c>
      <c r="BH632" s="462">
        <f t="shared" si="368"/>
        <v>3528</v>
      </c>
      <c r="BI632" s="447" t="s">
        <v>2297</v>
      </c>
      <c r="BK632" s="462">
        <f t="shared" si="369"/>
        <v>3528</v>
      </c>
      <c r="BL632" s="447" t="s">
        <v>2341</v>
      </c>
      <c r="BM632" s="462">
        <f>BK632</f>
        <v>3528</v>
      </c>
      <c r="BN632" s="462">
        <f t="shared" si="370"/>
        <v>0</v>
      </c>
      <c r="BQ632" s="462">
        <f t="shared" si="371"/>
        <v>0</v>
      </c>
      <c r="BT632" s="462">
        <f t="shared" si="372"/>
        <v>0</v>
      </c>
      <c r="BW632" s="462">
        <f t="shared" si="373"/>
        <v>0</v>
      </c>
      <c r="BZ632" s="462">
        <f t="shared" si="374"/>
        <v>0</v>
      </c>
      <c r="CD632" s="418" t="str">
        <f t="shared" si="375"/>
        <v>CU0558001</v>
      </c>
      <c r="CE632" s="442" t="str">
        <f t="shared" si="376"/>
        <v>2020年5月</v>
      </c>
      <c r="CF632" s="418" t="str">
        <f t="shared" si="377"/>
        <v>深圳市顺荣clife服务费暂估</v>
      </c>
      <c r="CG632" s="418" t="str">
        <f t="shared" si="378"/>
        <v>2020年5月深圳市顺荣clife服务费暂估</v>
      </c>
    </row>
    <row r="633" spans="2:85" s="447" customFormat="1" ht="17.25" customHeight="1">
      <c r="B633" s="447" t="str">
        <f t="shared" si="366"/>
        <v>CU0562</v>
      </c>
      <c r="C633" s="431" t="s">
        <v>755</v>
      </c>
      <c r="D633" s="490" t="s">
        <v>2025</v>
      </c>
      <c r="E633" s="463" t="s">
        <v>1804</v>
      </c>
      <c r="F633" s="439">
        <v>43960</v>
      </c>
      <c r="G633" s="430">
        <v>10235.040000000001</v>
      </c>
      <c r="H633" s="440"/>
      <c r="I633" s="440"/>
      <c r="J633" s="440"/>
      <c r="L633" s="462"/>
      <c r="M633" s="462"/>
      <c r="N633" s="444"/>
      <c r="O633" s="462"/>
      <c r="R633" s="462"/>
      <c r="U633" s="462"/>
      <c r="X633" s="462"/>
      <c r="AA633" s="462"/>
      <c r="AD633" s="462"/>
      <c r="AG633" s="462"/>
      <c r="AJ633" s="462"/>
      <c r="AM633" s="462"/>
      <c r="AP633" s="462"/>
      <c r="AS633" s="424"/>
      <c r="AV633" s="462"/>
      <c r="AY633" s="462"/>
      <c r="BB633" s="462">
        <f t="shared" si="394"/>
        <v>10235.040000000001</v>
      </c>
      <c r="BE633" s="462">
        <f t="shared" si="367"/>
        <v>10235.040000000001</v>
      </c>
      <c r="BF633" s="447" t="s">
        <v>2259</v>
      </c>
      <c r="BH633" s="462">
        <f t="shared" si="368"/>
        <v>10235.040000000001</v>
      </c>
      <c r="BI633" s="447" t="s">
        <v>2297</v>
      </c>
      <c r="BK633" s="462">
        <f t="shared" si="369"/>
        <v>10235.040000000001</v>
      </c>
      <c r="BL633" s="447" t="s">
        <v>2341</v>
      </c>
      <c r="BN633" s="462">
        <f t="shared" si="370"/>
        <v>10235.040000000001</v>
      </c>
      <c r="BO633" s="447" t="s">
        <v>2364</v>
      </c>
      <c r="BQ633" s="462">
        <f t="shared" si="371"/>
        <v>10235.040000000001</v>
      </c>
      <c r="BT633" s="462">
        <f t="shared" si="372"/>
        <v>10235.040000000001</v>
      </c>
      <c r="BU633" s="447" t="s">
        <v>2134</v>
      </c>
      <c r="BW633" s="462">
        <f t="shared" si="373"/>
        <v>10235.040000000001</v>
      </c>
      <c r="BZ633" s="462">
        <f t="shared" si="374"/>
        <v>10235.040000000001</v>
      </c>
      <c r="CD633" s="418" t="str">
        <f t="shared" si="375"/>
        <v>CU0562001</v>
      </c>
      <c r="CE633" s="442" t="str">
        <f t="shared" si="376"/>
        <v>2020年5月</v>
      </c>
      <c r="CF633" s="418" t="str">
        <f t="shared" si="377"/>
        <v>杭州康晟健clife服务费暂估</v>
      </c>
      <c r="CG633" s="418" t="str">
        <f t="shared" si="378"/>
        <v>2020年5月杭州康晟健clife服务费暂估</v>
      </c>
    </row>
    <row r="634" spans="2:85" s="447" customFormat="1" ht="17.25" customHeight="1">
      <c r="B634" s="447" t="str">
        <f t="shared" si="366"/>
        <v>CU0667</v>
      </c>
      <c r="C634" s="431" t="s">
        <v>755</v>
      </c>
      <c r="D634" s="490" t="s">
        <v>1454</v>
      </c>
      <c r="E634" s="463" t="s">
        <v>168</v>
      </c>
      <c r="F634" s="439">
        <v>43961</v>
      </c>
      <c r="G634" s="430">
        <v>855.98</v>
      </c>
      <c r="H634" s="440"/>
      <c r="I634" s="440"/>
      <c r="J634" s="440"/>
      <c r="L634" s="462"/>
      <c r="M634" s="462"/>
      <c r="N634" s="444"/>
      <c r="O634" s="462"/>
      <c r="R634" s="462"/>
      <c r="U634" s="462"/>
      <c r="X634" s="462"/>
      <c r="AA634" s="462"/>
      <c r="AD634" s="462"/>
      <c r="AG634" s="462"/>
      <c r="AJ634" s="462"/>
      <c r="AM634" s="462"/>
      <c r="AP634" s="462"/>
      <c r="AS634" s="424"/>
      <c r="AV634" s="462"/>
      <c r="AY634" s="462"/>
      <c r="BB634" s="462">
        <f t="shared" si="394"/>
        <v>855.98</v>
      </c>
      <c r="BE634" s="462">
        <f t="shared" si="367"/>
        <v>855.98</v>
      </c>
      <c r="BF634" s="447" t="s">
        <v>2259</v>
      </c>
      <c r="BH634" s="462">
        <f t="shared" si="368"/>
        <v>855.98</v>
      </c>
      <c r="BI634" s="447" t="s">
        <v>2297</v>
      </c>
      <c r="BK634" s="462">
        <f t="shared" si="369"/>
        <v>855.98</v>
      </c>
      <c r="BL634" s="447" t="s">
        <v>2341</v>
      </c>
      <c r="BM634" s="462">
        <f>BK634</f>
        <v>855.98</v>
      </c>
      <c r="BN634" s="462">
        <f t="shared" si="370"/>
        <v>0</v>
      </c>
      <c r="BQ634" s="462">
        <f t="shared" si="371"/>
        <v>0</v>
      </c>
      <c r="BT634" s="462">
        <f t="shared" si="372"/>
        <v>0</v>
      </c>
      <c r="BW634" s="462">
        <f t="shared" si="373"/>
        <v>0</v>
      </c>
      <c r="BZ634" s="462">
        <f t="shared" si="374"/>
        <v>0</v>
      </c>
      <c r="CD634" s="418" t="str">
        <f t="shared" si="375"/>
        <v>CU0667001</v>
      </c>
      <c r="CE634" s="442" t="str">
        <f t="shared" si="376"/>
        <v>2020年5月</v>
      </c>
      <c r="CF634" s="418" t="str">
        <f t="shared" si="377"/>
        <v>北京杰迪安clife服务费暂估</v>
      </c>
      <c r="CG634" s="418" t="str">
        <f t="shared" si="378"/>
        <v>2020年5月北京杰迪安clife服务费暂估</v>
      </c>
    </row>
    <row r="635" spans="2:85" s="447" customFormat="1" ht="17.25" customHeight="1">
      <c r="B635" s="447" t="str">
        <f t="shared" si="366"/>
        <v>CU0812</v>
      </c>
      <c r="C635" s="431" t="s">
        <v>755</v>
      </c>
      <c r="D635" s="490" t="s">
        <v>1455</v>
      </c>
      <c r="E635" s="463" t="s">
        <v>1534</v>
      </c>
      <c r="F635" s="439">
        <v>43962</v>
      </c>
      <c r="G635" s="430">
        <v>2941.96</v>
      </c>
      <c r="H635" s="440"/>
      <c r="I635" s="440"/>
      <c r="J635" s="440"/>
      <c r="L635" s="462"/>
      <c r="M635" s="462"/>
      <c r="N635" s="444"/>
      <c r="O635" s="462"/>
      <c r="R635" s="462"/>
      <c r="U635" s="462"/>
      <c r="X635" s="462"/>
      <c r="AA635" s="462"/>
      <c r="AD635" s="462"/>
      <c r="AG635" s="462"/>
      <c r="AJ635" s="462"/>
      <c r="AM635" s="462"/>
      <c r="AP635" s="462"/>
      <c r="AS635" s="424"/>
      <c r="AV635" s="462"/>
      <c r="AY635" s="462"/>
      <c r="BB635" s="462">
        <f t="shared" si="394"/>
        <v>2941.96</v>
      </c>
      <c r="BE635" s="462">
        <f t="shared" si="367"/>
        <v>2941.96</v>
      </c>
      <c r="BF635" s="447" t="s">
        <v>2259</v>
      </c>
      <c r="BH635" s="462">
        <f t="shared" si="368"/>
        <v>2941.96</v>
      </c>
      <c r="BI635" s="447" t="s">
        <v>2297</v>
      </c>
      <c r="BK635" s="462">
        <f t="shared" si="369"/>
        <v>2941.96</v>
      </c>
      <c r="BL635" s="447" t="s">
        <v>2341</v>
      </c>
      <c r="BN635" s="462">
        <f t="shared" si="370"/>
        <v>2941.96</v>
      </c>
      <c r="BO635" s="447" t="s">
        <v>2364</v>
      </c>
      <c r="BP635" s="462">
        <f>BN635</f>
        <v>2941.96</v>
      </c>
      <c r="BQ635" s="462">
        <f t="shared" si="371"/>
        <v>0</v>
      </c>
      <c r="BT635" s="462">
        <f t="shared" si="372"/>
        <v>0</v>
      </c>
      <c r="BW635" s="462">
        <f t="shared" si="373"/>
        <v>0</v>
      </c>
      <c r="BZ635" s="462">
        <f t="shared" si="374"/>
        <v>0</v>
      </c>
      <c r="CD635" s="418" t="str">
        <f t="shared" si="375"/>
        <v>CU0812001</v>
      </c>
      <c r="CE635" s="442" t="str">
        <f t="shared" si="376"/>
        <v>2020年5月</v>
      </c>
      <c r="CF635" s="418" t="str">
        <f t="shared" si="377"/>
        <v>上海恩派社clife服务费暂估</v>
      </c>
      <c r="CG635" s="418" t="str">
        <f t="shared" si="378"/>
        <v>2020年5月上海恩派社clife服务费暂估</v>
      </c>
    </row>
    <row r="636" spans="2:85" s="447" customFormat="1" ht="17.25" customHeight="1">
      <c r="B636" s="447" t="str">
        <f t="shared" si="366"/>
        <v>CU0813</v>
      </c>
      <c r="C636" s="431" t="s">
        <v>755</v>
      </c>
      <c r="D636" s="490" t="s">
        <v>2248</v>
      </c>
      <c r="E636" s="463" t="s">
        <v>200</v>
      </c>
      <c r="F636" s="439">
        <v>43963</v>
      </c>
      <c r="G636" s="430">
        <v>24689.15</v>
      </c>
      <c r="H636" s="440"/>
      <c r="I636" s="440"/>
      <c r="J636" s="440"/>
      <c r="L636" s="462"/>
      <c r="M636" s="462"/>
      <c r="N636" s="444"/>
      <c r="O636" s="462"/>
      <c r="R636" s="462"/>
      <c r="U636" s="462"/>
      <c r="X636" s="462"/>
      <c r="AA636" s="462"/>
      <c r="AD636" s="462"/>
      <c r="AG636" s="462"/>
      <c r="AJ636" s="462"/>
      <c r="AM636" s="462"/>
      <c r="AP636" s="462"/>
      <c r="AS636" s="424"/>
      <c r="AV636" s="462"/>
      <c r="AY636" s="462"/>
      <c r="BB636" s="462">
        <f t="shared" si="394"/>
        <v>24689.15</v>
      </c>
      <c r="BE636" s="462">
        <f t="shared" si="367"/>
        <v>24689.15</v>
      </c>
      <c r="BF636" s="447" t="s">
        <v>2259</v>
      </c>
      <c r="BG636" s="447">
        <v>24689.15</v>
      </c>
      <c r="BH636" s="462">
        <f t="shared" si="368"/>
        <v>0</v>
      </c>
      <c r="BK636" s="462">
        <f t="shared" si="369"/>
        <v>0</v>
      </c>
      <c r="BN636" s="462">
        <f t="shared" si="370"/>
        <v>0</v>
      </c>
      <c r="BQ636" s="462">
        <f t="shared" si="371"/>
        <v>0</v>
      </c>
      <c r="BT636" s="462">
        <f t="shared" si="372"/>
        <v>0</v>
      </c>
      <c r="BW636" s="462">
        <f t="shared" si="373"/>
        <v>0</v>
      </c>
      <c r="BZ636" s="462">
        <f t="shared" si="374"/>
        <v>0</v>
      </c>
      <c r="CD636" s="418" t="str">
        <f t="shared" si="375"/>
        <v>CU0813001</v>
      </c>
      <c r="CE636" s="442" t="str">
        <f t="shared" si="376"/>
        <v>2020年5月</v>
      </c>
      <c r="CF636" s="418" t="str">
        <f t="shared" si="377"/>
        <v>北京陌陌信clife服务费暂估</v>
      </c>
      <c r="CG636" s="418" t="str">
        <f t="shared" si="378"/>
        <v>2020年5月北京陌陌信clife服务费暂估</v>
      </c>
    </row>
    <row r="637" spans="2:85" s="447" customFormat="1" ht="17.25" customHeight="1">
      <c r="B637" s="447" t="str">
        <f t="shared" si="366"/>
        <v>CU0823</v>
      </c>
      <c r="C637" s="431" t="s">
        <v>755</v>
      </c>
      <c r="D637" s="490" t="s">
        <v>1457</v>
      </c>
      <c r="E637" s="463" t="s">
        <v>581</v>
      </c>
      <c r="F637" s="439">
        <v>43964</v>
      </c>
      <c r="G637" s="430">
        <v>8538.16</v>
      </c>
      <c r="H637" s="440"/>
      <c r="I637" s="440"/>
      <c r="J637" s="440"/>
      <c r="L637" s="462"/>
      <c r="M637" s="462"/>
      <c r="N637" s="444"/>
      <c r="O637" s="462"/>
      <c r="R637" s="462"/>
      <c r="U637" s="462"/>
      <c r="X637" s="462"/>
      <c r="AA637" s="462"/>
      <c r="AD637" s="462"/>
      <c r="AG637" s="462"/>
      <c r="AJ637" s="462"/>
      <c r="AM637" s="462"/>
      <c r="AP637" s="462"/>
      <c r="AS637" s="424"/>
      <c r="AV637" s="462"/>
      <c r="AY637" s="462"/>
      <c r="BB637" s="462">
        <f t="shared" si="394"/>
        <v>8538.16</v>
      </c>
      <c r="BE637" s="462">
        <f t="shared" si="367"/>
        <v>8538.16</v>
      </c>
      <c r="BF637" s="447" t="s">
        <v>2259</v>
      </c>
      <c r="BH637" s="462">
        <f t="shared" si="368"/>
        <v>8538.16</v>
      </c>
      <c r="BI637" s="447" t="s">
        <v>2297</v>
      </c>
      <c r="BK637" s="462">
        <f t="shared" si="369"/>
        <v>8538.16</v>
      </c>
      <c r="BL637" s="447" t="s">
        <v>2341</v>
      </c>
      <c r="BN637" s="462">
        <f t="shared" si="370"/>
        <v>8538.16</v>
      </c>
      <c r="BO637" s="447" t="s">
        <v>2364</v>
      </c>
      <c r="BQ637" s="462">
        <f t="shared" si="371"/>
        <v>8538.16</v>
      </c>
      <c r="BT637" s="462">
        <f t="shared" si="372"/>
        <v>8538.16</v>
      </c>
      <c r="BU637" s="447" t="s">
        <v>2134</v>
      </c>
      <c r="BW637" s="462">
        <f t="shared" si="373"/>
        <v>8538.16</v>
      </c>
      <c r="BZ637" s="462">
        <f t="shared" si="374"/>
        <v>8538.16</v>
      </c>
      <c r="CD637" s="418" t="str">
        <f t="shared" si="375"/>
        <v>CU0823001</v>
      </c>
      <c r="CE637" s="442" t="str">
        <f t="shared" si="376"/>
        <v>2020年5月</v>
      </c>
      <c r="CF637" s="418" t="str">
        <f t="shared" si="377"/>
        <v>凯杰生物工clife服务费暂估</v>
      </c>
      <c r="CG637" s="418" t="str">
        <f t="shared" si="378"/>
        <v>2020年5月凯杰生物工clife服务费暂估</v>
      </c>
    </row>
    <row r="638" spans="2:85" s="447" customFormat="1" ht="17.25" customHeight="1">
      <c r="B638" s="447" t="str">
        <f t="shared" si="366"/>
        <v>CU0824</v>
      </c>
      <c r="C638" s="431" t="s">
        <v>755</v>
      </c>
      <c r="D638" s="490" t="s">
        <v>1458</v>
      </c>
      <c r="E638" s="463" t="s">
        <v>1292</v>
      </c>
      <c r="F638" s="439">
        <v>43965</v>
      </c>
      <c r="G638" s="430">
        <v>1215.24</v>
      </c>
      <c r="H638" s="440"/>
      <c r="I638" s="440"/>
      <c r="J638" s="440"/>
      <c r="L638" s="462"/>
      <c r="M638" s="462"/>
      <c r="N638" s="444"/>
      <c r="O638" s="462"/>
      <c r="R638" s="462"/>
      <c r="U638" s="462"/>
      <c r="X638" s="462"/>
      <c r="AA638" s="462"/>
      <c r="AD638" s="462"/>
      <c r="AG638" s="462"/>
      <c r="AJ638" s="462"/>
      <c r="AM638" s="462"/>
      <c r="AP638" s="462"/>
      <c r="AS638" s="424"/>
      <c r="AV638" s="462"/>
      <c r="AY638" s="462"/>
      <c r="BB638" s="462">
        <f t="shared" si="394"/>
        <v>1215.24</v>
      </c>
      <c r="BE638" s="462">
        <f t="shared" si="367"/>
        <v>1215.24</v>
      </c>
      <c r="BF638" s="447" t="s">
        <v>2259</v>
      </c>
      <c r="BH638" s="462">
        <f t="shared" si="368"/>
        <v>1215.24</v>
      </c>
      <c r="BI638" s="447" t="s">
        <v>2297</v>
      </c>
      <c r="BK638" s="462">
        <f t="shared" si="369"/>
        <v>1215.24</v>
      </c>
      <c r="BL638" s="447" t="s">
        <v>2341</v>
      </c>
      <c r="BM638" s="462">
        <f>BK638</f>
        <v>1215.24</v>
      </c>
      <c r="BN638" s="462">
        <f t="shared" si="370"/>
        <v>0</v>
      </c>
      <c r="BQ638" s="462">
        <f t="shared" si="371"/>
        <v>0</v>
      </c>
      <c r="BT638" s="462">
        <f t="shared" si="372"/>
        <v>0</v>
      </c>
      <c r="BW638" s="462">
        <f t="shared" si="373"/>
        <v>0</v>
      </c>
      <c r="BZ638" s="462">
        <f t="shared" si="374"/>
        <v>0</v>
      </c>
      <c r="CD638" s="418" t="str">
        <f t="shared" si="375"/>
        <v>CU0824001</v>
      </c>
      <c r="CE638" s="442" t="str">
        <f t="shared" si="376"/>
        <v>2020年5月</v>
      </c>
      <c r="CF638" s="418" t="str">
        <f t="shared" si="377"/>
        <v>苏州舒尔贸clife服务费暂估</v>
      </c>
      <c r="CG638" s="418" t="str">
        <f t="shared" si="378"/>
        <v>2020年5月苏州舒尔贸clife服务费暂估</v>
      </c>
    </row>
    <row r="639" spans="2:85" s="447" customFormat="1" ht="17.25" customHeight="1">
      <c r="B639" s="447" t="str">
        <f t="shared" si="366"/>
        <v>CU0869</v>
      </c>
      <c r="C639" s="431" t="s">
        <v>755</v>
      </c>
      <c r="D639" s="490" t="s">
        <v>1459</v>
      </c>
      <c r="E639" s="463" t="s">
        <v>2090</v>
      </c>
      <c r="F639" s="439">
        <v>43966</v>
      </c>
      <c r="G639" s="430">
        <v>61981.14</v>
      </c>
      <c r="H639" s="440"/>
      <c r="I639" s="440"/>
      <c r="J639" s="440"/>
      <c r="L639" s="462"/>
      <c r="M639" s="462"/>
      <c r="N639" s="444"/>
      <c r="O639" s="462"/>
      <c r="R639" s="462"/>
      <c r="U639" s="462"/>
      <c r="X639" s="462"/>
      <c r="AA639" s="462"/>
      <c r="AD639" s="462"/>
      <c r="AG639" s="462"/>
      <c r="AJ639" s="462"/>
      <c r="AM639" s="462"/>
      <c r="AP639" s="462"/>
      <c r="AS639" s="424"/>
      <c r="AV639" s="462"/>
      <c r="AY639" s="462"/>
      <c r="BB639" s="462">
        <f t="shared" si="394"/>
        <v>61981.14</v>
      </c>
      <c r="BE639" s="462">
        <f t="shared" si="367"/>
        <v>61981.14</v>
      </c>
      <c r="BF639" s="447" t="s">
        <v>2259</v>
      </c>
      <c r="BH639" s="462">
        <f t="shared" si="368"/>
        <v>61981.14</v>
      </c>
      <c r="BI639" s="447" t="s">
        <v>2297</v>
      </c>
      <c r="BK639" s="462">
        <f t="shared" si="369"/>
        <v>61981.14</v>
      </c>
      <c r="BL639" s="447" t="s">
        <v>2341</v>
      </c>
      <c r="BN639" s="462">
        <f t="shared" si="370"/>
        <v>61981.14</v>
      </c>
      <c r="BO639" s="447" t="s">
        <v>2364</v>
      </c>
      <c r="BQ639" s="462">
        <f t="shared" si="371"/>
        <v>61981.14</v>
      </c>
      <c r="BS639" s="462">
        <f>BQ639</f>
        <v>61981.14</v>
      </c>
      <c r="BT639" s="462">
        <f t="shared" si="372"/>
        <v>0</v>
      </c>
      <c r="BW639" s="462">
        <f t="shared" si="373"/>
        <v>0</v>
      </c>
      <c r="BZ639" s="462">
        <f t="shared" si="374"/>
        <v>0</v>
      </c>
      <c r="CD639" s="418" t="str">
        <f t="shared" si="375"/>
        <v>CU0869001</v>
      </c>
      <c r="CE639" s="442" t="str">
        <f t="shared" si="376"/>
        <v>2020年5月</v>
      </c>
      <c r="CF639" s="418" t="str">
        <f t="shared" si="377"/>
        <v>智睿企业咨clife服务费暂估</v>
      </c>
      <c r="CG639" s="418" t="str">
        <f t="shared" si="378"/>
        <v>2020年5月智睿企业咨clife服务费暂估</v>
      </c>
    </row>
    <row r="640" spans="2:85" s="447" customFormat="1" ht="17.25" customHeight="1">
      <c r="B640" s="447" t="str">
        <f t="shared" si="366"/>
        <v>CU0904</v>
      </c>
      <c r="C640" s="431" t="s">
        <v>755</v>
      </c>
      <c r="D640" s="490" t="s">
        <v>1460</v>
      </c>
      <c r="E640" s="463" t="s">
        <v>955</v>
      </c>
      <c r="F640" s="439">
        <v>43967</v>
      </c>
      <c r="G640" s="430">
        <v>43826.73</v>
      </c>
      <c r="H640" s="440"/>
      <c r="I640" s="440"/>
      <c r="J640" s="440"/>
      <c r="L640" s="462"/>
      <c r="M640" s="462"/>
      <c r="N640" s="444"/>
      <c r="O640" s="462"/>
      <c r="R640" s="462"/>
      <c r="U640" s="462"/>
      <c r="X640" s="462"/>
      <c r="AA640" s="462"/>
      <c r="AD640" s="462"/>
      <c r="AG640" s="462"/>
      <c r="AJ640" s="462"/>
      <c r="AM640" s="462"/>
      <c r="AP640" s="462"/>
      <c r="AS640" s="424"/>
      <c r="AV640" s="462"/>
      <c r="AY640" s="462"/>
      <c r="BB640" s="462">
        <f t="shared" si="394"/>
        <v>43826.73</v>
      </c>
      <c r="BE640" s="462">
        <f t="shared" si="367"/>
        <v>43826.73</v>
      </c>
      <c r="BF640" s="447" t="s">
        <v>2259</v>
      </c>
      <c r="BH640" s="462">
        <f t="shared" si="368"/>
        <v>43826.73</v>
      </c>
      <c r="BI640" s="447" t="s">
        <v>2297</v>
      </c>
      <c r="BK640" s="462">
        <f t="shared" si="369"/>
        <v>43826.73</v>
      </c>
      <c r="BL640" s="447" t="s">
        <v>2341</v>
      </c>
      <c r="BN640" s="462">
        <f t="shared" si="370"/>
        <v>43826.73</v>
      </c>
      <c r="BO640" s="447" t="s">
        <v>2364</v>
      </c>
      <c r="BQ640" s="462">
        <f t="shared" si="371"/>
        <v>43826.73</v>
      </c>
      <c r="BS640" s="462">
        <f>BQ640</f>
        <v>43826.73</v>
      </c>
      <c r="BT640" s="462">
        <f t="shared" si="372"/>
        <v>0</v>
      </c>
      <c r="BW640" s="462">
        <f t="shared" si="373"/>
        <v>0</v>
      </c>
      <c r="BZ640" s="462">
        <f t="shared" si="374"/>
        <v>0</v>
      </c>
      <c r="CD640" s="418" t="str">
        <f t="shared" si="375"/>
        <v>CU0904001</v>
      </c>
      <c r="CE640" s="442" t="str">
        <f t="shared" si="376"/>
        <v>2020年5月</v>
      </c>
      <c r="CF640" s="418" t="str">
        <f t="shared" si="377"/>
        <v>紫光电子商clife服务费暂估</v>
      </c>
      <c r="CG640" s="418" t="str">
        <f t="shared" si="378"/>
        <v>2020年5月紫光电子商clife服务费暂估</v>
      </c>
    </row>
    <row r="641" spans="2:85" s="447" customFormat="1" ht="17.25" customHeight="1">
      <c r="B641" s="447" t="str">
        <f t="shared" si="366"/>
        <v>CU0914</v>
      </c>
      <c r="C641" s="431" t="s">
        <v>755</v>
      </c>
      <c r="D641" s="490" t="s">
        <v>1721</v>
      </c>
      <c r="E641" s="463" t="s">
        <v>1535</v>
      </c>
      <c r="F641" s="439">
        <v>43968</v>
      </c>
      <c r="G641" s="430">
        <v>572536.23</v>
      </c>
      <c r="H641" s="440"/>
      <c r="I641" s="440"/>
      <c r="J641" s="440"/>
      <c r="L641" s="462"/>
      <c r="M641" s="462"/>
      <c r="N641" s="444"/>
      <c r="O641" s="462"/>
      <c r="R641" s="462"/>
      <c r="U641" s="462"/>
      <c r="X641" s="462"/>
      <c r="AA641" s="462"/>
      <c r="AD641" s="462"/>
      <c r="AG641" s="462"/>
      <c r="AJ641" s="462"/>
      <c r="AM641" s="462"/>
      <c r="AP641" s="462"/>
      <c r="AS641" s="424"/>
      <c r="AV641" s="462"/>
      <c r="AY641" s="462"/>
      <c r="BB641" s="462">
        <f t="shared" si="394"/>
        <v>572536.23</v>
      </c>
      <c r="BE641" s="462">
        <f t="shared" si="367"/>
        <v>572536.23</v>
      </c>
      <c r="BF641" s="447" t="s">
        <v>2259</v>
      </c>
      <c r="BG641" s="447">
        <f>ROUND((430400+322800)/1.06,2)-395146.57+34200</f>
        <v>349619.47000000003</v>
      </c>
      <c r="BH641" s="462">
        <f t="shared" si="368"/>
        <v>222916.75999999995</v>
      </c>
      <c r="BI641" s="447" t="s">
        <v>2297</v>
      </c>
      <c r="BJ641" s="462">
        <f>BH641</f>
        <v>222916.75999999995</v>
      </c>
      <c r="BK641" s="462">
        <f t="shared" si="369"/>
        <v>0</v>
      </c>
      <c r="BN641" s="462">
        <f t="shared" si="370"/>
        <v>0</v>
      </c>
      <c r="BQ641" s="462">
        <f t="shared" si="371"/>
        <v>0</v>
      </c>
      <c r="BT641" s="462">
        <f t="shared" si="372"/>
        <v>0</v>
      </c>
      <c r="BW641" s="462">
        <f t="shared" si="373"/>
        <v>0</v>
      </c>
      <c r="BZ641" s="462">
        <f t="shared" si="374"/>
        <v>0</v>
      </c>
      <c r="CD641" s="418" t="str">
        <f t="shared" si="375"/>
        <v>CU0914001</v>
      </c>
      <c r="CE641" s="442" t="str">
        <f t="shared" si="376"/>
        <v>2020年5月</v>
      </c>
      <c r="CF641" s="418" t="str">
        <f t="shared" si="377"/>
        <v>鑫车投资（clife服务费暂估</v>
      </c>
      <c r="CG641" s="418" t="str">
        <f t="shared" si="378"/>
        <v>2020年5月鑫车投资（clife服务费暂估</v>
      </c>
    </row>
    <row r="642" spans="2:85" s="447" customFormat="1" ht="17.25" customHeight="1">
      <c r="B642" s="447" t="str">
        <f t="shared" si="366"/>
        <v>CU1016</v>
      </c>
      <c r="C642" s="431" t="s">
        <v>755</v>
      </c>
      <c r="D642" s="490" t="s">
        <v>1524</v>
      </c>
      <c r="E642" s="463" t="s">
        <v>1536</v>
      </c>
      <c r="F642" s="439">
        <v>43969</v>
      </c>
      <c r="G642" s="430">
        <v>8797.3799999999992</v>
      </c>
      <c r="H642" s="440"/>
      <c r="I642" s="440"/>
      <c r="J642" s="440"/>
      <c r="L642" s="462"/>
      <c r="M642" s="462"/>
      <c r="N642" s="444"/>
      <c r="O642" s="462"/>
      <c r="R642" s="462"/>
      <c r="U642" s="462"/>
      <c r="X642" s="462"/>
      <c r="AA642" s="462"/>
      <c r="AD642" s="462"/>
      <c r="AG642" s="462"/>
      <c r="AJ642" s="462"/>
      <c r="AM642" s="462"/>
      <c r="AP642" s="462"/>
      <c r="AS642" s="424"/>
      <c r="AV642" s="462"/>
      <c r="AY642" s="462"/>
      <c r="BB642" s="462">
        <f t="shared" si="394"/>
        <v>8797.3799999999992</v>
      </c>
      <c r="BE642" s="462">
        <f t="shared" si="367"/>
        <v>8797.3799999999992</v>
      </c>
      <c r="BF642" s="447" t="s">
        <v>2259</v>
      </c>
      <c r="BH642" s="462">
        <f t="shared" si="368"/>
        <v>8797.3799999999992</v>
      </c>
      <c r="BI642" s="447" t="s">
        <v>2297</v>
      </c>
      <c r="BK642" s="462">
        <f t="shared" si="369"/>
        <v>8797.3799999999992</v>
      </c>
      <c r="BL642" s="447" t="s">
        <v>2341</v>
      </c>
      <c r="BN642" s="462">
        <f t="shared" si="370"/>
        <v>8797.3799999999992</v>
      </c>
      <c r="BO642" s="447" t="s">
        <v>2364</v>
      </c>
      <c r="BQ642" s="462">
        <f t="shared" si="371"/>
        <v>8797.3799999999992</v>
      </c>
      <c r="BS642" s="462">
        <f>BQ642</f>
        <v>8797.3799999999992</v>
      </c>
      <c r="BT642" s="462">
        <f t="shared" si="372"/>
        <v>0</v>
      </c>
      <c r="BW642" s="462">
        <f t="shared" si="373"/>
        <v>0</v>
      </c>
      <c r="BZ642" s="462">
        <f t="shared" si="374"/>
        <v>0</v>
      </c>
      <c r="CD642" s="418" t="str">
        <f t="shared" si="375"/>
        <v>CU1016001</v>
      </c>
      <c r="CE642" s="442" t="str">
        <f t="shared" si="376"/>
        <v>2020年5月</v>
      </c>
      <c r="CF642" s="418" t="str">
        <f t="shared" si="377"/>
        <v>乔治阿玛尼clife服务费暂估</v>
      </c>
      <c r="CG642" s="418" t="str">
        <f t="shared" si="378"/>
        <v>2020年5月乔治阿玛尼clife服务费暂估</v>
      </c>
    </row>
    <row r="643" spans="2:85" s="447" customFormat="1" ht="17.25" customHeight="1">
      <c r="B643" s="447" t="str">
        <f t="shared" ref="B643:B706" si="395">LEFT(D643,6)</f>
        <v>CU1065</v>
      </c>
      <c r="C643" s="431" t="s">
        <v>755</v>
      </c>
      <c r="D643" s="490" t="s">
        <v>1573</v>
      </c>
      <c r="E643" s="463" t="s">
        <v>1332</v>
      </c>
      <c r="F643" s="439">
        <v>43970</v>
      </c>
      <c r="G643" s="430">
        <v>130284.71</v>
      </c>
      <c r="H643" s="440"/>
      <c r="I643" s="440"/>
      <c r="J643" s="440"/>
      <c r="L643" s="462"/>
      <c r="M643" s="462"/>
      <c r="N643" s="444"/>
      <c r="O643" s="462"/>
      <c r="R643" s="462"/>
      <c r="U643" s="462"/>
      <c r="X643" s="462"/>
      <c r="AA643" s="462"/>
      <c r="AD643" s="462"/>
      <c r="AG643" s="462"/>
      <c r="AJ643" s="462"/>
      <c r="AM643" s="462"/>
      <c r="AP643" s="462"/>
      <c r="AS643" s="424"/>
      <c r="AV643" s="462"/>
      <c r="AY643" s="462"/>
      <c r="BB643" s="462">
        <f t="shared" si="394"/>
        <v>130284.71</v>
      </c>
      <c r="BE643" s="462">
        <f t="shared" si="367"/>
        <v>130284.71</v>
      </c>
      <c r="BF643" s="447" t="s">
        <v>2259</v>
      </c>
      <c r="BH643" s="462">
        <f t="shared" si="368"/>
        <v>130284.71</v>
      </c>
      <c r="BI643" s="447" t="s">
        <v>2297</v>
      </c>
      <c r="BJ643" s="462">
        <f>BH643</f>
        <v>130284.71</v>
      </c>
      <c r="BK643" s="462">
        <f t="shared" si="369"/>
        <v>0</v>
      </c>
      <c r="BN643" s="462">
        <f t="shared" si="370"/>
        <v>0</v>
      </c>
      <c r="BQ643" s="462">
        <f t="shared" si="371"/>
        <v>0</v>
      </c>
      <c r="BT643" s="462">
        <f t="shared" si="372"/>
        <v>0</v>
      </c>
      <c r="BW643" s="462">
        <f t="shared" si="373"/>
        <v>0</v>
      </c>
      <c r="BZ643" s="462">
        <f t="shared" si="374"/>
        <v>0</v>
      </c>
      <c r="CD643" s="418" t="str">
        <f t="shared" si="375"/>
        <v>CU1065001</v>
      </c>
      <c r="CE643" s="442" t="str">
        <f t="shared" si="376"/>
        <v>2020年5月</v>
      </c>
      <c r="CF643" s="418" t="str">
        <f t="shared" si="377"/>
        <v>湖北长江蔚clife服务费暂估</v>
      </c>
      <c r="CG643" s="418" t="str">
        <f t="shared" si="378"/>
        <v>2020年5月湖北长江蔚clife服务费暂估</v>
      </c>
    </row>
    <row r="644" spans="2:85" s="447" customFormat="1" ht="17.25" customHeight="1">
      <c r="B644" s="447" t="str">
        <f t="shared" si="395"/>
        <v>CU1198</v>
      </c>
      <c r="C644" s="431" t="s">
        <v>755</v>
      </c>
      <c r="D644" s="490" t="s">
        <v>1538</v>
      </c>
      <c r="E644" s="463" t="s">
        <v>1537</v>
      </c>
      <c r="F644" s="439">
        <v>43971</v>
      </c>
      <c r="G644" s="430">
        <v>23811.800000000003</v>
      </c>
      <c r="H644" s="440"/>
      <c r="I644" s="440"/>
      <c r="J644" s="440"/>
      <c r="L644" s="462"/>
      <c r="M644" s="462"/>
      <c r="N644" s="444"/>
      <c r="O644" s="462"/>
      <c r="R644" s="462"/>
      <c r="U644" s="462"/>
      <c r="X644" s="462"/>
      <c r="AA644" s="462"/>
      <c r="AD644" s="462"/>
      <c r="AG644" s="462"/>
      <c r="AJ644" s="462"/>
      <c r="AM644" s="462"/>
      <c r="AP644" s="462"/>
      <c r="AS644" s="424"/>
      <c r="AV644" s="462"/>
      <c r="AY644" s="462"/>
      <c r="BB644" s="462">
        <f t="shared" si="394"/>
        <v>23811.800000000003</v>
      </c>
      <c r="BE644" s="462">
        <f t="shared" ref="BE644:BE656" si="396">BB644-BD644</f>
        <v>23811.800000000003</v>
      </c>
      <c r="BF644" s="447" t="s">
        <v>2259</v>
      </c>
      <c r="BH644" s="462">
        <f t="shared" ref="BH644:BH695" si="397">BE644-BG644</f>
        <v>23811.800000000003</v>
      </c>
      <c r="BI644" s="447" t="s">
        <v>2297</v>
      </c>
      <c r="BJ644" s="462">
        <f>BH644</f>
        <v>23811.800000000003</v>
      </c>
      <c r="BK644" s="462">
        <f t="shared" ref="BK644:BK695" si="398">BH644-BJ644</f>
        <v>0</v>
      </c>
      <c r="BN644" s="462">
        <f t="shared" ref="BN644:BN707" si="399">BK644-BM644</f>
        <v>0</v>
      </c>
      <c r="BQ644" s="462">
        <f t="shared" ref="BQ644:BQ707" si="400">ROUND((BN644-BP644),2)</f>
        <v>0</v>
      </c>
      <c r="BT644" s="462">
        <f t="shared" ref="BT644:BT707" si="401">ROUND((BQ644-BS644),2)</f>
        <v>0</v>
      </c>
      <c r="BW644" s="462">
        <f t="shared" ref="BW644:BW707" si="402">ROUND((BT644-BV644),2)</f>
        <v>0</v>
      </c>
      <c r="BZ644" s="462">
        <f t="shared" ref="BZ644:BZ707" si="403">ROUND((BW644-BY644),2)</f>
        <v>0</v>
      </c>
      <c r="CD644" s="418" t="str">
        <f t="shared" ref="CD644:CD695" si="404">B644&amp;$B$1</f>
        <v>CU1198001</v>
      </c>
      <c r="CE644" s="442" t="str">
        <f t="shared" ref="CE644:CE695" si="405">YEAR(F644)&amp;"年"&amp;MONTH(F644)&amp;"月"</f>
        <v>2020年5月</v>
      </c>
      <c r="CF644" s="418" t="str">
        <f t="shared" ref="CF644:CF695" si="406">LEFT(E644,5)&amp;$E$1</f>
        <v>通用公正技clife服务费暂估</v>
      </c>
      <c r="CG644" s="418" t="str">
        <f t="shared" ref="CG644:CG695" si="407">CE644&amp;CF644</f>
        <v>2020年5月通用公正技clife服务费暂估</v>
      </c>
    </row>
    <row r="645" spans="2:85" s="447" customFormat="1" ht="17.25" customHeight="1">
      <c r="B645" s="447" t="str">
        <f t="shared" si="395"/>
        <v>CU1204</v>
      </c>
      <c r="C645" s="431" t="s">
        <v>755</v>
      </c>
      <c r="D645" s="490" t="s">
        <v>1656</v>
      </c>
      <c r="E645" s="463" t="s">
        <v>1582</v>
      </c>
      <c r="F645" s="439">
        <v>43972</v>
      </c>
      <c r="G645" s="430">
        <v>18712</v>
      </c>
      <c r="H645" s="440"/>
      <c r="I645" s="440"/>
      <c r="J645" s="440"/>
      <c r="L645" s="462"/>
      <c r="M645" s="462"/>
      <c r="N645" s="444"/>
      <c r="O645" s="462"/>
      <c r="R645" s="462"/>
      <c r="U645" s="462"/>
      <c r="X645" s="462"/>
      <c r="AA645" s="462"/>
      <c r="AD645" s="462"/>
      <c r="AG645" s="462"/>
      <c r="AJ645" s="462"/>
      <c r="AM645" s="462"/>
      <c r="AP645" s="462"/>
      <c r="AS645" s="424"/>
      <c r="AV645" s="462"/>
      <c r="AY645" s="462"/>
      <c r="BB645" s="462">
        <f t="shared" si="394"/>
        <v>18712</v>
      </c>
      <c r="BE645" s="462">
        <f t="shared" si="396"/>
        <v>18712</v>
      </c>
      <c r="BF645" s="447" t="s">
        <v>2259</v>
      </c>
      <c r="BH645" s="462">
        <f t="shared" si="397"/>
        <v>18712</v>
      </c>
      <c r="BI645" s="447" t="s">
        <v>2297</v>
      </c>
      <c r="BK645" s="462">
        <f t="shared" si="398"/>
        <v>18712</v>
      </c>
      <c r="BL645" s="447" t="s">
        <v>2341</v>
      </c>
      <c r="BM645" s="462">
        <f>BK645</f>
        <v>18712</v>
      </c>
      <c r="BN645" s="462">
        <f t="shared" si="399"/>
        <v>0</v>
      </c>
      <c r="BQ645" s="462">
        <f t="shared" si="400"/>
        <v>0</v>
      </c>
      <c r="BT645" s="462">
        <f t="shared" si="401"/>
        <v>0</v>
      </c>
      <c r="BW645" s="462">
        <f t="shared" si="402"/>
        <v>0</v>
      </c>
      <c r="BZ645" s="462">
        <f t="shared" si="403"/>
        <v>0</v>
      </c>
      <c r="CD645" s="418" t="str">
        <f t="shared" si="404"/>
        <v>CU1204001</v>
      </c>
      <c r="CE645" s="442" t="str">
        <f t="shared" si="405"/>
        <v>2020年5月</v>
      </c>
      <c r="CF645" s="418" t="str">
        <f t="shared" si="406"/>
        <v>固特异轮胎clife服务费暂估</v>
      </c>
      <c r="CG645" s="418" t="str">
        <f t="shared" si="407"/>
        <v>2020年5月固特异轮胎clife服务费暂估</v>
      </c>
    </row>
    <row r="646" spans="2:85" s="447" customFormat="1" ht="17.25" customHeight="1">
      <c r="B646" s="447" t="str">
        <f t="shared" si="395"/>
        <v>CU1223</v>
      </c>
      <c r="C646" s="431" t="s">
        <v>755</v>
      </c>
      <c r="D646" s="490" t="s">
        <v>1842</v>
      </c>
      <c r="E646" s="463" t="s">
        <v>1838</v>
      </c>
      <c r="F646" s="439">
        <v>43973</v>
      </c>
      <c r="G646" s="430">
        <v>12663.43</v>
      </c>
      <c r="H646" s="440"/>
      <c r="I646" s="440"/>
      <c r="J646" s="440"/>
      <c r="L646" s="462"/>
      <c r="M646" s="462"/>
      <c r="N646" s="444"/>
      <c r="O646" s="462"/>
      <c r="R646" s="462"/>
      <c r="U646" s="462"/>
      <c r="X646" s="462"/>
      <c r="AA646" s="462"/>
      <c r="AD646" s="462"/>
      <c r="AG646" s="462"/>
      <c r="AJ646" s="462"/>
      <c r="AM646" s="462"/>
      <c r="AP646" s="462"/>
      <c r="AS646" s="424"/>
      <c r="AV646" s="462"/>
      <c r="AY646" s="462"/>
      <c r="BB646" s="462">
        <f t="shared" si="394"/>
        <v>12663.43</v>
      </c>
      <c r="BE646" s="462">
        <f t="shared" si="396"/>
        <v>12663.43</v>
      </c>
      <c r="BF646" s="447" t="s">
        <v>2259</v>
      </c>
      <c r="BH646" s="462">
        <f t="shared" si="397"/>
        <v>12663.43</v>
      </c>
      <c r="BI646" s="447" t="s">
        <v>2297</v>
      </c>
      <c r="BJ646" s="462">
        <f>BH646</f>
        <v>12663.43</v>
      </c>
      <c r="BK646" s="462">
        <f t="shared" si="398"/>
        <v>0</v>
      </c>
      <c r="BN646" s="462">
        <f t="shared" si="399"/>
        <v>0</v>
      </c>
      <c r="BQ646" s="462">
        <f t="shared" si="400"/>
        <v>0</v>
      </c>
      <c r="BT646" s="462">
        <f t="shared" si="401"/>
        <v>0</v>
      </c>
      <c r="BW646" s="462">
        <f t="shared" si="402"/>
        <v>0</v>
      </c>
      <c r="BZ646" s="462">
        <f t="shared" si="403"/>
        <v>0</v>
      </c>
      <c r="CD646" s="418" t="str">
        <f t="shared" si="404"/>
        <v>CU1223001</v>
      </c>
      <c r="CE646" s="442" t="str">
        <f t="shared" si="405"/>
        <v>2020年5月</v>
      </c>
      <c r="CF646" s="418" t="str">
        <f t="shared" si="406"/>
        <v>上海品盛化clife服务费暂估</v>
      </c>
      <c r="CG646" s="418" t="str">
        <f t="shared" si="407"/>
        <v>2020年5月上海品盛化clife服务费暂估</v>
      </c>
    </row>
    <row r="647" spans="2:85" s="447" customFormat="1" ht="17.25" customHeight="1">
      <c r="B647" s="447" t="str">
        <f t="shared" si="395"/>
        <v>CU1354</v>
      </c>
      <c r="C647" s="431" t="s">
        <v>755</v>
      </c>
      <c r="D647" s="490" t="s">
        <v>1723</v>
      </c>
      <c r="E647" s="463" t="s">
        <v>1840</v>
      </c>
      <c r="F647" s="439">
        <v>43974</v>
      </c>
      <c r="G647" s="430">
        <v>26186.53</v>
      </c>
      <c r="H647" s="440"/>
      <c r="I647" s="440"/>
      <c r="J647" s="440"/>
      <c r="L647" s="462"/>
      <c r="M647" s="462"/>
      <c r="N647" s="444"/>
      <c r="O647" s="462"/>
      <c r="R647" s="462"/>
      <c r="U647" s="462"/>
      <c r="X647" s="462"/>
      <c r="AA647" s="462"/>
      <c r="AD647" s="462"/>
      <c r="AG647" s="462"/>
      <c r="AJ647" s="462"/>
      <c r="AM647" s="462"/>
      <c r="AP647" s="462"/>
      <c r="AS647" s="424"/>
      <c r="AV647" s="462"/>
      <c r="AY647" s="462"/>
      <c r="BB647" s="462">
        <f t="shared" si="394"/>
        <v>26186.53</v>
      </c>
      <c r="BE647" s="462">
        <f t="shared" si="396"/>
        <v>26186.53</v>
      </c>
      <c r="BF647" s="447" t="s">
        <v>2259</v>
      </c>
      <c r="BH647" s="462">
        <f t="shared" si="397"/>
        <v>26186.53</v>
      </c>
      <c r="BI647" s="447" t="s">
        <v>2297</v>
      </c>
      <c r="BK647" s="462">
        <f t="shared" si="398"/>
        <v>26186.53</v>
      </c>
      <c r="BL647" s="447" t="s">
        <v>2341</v>
      </c>
      <c r="BN647" s="462">
        <f t="shared" si="399"/>
        <v>26186.53</v>
      </c>
      <c r="BO647" s="447" t="s">
        <v>2364</v>
      </c>
      <c r="BP647" s="462">
        <f>BN647</f>
        <v>26186.53</v>
      </c>
      <c r="BQ647" s="462">
        <f t="shared" si="400"/>
        <v>0</v>
      </c>
      <c r="BT647" s="462">
        <f t="shared" si="401"/>
        <v>0</v>
      </c>
      <c r="BW647" s="462">
        <f t="shared" si="402"/>
        <v>0</v>
      </c>
      <c r="BZ647" s="462">
        <f t="shared" si="403"/>
        <v>0</v>
      </c>
      <c r="CD647" s="418" t="str">
        <f t="shared" si="404"/>
        <v>CU1354001</v>
      </c>
      <c r="CE647" s="442" t="str">
        <f t="shared" si="405"/>
        <v>2020年5月</v>
      </c>
      <c r="CF647" s="418" t="str">
        <f t="shared" si="406"/>
        <v>威内源企业clife服务费暂估</v>
      </c>
      <c r="CG647" s="418" t="str">
        <f t="shared" si="407"/>
        <v>2020年5月威内源企业clife服务费暂估</v>
      </c>
    </row>
    <row r="648" spans="2:85" s="447" customFormat="1" ht="17.25" customHeight="1">
      <c r="B648" s="447" t="str">
        <f t="shared" si="395"/>
        <v>CU1375</v>
      </c>
      <c r="C648" s="431" t="s">
        <v>755</v>
      </c>
      <c r="D648" s="490" t="s">
        <v>1677</v>
      </c>
      <c r="E648" s="463" t="s">
        <v>1676</v>
      </c>
      <c r="F648" s="439">
        <v>43975</v>
      </c>
      <c r="G648" s="430">
        <v>89389.25</v>
      </c>
      <c r="H648" s="440"/>
      <c r="I648" s="440"/>
      <c r="J648" s="440"/>
      <c r="L648" s="462"/>
      <c r="M648" s="462"/>
      <c r="N648" s="444"/>
      <c r="O648" s="462"/>
      <c r="R648" s="462"/>
      <c r="U648" s="462"/>
      <c r="X648" s="462"/>
      <c r="AA648" s="462"/>
      <c r="AD648" s="462"/>
      <c r="AG648" s="462"/>
      <c r="AJ648" s="462"/>
      <c r="AM648" s="462"/>
      <c r="AP648" s="462"/>
      <c r="AS648" s="424"/>
      <c r="AV648" s="462"/>
      <c r="AY648" s="462"/>
      <c r="BB648" s="462">
        <f t="shared" si="394"/>
        <v>89389.25</v>
      </c>
      <c r="BE648" s="462">
        <f t="shared" si="396"/>
        <v>89389.25</v>
      </c>
      <c r="BF648" s="447" t="s">
        <v>2259</v>
      </c>
      <c r="BH648" s="462">
        <f t="shared" si="397"/>
        <v>89389.25</v>
      </c>
      <c r="BI648" s="447" t="s">
        <v>2297</v>
      </c>
      <c r="BK648" s="462">
        <f t="shared" si="398"/>
        <v>89389.25</v>
      </c>
      <c r="BL648" s="447" t="s">
        <v>2341</v>
      </c>
      <c r="BN648" s="462">
        <f t="shared" si="399"/>
        <v>89389.25</v>
      </c>
      <c r="BO648" s="447" t="s">
        <v>2364</v>
      </c>
      <c r="BQ648" s="462">
        <f t="shared" si="400"/>
        <v>89389.25</v>
      </c>
      <c r="BT648" s="462">
        <f t="shared" si="401"/>
        <v>89389.25</v>
      </c>
      <c r="BU648" s="447" t="s">
        <v>2134</v>
      </c>
      <c r="BV648" s="462">
        <f>BT648</f>
        <v>89389.25</v>
      </c>
      <c r="BW648" s="462">
        <f t="shared" si="402"/>
        <v>0</v>
      </c>
      <c r="BZ648" s="462">
        <f t="shared" si="403"/>
        <v>0</v>
      </c>
      <c r="CD648" s="418" t="str">
        <f t="shared" si="404"/>
        <v>CU1375001</v>
      </c>
      <c r="CE648" s="442" t="str">
        <f t="shared" si="405"/>
        <v>2020年5月</v>
      </c>
      <c r="CF648" s="418" t="str">
        <f t="shared" si="406"/>
        <v>上海库润信clife服务费暂估</v>
      </c>
      <c r="CG648" s="418" t="str">
        <f t="shared" si="407"/>
        <v>2020年5月上海库润信clife服务费暂估</v>
      </c>
    </row>
    <row r="649" spans="2:85" s="447" customFormat="1" ht="17.25" customHeight="1">
      <c r="B649" s="447" t="str">
        <f t="shared" si="395"/>
        <v>CU1430</v>
      </c>
      <c r="C649" s="431" t="s">
        <v>755</v>
      </c>
      <c r="D649" s="490" t="s">
        <v>1847</v>
      </c>
      <c r="E649" s="463" t="s">
        <v>1844</v>
      </c>
      <c r="F649" s="439">
        <v>43976</v>
      </c>
      <c r="G649" s="430">
        <v>7645.18</v>
      </c>
      <c r="H649" s="440"/>
      <c r="I649" s="440"/>
      <c r="J649" s="440"/>
      <c r="L649" s="462"/>
      <c r="M649" s="462"/>
      <c r="N649" s="444"/>
      <c r="O649" s="462"/>
      <c r="R649" s="462"/>
      <c r="U649" s="462"/>
      <c r="X649" s="462"/>
      <c r="AA649" s="462"/>
      <c r="AD649" s="462"/>
      <c r="AG649" s="462"/>
      <c r="AJ649" s="462"/>
      <c r="AM649" s="462"/>
      <c r="AP649" s="462"/>
      <c r="AS649" s="424"/>
      <c r="AV649" s="462"/>
      <c r="AY649" s="462"/>
      <c r="BB649" s="462">
        <f t="shared" si="394"/>
        <v>7645.18</v>
      </c>
      <c r="BE649" s="462">
        <f t="shared" si="396"/>
        <v>7645.18</v>
      </c>
      <c r="BF649" s="447" t="s">
        <v>2259</v>
      </c>
      <c r="BH649" s="462">
        <f t="shared" si="397"/>
        <v>7645.18</v>
      </c>
      <c r="BI649" s="447" t="s">
        <v>2297</v>
      </c>
      <c r="BK649" s="462">
        <f t="shared" si="398"/>
        <v>7645.18</v>
      </c>
      <c r="BL649" s="447" t="s">
        <v>2341</v>
      </c>
      <c r="BN649" s="462">
        <f t="shared" si="399"/>
        <v>7645.18</v>
      </c>
      <c r="BO649" s="447" t="s">
        <v>2364</v>
      </c>
      <c r="BQ649" s="462">
        <f t="shared" si="400"/>
        <v>7645.18</v>
      </c>
      <c r="BT649" s="462">
        <f t="shared" si="401"/>
        <v>7645.18</v>
      </c>
      <c r="BU649" s="447" t="s">
        <v>2134</v>
      </c>
      <c r="BW649" s="462">
        <f t="shared" si="402"/>
        <v>7645.18</v>
      </c>
      <c r="BZ649" s="462">
        <f t="shared" si="403"/>
        <v>7645.18</v>
      </c>
      <c r="CD649" s="418" t="str">
        <f t="shared" si="404"/>
        <v>CU1430001</v>
      </c>
      <c r="CE649" s="442" t="str">
        <f t="shared" si="405"/>
        <v>2020年5月</v>
      </c>
      <c r="CF649" s="418" t="str">
        <f t="shared" si="406"/>
        <v>连云港锐巴clife服务费暂估</v>
      </c>
      <c r="CG649" s="418" t="str">
        <f t="shared" si="407"/>
        <v>2020年5月连云港锐巴clife服务费暂估</v>
      </c>
    </row>
    <row r="650" spans="2:85" s="447" customFormat="1" ht="17.25" customHeight="1">
      <c r="B650" s="447" t="str">
        <f t="shared" si="395"/>
        <v>CU1705</v>
      </c>
      <c r="C650" s="431" t="s">
        <v>755</v>
      </c>
      <c r="D650" s="490" t="s">
        <v>1848</v>
      </c>
      <c r="E650" s="463" t="s">
        <v>1845</v>
      </c>
      <c r="F650" s="439">
        <v>43977</v>
      </c>
      <c r="G650" s="430">
        <v>30925.29</v>
      </c>
      <c r="H650" s="440"/>
      <c r="I650" s="440"/>
      <c r="J650" s="440"/>
      <c r="L650" s="462"/>
      <c r="M650" s="462"/>
      <c r="N650" s="444"/>
      <c r="O650" s="462"/>
      <c r="R650" s="462"/>
      <c r="U650" s="462"/>
      <c r="X650" s="462"/>
      <c r="AA650" s="462"/>
      <c r="AD650" s="462"/>
      <c r="AG650" s="462"/>
      <c r="AJ650" s="462"/>
      <c r="AM650" s="462"/>
      <c r="AP650" s="462"/>
      <c r="AS650" s="424"/>
      <c r="AV650" s="462"/>
      <c r="AY650" s="462"/>
      <c r="BB650" s="462">
        <f t="shared" si="394"/>
        <v>30925.29</v>
      </c>
      <c r="BE650" s="462">
        <f t="shared" si="396"/>
        <v>30925.29</v>
      </c>
      <c r="BF650" s="447" t="s">
        <v>2259</v>
      </c>
      <c r="BG650" s="462">
        <f>30334.9-BG618</f>
        <v>26125.910000000025</v>
      </c>
      <c r="BH650" s="462">
        <f t="shared" si="397"/>
        <v>4799.3799999999756</v>
      </c>
      <c r="BI650" s="447" t="s">
        <v>2297</v>
      </c>
      <c r="BJ650" s="462">
        <f>BH650</f>
        <v>4799.3799999999756</v>
      </c>
      <c r="BK650" s="462">
        <f t="shared" si="398"/>
        <v>0</v>
      </c>
      <c r="BN650" s="462">
        <f t="shared" si="399"/>
        <v>0</v>
      </c>
      <c r="BQ650" s="462">
        <f t="shared" si="400"/>
        <v>0</v>
      </c>
      <c r="BT650" s="462">
        <f t="shared" si="401"/>
        <v>0</v>
      </c>
      <c r="BW650" s="462">
        <f t="shared" si="402"/>
        <v>0</v>
      </c>
      <c r="BZ650" s="462">
        <f t="shared" si="403"/>
        <v>0</v>
      </c>
      <c r="CD650" s="418" t="str">
        <f t="shared" si="404"/>
        <v>CU1705001</v>
      </c>
      <c r="CE650" s="442" t="str">
        <f t="shared" si="405"/>
        <v>2020年5月</v>
      </c>
      <c r="CF650" s="418" t="str">
        <f t="shared" si="406"/>
        <v>通标标准技clife服务费暂估</v>
      </c>
      <c r="CG650" s="418" t="str">
        <f t="shared" si="407"/>
        <v>2020年5月通标标准技clife服务费暂估</v>
      </c>
    </row>
    <row r="651" spans="2:85" s="447" customFormat="1" ht="17.25" customHeight="1">
      <c r="B651" s="447" t="str">
        <f t="shared" si="395"/>
        <v>CU1718</v>
      </c>
      <c r="C651" s="431" t="s">
        <v>755</v>
      </c>
      <c r="D651" s="490" t="s">
        <v>1849</v>
      </c>
      <c r="E651" s="463" t="s">
        <v>1984</v>
      </c>
      <c r="F651" s="439">
        <v>43978</v>
      </c>
      <c r="G651" s="430">
        <v>1950</v>
      </c>
      <c r="H651" s="440"/>
      <c r="I651" s="440"/>
      <c r="J651" s="440"/>
      <c r="L651" s="462"/>
      <c r="M651" s="462"/>
      <c r="N651" s="444"/>
      <c r="O651" s="462"/>
      <c r="R651" s="462"/>
      <c r="U651" s="462"/>
      <c r="X651" s="462"/>
      <c r="AA651" s="462"/>
      <c r="AD651" s="462"/>
      <c r="AG651" s="462"/>
      <c r="AJ651" s="462"/>
      <c r="AM651" s="462"/>
      <c r="AP651" s="462"/>
      <c r="AS651" s="424"/>
      <c r="AV651" s="462"/>
      <c r="AY651" s="462"/>
      <c r="BB651" s="462">
        <f t="shared" si="394"/>
        <v>1950</v>
      </c>
      <c r="BE651" s="462">
        <f t="shared" si="396"/>
        <v>1950</v>
      </c>
      <c r="BF651" s="447" t="s">
        <v>2259</v>
      </c>
      <c r="BH651" s="462">
        <f t="shared" si="397"/>
        <v>1950</v>
      </c>
      <c r="BI651" s="447" t="s">
        <v>2297</v>
      </c>
      <c r="BK651" s="462">
        <f t="shared" si="398"/>
        <v>1950</v>
      </c>
      <c r="BL651" s="447" t="s">
        <v>2341</v>
      </c>
      <c r="BM651" s="462">
        <f>BK651</f>
        <v>1950</v>
      </c>
      <c r="BN651" s="462">
        <f t="shared" si="399"/>
        <v>0</v>
      </c>
      <c r="BQ651" s="462">
        <f t="shared" si="400"/>
        <v>0</v>
      </c>
      <c r="BT651" s="462">
        <f t="shared" si="401"/>
        <v>0</v>
      </c>
      <c r="BW651" s="462">
        <f t="shared" si="402"/>
        <v>0</v>
      </c>
      <c r="BZ651" s="462">
        <f t="shared" si="403"/>
        <v>0</v>
      </c>
      <c r="CD651" s="418" t="str">
        <f t="shared" si="404"/>
        <v>CU1718001</v>
      </c>
      <c r="CE651" s="442" t="str">
        <f t="shared" si="405"/>
        <v>2020年5月</v>
      </c>
      <c r="CF651" s="418" t="str">
        <f t="shared" si="406"/>
        <v>Worldclife服务费暂估</v>
      </c>
      <c r="CG651" s="418" t="str">
        <f t="shared" si="407"/>
        <v>2020年5月Worldclife服务费暂估</v>
      </c>
    </row>
    <row r="652" spans="2:85" s="447" customFormat="1" ht="17.25" customHeight="1">
      <c r="B652" s="447" t="str">
        <f t="shared" si="395"/>
        <v>CU1745</v>
      </c>
      <c r="C652" s="431" t="s">
        <v>755</v>
      </c>
      <c r="D652" s="490" t="s">
        <v>1875</v>
      </c>
      <c r="E652" s="463" t="s">
        <v>2211</v>
      </c>
      <c r="F652" s="439">
        <v>43979</v>
      </c>
      <c r="G652" s="430">
        <v>2129.06</v>
      </c>
      <c r="H652" s="440"/>
      <c r="I652" s="440"/>
      <c r="J652" s="440"/>
      <c r="L652" s="462"/>
      <c r="M652" s="462"/>
      <c r="N652" s="444"/>
      <c r="O652" s="462"/>
      <c r="R652" s="462"/>
      <c r="U652" s="462"/>
      <c r="X652" s="462"/>
      <c r="AA652" s="462"/>
      <c r="AD652" s="462"/>
      <c r="AG652" s="462"/>
      <c r="AJ652" s="462"/>
      <c r="AM652" s="462"/>
      <c r="AP652" s="462"/>
      <c r="AS652" s="424"/>
      <c r="AV652" s="462"/>
      <c r="AY652" s="462"/>
      <c r="BB652" s="462">
        <f t="shared" si="394"/>
        <v>2129.06</v>
      </c>
      <c r="BE652" s="462">
        <f t="shared" si="396"/>
        <v>2129.06</v>
      </c>
      <c r="BF652" s="447" t="s">
        <v>2259</v>
      </c>
      <c r="BH652" s="462">
        <f t="shared" si="397"/>
        <v>2129.06</v>
      </c>
      <c r="BI652" s="447" t="s">
        <v>2297</v>
      </c>
      <c r="BK652" s="462">
        <f t="shared" si="398"/>
        <v>2129.06</v>
      </c>
      <c r="BL652" s="447" t="s">
        <v>2341</v>
      </c>
      <c r="BN652" s="462">
        <f t="shared" si="399"/>
        <v>2129.06</v>
      </c>
      <c r="BO652" s="447" t="s">
        <v>2364</v>
      </c>
      <c r="BQ652" s="462">
        <f t="shared" si="400"/>
        <v>2129.06</v>
      </c>
      <c r="BT652" s="462">
        <f t="shared" si="401"/>
        <v>2129.06</v>
      </c>
      <c r="BU652" s="447" t="s">
        <v>2134</v>
      </c>
      <c r="BW652" s="462">
        <f t="shared" si="402"/>
        <v>2129.06</v>
      </c>
      <c r="BZ652" s="462">
        <f t="shared" si="403"/>
        <v>2129.06</v>
      </c>
      <c r="CD652" s="418" t="str">
        <f t="shared" si="404"/>
        <v>CU1745001</v>
      </c>
      <c r="CE652" s="442" t="str">
        <f t="shared" si="405"/>
        <v>2020年5月</v>
      </c>
      <c r="CF652" s="418" t="str">
        <f t="shared" si="406"/>
        <v>格林机床（clife服务费暂估</v>
      </c>
      <c r="CG652" s="418" t="str">
        <f t="shared" si="407"/>
        <v>2020年5月格林机床（clife服务费暂估</v>
      </c>
    </row>
    <row r="653" spans="2:85" s="447" customFormat="1" ht="17.25" customHeight="1">
      <c r="B653" s="447" t="str">
        <f t="shared" si="395"/>
        <v>CU1844</v>
      </c>
      <c r="C653" s="431" t="s">
        <v>755</v>
      </c>
      <c r="D653" s="490" t="s">
        <v>2209</v>
      </c>
      <c r="E653" s="463" t="s">
        <v>2213</v>
      </c>
      <c r="F653" s="439">
        <v>43980</v>
      </c>
      <c r="G653" s="430">
        <v>229156.53</v>
      </c>
      <c r="H653" s="440"/>
      <c r="I653" s="440"/>
      <c r="J653" s="440"/>
      <c r="L653" s="462"/>
      <c r="M653" s="462"/>
      <c r="N653" s="444"/>
      <c r="O653" s="462"/>
      <c r="R653" s="462"/>
      <c r="U653" s="462"/>
      <c r="X653" s="462"/>
      <c r="AA653" s="462"/>
      <c r="AD653" s="462"/>
      <c r="AG653" s="462"/>
      <c r="AJ653" s="462"/>
      <c r="AM653" s="462"/>
      <c r="AP653" s="462"/>
      <c r="AS653" s="424"/>
      <c r="AV653" s="462"/>
      <c r="AY653" s="462"/>
      <c r="BB653" s="462">
        <f t="shared" si="394"/>
        <v>229156.53</v>
      </c>
      <c r="BE653" s="462">
        <f t="shared" si="396"/>
        <v>229156.53</v>
      </c>
      <c r="BF653" s="447" t="s">
        <v>2259</v>
      </c>
      <c r="BG653" s="447">
        <f>230788.42-BG622</f>
        <v>97767.700000000012</v>
      </c>
      <c r="BH653" s="462">
        <f t="shared" si="397"/>
        <v>131388.82999999999</v>
      </c>
      <c r="BI653" s="447" t="s">
        <v>2297</v>
      </c>
      <c r="BK653" s="462">
        <f t="shared" si="398"/>
        <v>131388.82999999999</v>
      </c>
      <c r="BL653" s="447" t="s">
        <v>2341</v>
      </c>
      <c r="BN653" s="462">
        <f t="shared" si="399"/>
        <v>131388.82999999999</v>
      </c>
      <c r="BO653" s="447" t="s">
        <v>2364</v>
      </c>
      <c r="BQ653" s="462">
        <f t="shared" si="400"/>
        <v>131388.82999999999</v>
      </c>
      <c r="BT653" s="462">
        <f t="shared" si="401"/>
        <v>131388.82999999999</v>
      </c>
      <c r="BU653" s="447" t="s">
        <v>2134</v>
      </c>
      <c r="BW653" s="462">
        <f t="shared" si="402"/>
        <v>131388.82999999999</v>
      </c>
      <c r="BZ653" s="462">
        <f t="shared" si="403"/>
        <v>131388.82999999999</v>
      </c>
      <c r="CD653" s="418" t="str">
        <f t="shared" si="404"/>
        <v>CU1844001</v>
      </c>
      <c r="CE653" s="442" t="str">
        <f t="shared" si="405"/>
        <v>2020年5月</v>
      </c>
      <c r="CF653" s="418" t="str">
        <f t="shared" si="406"/>
        <v>上海仙豆智clife服务费暂估</v>
      </c>
      <c r="CG653" s="418" t="str">
        <f t="shared" si="407"/>
        <v>2020年5月上海仙豆智clife服务费暂估</v>
      </c>
    </row>
    <row r="654" spans="2:85" s="447" customFormat="1" ht="17.25" customHeight="1">
      <c r="B654" s="447" t="str">
        <f t="shared" si="395"/>
        <v>CU1874</v>
      </c>
      <c r="C654" s="431" t="s">
        <v>755</v>
      </c>
      <c r="D654" s="490" t="s">
        <v>2142</v>
      </c>
      <c r="E654" s="463" t="s">
        <v>2277</v>
      </c>
      <c r="F654" s="439">
        <v>43981</v>
      </c>
      <c r="G654" s="430">
        <v>75270</v>
      </c>
      <c r="H654" s="440"/>
      <c r="I654" s="440"/>
      <c r="J654" s="440"/>
      <c r="L654" s="462"/>
      <c r="M654" s="462"/>
      <c r="N654" s="444"/>
      <c r="O654" s="462"/>
      <c r="R654" s="462"/>
      <c r="U654" s="462"/>
      <c r="X654" s="462"/>
      <c r="AA654" s="462"/>
      <c r="AD654" s="462"/>
      <c r="AG654" s="462"/>
      <c r="AJ654" s="462"/>
      <c r="AM654" s="462"/>
      <c r="AP654" s="462"/>
      <c r="AS654" s="424"/>
      <c r="AV654" s="462"/>
      <c r="AY654" s="462"/>
      <c r="BB654" s="462">
        <f t="shared" si="394"/>
        <v>75270</v>
      </c>
      <c r="BE654" s="462">
        <f t="shared" si="396"/>
        <v>75270</v>
      </c>
      <c r="BF654" s="447" t="s">
        <v>2259</v>
      </c>
      <c r="BH654" s="462">
        <f t="shared" si="397"/>
        <v>75270</v>
      </c>
      <c r="BI654" s="447" t="s">
        <v>2297</v>
      </c>
      <c r="BJ654" s="462"/>
      <c r="BK654" s="462">
        <f t="shared" si="398"/>
        <v>75270</v>
      </c>
      <c r="BL654" s="447" t="s">
        <v>2341</v>
      </c>
      <c r="BM654" s="462">
        <f>BK654</f>
        <v>75270</v>
      </c>
      <c r="BN654" s="462">
        <f t="shared" si="399"/>
        <v>0</v>
      </c>
      <c r="BQ654" s="462">
        <f t="shared" si="400"/>
        <v>0</v>
      </c>
      <c r="BT654" s="462">
        <f t="shared" si="401"/>
        <v>0</v>
      </c>
      <c r="BW654" s="462">
        <f t="shared" si="402"/>
        <v>0</v>
      </c>
      <c r="BZ654" s="462">
        <f t="shared" si="403"/>
        <v>0</v>
      </c>
      <c r="CD654" s="418" t="str">
        <f t="shared" si="404"/>
        <v>CU1874001</v>
      </c>
      <c r="CE654" s="442" t="str">
        <f t="shared" si="405"/>
        <v>2020年5月</v>
      </c>
      <c r="CF654" s="418" t="str">
        <f t="shared" si="406"/>
        <v>富祥塑胶制clife服务费暂估</v>
      </c>
      <c r="CG654" s="418" t="str">
        <f t="shared" si="407"/>
        <v>2020年5月富祥塑胶制clife服务费暂估</v>
      </c>
    </row>
    <row r="655" spans="2:85" s="447" customFormat="1" ht="17.25" customHeight="1">
      <c r="B655" s="447" t="str">
        <f t="shared" si="395"/>
        <v>CU1926</v>
      </c>
      <c r="C655" s="431" t="s">
        <v>755</v>
      </c>
      <c r="D655" s="490" t="s">
        <v>2249</v>
      </c>
      <c r="E655" s="463" t="s">
        <v>2250</v>
      </c>
      <c r="F655" s="439">
        <v>43982</v>
      </c>
      <c r="G655" s="430">
        <v>1678560.62</v>
      </c>
      <c r="H655" s="440"/>
      <c r="I655" s="440"/>
      <c r="J655" s="440"/>
      <c r="L655" s="462"/>
      <c r="M655" s="462"/>
      <c r="N655" s="444"/>
      <c r="O655" s="462"/>
      <c r="R655" s="462"/>
      <c r="U655" s="462"/>
      <c r="X655" s="462"/>
      <c r="AA655" s="462"/>
      <c r="AD655" s="462"/>
      <c r="AG655" s="462"/>
      <c r="AJ655" s="462"/>
      <c r="AM655" s="462"/>
      <c r="AP655" s="462"/>
      <c r="AS655" s="424"/>
      <c r="AV655" s="462"/>
      <c r="AY655" s="462"/>
      <c r="BB655" s="462">
        <f t="shared" si="394"/>
        <v>1678560.62</v>
      </c>
      <c r="BE655" s="462">
        <f t="shared" si="396"/>
        <v>1678560.62</v>
      </c>
      <c r="BF655" s="447" t="s">
        <v>2259</v>
      </c>
      <c r="BG655" s="447">
        <f>ROUND(322800/1.06,2)+30000</f>
        <v>334528.3</v>
      </c>
      <c r="BH655" s="462">
        <f t="shared" si="397"/>
        <v>1344032.32</v>
      </c>
      <c r="BI655" s="447" t="s">
        <v>2297</v>
      </c>
      <c r="BK655" s="462">
        <f t="shared" si="398"/>
        <v>1344032.32</v>
      </c>
      <c r="BL655" s="447" t="s">
        <v>2341</v>
      </c>
      <c r="BM655" s="447">
        <f>100000+160588+ROUND(538000/1.06,2)</f>
        <v>768135.16999999993</v>
      </c>
      <c r="BN655" s="462">
        <f t="shared" si="399"/>
        <v>575897.15000000014</v>
      </c>
      <c r="BO655" s="447" t="s">
        <v>2364</v>
      </c>
      <c r="BP655" s="447">
        <f>ROUND((322800+269000)/1.06,2)</f>
        <v>558301.89</v>
      </c>
      <c r="BQ655" s="462">
        <f t="shared" si="400"/>
        <v>17595.259999999998</v>
      </c>
      <c r="BT655" s="462">
        <f t="shared" si="401"/>
        <v>17595.259999999998</v>
      </c>
      <c r="BU655" s="447" t="s">
        <v>2134</v>
      </c>
      <c r="BW655" s="462">
        <f t="shared" si="402"/>
        <v>17595.259999999998</v>
      </c>
      <c r="BZ655" s="462">
        <f t="shared" si="403"/>
        <v>17595.259999999998</v>
      </c>
      <c r="CD655" s="418" t="str">
        <f t="shared" si="404"/>
        <v>CU1926001</v>
      </c>
      <c r="CE655" s="442" t="str">
        <f t="shared" si="405"/>
        <v>2020年5月</v>
      </c>
      <c r="CF655" s="418" t="str">
        <f t="shared" si="406"/>
        <v>奥森多医疗clife服务费暂估</v>
      </c>
      <c r="CG655" s="418" t="str">
        <f t="shared" si="407"/>
        <v>2020年5月奥森多医疗clife服务费暂估</v>
      </c>
    </row>
    <row r="656" spans="2:85" s="447" customFormat="1" ht="17.25" customHeight="1">
      <c r="B656" s="447" t="str">
        <f t="shared" si="395"/>
        <v>CU0848</v>
      </c>
      <c r="C656" s="431" t="s">
        <v>755</v>
      </c>
      <c r="D656" s="507" t="s">
        <v>2258</v>
      </c>
      <c r="E656" s="508" t="s">
        <v>2257</v>
      </c>
      <c r="F656" s="439">
        <v>43982</v>
      </c>
      <c r="G656" s="424">
        <v>5658.66</v>
      </c>
      <c r="H656" s="440"/>
      <c r="I656" s="440"/>
      <c r="J656" s="440"/>
      <c r="L656" s="462"/>
      <c r="M656" s="462"/>
      <c r="N656" s="444"/>
      <c r="O656" s="462"/>
      <c r="R656" s="462"/>
      <c r="U656" s="462"/>
      <c r="X656" s="462"/>
      <c r="AA656" s="462"/>
      <c r="AD656" s="462"/>
      <c r="AG656" s="462"/>
      <c r="AJ656" s="462"/>
      <c r="AM656" s="462"/>
      <c r="AP656" s="462"/>
      <c r="AS656" s="424"/>
      <c r="AV656" s="462"/>
      <c r="AY656" s="462"/>
      <c r="BB656" s="462">
        <f t="shared" si="394"/>
        <v>5658.66</v>
      </c>
      <c r="BE656" s="462">
        <f t="shared" si="396"/>
        <v>5658.66</v>
      </c>
      <c r="BF656" s="447" t="s">
        <v>2259</v>
      </c>
      <c r="BH656" s="462">
        <f t="shared" si="397"/>
        <v>5658.66</v>
      </c>
      <c r="BI656" s="447" t="s">
        <v>2297</v>
      </c>
      <c r="BK656" s="462">
        <f t="shared" si="398"/>
        <v>5658.66</v>
      </c>
      <c r="BL656" s="447" t="s">
        <v>2341</v>
      </c>
      <c r="BM656" s="462">
        <f>BK656</f>
        <v>5658.66</v>
      </c>
      <c r="BN656" s="462">
        <f t="shared" si="399"/>
        <v>0</v>
      </c>
      <c r="BQ656" s="462">
        <f t="shared" si="400"/>
        <v>0</v>
      </c>
      <c r="BT656" s="462">
        <f t="shared" si="401"/>
        <v>0</v>
      </c>
      <c r="BW656" s="462">
        <f t="shared" si="402"/>
        <v>0</v>
      </c>
      <c r="BZ656" s="462">
        <f t="shared" si="403"/>
        <v>0</v>
      </c>
      <c r="CD656" s="418" t="str">
        <f t="shared" si="404"/>
        <v>CU0848001</v>
      </c>
      <c r="CE656" s="442" t="str">
        <f t="shared" si="405"/>
        <v>2020年5月</v>
      </c>
      <c r="CF656" s="418" t="str">
        <f t="shared" si="406"/>
        <v>爱德觅尔（clife服务费暂估</v>
      </c>
      <c r="CG656" s="418" t="str">
        <f t="shared" si="407"/>
        <v>2020年5月爱德觅尔（clife服务费暂估</v>
      </c>
    </row>
    <row r="657" spans="2:85" s="447" customFormat="1" ht="17.25" customHeight="1">
      <c r="B657" s="447" t="str">
        <f t="shared" si="395"/>
        <v>CU0093</v>
      </c>
      <c r="C657" s="431" t="s">
        <v>755</v>
      </c>
      <c r="D657" s="450" t="s">
        <v>1832</v>
      </c>
      <c r="E657" s="539" t="s">
        <v>32</v>
      </c>
      <c r="F657" s="540">
        <v>43983</v>
      </c>
      <c r="G657" s="538">
        <v>190.83</v>
      </c>
      <c r="H657" s="440"/>
      <c r="I657" s="440"/>
      <c r="J657" s="440"/>
      <c r="L657" s="462"/>
      <c r="M657" s="462"/>
      <c r="N657" s="444"/>
      <c r="O657" s="462"/>
      <c r="R657" s="462"/>
      <c r="U657" s="462"/>
      <c r="X657" s="462"/>
      <c r="AA657" s="462"/>
      <c r="AD657" s="462"/>
      <c r="AG657" s="462"/>
      <c r="AJ657" s="462"/>
      <c r="AM657" s="462"/>
      <c r="AP657" s="462"/>
      <c r="AS657" s="424"/>
      <c r="AV657" s="462"/>
      <c r="AY657" s="462"/>
      <c r="BB657" s="462"/>
      <c r="BE657" s="462">
        <f>G657</f>
        <v>190.83</v>
      </c>
      <c r="BH657" s="462">
        <f t="shared" si="397"/>
        <v>190.83</v>
      </c>
      <c r="BI657" s="447" t="s">
        <v>2298</v>
      </c>
      <c r="BK657" s="462">
        <f t="shared" si="398"/>
        <v>190.83</v>
      </c>
      <c r="BL657" s="447" t="s">
        <v>2341</v>
      </c>
      <c r="BN657" s="462">
        <f t="shared" si="399"/>
        <v>190.83</v>
      </c>
      <c r="BO657" s="447" t="s">
        <v>2364</v>
      </c>
      <c r="BQ657" s="462">
        <f t="shared" si="400"/>
        <v>190.83</v>
      </c>
      <c r="BS657" s="462"/>
      <c r="BT657" s="462">
        <f t="shared" si="401"/>
        <v>190.83</v>
      </c>
      <c r="BU657" s="447" t="s">
        <v>2134</v>
      </c>
      <c r="BV657" s="462">
        <f>BT657</f>
        <v>190.83</v>
      </c>
      <c r="BW657" s="462">
        <f t="shared" si="402"/>
        <v>0</v>
      </c>
      <c r="BZ657" s="462">
        <f t="shared" si="403"/>
        <v>0</v>
      </c>
      <c r="CD657" s="418" t="str">
        <f t="shared" si="404"/>
        <v>CU0093001</v>
      </c>
      <c r="CE657" s="442" t="str">
        <f t="shared" si="405"/>
        <v>2020年6月</v>
      </c>
      <c r="CF657" s="418" t="str">
        <f t="shared" si="406"/>
        <v>日立保险代clife服务费暂估</v>
      </c>
      <c r="CG657" s="418" t="str">
        <f t="shared" si="407"/>
        <v>2020年6月日立保险代clife服务费暂估</v>
      </c>
    </row>
    <row r="658" spans="2:85" s="447" customFormat="1" ht="17.25" customHeight="1">
      <c r="B658" s="447" t="str">
        <f t="shared" si="395"/>
        <v>CU0109</v>
      </c>
      <c r="C658" s="431" t="s">
        <v>755</v>
      </c>
      <c r="D658" s="450" t="s">
        <v>1642</v>
      </c>
      <c r="E658" s="539" t="s">
        <v>34</v>
      </c>
      <c r="F658" s="540">
        <v>43983</v>
      </c>
      <c r="G658" s="538">
        <v>10989</v>
      </c>
      <c r="H658" s="440"/>
      <c r="I658" s="440"/>
      <c r="J658" s="440"/>
      <c r="L658" s="462"/>
      <c r="M658" s="462"/>
      <c r="N658" s="444"/>
      <c r="O658" s="462"/>
      <c r="R658" s="462"/>
      <c r="U658" s="462"/>
      <c r="X658" s="462"/>
      <c r="AA658" s="462"/>
      <c r="AD658" s="462"/>
      <c r="AG658" s="462"/>
      <c r="AJ658" s="462"/>
      <c r="AM658" s="462"/>
      <c r="AP658" s="462"/>
      <c r="AS658" s="424"/>
      <c r="AV658" s="462"/>
      <c r="AY658" s="462"/>
      <c r="BB658" s="462"/>
      <c r="BE658" s="462">
        <f>G658</f>
        <v>10989</v>
      </c>
      <c r="BH658" s="462">
        <f t="shared" si="397"/>
        <v>10989</v>
      </c>
      <c r="BI658" s="447" t="s">
        <v>2298</v>
      </c>
      <c r="BK658" s="462">
        <f t="shared" si="398"/>
        <v>10989</v>
      </c>
      <c r="BL658" s="447" t="s">
        <v>2341</v>
      </c>
      <c r="BN658" s="462">
        <f t="shared" si="399"/>
        <v>10989</v>
      </c>
      <c r="BO658" s="447" t="s">
        <v>2364</v>
      </c>
      <c r="BQ658" s="462">
        <f t="shared" si="400"/>
        <v>10989</v>
      </c>
      <c r="BT658" s="462">
        <f t="shared" si="401"/>
        <v>10989</v>
      </c>
      <c r="BU658" s="447" t="s">
        <v>2134</v>
      </c>
      <c r="BW658" s="462">
        <f t="shared" si="402"/>
        <v>10989</v>
      </c>
      <c r="BZ658" s="462">
        <f t="shared" si="403"/>
        <v>10989</v>
      </c>
      <c r="CD658" s="418" t="str">
        <f t="shared" si="404"/>
        <v>CU0109001</v>
      </c>
      <c r="CE658" s="442" t="str">
        <f t="shared" si="405"/>
        <v>2020年6月</v>
      </c>
      <c r="CF658" s="418" t="str">
        <f t="shared" si="406"/>
        <v>普拉达时装clife服务费暂估</v>
      </c>
      <c r="CG658" s="418" t="str">
        <f t="shared" si="407"/>
        <v>2020年6月普拉达时装clife服务费暂估</v>
      </c>
    </row>
    <row r="659" spans="2:85" s="447" customFormat="1" ht="17.25" customHeight="1">
      <c r="B659" s="447" t="str">
        <f t="shared" si="395"/>
        <v>CU0145</v>
      </c>
      <c r="C659" s="431" t="s">
        <v>755</v>
      </c>
      <c r="D659" s="450" t="s">
        <v>1451</v>
      </c>
      <c r="E659" s="539" t="s">
        <v>1323</v>
      </c>
      <c r="F659" s="540">
        <v>43983</v>
      </c>
      <c r="G659" s="538">
        <v>16050.34</v>
      </c>
      <c r="H659" s="440"/>
      <c r="I659" s="440"/>
      <c r="J659" s="440"/>
      <c r="L659" s="462"/>
      <c r="M659" s="462"/>
      <c r="N659" s="444"/>
      <c r="O659" s="462"/>
      <c r="R659" s="462"/>
      <c r="U659" s="462"/>
      <c r="X659" s="462"/>
      <c r="AA659" s="462"/>
      <c r="AD659" s="462"/>
      <c r="AG659" s="462"/>
      <c r="AJ659" s="462"/>
      <c r="AM659" s="462"/>
      <c r="AP659" s="462"/>
      <c r="AS659" s="424"/>
      <c r="AV659" s="462"/>
      <c r="AY659" s="462"/>
      <c r="BB659" s="462"/>
      <c r="BE659" s="462">
        <f t="shared" ref="BE659:BE695" si="408">G659</f>
        <v>16050.34</v>
      </c>
      <c r="BH659" s="462">
        <f t="shared" si="397"/>
        <v>16050.34</v>
      </c>
      <c r="BI659" s="447" t="s">
        <v>2298</v>
      </c>
      <c r="BK659" s="462">
        <f t="shared" si="398"/>
        <v>16050.34</v>
      </c>
      <c r="BL659" s="447" t="s">
        <v>2341</v>
      </c>
      <c r="BN659" s="462">
        <f t="shared" si="399"/>
        <v>16050.34</v>
      </c>
      <c r="BO659" s="447" t="s">
        <v>2364</v>
      </c>
      <c r="BQ659" s="462">
        <f t="shared" si="400"/>
        <v>16050.34</v>
      </c>
      <c r="BT659" s="462">
        <f t="shared" si="401"/>
        <v>16050.34</v>
      </c>
      <c r="BU659" s="447" t="s">
        <v>2134</v>
      </c>
      <c r="BV659" s="462">
        <f>BT659</f>
        <v>16050.34</v>
      </c>
      <c r="BW659" s="462">
        <f t="shared" si="402"/>
        <v>0</v>
      </c>
      <c r="BZ659" s="462">
        <f t="shared" si="403"/>
        <v>0</v>
      </c>
      <c r="CD659" s="418" t="str">
        <f t="shared" si="404"/>
        <v>CU0145001</v>
      </c>
      <c r="CE659" s="442" t="str">
        <f t="shared" si="405"/>
        <v>2020年6月</v>
      </c>
      <c r="CF659" s="418" t="str">
        <f t="shared" si="406"/>
        <v>锐珂亚太投clife服务费暂估</v>
      </c>
      <c r="CG659" s="418" t="str">
        <f t="shared" si="407"/>
        <v>2020年6月锐珂亚太投clife服务费暂估</v>
      </c>
    </row>
    <row r="660" spans="2:85" s="447" customFormat="1" ht="17.25" customHeight="1">
      <c r="B660" s="447" t="str">
        <f t="shared" si="395"/>
        <v>CU0148</v>
      </c>
      <c r="C660" s="431" t="s">
        <v>755</v>
      </c>
      <c r="D660" s="450" t="s">
        <v>1574</v>
      </c>
      <c r="E660" s="539" t="s">
        <v>1636</v>
      </c>
      <c r="F660" s="540">
        <v>43983</v>
      </c>
      <c r="G660" s="538">
        <v>9119.43</v>
      </c>
      <c r="H660" s="440"/>
      <c r="I660" s="440"/>
      <c r="J660" s="440"/>
      <c r="L660" s="462"/>
      <c r="M660" s="462"/>
      <c r="N660" s="444"/>
      <c r="O660" s="462"/>
      <c r="R660" s="462"/>
      <c r="U660" s="462"/>
      <c r="X660" s="462"/>
      <c r="AA660" s="462"/>
      <c r="AD660" s="462"/>
      <c r="AG660" s="462"/>
      <c r="AJ660" s="462"/>
      <c r="AM660" s="462"/>
      <c r="AP660" s="462"/>
      <c r="AS660" s="424"/>
      <c r="AV660" s="462"/>
      <c r="AY660" s="462"/>
      <c r="BB660" s="462"/>
      <c r="BE660" s="462">
        <f t="shared" si="408"/>
        <v>9119.43</v>
      </c>
      <c r="BH660" s="462">
        <f t="shared" si="397"/>
        <v>9119.43</v>
      </c>
      <c r="BI660" s="447" t="s">
        <v>2298</v>
      </c>
      <c r="BJ660" s="447">
        <f>ROUND(4959/1.06,2)</f>
        <v>4678.3</v>
      </c>
      <c r="BK660" s="462">
        <f t="shared" si="398"/>
        <v>4441.13</v>
      </c>
      <c r="BL660" s="447" t="s">
        <v>2341</v>
      </c>
      <c r="BN660" s="462">
        <f t="shared" si="399"/>
        <v>4441.13</v>
      </c>
      <c r="BO660" s="447" t="s">
        <v>2364</v>
      </c>
      <c r="BQ660" s="462">
        <f t="shared" si="400"/>
        <v>4441.13</v>
      </c>
      <c r="BS660" s="447">
        <f>ROUND(3757/1.06,2)</f>
        <v>3544.34</v>
      </c>
      <c r="BT660" s="462">
        <f t="shared" si="401"/>
        <v>896.79</v>
      </c>
      <c r="BU660" s="447" t="s">
        <v>2134</v>
      </c>
      <c r="BV660" s="447">
        <f>319.98+576.81</f>
        <v>896.79</v>
      </c>
      <c r="BW660" s="462">
        <f t="shared" si="402"/>
        <v>0</v>
      </c>
      <c r="BZ660" s="462">
        <f t="shared" si="403"/>
        <v>0</v>
      </c>
      <c r="CD660" s="418" t="str">
        <f t="shared" si="404"/>
        <v>CU0148001</v>
      </c>
      <c r="CE660" s="442" t="str">
        <f t="shared" si="405"/>
        <v>2020年6月</v>
      </c>
      <c r="CF660" s="418" t="str">
        <f t="shared" si="406"/>
        <v>贝雅投资咨clife服务费暂估</v>
      </c>
      <c r="CG660" s="418" t="str">
        <f t="shared" si="407"/>
        <v>2020年6月贝雅投资咨clife服务费暂估</v>
      </c>
    </row>
    <row r="661" spans="2:85" s="447" customFormat="1" ht="17.25" customHeight="1">
      <c r="B661" s="447" t="str">
        <f t="shared" si="395"/>
        <v>CU0182</v>
      </c>
      <c r="C661" s="431" t="s">
        <v>755</v>
      </c>
      <c r="D661" s="450" t="s">
        <v>1452</v>
      </c>
      <c r="E661" s="539" t="s">
        <v>821</v>
      </c>
      <c r="F661" s="540">
        <v>43983</v>
      </c>
      <c r="G661" s="538">
        <v>3075.26</v>
      </c>
      <c r="H661" s="440"/>
      <c r="I661" s="440"/>
      <c r="J661" s="440"/>
      <c r="L661" s="462"/>
      <c r="M661" s="462"/>
      <c r="N661" s="444"/>
      <c r="O661" s="462"/>
      <c r="R661" s="462"/>
      <c r="U661" s="462"/>
      <c r="X661" s="462"/>
      <c r="AA661" s="462"/>
      <c r="AD661" s="462"/>
      <c r="AG661" s="462"/>
      <c r="AJ661" s="462"/>
      <c r="AM661" s="462"/>
      <c r="AP661" s="462"/>
      <c r="AS661" s="424"/>
      <c r="AV661" s="462"/>
      <c r="AY661" s="462"/>
      <c r="BB661" s="462"/>
      <c r="BE661" s="462">
        <f t="shared" si="408"/>
        <v>3075.26</v>
      </c>
      <c r="BH661" s="462">
        <f t="shared" si="397"/>
        <v>3075.26</v>
      </c>
      <c r="BI661" s="447" t="s">
        <v>2298</v>
      </c>
      <c r="BK661" s="462">
        <f t="shared" si="398"/>
        <v>3075.26</v>
      </c>
      <c r="BL661" s="447" t="s">
        <v>2341</v>
      </c>
      <c r="BN661" s="462">
        <f t="shared" si="399"/>
        <v>3075.26</v>
      </c>
      <c r="BO661" s="447" t="s">
        <v>2364</v>
      </c>
      <c r="BQ661" s="462">
        <f t="shared" si="400"/>
        <v>3075.26</v>
      </c>
      <c r="BT661" s="462">
        <f t="shared" si="401"/>
        <v>3075.26</v>
      </c>
      <c r="BU661" s="447" t="s">
        <v>2134</v>
      </c>
      <c r="BW661" s="462">
        <f t="shared" si="402"/>
        <v>3075.26</v>
      </c>
      <c r="BZ661" s="462">
        <f t="shared" si="403"/>
        <v>3075.26</v>
      </c>
      <c r="CD661" s="418" t="str">
        <f t="shared" si="404"/>
        <v>CU0182001</v>
      </c>
      <c r="CE661" s="442" t="str">
        <f t="shared" si="405"/>
        <v>2020年6月</v>
      </c>
      <c r="CF661" s="418" t="str">
        <f t="shared" si="406"/>
        <v>阿姆斯壮（clife服务费暂估</v>
      </c>
      <c r="CG661" s="418" t="str">
        <f t="shared" si="407"/>
        <v>2020年6月阿姆斯壮（clife服务费暂估</v>
      </c>
    </row>
    <row r="662" spans="2:85" s="447" customFormat="1" ht="17.25" customHeight="1">
      <c r="B662" s="447" t="str">
        <f t="shared" si="395"/>
        <v>CU0238</v>
      </c>
      <c r="C662" s="431" t="s">
        <v>755</v>
      </c>
      <c r="D662" s="450" t="s">
        <v>1987</v>
      </c>
      <c r="E662" s="539" t="s">
        <v>54</v>
      </c>
      <c r="F662" s="540">
        <v>43983</v>
      </c>
      <c r="G662" s="538">
        <v>495</v>
      </c>
      <c r="H662" s="440"/>
      <c r="I662" s="440"/>
      <c r="J662" s="440"/>
      <c r="L662" s="462"/>
      <c r="M662" s="462"/>
      <c r="N662" s="444"/>
      <c r="O662" s="462"/>
      <c r="R662" s="462"/>
      <c r="U662" s="462"/>
      <c r="X662" s="462"/>
      <c r="AA662" s="462"/>
      <c r="AD662" s="462"/>
      <c r="AG662" s="462"/>
      <c r="AJ662" s="462"/>
      <c r="AM662" s="462"/>
      <c r="AP662" s="462"/>
      <c r="AS662" s="424"/>
      <c r="AV662" s="462"/>
      <c r="AY662" s="462"/>
      <c r="BB662" s="462"/>
      <c r="BE662" s="462">
        <f t="shared" si="408"/>
        <v>495</v>
      </c>
      <c r="BH662" s="462">
        <f t="shared" si="397"/>
        <v>495</v>
      </c>
      <c r="BI662" s="447" t="s">
        <v>2298</v>
      </c>
      <c r="BK662" s="462">
        <f t="shared" si="398"/>
        <v>495</v>
      </c>
      <c r="BL662" s="447" t="s">
        <v>2341</v>
      </c>
      <c r="BN662" s="462">
        <f t="shared" si="399"/>
        <v>495</v>
      </c>
      <c r="BO662" s="447" t="s">
        <v>2364</v>
      </c>
      <c r="BQ662" s="462">
        <f t="shared" si="400"/>
        <v>495</v>
      </c>
      <c r="BS662" s="462">
        <f>BQ662</f>
        <v>495</v>
      </c>
      <c r="BT662" s="462">
        <f t="shared" si="401"/>
        <v>0</v>
      </c>
      <c r="BW662" s="462">
        <f t="shared" si="402"/>
        <v>0</v>
      </c>
      <c r="BZ662" s="462">
        <f t="shared" si="403"/>
        <v>0</v>
      </c>
      <c r="CD662" s="418" t="str">
        <f t="shared" si="404"/>
        <v>CU0238001</v>
      </c>
      <c r="CE662" s="442" t="str">
        <f t="shared" si="405"/>
        <v>2020年6月</v>
      </c>
      <c r="CF662" s="418" t="str">
        <f t="shared" si="406"/>
        <v>丘奇鞋业（clife服务费暂估</v>
      </c>
      <c r="CG662" s="418" t="str">
        <f t="shared" si="407"/>
        <v>2020年6月丘奇鞋业（clife服务费暂估</v>
      </c>
    </row>
    <row r="663" spans="2:85" s="447" customFormat="1" ht="17.25" customHeight="1">
      <c r="B663" s="447" t="str">
        <f t="shared" si="395"/>
        <v>CU0285</v>
      </c>
      <c r="C663" s="431" t="s">
        <v>755</v>
      </c>
      <c r="D663" s="450" t="s">
        <v>1643</v>
      </c>
      <c r="E663" s="539" t="s">
        <v>17</v>
      </c>
      <c r="F663" s="540">
        <v>43983</v>
      </c>
      <c r="G663" s="538">
        <v>28018.87</v>
      </c>
      <c r="H663" s="440"/>
      <c r="I663" s="440"/>
      <c r="J663" s="440"/>
      <c r="L663" s="462"/>
      <c r="M663" s="462"/>
      <c r="N663" s="444"/>
      <c r="O663" s="462"/>
      <c r="R663" s="462"/>
      <c r="U663" s="462"/>
      <c r="X663" s="462"/>
      <c r="AA663" s="462"/>
      <c r="AD663" s="462"/>
      <c r="AG663" s="462"/>
      <c r="AJ663" s="462"/>
      <c r="AM663" s="462"/>
      <c r="AP663" s="462"/>
      <c r="AS663" s="424"/>
      <c r="AV663" s="462"/>
      <c r="AY663" s="462"/>
      <c r="BB663" s="462"/>
      <c r="BE663" s="462">
        <f t="shared" si="408"/>
        <v>28018.87</v>
      </c>
      <c r="BH663" s="462">
        <f t="shared" si="397"/>
        <v>28018.87</v>
      </c>
      <c r="BI663" s="447" t="s">
        <v>2298</v>
      </c>
      <c r="BK663" s="462">
        <f t="shared" si="398"/>
        <v>28018.87</v>
      </c>
      <c r="BL663" s="447" t="s">
        <v>2341</v>
      </c>
      <c r="BM663" s="447">
        <v>22099</v>
      </c>
      <c r="BN663" s="462">
        <f t="shared" si="399"/>
        <v>5919.869999999999</v>
      </c>
      <c r="BO663" s="447" t="s">
        <v>2364</v>
      </c>
      <c r="BQ663" s="462">
        <f t="shared" si="400"/>
        <v>5919.87</v>
      </c>
      <c r="BT663" s="462">
        <f t="shared" si="401"/>
        <v>5919.87</v>
      </c>
      <c r="BU663" s="447" t="s">
        <v>2134</v>
      </c>
      <c r="BV663" s="462">
        <f>BT663</f>
        <v>5919.87</v>
      </c>
      <c r="BW663" s="462">
        <f t="shared" si="402"/>
        <v>0</v>
      </c>
      <c r="BZ663" s="462">
        <f t="shared" si="403"/>
        <v>0</v>
      </c>
      <c r="CD663" s="418" t="str">
        <f t="shared" si="404"/>
        <v>CU0285001</v>
      </c>
      <c r="CE663" s="442" t="str">
        <f t="shared" si="405"/>
        <v>2020年6月</v>
      </c>
      <c r="CF663" s="418" t="str">
        <f t="shared" si="406"/>
        <v>文思海辉技clife服务费暂估</v>
      </c>
      <c r="CG663" s="418" t="str">
        <f t="shared" si="407"/>
        <v>2020年6月文思海辉技clife服务费暂估</v>
      </c>
    </row>
    <row r="664" spans="2:85" s="447" customFormat="1" ht="17.25" customHeight="1">
      <c r="B664" s="447" t="str">
        <f t="shared" si="395"/>
        <v>CU0351</v>
      </c>
      <c r="C664" s="431" t="s">
        <v>755</v>
      </c>
      <c r="D664" s="450" t="s">
        <v>1571</v>
      </c>
      <c r="E664" s="539" t="s">
        <v>82</v>
      </c>
      <c r="F664" s="540">
        <v>43983</v>
      </c>
      <c r="G664" s="538">
        <v>49376.25</v>
      </c>
      <c r="H664" s="440"/>
      <c r="I664" s="440"/>
      <c r="J664" s="440"/>
      <c r="L664" s="462"/>
      <c r="M664" s="462"/>
      <c r="N664" s="444"/>
      <c r="O664" s="462"/>
      <c r="R664" s="462"/>
      <c r="U664" s="462"/>
      <c r="X664" s="462"/>
      <c r="AA664" s="462"/>
      <c r="AD664" s="462"/>
      <c r="AG664" s="462"/>
      <c r="AJ664" s="462"/>
      <c r="AM664" s="462"/>
      <c r="AP664" s="462"/>
      <c r="AS664" s="424"/>
      <c r="AV664" s="462"/>
      <c r="AY664" s="462"/>
      <c r="BB664" s="462"/>
      <c r="BE664" s="462">
        <f t="shared" si="408"/>
        <v>49376.25</v>
      </c>
      <c r="BH664" s="462">
        <f t="shared" si="397"/>
        <v>49376.25</v>
      </c>
      <c r="BI664" s="447" t="s">
        <v>2298</v>
      </c>
      <c r="BK664" s="462">
        <f t="shared" si="398"/>
        <v>49376.25</v>
      </c>
      <c r="BL664" s="447" t="s">
        <v>2341</v>
      </c>
      <c r="BM664" s="447">
        <f>ROUND((227+47709)/1.06,2)</f>
        <v>45222.64</v>
      </c>
      <c r="BN664" s="462">
        <f t="shared" si="399"/>
        <v>4153.6100000000006</v>
      </c>
      <c r="BO664" s="447" t="s">
        <v>2364</v>
      </c>
      <c r="BQ664" s="462">
        <f t="shared" si="400"/>
        <v>4153.6099999999997</v>
      </c>
      <c r="BT664" s="462">
        <f t="shared" si="401"/>
        <v>4153.6099999999997</v>
      </c>
      <c r="BU664" s="447" t="s">
        <v>2134</v>
      </c>
      <c r="BW664" s="462">
        <f t="shared" si="402"/>
        <v>4153.6099999999997</v>
      </c>
      <c r="BZ664" s="462">
        <f t="shared" si="403"/>
        <v>4153.6099999999997</v>
      </c>
      <c r="CD664" s="418" t="str">
        <f t="shared" si="404"/>
        <v>CU0351001</v>
      </c>
      <c r="CE664" s="442" t="str">
        <f t="shared" si="405"/>
        <v>2020年6月</v>
      </c>
      <c r="CF664" s="418" t="str">
        <f t="shared" si="406"/>
        <v>克鲁勃润滑clife服务费暂估</v>
      </c>
      <c r="CG664" s="418" t="str">
        <f t="shared" si="407"/>
        <v>2020年6月克鲁勃润滑clife服务费暂估</v>
      </c>
    </row>
    <row r="665" spans="2:85" s="447" customFormat="1" ht="17.25" customHeight="1">
      <c r="B665" s="447" t="str">
        <f t="shared" si="395"/>
        <v>CU0531</v>
      </c>
      <c r="C665" s="431" t="s">
        <v>755</v>
      </c>
      <c r="D665" s="450" t="s">
        <v>1453</v>
      </c>
      <c r="E665" s="539" t="s">
        <v>2088</v>
      </c>
      <c r="F665" s="540">
        <v>43983</v>
      </c>
      <c r="G665" s="538">
        <v>30017.8</v>
      </c>
      <c r="H665" s="440"/>
      <c r="I665" s="440"/>
      <c r="J665" s="440"/>
      <c r="L665" s="462"/>
      <c r="M665" s="462"/>
      <c r="N665" s="444"/>
      <c r="O665" s="462"/>
      <c r="R665" s="462"/>
      <c r="U665" s="462"/>
      <c r="X665" s="462"/>
      <c r="AA665" s="462"/>
      <c r="AD665" s="462"/>
      <c r="AG665" s="462"/>
      <c r="AJ665" s="462"/>
      <c r="AM665" s="462"/>
      <c r="AP665" s="462"/>
      <c r="AS665" s="424"/>
      <c r="AV665" s="462"/>
      <c r="AY665" s="462"/>
      <c r="BB665" s="462"/>
      <c r="BE665" s="462">
        <f t="shared" si="408"/>
        <v>30017.8</v>
      </c>
      <c r="BH665" s="462">
        <f t="shared" si="397"/>
        <v>30017.8</v>
      </c>
      <c r="BI665" s="447" t="s">
        <v>2298</v>
      </c>
      <c r="BK665" s="462">
        <f t="shared" si="398"/>
        <v>30017.8</v>
      </c>
      <c r="BL665" s="447" t="s">
        <v>2341</v>
      </c>
      <c r="BN665" s="462">
        <f t="shared" si="399"/>
        <v>30017.8</v>
      </c>
      <c r="BO665" s="447" t="s">
        <v>2364</v>
      </c>
      <c r="BQ665" s="462">
        <f t="shared" si="400"/>
        <v>30017.8</v>
      </c>
      <c r="BT665" s="462">
        <f t="shared" si="401"/>
        <v>30017.8</v>
      </c>
      <c r="BU665" s="447" t="s">
        <v>2134</v>
      </c>
      <c r="BW665" s="462">
        <f t="shared" si="402"/>
        <v>30017.8</v>
      </c>
      <c r="BZ665" s="462">
        <f t="shared" si="403"/>
        <v>30017.8</v>
      </c>
      <c r="CD665" s="418" t="str">
        <f t="shared" si="404"/>
        <v>CU0531001</v>
      </c>
      <c r="CE665" s="442" t="str">
        <f t="shared" si="405"/>
        <v>2020年6月</v>
      </c>
      <c r="CF665" s="418" t="str">
        <f t="shared" si="406"/>
        <v>恩思恩clife服务费暂估</v>
      </c>
      <c r="CG665" s="418" t="str">
        <f t="shared" si="407"/>
        <v>2020年6月恩思恩clife服务费暂估</v>
      </c>
    </row>
    <row r="666" spans="2:85" s="447" customFormat="1" ht="17.25" customHeight="1">
      <c r="B666" s="447" t="str">
        <f t="shared" si="395"/>
        <v>CU0542</v>
      </c>
      <c r="C666" s="431" t="s">
        <v>755</v>
      </c>
      <c r="D666" s="450" t="s">
        <v>2281</v>
      </c>
      <c r="E666" s="539" t="s">
        <v>2284</v>
      </c>
      <c r="F666" s="540">
        <v>43983</v>
      </c>
      <c r="G666" s="538">
        <v>15494.54</v>
      </c>
      <c r="H666" s="440"/>
      <c r="I666" s="440"/>
      <c r="J666" s="440"/>
      <c r="L666" s="462"/>
      <c r="M666" s="462"/>
      <c r="N666" s="444"/>
      <c r="O666" s="462"/>
      <c r="R666" s="462"/>
      <c r="U666" s="462"/>
      <c r="X666" s="462"/>
      <c r="AA666" s="462"/>
      <c r="AD666" s="462"/>
      <c r="AG666" s="462"/>
      <c r="AJ666" s="462"/>
      <c r="AM666" s="462"/>
      <c r="AP666" s="462"/>
      <c r="AS666" s="424"/>
      <c r="AV666" s="462"/>
      <c r="AY666" s="462"/>
      <c r="BB666" s="462"/>
      <c r="BE666" s="462">
        <f t="shared" si="408"/>
        <v>15494.54</v>
      </c>
      <c r="BH666" s="462">
        <f t="shared" si="397"/>
        <v>15494.54</v>
      </c>
      <c r="BI666" s="447" t="s">
        <v>2298</v>
      </c>
      <c r="BK666" s="462">
        <f t="shared" si="398"/>
        <v>15494.54</v>
      </c>
      <c r="BL666" s="447" t="s">
        <v>2341</v>
      </c>
      <c r="BN666" s="462">
        <f t="shared" si="399"/>
        <v>15494.54</v>
      </c>
      <c r="BO666" s="447" t="s">
        <v>2364</v>
      </c>
      <c r="BQ666" s="462">
        <f t="shared" si="400"/>
        <v>15494.54</v>
      </c>
      <c r="BT666" s="462">
        <f t="shared" si="401"/>
        <v>15494.54</v>
      </c>
      <c r="BU666" s="447" t="s">
        <v>2134</v>
      </c>
      <c r="BW666" s="462">
        <f t="shared" si="402"/>
        <v>15494.54</v>
      </c>
      <c r="BZ666" s="462">
        <f t="shared" si="403"/>
        <v>15494.54</v>
      </c>
      <c r="CD666" s="418" t="str">
        <f t="shared" si="404"/>
        <v>CU0542001</v>
      </c>
      <c r="CE666" s="442" t="str">
        <f t="shared" si="405"/>
        <v>2020年6月</v>
      </c>
      <c r="CF666" s="418" t="str">
        <f t="shared" si="406"/>
        <v>上海伏达半clife服务费暂估</v>
      </c>
      <c r="CG666" s="418" t="str">
        <f t="shared" si="407"/>
        <v>2020年6月上海伏达半clife服务费暂估</v>
      </c>
    </row>
    <row r="667" spans="2:85" s="447" customFormat="1" ht="17.25" customHeight="1">
      <c r="B667" s="447" t="str">
        <f t="shared" si="395"/>
        <v>CU0558</v>
      </c>
      <c r="C667" s="431" t="s">
        <v>755</v>
      </c>
      <c r="D667" s="450" t="s">
        <v>1647</v>
      </c>
      <c r="E667" s="539" t="s">
        <v>2285</v>
      </c>
      <c r="F667" s="540">
        <v>43983</v>
      </c>
      <c r="G667" s="538">
        <v>490416.06</v>
      </c>
      <c r="H667" s="440"/>
      <c r="I667" s="440"/>
      <c r="J667" s="440"/>
      <c r="L667" s="462"/>
      <c r="M667" s="462"/>
      <c r="N667" s="444"/>
      <c r="O667" s="462"/>
      <c r="R667" s="462"/>
      <c r="U667" s="462"/>
      <c r="X667" s="462"/>
      <c r="AA667" s="462"/>
      <c r="AD667" s="462"/>
      <c r="AG667" s="462"/>
      <c r="AJ667" s="462"/>
      <c r="AM667" s="462"/>
      <c r="AP667" s="462"/>
      <c r="AS667" s="424"/>
      <c r="AV667" s="462"/>
      <c r="AY667" s="462"/>
      <c r="BB667" s="462"/>
      <c r="BE667" s="462">
        <f t="shared" si="408"/>
        <v>490416.06</v>
      </c>
      <c r="BH667" s="462">
        <f t="shared" si="397"/>
        <v>490416.06</v>
      </c>
      <c r="BI667" s="447" t="s">
        <v>2298</v>
      </c>
      <c r="BK667" s="462">
        <f t="shared" si="398"/>
        <v>490416.06</v>
      </c>
      <c r="BL667" s="447" t="s">
        <v>2341</v>
      </c>
      <c r="BM667" s="462">
        <f>ROUND((157780+33265)/1.13,2)-BM587-BM595-BM632</f>
        <v>128097.47</v>
      </c>
      <c r="BN667" s="462">
        <f t="shared" si="399"/>
        <v>362318.58999999997</v>
      </c>
      <c r="BO667" s="447" t="s">
        <v>2364</v>
      </c>
      <c r="BP667" s="447">
        <v>208717.7</v>
      </c>
      <c r="BQ667" s="462">
        <f t="shared" si="400"/>
        <v>153600.89000000001</v>
      </c>
      <c r="BS667" s="462">
        <f>BQ667</f>
        <v>153600.89000000001</v>
      </c>
      <c r="BT667" s="462">
        <f t="shared" si="401"/>
        <v>0</v>
      </c>
      <c r="BW667" s="462">
        <f t="shared" si="402"/>
        <v>0</v>
      </c>
      <c r="BZ667" s="462">
        <f t="shared" si="403"/>
        <v>0</v>
      </c>
      <c r="CD667" s="418" t="str">
        <f t="shared" si="404"/>
        <v>CU0558001</v>
      </c>
      <c r="CE667" s="442" t="str">
        <f t="shared" si="405"/>
        <v>2020年6月</v>
      </c>
      <c r="CF667" s="418" t="str">
        <f t="shared" si="406"/>
        <v>贵阳聚盟科clife服务费暂估</v>
      </c>
      <c r="CG667" s="418" t="str">
        <f t="shared" si="407"/>
        <v>2020年6月贵阳聚盟科clife服务费暂估</v>
      </c>
    </row>
    <row r="668" spans="2:85" s="447" customFormat="1" ht="17.25" customHeight="1">
      <c r="B668" s="447" t="str">
        <f t="shared" si="395"/>
        <v>CU0562</v>
      </c>
      <c r="C668" s="431" t="s">
        <v>755</v>
      </c>
      <c r="D668" s="450" t="s">
        <v>2025</v>
      </c>
      <c r="E668" s="539" t="s">
        <v>1804</v>
      </c>
      <c r="F668" s="540">
        <v>43983</v>
      </c>
      <c r="G668" s="538">
        <v>12012.04</v>
      </c>
      <c r="H668" s="440"/>
      <c r="I668" s="440"/>
      <c r="J668" s="440"/>
      <c r="L668" s="462"/>
      <c r="M668" s="462"/>
      <c r="N668" s="444"/>
      <c r="O668" s="462"/>
      <c r="R668" s="462"/>
      <c r="U668" s="462"/>
      <c r="X668" s="462"/>
      <c r="AA668" s="462"/>
      <c r="AD668" s="462"/>
      <c r="AG668" s="462"/>
      <c r="AJ668" s="462"/>
      <c r="AM668" s="462"/>
      <c r="AP668" s="462"/>
      <c r="AS668" s="424"/>
      <c r="AV668" s="462"/>
      <c r="AY668" s="462"/>
      <c r="BB668" s="462"/>
      <c r="BE668" s="462">
        <f t="shared" si="408"/>
        <v>12012.04</v>
      </c>
      <c r="BH668" s="462">
        <f t="shared" si="397"/>
        <v>12012.04</v>
      </c>
      <c r="BI668" s="447" t="s">
        <v>2298</v>
      </c>
      <c r="BK668" s="462">
        <f t="shared" si="398"/>
        <v>12012.04</v>
      </c>
      <c r="BL668" s="447" t="s">
        <v>2341</v>
      </c>
      <c r="BN668" s="462">
        <f t="shared" si="399"/>
        <v>12012.04</v>
      </c>
      <c r="BO668" s="447" t="s">
        <v>2364</v>
      </c>
      <c r="BQ668" s="462">
        <f t="shared" si="400"/>
        <v>12012.04</v>
      </c>
      <c r="BT668" s="462">
        <f t="shared" si="401"/>
        <v>12012.04</v>
      </c>
      <c r="BU668" s="447" t="s">
        <v>2134</v>
      </c>
      <c r="BW668" s="462">
        <f t="shared" si="402"/>
        <v>12012.04</v>
      </c>
      <c r="BZ668" s="462">
        <f t="shared" si="403"/>
        <v>12012.04</v>
      </c>
      <c r="CD668" s="418" t="str">
        <f t="shared" si="404"/>
        <v>CU0562001</v>
      </c>
      <c r="CE668" s="442" t="str">
        <f t="shared" si="405"/>
        <v>2020年6月</v>
      </c>
      <c r="CF668" s="418" t="str">
        <f t="shared" si="406"/>
        <v>杭州康晟健clife服务费暂估</v>
      </c>
      <c r="CG668" s="418" t="str">
        <f t="shared" si="407"/>
        <v>2020年6月杭州康晟健clife服务费暂估</v>
      </c>
    </row>
    <row r="669" spans="2:85" s="447" customFormat="1" ht="17.25" customHeight="1">
      <c r="B669" s="447" t="str">
        <f t="shared" si="395"/>
        <v>CU0636</v>
      </c>
      <c r="C669" s="431" t="s">
        <v>755</v>
      </c>
      <c r="D669" s="450" t="s">
        <v>1759</v>
      </c>
      <c r="E669" s="539" t="s">
        <v>23</v>
      </c>
      <c r="F669" s="540">
        <v>43983</v>
      </c>
      <c r="G669" s="538">
        <v>6730.34</v>
      </c>
      <c r="H669" s="440"/>
      <c r="I669" s="440"/>
      <c r="J669" s="440"/>
      <c r="L669" s="462"/>
      <c r="M669" s="462"/>
      <c r="N669" s="444"/>
      <c r="O669" s="462"/>
      <c r="R669" s="462"/>
      <c r="U669" s="462"/>
      <c r="X669" s="462"/>
      <c r="AA669" s="462"/>
      <c r="AD669" s="462"/>
      <c r="AG669" s="462"/>
      <c r="AJ669" s="462"/>
      <c r="AM669" s="462"/>
      <c r="AP669" s="462"/>
      <c r="AS669" s="424"/>
      <c r="AV669" s="462"/>
      <c r="AY669" s="462"/>
      <c r="BB669" s="462"/>
      <c r="BE669" s="462">
        <f t="shared" si="408"/>
        <v>6730.34</v>
      </c>
      <c r="BH669" s="462">
        <f t="shared" si="397"/>
        <v>6730.34</v>
      </c>
      <c r="BI669" s="447" t="s">
        <v>2298</v>
      </c>
      <c r="BK669" s="462">
        <f t="shared" si="398"/>
        <v>6730.34</v>
      </c>
      <c r="BL669" s="447" t="s">
        <v>2341</v>
      </c>
      <c r="BN669" s="462">
        <f t="shared" si="399"/>
        <v>6730.34</v>
      </c>
      <c r="BO669" s="447" t="s">
        <v>2364</v>
      </c>
      <c r="BQ669" s="462">
        <f t="shared" si="400"/>
        <v>6730.34</v>
      </c>
      <c r="BT669" s="462">
        <f t="shared" si="401"/>
        <v>6730.34</v>
      </c>
      <c r="BU669" s="447" t="s">
        <v>2134</v>
      </c>
      <c r="BW669" s="462">
        <f t="shared" si="402"/>
        <v>6730.34</v>
      </c>
      <c r="BZ669" s="462">
        <f t="shared" si="403"/>
        <v>6730.34</v>
      </c>
      <c r="CD669" s="418" t="str">
        <f t="shared" si="404"/>
        <v>CU0636001</v>
      </c>
      <c r="CE669" s="442" t="str">
        <f t="shared" si="405"/>
        <v>2020年6月</v>
      </c>
      <c r="CF669" s="418" t="str">
        <f t="shared" si="406"/>
        <v>巴丽（上海clife服务费暂估</v>
      </c>
      <c r="CG669" s="418" t="str">
        <f t="shared" si="407"/>
        <v>2020年6月巴丽（上海clife服务费暂估</v>
      </c>
    </row>
    <row r="670" spans="2:85" s="447" customFormat="1" ht="17.25" customHeight="1">
      <c r="B670" s="447" t="str">
        <f t="shared" si="395"/>
        <v>CU0667</v>
      </c>
      <c r="C670" s="431" t="s">
        <v>755</v>
      </c>
      <c r="D670" s="450" t="s">
        <v>1454</v>
      </c>
      <c r="E670" s="539" t="s">
        <v>168</v>
      </c>
      <c r="F670" s="540">
        <v>43983</v>
      </c>
      <c r="G670" s="538">
        <v>855.98</v>
      </c>
      <c r="H670" s="440"/>
      <c r="I670" s="440"/>
      <c r="J670" s="440"/>
      <c r="L670" s="462"/>
      <c r="M670" s="462"/>
      <c r="N670" s="444"/>
      <c r="O670" s="462"/>
      <c r="R670" s="462"/>
      <c r="U670" s="462"/>
      <c r="X670" s="462"/>
      <c r="AA670" s="462"/>
      <c r="AD670" s="462"/>
      <c r="AG670" s="462"/>
      <c r="AJ670" s="462"/>
      <c r="AM670" s="462"/>
      <c r="AP670" s="462"/>
      <c r="AS670" s="424"/>
      <c r="AV670" s="462"/>
      <c r="AY670" s="462"/>
      <c r="BB670" s="462"/>
      <c r="BE670" s="462">
        <f t="shared" si="408"/>
        <v>855.98</v>
      </c>
      <c r="BH670" s="462">
        <f t="shared" si="397"/>
        <v>855.98</v>
      </c>
      <c r="BI670" s="447" t="s">
        <v>2298</v>
      </c>
      <c r="BK670" s="462">
        <f t="shared" si="398"/>
        <v>855.98</v>
      </c>
      <c r="BL670" s="447" t="s">
        <v>2341</v>
      </c>
      <c r="BM670" s="462">
        <f>BK670</f>
        <v>855.98</v>
      </c>
      <c r="BN670" s="462">
        <f t="shared" si="399"/>
        <v>0</v>
      </c>
      <c r="BQ670" s="462">
        <f t="shared" si="400"/>
        <v>0</v>
      </c>
      <c r="BT670" s="462">
        <f t="shared" si="401"/>
        <v>0</v>
      </c>
      <c r="BW670" s="462">
        <f t="shared" si="402"/>
        <v>0</v>
      </c>
      <c r="BZ670" s="462">
        <f t="shared" si="403"/>
        <v>0</v>
      </c>
      <c r="CD670" s="418" t="str">
        <f t="shared" si="404"/>
        <v>CU0667001</v>
      </c>
      <c r="CE670" s="442" t="str">
        <f t="shared" si="405"/>
        <v>2020年6月</v>
      </c>
      <c r="CF670" s="418" t="str">
        <f t="shared" si="406"/>
        <v>北京杰迪安clife服务费暂估</v>
      </c>
      <c r="CG670" s="418" t="str">
        <f t="shared" si="407"/>
        <v>2020年6月北京杰迪安clife服务费暂估</v>
      </c>
    </row>
    <row r="671" spans="2:85" s="447" customFormat="1" ht="17.25" customHeight="1">
      <c r="B671" s="447" t="str">
        <f t="shared" si="395"/>
        <v>CU0812</v>
      </c>
      <c r="C671" s="431" t="s">
        <v>755</v>
      </c>
      <c r="D671" s="450" t="s">
        <v>1455</v>
      </c>
      <c r="E671" s="539" t="s">
        <v>1534</v>
      </c>
      <c r="F671" s="540">
        <v>43983</v>
      </c>
      <c r="G671" s="538">
        <v>6931.11</v>
      </c>
      <c r="H671" s="440"/>
      <c r="I671" s="440"/>
      <c r="J671" s="440"/>
      <c r="L671" s="462"/>
      <c r="M671" s="462"/>
      <c r="N671" s="444"/>
      <c r="O671" s="462"/>
      <c r="R671" s="462"/>
      <c r="U671" s="462"/>
      <c r="X671" s="462"/>
      <c r="AA671" s="462"/>
      <c r="AD671" s="462"/>
      <c r="AG671" s="462"/>
      <c r="AJ671" s="462"/>
      <c r="AM671" s="462"/>
      <c r="AP671" s="462"/>
      <c r="AS671" s="424"/>
      <c r="AV671" s="462"/>
      <c r="AY671" s="462"/>
      <c r="BB671" s="462"/>
      <c r="BE671" s="462">
        <f t="shared" si="408"/>
        <v>6931.11</v>
      </c>
      <c r="BH671" s="462">
        <f t="shared" si="397"/>
        <v>6931.11</v>
      </c>
      <c r="BI671" s="447" t="s">
        <v>2298</v>
      </c>
      <c r="BK671" s="462">
        <f t="shared" si="398"/>
        <v>6931.11</v>
      </c>
      <c r="BL671" s="447" t="s">
        <v>2341</v>
      </c>
      <c r="BN671" s="462">
        <f t="shared" si="399"/>
        <v>6931.11</v>
      </c>
      <c r="BO671" s="447" t="s">
        <v>2364</v>
      </c>
      <c r="BP671" s="462">
        <f>BN671</f>
        <v>6931.11</v>
      </c>
      <c r="BQ671" s="462">
        <f t="shared" si="400"/>
        <v>0</v>
      </c>
      <c r="BT671" s="462">
        <f t="shared" si="401"/>
        <v>0</v>
      </c>
      <c r="BW671" s="462">
        <f t="shared" si="402"/>
        <v>0</v>
      </c>
      <c r="BZ671" s="462">
        <f t="shared" si="403"/>
        <v>0</v>
      </c>
      <c r="CD671" s="418" t="str">
        <f t="shared" si="404"/>
        <v>CU0812001</v>
      </c>
      <c r="CE671" s="442" t="str">
        <f t="shared" si="405"/>
        <v>2020年6月</v>
      </c>
      <c r="CF671" s="418" t="str">
        <f t="shared" si="406"/>
        <v>上海恩派社clife服务费暂估</v>
      </c>
      <c r="CG671" s="418" t="str">
        <f t="shared" si="407"/>
        <v>2020年6月上海恩派社clife服务费暂估</v>
      </c>
    </row>
    <row r="672" spans="2:85" s="447" customFormat="1" ht="17.25" customHeight="1">
      <c r="B672" s="447" t="str">
        <f t="shared" si="395"/>
        <v>CU0823</v>
      </c>
      <c r="C672" s="431" t="s">
        <v>755</v>
      </c>
      <c r="D672" s="450" t="s">
        <v>1457</v>
      </c>
      <c r="E672" s="539" t="s">
        <v>581</v>
      </c>
      <c r="F672" s="540">
        <v>43983</v>
      </c>
      <c r="G672" s="538">
        <v>8823.5499999999993</v>
      </c>
      <c r="H672" s="440"/>
      <c r="I672" s="440"/>
      <c r="J672" s="440"/>
      <c r="L672" s="462"/>
      <c r="M672" s="462"/>
      <c r="N672" s="444"/>
      <c r="O672" s="462"/>
      <c r="R672" s="462"/>
      <c r="U672" s="462"/>
      <c r="X672" s="462"/>
      <c r="AA672" s="462"/>
      <c r="AD672" s="462"/>
      <c r="AG672" s="462"/>
      <c r="AJ672" s="462"/>
      <c r="AM672" s="462"/>
      <c r="AP672" s="462"/>
      <c r="AS672" s="424"/>
      <c r="AV672" s="462"/>
      <c r="AY672" s="462"/>
      <c r="BB672" s="462"/>
      <c r="BE672" s="462">
        <f t="shared" si="408"/>
        <v>8823.5499999999993</v>
      </c>
      <c r="BH672" s="462">
        <f t="shared" si="397"/>
        <v>8823.5499999999993</v>
      </c>
      <c r="BI672" s="447" t="s">
        <v>2298</v>
      </c>
      <c r="BK672" s="462">
        <f t="shared" si="398"/>
        <v>8823.5499999999993</v>
      </c>
      <c r="BL672" s="447" t="s">
        <v>2341</v>
      </c>
      <c r="BN672" s="462">
        <f t="shared" si="399"/>
        <v>8823.5499999999993</v>
      </c>
      <c r="BO672" s="447" t="s">
        <v>2364</v>
      </c>
      <c r="BQ672" s="462">
        <f t="shared" si="400"/>
        <v>8823.5499999999993</v>
      </c>
      <c r="BT672" s="462">
        <f t="shared" si="401"/>
        <v>8823.5499999999993</v>
      </c>
      <c r="BU672" s="447" t="s">
        <v>2134</v>
      </c>
      <c r="BW672" s="462">
        <f t="shared" si="402"/>
        <v>8823.5499999999993</v>
      </c>
      <c r="BZ672" s="462">
        <f t="shared" si="403"/>
        <v>8823.5499999999993</v>
      </c>
      <c r="CD672" s="418" t="str">
        <f t="shared" si="404"/>
        <v>CU0823001</v>
      </c>
      <c r="CE672" s="442" t="str">
        <f t="shared" si="405"/>
        <v>2020年6月</v>
      </c>
      <c r="CF672" s="418" t="str">
        <f t="shared" si="406"/>
        <v>凯杰生物工clife服务费暂估</v>
      </c>
      <c r="CG672" s="418" t="str">
        <f t="shared" si="407"/>
        <v>2020年6月凯杰生物工clife服务费暂估</v>
      </c>
    </row>
    <row r="673" spans="2:85" s="447" customFormat="1" ht="17.25" customHeight="1">
      <c r="B673" s="447" t="str">
        <f t="shared" si="395"/>
        <v>CU0824</v>
      </c>
      <c r="C673" s="431" t="s">
        <v>755</v>
      </c>
      <c r="D673" s="450" t="s">
        <v>1458</v>
      </c>
      <c r="E673" s="539" t="s">
        <v>1292</v>
      </c>
      <c r="F673" s="540">
        <v>43983</v>
      </c>
      <c r="G673" s="538">
        <v>607.62</v>
      </c>
      <c r="H673" s="440"/>
      <c r="I673" s="440"/>
      <c r="J673" s="440"/>
      <c r="L673" s="462"/>
      <c r="M673" s="462"/>
      <c r="N673" s="444"/>
      <c r="O673" s="462"/>
      <c r="R673" s="462"/>
      <c r="U673" s="462"/>
      <c r="X673" s="462"/>
      <c r="AA673" s="462"/>
      <c r="AD673" s="462"/>
      <c r="AG673" s="462"/>
      <c r="AJ673" s="462"/>
      <c r="AM673" s="462"/>
      <c r="AP673" s="462"/>
      <c r="AS673" s="424"/>
      <c r="AV673" s="462"/>
      <c r="AY673" s="462"/>
      <c r="BB673" s="462"/>
      <c r="BE673" s="462">
        <f t="shared" si="408"/>
        <v>607.62</v>
      </c>
      <c r="BH673" s="462">
        <f t="shared" si="397"/>
        <v>607.62</v>
      </c>
      <c r="BI673" s="447" t="s">
        <v>2298</v>
      </c>
      <c r="BK673" s="462">
        <f t="shared" si="398"/>
        <v>607.62</v>
      </c>
      <c r="BL673" s="447" t="s">
        <v>2341</v>
      </c>
      <c r="BM673" s="462">
        <f>BK673</f>
        <v>607.62</v>
      </c>
      <c r="BN673" s="462">
        <f t="shared" si="399"/>
        <v>0</v>
      </c>
      <c r="BQ673" s="462">
        <f t="shared" si="400"/>
        <v>0</v>
      </c>
      <c r="BT673" s="462">
        <f t="shared" si="401"/>
        <v>0</v>
      </c>
      <c r="BW673" s="462">
        <f t="shared" si="402"/>
        <v>0</v>
      </c>
      <c r="BZ673" s="462">
        <f t="shared" si="403"/>
        <v>0</v>
      </c>
      <c r="CD673" s="418" t="str">
        <f t="shared" si="404"/>
        <v>CU0824001</v>
      </c>
      <c r="CE673" s="442" t="str">
        <f t="shared" si="405"/>
        <v>2020年6月</v>
      </c>
      <c r="CF673" s="418" t="str">
        <f t="shared" si="406"/>
        <v>苏州舒尔贸clife服务费暂估</v>
      </c>
      <c r="CG673" s="418" t="str">
        <f t="shared" si="407"/>
        <v>2020年6月苏州舒尔贸clife服务费暂估</v>
      </c>
    </row>
    <row r="674" spans="2:85" s="447" customFormat="1" ht="17.25" customHeight="1">
      <c r="B674" s="447" t="str">
        <f t="shared" si="395"/>
        <v>CU0848</v>
      </c>
      <c r="C674" s="431" t="s">
        <v>755</v>
      </c>
      <c r="D674" s="450" t="s">
        <v>1462</v>
      </c>
      <c r="E674" s="539" t="s">
        <v>1830</v>
      </c>
      <c r="F674" s="540">
        <v>43983</v>
      </c>
      <c r="G674" s="538">
        <v>50357.96</v>
      </c>
      <c r="H674" s="440"/>
      <c r="I674" s="440"/>
      <c r="J674" s="440"/>
      <c r="L674" s="462"/>
      <c r="M674" s="462"/>
      <c r="N674" s="444"/>
      <c r="O674" s="462"/>
      <c r="R674" s="462"/>
      <c r="U674" s="462"/>
      <c r="X674" s="462"/>
      <c r="AA674" s="462"/>
      <c r="AD674" s="462"/>
      <c r="AG674" s="462"/>
      <c r="AJ674" s="462"/>
      <c r="AM674" s="462"/>
      <c r="AP674" s="462"/>
      <c r="AS674" s="424"/>
      <c r="AV674" s="462"/>
      <c r="AY674" s="462"/>
      <c r="BB674" s="462"/>
      <c r="BE674" s="462">
        <f t="shared" si="408"/>
        <v>50357.96</v>
      </c>
      <c r="BH674" s="462">
        <f t="shared" si="397"/>
        <v>50357.96</v>
      </c>
      <c r="BI674" s="447" t="s">
        <v>2298</v>
      </c>
      <c r="BK674" s="462">
        <f t="shared" si="398"/>
        <v>50357.96</v>
      </c>
      <c r="BL674" s="447" t="s">
        <v>2341</v>
      </c>
      <c r="BM674" s="462">
        <f>ROUND(45012.23/1.06,2)-BM656</f>
        <v>36805.710000000006</v>
      </c>
      <c r="BN674" s="462">
        <f t="shared" si="399"/>
        <v>13552.249999999993</v>
      </c>
      <c r="BO674" s="447" t="s">
        <v>2364</v>
      </c>
      <c r="BQ674" s="462">
        <f t="shared" si="400"/>
        <v>13552.25</v>
      </c>
      <c r="BT674" s="462">
        <f t="shared" si="401"/>
        <v>13552.25</v>
      </c>
      <c r="BU674" s="447" t="s">
        <v>2134</v>
      </c>
      <c r="BV674" s="447">
        <f>ROUND(10303.47/1.06,2)</f>
        <v>9720.25</v>
      </c>
      <c r="BW674" s="462">
        <f t="shared" si="402"/>
        <v>3832</v>
      </c>
      <c r="BZ674" s="462">
        <f t="shared" si="403"/>
        <v>3832</v>
      </c>
      <c r="CD674" s="418" t="str">
        <f t="shared" si="404"/>
        <v>CU0848001</v>
      </c>
      <c r="CE674" s="442" t="str">
        <f t="shared" si="405"/>
        <v>2020年6月</v>
      </c>
      <c r="CF674" s="418" t="str">
        <f t="shared" si="406"/>
        <v>爱德觅尔（clife服务费暂估</v>
      </c>
      <c r="CG674" s="418" t="str">
        <f t="shared" si="407"/>
        <v>2020年6月爱德觅尔（clife服务费暂估</v>
      </c>
    </row>
    <row r="675" spans="2:85" s="447" customFormat="1" ht="17.25" customHeight="1">
      <c r="B675" s="447" t="str">
        <f t="shared" si="395"/>
        <v>CU0869</v>
      </c>
      <c r="C675" s="431" t="s">
        <v>755</v>
      </c>
      <c r="D675" s="450" t="s">
        <v>1459</v>
      </c>
      <c r="E675" s="539" t="s">
        <v>2090</v>
      </c>
      <c r="F675" s="540">
        <v>43983</v>
      </c>
      <c r="G675" s="538">
        <v>220085.95</v>
      </c>
      <c r="H675" s="440"/>
      <c r="I675" s="440"/>
      <c r="J675" s="440"/>
      <c r="L675" s="462"/>
      <c r="M675" s="462"/>
      <c r="N675" s="444"/>
      <c r="O675" s="462"/>
      <c r="R675" s="462"/>
      <c r="U675" s="462"/>
      <c r="X675" s="462"/>
      <c r="AA675" s="462"/>
      <c r="AD675" s="462"/>
      <c r="AG675" s="462"/>
      <c r="AJ675" s="462"/>
      <c r="AM675" s="462"/>
      <c r="AP675" s="462"/>
      <c r="AS675" s="424"/>
      <c r="AV675" s="462"/>
      <c r="AY675" s="462"/>
      <c r="BB675" s="462"/>
      <c r="BE675" s="462">
        <f t="shared" si="408"/>
        <v>220085.95</v>
      </c>
      <c r="BH675" s="462">
        <f t="shared" si="397"/>
        <v>220085.95</v>
      </c>
      <c r="BI675" s="447" t="s">
        <v>2298</v>
      </c>
      <c r="BK675" s="462">
        <f t="shared" si="398"/>
        <v>220085.95</v>
      </c>
      <c r="BL675" s="447" t="s">
        <v>2341</v>
      </c>
      <c r="BN675" s="462">
        <f t="shared" si="399"/>
        <v>220085.95</v>
      </c>
      <c r="BO675" s="447" t="s">
        <v>2364</v>
      </c>
      <c r="BQ675" s="462">
        <f t="shared" si="400"/>
        <v>220085.95</v>
      </c>
      <c r="BS675" s="462">
        <f>ROUND((280456.64+3968.73)/1.06,2)-BS605-BS639</f>
        <v>154468.07</v>
      </c>
      <c r="BT675" s="462">
        <f t="shared" si="401"/>
        <v>65617.88</v>
      </c>
      <c r="BU675" s="447" t="s">
        <v>2134</v>
      </c>
      <c r="BW675" s="462">
        <f t="shared" si="402"/>
        <v>65617.88</v>
      </c>
      <c r="BZ675" s="462">
        <f t="shared" si="403"/>
        <v>65617.88</v>
      </c>
      <c r="CD675" s="418" t="str">
        <f t="shared" si="404"/>
        <v>CU0869001</v>
      </c>
      <c r="CE675" s="442" t="str">
        <f t="shared" si="405"/>
        <v>2020年6月</v>
      </c>
      <c r="CF675" s="418" t="str">
        <f t="shared" si="406"/>
        <v>智睿企业咨clife服务费暂估</v>
      </c>
      <c r="CG675" s="418" t="str">
        <f t="shared" si="407"/>
        <v>2020年6月智睿企业咨clife服务费暂估</v>
      </c>
    </row>
    <row r="676" spans="2:85" s="447" customFormat="1" ht="17.25" customHeight="1">
      <c r="B676" s="447" t="str">
        <f t="shared" si="395"/>
        <v>CU0884</v>
      </c>
      <c r="C676" s="431" t="s">
        <v>755</v>
      </c>
      <c r="D676" s="450" t="s">
        <v>1575</v>
      </c>
      <c r="E676" s="539" t="s">
        <v>2286</v>
      </c>
      <c r="F676" s="540">
        <v>43983</v>
      </c>
      <c r="G676" s="538">
        <v>2299404.9500000002</v>
      </c>
      <c r="H676" s="440"/>
      <c r="I676" s="440"/>
      <c r="J676" s="440"/>
      <c r="L676" s="462"/>
      <c r="M676" s="462"/>
      <c r="N676" s="444"/>
      <c r="O676" s="462"/>
      <c r="R676" s="462"/>
      <c r="U676" s="462"/>
      <c r="X676" s="462"/>
      <c r="AA676" s="462"/>
      <c r="AD676" s="462"/>
      <c r="AG676" s="462"/>
      <c r="AJ676" s="462"/>
      <c r="AM676" s="462"/>
      <c r="AP676" s="462"/>
      <c r="AS676" s="424"/>
      <c r="AV676" s="462"/>
      <c r="AY676" s="462"/>
      <c r="BB676" s="462"/>
      <c r="BE676" s="462">
        <f t="shared" si="408"/>
        <v>2299404.9500000002</v>
      </c>
      <c r="BH676" s="462">
        <f t="shared" si="397"/>
        <v>2299404.9500000002</v>
      </c>
      <c r="BI676" s="447" t="s">
        <v>2298</v>
      </c>
      <c r="BJ676" s="447">
        <f>ROUND((430400+1076000+215000)/1.06,2)</f>
        <v>1623962.26</v>
      </c>
      <c r="BK676" s="462">
        <f t="shared" si="398"/>
        <v>675442.69000000018</v>
      </c>
      <c r="BL676" s="447" t="s">
        <v>2341</v>
      </c>
      <c r="BN676" s="462">
        <f t="shared" si="399"/>
        <v>675442.69000000018</v>
      </c>
      <c r="BO676" s="447" t="s">
        <v>2364</v>
      </c>
      <c r="BQ676" s="462">
        <f t="shared" si="400"/>
        <v>675442.69</v>
      </c>
      <c r="BS676" s="447">
        <f>ROUND(103200/1.06,2)</f>
        <v>97358.49</v>
      </c>
      <c r="BT676" s="462">
        <f t="shared" si="401"/>
        <v>578084.19999999995</v>
      </c>
      <c r="BU676" s="447" t="s">
        <v>2134</v>
      </c>
      <c r="BV676" s="447">
        <f>ROUND(102125/1.06,2)+481739.86</f>
        <v>578084.19999999995</v>
      </c>
      <c r="BW676" s="462">
        <f t="shared" si="402"/>
        <v>0</v>
      </c>
      <c r="BZ676" s="462">
        <f t="shared" si="403"/>
        <v>0</v>
      </c>
      <c r="CD676" s="418" t="str">
        <f t="shared" si="404"/>
        <v>CU0884001</v>
      </c>
      <c r="CE676" s="442" t="str">
        <f t="shared" si="405"/>
        <v>2020年6月</v>
      </c>
      <c r="CF676" s="418" t="str">
        <f t="shared" si="406"/>
        <v>恩德斯豪斯clife服务费暂估</v>
      </c>
      <c r="CG676" s="418" t="str">
        <f t="shared" si="407"/>
        <v>2020年6月恩德斯豪斯clife服务费暂估</v>
      </c>
    </row>
    <row r="677" spans="2:85" s="447" customFormat="1" ht="17.25" customHeight="1">
      <c r="B677" s="447" t="str">
        <f t="shared" si="395"/>
        <v>CU0904</v>
      </c>
      <c r="C677" s="431" t="s">
        <v>755</v>
      </c>
      <c r="D677" s="450" t="s">
        <v>1460</v>
      </c>
      <c r="E677" s="539" t="s">
        <v>955</v>
      </c>
      <c r="F677" s="540">
        <v>43983</v>
      </c>
      <c r="G677" s="538">
        <v>12320.39</v>
      </c>
      <c r="H677" s="440"/>
      <c r="I677" s="440"/>
      <c r="J677" s="440"/>
      <c r="L677" s="462"/>
      <c r="M677" s="462"/>
      <c r="N677" s="444"/>
      <c r="O677" s="462"/>
      <c r="R677" s="462"/>
      <c r="U677" s="462"/>
      <c r="X677" s="462"/>
      <c r="AA677" s="462"/>
      <c r="AD677" s="462"/>
      <c r="AG677" s="462"/>
      <c r="AJ677" s="462"/>
      <c r="AM677" s="462"/>
      <c r="AP677" s="462"/>
      <c r="AS677" s="424"/>
      <c r="AV677" s="462"/>
      <c r="AY677" s="462"/>
      <c r="BB677" s="462"/>
      <c r="BE677" s="462">
        <f t="shared" si="408"/>
        <v>12320.39</v>
      </c>
      <c r="BH677" s="462">
        <f t="shared" si="397"/>
        <v>12320.39</v>
      </c>
      <c r="BI677" s="447" t="s">
        <v>2298</v>
      </c>
      <c r="BK677" s="462">
        <f t="shared" si="398"/>
        <v>12320.39</v>
      </c>
      <c r="BL677" s="447" t="s">
        <v>2341</v>
      </c>
      <c r="BN677" s="462">
        <f t="shared" si="399"/>
        <v>12320.39</v>
      </c>
      <c r="BO677" s="447" t="s">
        <v>2364</v>
      </c>
      <c r="BQ677" s="462">
        <f t="shared" si="400"/>
        <v>12320.39</v>
      </c>
      <c r="BS677" s="462">
        <f>BQ677</f>
        <v>12320.39</v>
      </c>
      <c r="BT677" s="462">
        <f t="shared" si="401"/>
        <v>0</v>
      </c>
      <c r="BW677" s="462">
        <f t="shared" si="402"/>
        <v>0</v>
      </c>
      <c r="BZ677" s="462">
        <f t="shared" si="403"/>
        <v>0</v>
      </c>
      <c r="CD677" s="418" t="str">
        <f t="shared" si="404"/>
        <v>CU0904001</v>
      </c>
      <c r="CE677" s="442" t="str">
        <f t="shared" si="405"/>
        <v>2020年6月</v>
      </c>
      <c r="CF677" s="418" t="str">
        <f t="shared" si="406"/>
        <v>紫光电子商clife服务费暂估</v>
      </c>
      <c r="CG677" s="418" t="str">
        <f t="shared" si="407"/>
        <v>2020年6月紫光电子商clife服务费暂估</v>
      </c>
    </row>
    <row r="678" spans="2:85" s="447" customFormat="1" ht="17.25" customHeight="1">
      <c r="B678" s="447" t="str">
        <f t="shared" si="395"/>
        <v>CU0914</v>
      </c>
      <c r="C678" s="431" t="s">
        <v>755</v>
      </c>
      <c r="D678" s="450" t="s">
        <v>1721</v>
      </c>
      <c r="E678" s="539" t="s">
        <v>1535</v>
      </c>
      <c r="F678" s="540">
        <v>43983</v>
      </c>
      <c r="G678" s="538">
        <v>1361856.45</v>
      </c>
      <c r="H678" s="440"/>
      <c r="I678" s="440"/>
      <c r="J678" s="440"/>
      <c r="L678" s="462"/>
      <c r="M678" s="462"/>
      <c r="N678" s="444"/>
      <c r="O678" s="462"/>
      <c r="R678" s="462"/>
      <c r="U678" s="462"/>
      <c r="X678" s="462"/>
      <c r="AA678" s="462"/>
      <c r="AD678" s="462"/>
      <c r="AG678" s="462"/>
      <c r="AJ678" s="462"/>
      <c r="AM678" s="462"/>
      <c r="AP678" s="462"/>
      <c r="AS678" s="424"/>
      <c r="AV678" s="462"/>
      <c r="AY678" s="462"/>
      <c r="BB678" s="462"/>
      <c r="BE678" s="462">
        <f t="shared" si="408"/>
        <v>1361856.45</v>
      </c>
      <c r="BH678" s="462">
        <f t="shared" si="397"/>
        <v>1361856.45</v>
      </c>
      <c r="BI678" s="447" t="s">
        <v>2298</v>
      </c>
      <c r="BJ678" s="462">
        <f>ROUND((538000+322800)/1.06,2)-BJ641+300000</f>
        <v>889158.71</v>
      </c>
      <c r="BK678" s="462">
        <f t="shared" si="398"/>
        <v>472697.74</v>
      </c>
      <c r="BL678" s="447" t="s">
        <v>2341</v>
      </c>
      <c r="BM678" s="444">
        <f>ROUND(484200/1.06,2)+15905.29</f>
        <v>472697.74</v>
      </c>
      <c r="BN678" s="462">
        <f t="shared" si="399"/>
        <v>0</v>
      </c>
      <c r="BQ678" s="462">
        <f t="shared" si="400"/>
        <v>0</v>
      </c>
      <c r="BT678" s="462">
        <f t="shared" si="401"/>
        <v>0</v>
      </c>
      <c r="BW678" s="462">
        <f t="shared" si="402"/>
        <v>0</v>
      </c>
      <c r="BZ678" s="462">
        <f t="shared" si="403"/>
        <v>0</v>
      </c>
      <c r="CD678" s="418" t="str">
        <f t="shared" si="404"/>
        <v>CU0914001</v>
      </c>
      <c r="CE678" s="442" t="str">
        <f t="shared" si="405"/>
        <v>2020年6月</v>
      </c>
      <c r="CF678" s="418" t="str">
        <f t="shared" si="406"/>
        <v>鑫车投资（clife服务费暂估</v>
      </c>
      <c r="CG678" s="418" t="str">
        <f t="shared" si="407"/>
        <v>2020年6月鑫车投资（clife服务费暂估</v>
      </c>
    </row>
    <row r="679" spans="2:85" s="447" customFormat="1" ht="17.25" customHeight="1">
      <c r="B679" s="447" t="str">
        <f t="shared" si="395"/>
        <v>CU1013</v>
      </c>
      <c r="C679" s="431" t="s">
        <v>755</v>
      </c>
      <c r="D679" s="450" t="s">
        <v>1653</v>
      </c>
      <c r="E679" s="539" t="s">
        <v>1468</v>
      </c>
      <c r="F679" s="540">
        <v>43983</v>
      </c>
      <c r="G679" s="538">
        <v>149592.73000000001</v>
      </c>
      <c r="H679" s="440"/>
      <c r="I679" s="440"/>
      <c r="J679" s="440"/>
      <c r="L679" s="462"/>
      <c r="M679" s="462"/>
      <c r="N679" s="444"/>
      <c r="O679" s="462"/>
      <c r="R679" s="462"/>
      <c r="U679" s="462"/>
      <c r="X679" s="462"/>
      <c r="AA679" s="462"/>
      <c r="AD679" s="462"/>
      <c r="AG679" s="462"/>
      <c r="AJ679" s="462"/>
      <c r="AM679" s="462"/>
      <c r="AP679" s="462"/>
      <c r="AS679" s="424"/>
      <c r="AV679" s="462"/>
      <c r="AY679" s="462"/>
      <c r="BB679" s="462"/>
      <c r="BE679" s="462">
        <f t="shared" si="408"/>
        <v>149592.73000000001</v>
      </c>
      <c r="BH679" s="462">
        <f t="shared" si="397"/>
        <v>149592.73000000001</v>
      </c>
      <c r="BI679" s="447" t="s">
        <v>2298</v>
      </c>
      <c r="BK679" s="462">
        <f t="shared" si="398"/>
        <v>149592.73000000001</v>
      </c>
      <c r="BL679" s="447" t="s">
        <v>2341</v>
      </c>
      <c r="BN679" s="462">
        <f t="shared" si="399"/>
        <v>149592.73000000001</v>
      </c>
      <c r="BO679" s="447" t="s">
        <v>2364</v>
      </c>
      <c r="BQ679" s="462">
        <f t="shared" si="400"/>
        <v>149592.73000000001</v>
      </c>
      <c r="BS679" s="462">
        <f>150000-BS541</f>
        <v>100135.76000000001</v>
      </c>
      <c r="BT679" s="462">
        <f t="shared" si="401"/>
        <v>49456.97</v>
      </c>
      <c r="BU679" s="447" t="s">
        <v>2134</v>
      </c>
      <c r="BW679" s="462">
        <f t="shared" si="402"/>
        <v>49456.97</v>
      </c>
      <c r="BZ679" s="462">
        <f t="shared" si="403"/>
        <v>49456.97</v>
      </c>
      <c r="CD679" s="418" t="str">
        <f t="shared" si="404"/>
        <v>CU1013001</v>
      </c>
      <c r="CE679" s="442" t="str">
        <f t="shared" si="405"/>
        <v>2020年6月</v>
      </c>
      <c r="CF679" s="418" t="str">
        <f t="shared" si="406"/>
        <v>喜利得（中clife服务费暂估</v>
      </c>
      <c r="CG679" s="418" t="str">
        <f t="shared" si="407"/>
        <v>2020年6月喜利得（中clife服务费暂估</v>
      </c>
    </row>
    <row r="680" spans="2:85" s="447" customFormat="1" ht="17.25" customHeight="1">
      <c r="B680" s="447" t="str">
        <f t="shared" si="395"/>
        <v>CU1016</v>
      </c>
      <c r="C680" s="431" t="s">
        <v>755</v>
      </c>
      <c r="D680" s="450" t="s">
        <v>1524</v>
      </c>
      <c r="E680" s="539" t="s">
        <v>1536</v>
      </c>
      <c r="F680" s="540">
        <v>43983</v>
      </c>
      <c r="G680" s="538">
        <v>11139.37</v>
      </c>
      <c r="H680" s="440"/>
      <c r="I680" s="440"/>
      <c r="J680" s="440"/>
      <c r="L680" s="462"/>
      <c r="M680" s="462"/>
      <c r="N680" s="444"/>
      <c r="O680" s="462"/>
      <c r="R680" s="462"/>
      <c r="U680" s="462"/>
      <c r="X680" s="462"/>
      <c r="AA680" s="462"/>
      <c r="AD680" s="462"/>
      <c r="AG680" s="462"/>
      <c r="AJ680" s="462"/>
      <c r="AM680" s="462"/>
      <c r="AP680" s="462"/>
      <c r="AS680" s="424"/>
      <c r="AV680" s="462"/>
      <c r="AY680" s="462"/>
      <c r="BB680" s="462"/>
      <c r="BE680" s="462">
        <f t="shared" si="408"/>
        <v>11139.37</v>
      </c>
      <c r="BH680" s="462">
        <f t="shared" si="397"/>
        <v>11139.37</v>
      </c>
      <c r="BI680" s="447" t="s">
        <v>2298</v>
      </c>
      <c r="BK680" s="462">
        <f t="shared" si="398"/>
        <v>11139.37</v>
      </c>
      <c r="BL680" s="447" t="s">
        <v>2341</v>
      </c>
      <c r="BN680" s="462">
        <f t="shared" si="399"/>
        <v>11139.37</v>
      </c>
      <c r="BO680" s="447" t="s">
        <v>2364</v>
      </c>
      <c r="BQ680" s="462">
        <f t="shared" si="400"/>
        <v>11139.37</v>
      </c>
      <c r="BS680" s="462">
        <f>BQ680</f>
        <v>11139.37</v>
      </c>
      <c r="BT680" s="462">
        <f t="shared" si="401"/>
        <v>0</v>
      </c>
      <c r="BW680" s="462">
        <f t="shared" si="402"/>
        <v>0</v>
      </c>
      <c r="BZ680" s="462">
        <f t="shared" si="403"/>
        <v>0</v>
      </c>
      <c r="CD680" s="418" t="str">
        <f t="shared" si="404"/>
        <v>CU1016001</v>
      </c>
      <c r="CE680" s="442" t="str">
        <f t="shared" si="405"/>
        <v>2020年6月</v>
      </c>
      <c r="CF680" s="418" t="str">
        <f t="shared" si="406"/>
        <v>乔治阿玛尼clife服务费暂估</v>
      </c>
      <c r="CG680" s="418" t="str">
        <f t="shared" si="407"/>
        <v>2020年6月乔治阿玛尼clife服务费暂估</v>
      </c>
    </row>
    <row r="681" spans="2:85" s="447" customFormat="1" ht="17.25" customHeight="1">
      <c r="B681" s="447" t="str">
        <f t="shared" si="395"/>
        <v>CU1065</v>
      </c>
      <c r="C681" s="431" t="s">
        <v>755</v>
      </c>
      <c r="D681" s="450" t="s">
        <v>1573</v>
      </c>
      <c r="E681" s="539" t="s">
        <v>1332</v>
      </c>
      <c r="F681" s="540">
        <v>43983</v>
      </c>
      <c r="G681" s="538">
        <v>130284.71</v>
      </c>
      <c r="H681" s="440"/>
      <c r="I681" s="440"/>
      <c r="J681" s="440"/>
      <c r="L681" s="462"/>
      <c r="M681" s="462"/>
      <c r="N681" s="444"/>
      <c r="O681" s="462"/>
      <c r="R681" s="462"/>
      <c r="U681" s="462"/>
      <c r="X681" s="462"/>
      <c r="AA681" s="462"/>
      <c r="AD681" s="462"/>
      <c r="AG681" s="462"/>
      <c r="AJ681" s="462"/>
      <c r="AM681" s="462"/>
      <c r="AP681" s="462"/>
      <c r="AS681" s="424"/>
      <c r="AV681" s="462"/>
      <c r="AY681" s="462"/>
      <c r="BB681" s="462"/>
      <c r="BE681" s="462">
        <f t="shared" si="408"/>
        <v>130284.71</v>
      </c>
      <c r="BH681" s="462">
        <f t="shared" si="397"/>
        <v>130284.71</v>
      </c>
      <c r="BI681" s="447" t="s">
        <v>2298</v>
      </c>
      <c r="BK681" s="462">
        <f t="shared" si="398"/>
        <v>130284.71</v>
      </c>
      <c r="BL681" s="447" t="s">
        <v>2341</v>
      </c>
      <c r="BN681" s="462">
        <f t="shared" si="399"/>
        <v>130284.71</v>
      </c>
      <c r="BO681" s="447" t="s">
        <v>2364</v>
      </c>
      <c r="BP681" s="447">
        <f>ROUND(135987.04/1.06,2)</f>
        <v>128289.66</v>
      </c>
      <c r="BQ681" s="462">
        <f t="shared" si="400"/>
        <v>1995.05</v>
      </c>
      <c r="BT681" s="462">
        <f t="shared" si="401"/>
        <v>1995.05</v>
      </c>
      <c r="BU681" s="447" t="s">
        <v>2134</v>
      </c>
      <c r="BW681" s="462">
        <f t="shared" si="402"/>
        <v>1995.05</v>
      </c>
      <c r="BZ681" s="462">
        <f t="shared" si="403"/>
        <v>1995.05</v>
      </c>
      <c r="CD681" s="418" t="str">
        <f t="shared" si="404"/>
        <v>CU1065001</v>
      </c>
      <c r="CE681" s="442" t="str">
        <f t="shared" si="405"/>
        <v>2020年6月</v>
      </c>
      <c r="CF681" s="418" t="str">
        <f t="shared" si="406"/>
        <v>湖北长江蔚clife服务费暂估</v>
      </c>
      <c r="CG681" s="418" t="str">
        <f t="shared" si="407"/>
        <v>2020年6月湖北长江蔚clife服务费暂估</v>
      </c>
    </row>
    <row r="682" spans="2:85" s="447" customFormat="1" ht="17.25" customHeight="1">
      <c r="B682" s="447" t="str">
        <f t="shared" si="395"/>
        <v>CU1155</v>
      </c>
      <c r="C682" s="431" t="s">
        <v>755</v>
      </c>
      <c r="D682" s="450" t="s">
        <v>1698</v>
      </c>
      <c r="E682" s="539" t="s">
        <v>1681</v>
      </c>
      <c r="F682" s="540">
        <v>43983</v>
      </c>
      <c r="G682" s="538">
        <v>6592.11</v>
      </c>
      <c r="H682" s="440"/>
      <c r="I682" s="440"/>
      <c r="J682" s="440"/>
      <c r="L682" s="462"/>
      <c r="M682" s="462"/>
      <c r="N682" s="444"/>
      <c r="O682" s="462"/>
      <c r="R682" s="462"/>
      <c r="U682" s="462"/>
      <c r="X682" s="462"/>
      <c r="AA682" s="462"/>
      <c r="AD682" s="462"/>
      <c r="AG682" s="462"/>
      <c r="AJ682" s="462"/>
      <c r="AM682" s="462"/>
      <c r="AP682" s="462"/>
      <c r="AS682" s="424"/>
      <c r="AV682" s="462"/>
      <c r="AY682" s="462"/>
      <c r="BB682" s="462"/>
      <c r="BE682" s="462">
        <f t="shared" si="408"/>
        <v>6592.11</v>
      </c>
      <c r="BH682" s="462">
        <f t="shared" si="397"/>
        <v>6592.11</v>
      </c>
      <c r="BI682" s="447" t="s">
        <v>2298</v>
      </c>
      <c r="BK682" s="462">
        <f t="shared" si="398"/>
        <v>6592.11</v>
      </c>
      <c r="BL682" s="447" t="s">
        <v>2341</v>
      </c>
      <c r="BN682" s="462">
        <f t="shared" si="399"/>
        <v>6592.11</v>
      </c>
      <c r="BO682" s="447" t="s">
        <v>2364</v>
      </c>
      <c r="BQ682" s="462">
        <f t="shared" si="400"/>
        <v>6592.11</v>
      </c>
      <c r="BT682" s="462">
        <f t="shared" si="401"/>
        <v>6592.11</v>
      </c>
      <c r="BU682" s="447" t="s">
        <v>2134</v>
      </c>
      <c r="BW682" s="462">
        <f t="shared" si="402"/>
        <v>6592.11</v>
      </c>
      <c r="BZ682" s="462">
        <f t="shared" si="403"/>
        <v>6592.11</v>
      </c>
      <c r="CD682" s="418" t="str">
        <f t="shared" si="404"/>
        <v>CU1155001</v>
      </c>
      <c r="CE682" s="442" t="str">
        <f t="shared" si="405"/>
        <v>2020年6月</v>
      </c>
      <c r="CF682" s="418" t="str">
        <f t="shared" si="406"/>
        <v>艾蒙斯特朗clife服务费暂估</v>
      </c>
      <c r="CG682" s="418" t="str">
        <f t="shared" si="407"/>
        <v>2020年6月艾蒙斯特朗clife服务费暂估</v>
      </c>
    </row>
    <row r="683" spans="2:85" s="447" customFormat="1" ht="17.25" customHeight="1">
      <c r="B683" s="447" t="str">
        <f t="shared" si="395"/>
        <v>CU1159</v>
      </c>
      <c r="C683" s="431" t="s">
        <v>755</v>
      </c>
      <c r="D683" s="450" t="s">
        <v>1722</v>
      </c>
      <c r="E683" s="539" t="s">
        <v>1837</v>
      </c>
      <c r="F683" s="540">
        <v>43983</v>
      </c>
      <c r="G683" s="538">
        <v>372610.68</v>
      </c>
      <c r="H683" s="440"/>
      <c r="I683" s="440"/>
      <c r="J683" s="440"/>
      <c r="L683" s="462"/>
      <c r="M683" s="462"/>
      <c r="N683" s="444"/>
      <c r="O683" s="462"/>
      <c r="R683" s="462"/>
      <c r="U683" s="462"/>
      <c r="X683" s="462"/>
      <c r="AA683" s="462"/>
      <c r="AD683" s="462"/>
      <c r="AG683" s="462"/>
      <c r="AJ683" s="462"/>
      <c r="AM683" s="462"/>
      <c r="AP683" s="462"/>
      <c r="AS683" s="424"/>
      <c r="AV683" s="462"/>
      <c r="AY683" s="462"/>
      <c r="BB683" s="462"/>
      <c r="BE683" s="462">
        <f t="shared" si="408"/>
        <v>372610.68</v>
      </c>
      <c r="BH683" s="462">
        <f t="shared" si="397"/>
        <v>372610.68</v>
      </c>
      <c r="BI683" s="447" t="s">
        <v>2298</v>
      </c>
      <c r="BK683" s="462">
        <f t="shared" si="398"/>
        <v>372610.68</v>
      </c>
      <c r="BL683" s="447" t="s">
        <v>2341</v>
      </c>
      <c r="BN683" s="462">
        <f t="shared" si="399"/>
        <v>372610.68</v>
      </c>
      <c r="BO683" s="447" t="s">
        <v>2364</v>
      </c>
      <c r="BP683" s="462">
        <f>BN683</f>
        <v>372610.68</v>
      </c>
      <c r="BQ683" s="462">
        <f t="shared" si="400"/>
        <v>0</v>
      </c>
      <c r="BT683" s="462">
        <f t="shared" si="401"/>
        <v>0</v>
      </c>
      <c r="BW683" s="462">
        <f t="shared" si="402"/>
        <v>0</v>
      </c>
      <c r="BZ683" s="462">
        <f t="shared" si="403"/>
        <v>0</v>
      </c>
      <c r="CD683" s="418" t="str">
        <f t="shared" si="404"/>
        <v>CU1159001</v>
      </c>
      <c r="CE683" s="442" t="str">
        <f t="shared" si="405"/>
        <v>2020年6月</v>
      </c>
      <c r="CF683" s="418" t="str">
        <f t="shared" si="406"/>
        <v>北京万国长clife服务费暂估</v>
      </c>
      <c r="CG683" s="418" t="str">
        <f t="shared" si="407"/>
        <v>2020年6月北京万国长clife服务费暂估</v>
      </c>
    </row>
    <row r="684" spans="2:85" s="447" customFormat="1" ht="17.25" customHeight="1">
      <c r="B684" s="447" t="str">
        <f t="shared" si="395"/>
        <v>CU1172</v>
      </c>
      <c r="C684" s="431" t="s">
        <v>755</v>
      </c>
      <c r="D684" s="450" t="s">
        <v>1841</v>
      </c>
      <c r="E684" s="539" t="s">
        <v>1831</v>
      </c>
      <c r="F684" s="540">
        <v>43983</v>
      </c>
      <c r="G684" s="538">
        <v>2054.06</v>
      </c>
      <c r="H684" s="440"/>
      <c r="I684" s="440"/>
      <c r="J684" s="440"/>
      <c r="L684" s="462"/>
      <c r="M684" s="462"/>
      <c r="N684" s="444"/>
      <c r="O684" s="462"/>
      <c r="R684" s="462"/>
      <c r="U684" s="462"/>
      <c r="X684" s="462"/>
      <c r="AA684" s="462"/>
      <c r="AD684" s="462"/>
      <c r="AG684" s="462"/>
      <c r="AJ684" s="462"/>
      <c r="AM684" s="462"/>
      <c r="AP684" s="462"/>
      <c r="AS684" s="424"/>
      <c r="AV684" s="462"/>
      <c r="AY684" s="462"/>
      <c r="BB684" s="462"/>
      <c r="BE684" s="462">
        <f t="shared" si="408"/>
        <v>2054.06</v>
      </c>
      <c r="BH684" s="462">
        <f t="shared" si="397"/>
        <v>2054.06</v>
      </c>
      <c r="BI684" s="447" t="s">
        <v>2298</v>
      </c>
      <c r="BK684" s="462">
        <f t="shared" si="398"/>
        <v>2054.06</v>
      </c>
      <c r="BL684" s="447" t="s">
        <v>2341</v>
      </c>
      <c r="BM684" s="462">
        <f>ROUND(1438/1.06,2)-BM611+573+215.8</f>
        <v>1946.4400000000007</v>
      </c>
      <c r="BN684" s="462">
        <f t="shared" si="399"/>
        <v>107.61999999999921</v>
      </c>
      <c r="BO684" s="447" t="s">
        <v>2364</v>
      </c>
      <c r="BQ684" s="462">
        <f t="shared" si="400"/>
        <v>107.62</v>
      </c>
      <c r="BT684" s="462">
        <f t="shared" si="401"/>
        <v>107.62</v>
      </c>
      <c r="BU684" s="447" t="s">
        <v>2134</v>
      </c>
      <c r="BW684" s="462">
        <f t="shared" si="402"/>
        <v>107.62</v>
      </c>
      <c r="BZ684" s="462">
        <f t="shared" si="403"/>
        <v>107.62</v>
      </c>
      <c r="CD684" s="418" t="str">
        <f t="shared" si="404"/>
        <v>CU1172001</v>
      </c>
      <c r="CE684" s="442" t="str">
        <f t="shared" si="405"/>
        <v>2020年6月</v>
      </c>
      <c r="CF684" s="418" t="str">
        <f t="shared" si="406"/>
        <v>之宝（中国clife服务费暂估</v>
      </c>
      <c r="CG684" s="418" t="str">
        <f t="shared" si="407"/>
        <v>2020年6月之宝（中国clife服务费暂估</v>
      </c>
    </row>
    <row r="685" spans="2:85" s="447" customFormat="1" ht="17.25" customHeight="1">
      <c r="B685" s="447" t="str">
        <f t="shared" si="395"/>
        <v>CU1198</v>
      </c>
      <c r="C685" s="431" t="s">
        <v>755</v>
      </c>
      <c r="D685" s="450" t="s">
        <v>1538</v>
      </c>
      <c r="E685" s="539" t="s">
        <v>1537</v>
      </c>
      <c r="F685" s="540">
        <v>43983</v>
      </c>
      <c r="G685" s="538">
        <v>135405.82999999999</v>
      </c>
      <c r="H685" s="440"/>
      <c r="I685" s="440"/>
      <c r="J685" s="440"/>
      <c r="L685" s="462"/>
      <c r="M685" s="462"/>
      <c r="N685" s="444"/>
      <c r="O685" s="462"/>
      <c r="R685" s="462"/>
      <c r="U685" s="462"/>
      <c r="X685" s="462"/>
      <c r="AA685" s="462"/>
      <c r="AD685" s="462"/>
      <c r="AG685" s="462"/>
      <c r="AJ685" s="462"/>
      <c r="AM685" s="462"/>
      <c r="AP685" s="462"/>
      <c r="AS685" s="424"/>
      <c r="AV685" s="462"/>
      <c r="AY685" s="462"/>
      <c r="BB685" s="462"/>
      <c r="BE685" s="462">
        <f t="shared" si="408"/>
        <v>135405.82999999999</v>
      </c>
      <c r="BH685" s="462">
        <f t="shared" si="397"/>
        <v>135405.82999999999</v>
      </c>
      <c r="BI685" s="447" t="s">
        <v>2298</v>
      </c>
      <c r="BJ685" s="462">
        <f>ROUND((115693.86+65182)/1.06,2)-BJ612-BJ644</f>
        <v>134709.44010000001</v>
      </c>
      <c r="BK685" s="462">
        <f t="shared" si="398"/>
        <v>696.38989999998012</v>
      </c>
      <c r="BL685" s="447" t="s">
        <v>2341</v>
      </c>
      <c r="BN685" s="462">
        <f t="shared" si="399"/>
        <v>696.38989999998012</v>
      </c>
      <c r="BO685" s="447" t="s">
        <v>2364</v>
      </c>
      <c r="BP685" s="462">
        <f>BN685</f>
        <v>696.38989999998012</v>
      </c>
      <c r="BQ685" s="462">
        <f t="shared" si="400"/>
        <v>0</v>
      </c>
      <c r="BT685" s="462">
        <f t="shared" si="401"/>
        <v>0</v>
      </c>
      <c r="BW685" s="462">
        <f t="shared" si="402"/>
        <v>0</v>
      </c>
      <c r="BZ685" s="462">
        <f t="shared" si="403"/>
        <v>0</v>
      </c>
      <c r="CD685" s="418" t="str">
        <f t="shared" si="404"/>
        <v>CU1198001</v>
      </c>
      <c r="CE685" s="442" t="str">
        <f t="shared" si="405"/>
        <v>2020年6月</v>
      </c>
      <c r="CF685" s="418" t="str">
        <f t="shared" si="406"/>
        <v>通用公正技clife服务费暂估</v>
      </c>
      <c r="CG685" s="418" t="str">
        <f t="shared" si="407"/>
        <v>2020年6月通用公正技clife服务费暂估</v>
      </c>
    </row>
    <row r="686" spans="2:85" s="447" customFormat="1" ht="17.25" customHeight="1">
      <c r="B686" s="447" t="str">
        <f t="shared" si="395"/>
        <v>CU1204</v>
      </c>
      <c r="C686" s="431" t="s">
        <v>755</v>
      </c>
      <c r="D686" s="450" t="s">
        <v>1656</v>
      </c>
      <c r="E686" s="539" t="s">
        <v>1582</v>
      </c>
      <c r="F686" s="540">
        <v>43983</v>
      </c>
      <c r="G686" s="538">
        <v>16533</v>
      </c>
      <c r="H686" s="440"/>
      <c r="I686" s="440"/>
      <c r="J686" s="440"/>
      <c r="L686" s="462"/>
      <c r="M686" s="462"/>
      <c r="N686" s="444"/>
      <c r="O686" s="462"/>
      <c r="R686" s="462"/>
      <c r="U686" s="462"/>
      <c r="X686" s="462"/>
      <c r="AA686" s="462"/>
      <c r="AD686" s="462"/>
      <c r="AG686" s="462"/>
      <c r="AJ686" s="462"/>
      <c r="AM686" s="462"/>
      <c r="AP686" s="462"/>
      <c r="AS686" s="424"/>
      <c r="AV686" s="462"/>
      <c r="AY686" s="462"/>
      <c r="BB686" s="462"/>
      <c r="BE686" s="462">
        <f t="shared" si="408"/>
        <v>16533</v>
      </c>
      <c r="BH686" s="462">
        <f t="shared" si="397"/>
        <v>16533</v>
      </c>
      <c r="BI686" s="447" t="s">
        <v>2298</v>
      </c>
      <c r="BK686" s="462">
        <f t="shared" si="398"/>
        <v>16533</v>
      </c>
      <c r="BL686" s="447" t="s">
        <v>2341</v>
      </c>
      <c r="BM686" s="462">
        <f>BK686</f>
        <v>16533</v>
      </c>
      <c r="BN686" s="462">
        <f t="shared" si="399"/>
        <v>0</v>
      </c>
      <c r="BQ686" s="462">
        <f t="shared" si="400"/>
        <v>0</v>
      </c>
      <c r="BT686" s="462">
        <f t="shared" si="401"/>
        <v>0</v>
      </c>
      <c r="BW686" s="462">
        <f t="shared" si="402"/>
        <v>0</v>
      </c>
      <c r="BZ686" s="462">
        <f t="shared" si="403"/>
        <v>0</v>
      </c>
      <c r="CD686" s="418" t="str">
        <f t="shared" si="404"/>
        <v>CU1204001</v>
      </c>
      <c r="CE686" s="442" t="str">
        <f t="shared" si="405"/>
        <v>2020年6月</v>
      </c>
      <c r="CF686" s="418" t="str">
        <f t="shared" si="406"/>
        <v>固特异轮胎clife服务费暂估</v>
      </c>
      <c r="CG686" s="418" t="str">
        <f t="shared" si="407"/>
        <v>2020年6月固特异轮胎clife服务费暂估</v>
      </c>
    </row>
    <row r="687" spans="2:85" s="447" customFormat="1" ht="17.25" customHeight="1">
      <c r="B687" s="447" t="str">
        <f t="shared" si="395"/>
        <v>CU1223</v>
      </c>
      <c r="C687" s="431" t="s">
        <v>755</v>
      </c>
      <c r="D687" s="450" t="s">
        <v>1842</v>
      </c>
      <c r="E687" s="539" t="s">
        <v>1838</v>
      </c>
      <c r="F687" s="540">
        <v>43983</v>
      </c>
      <c r="G687" s="538">
        <v>12607.76</v>
      </c>
      <c r="H687" s="440"/>
      <c r="I687" s="440"/>
      <c r="J687" s="440"/>
      <c r="L687" s="462"/>
      <c r="M687" s="462"/>
      <c r="N687" s="444"/>
      <c r="O687" s="462"/>
      <c r="R687" s="462"/>
      <c r="U687" s="462"/>
      <c r="X687" s="462"/>
      <c r="AA687" s="462"/>
      <c r="AD687" s="462"/>
      <c r="AG687" s="462"/>
      <c r="AJ687" s="462"/>
      <c r="AM687" s="462"/>
      <c r="AP687" s="462"/>
      <c r="AS687" s="424"/>
      <c r="AV687" s="462"/>
      <c r="AY687" s="462"/>
      <c r="BB687" s="462"/>
      <c r="BE687" s="462">
        <f t="shared" si="408"/>
        <v>12607.76</v>
      </c>
      <c r="BH687" s="462">
        <f t="shared" si="397"/>
        <v>12607.76</v>
      </c>
      <c r="BI687" s="447" t="s">
        <v>2298</v>
      </c>
      <c r="BJ687" s="462">
        <f>ROUND(130937.37/1.06,2)-BJ378-BJ408-BJ447-BJ480-BJ503-BJ545-BJ576-BJ614-BJ646</f>
        <v>12607.759999999995</v>
      </c>
      <c r="BK687" s="462">
        <f t="shared" si="398"/>
        <v>0</v>
      </c>
      <c r="BN687" s="462">
        <f t="shared" si="399"/>
        <v>0</v>
      </c>
      <c r="BQ687" s="462">
        <f t="shared" si="400"/>
        <v>0</v>
      </c>
      <c r="BT687" s="462">
        <f t="shared" si="401"/>
        <v>0</v>
      </c>
      <c r="BW687" s="462">
        <f t="shared" si="402"/>
        <v>0</v>
      </c>
      <c r="BZ687" s="462">
        <f t="shared" si="403"/>
        <v>0</v>
      </c>
      <c r="CD687" s="418" t="str">
        <f t="shared" si="404"/>
        <v>CU1223001</v>
      </c>
      <c r="CE687" s="442" t="str">
        <f t="shared" si="405"/>
        <v>2020年6月</v>
      </c>
      <c r="CF687" s="418" t="str">
        <f t="shared" si="406"/>
        <v>上海品盛化clife服务费暂估</v>
      </c>
      <c r="CG687" s="418" t="str">
        <f t="shared" si="407"/>
        <v>2020年6月上海品盛化clife服务费暂估</v>
      </c>
    </row>
    <row r="688" spans="2:85" s="447" customFormat="1" ht="17.25" customHeight="1">
      <c r="B688" s="447" t="str">
        <f t="shared" si="395"/>
        <v>CU1345</v>
      </c>
      <c r="C688" s="431" t="s">
        <v>755</v>
      </c>
      <c r="D688" s="450" t="s">
        <v>1843</v>
      </c>
      <c r="E688" s="539" t="s">
        <v>1839</v>
      </c>
      <c r="F688" s="540">
        <v>43983</v>
      </c>
      <c r="G688" s="538">
        <v>125119.99</v>
      </c>
      <c r="H688" s="440"/>
      <c r="I688" s="440"/>
      <c r="J688" s="440"/>
      <c r="L688" s="462"/>
      <c r="M688" s="462"/>
      <c r="N688" s="444"/>
      <c r="O688" s="462"/>
      <c r="R688" s="462"/>
      <c r="U688" s="462"/>
      <c r="X688" s="462"/>
      <c r="AA688" s="462"/>
      <c r="AD688" s="462"/>
      <c r="AG688" s="462"/>
      <c r="AJ688" s="462"/>
      <c r="AM688" s="462"/>
      <c r="AP688" s="462"/>
      <c r="AS688" s="424"/>
      <c r="AV688" s="462"/>
      <c r="AY688" s="462"/>
      <c r="BB688" s="462"/>
      <c r="BE688" s="462">
        <f t="shared" si="408"/>
        <v>125119.99</v>
      </c>
      <c r="BH688" s="462">
        <f t="shared" si="397"/>
        <v>125119.99</v>
      </c>
      <c r="BI688" s="447" t="s">
        <v>2298</v>
      </c>
      <c r="BK688" s="462">
        <f t="shared" si="398"/>
        <v>125119.99</v>
      </c>
      <c r="BL688" s="447" t="s">
        <v>2341</v>
      </c>
      <c r="BM688" s="462">
        <f>200000-BM615</f>
        <v>101286.70999999999</v>
      </c>
      <c r="BN688" s="462">
        <f t="shared" si="399"/>
        <v>23833.280000000013</v>
      </c>
      <c r="BO688" s="447" t="s">
        <v>2364</v>
      </c>
      <c r="BQ688" s="462">
        <f t="shared" si="400"/>
        <v>23833.279999999999</v>
      </c>
      <c r="BS688" s="462">
        <f>BQ688</f>
        <v>23833.279999999999</v>
      </c>
      <c r="BT688" s="462">
        <f t="shared" si="401"/>
        <v>0</v>
      </c>
      <c r="BW688" s="462">
        <f t="shared" si="402"/>
        <v>0</v>
      </c>
      <c r="BZ688" s="462">
        <f t="shared" si="403"/>
        <v>0</v>
      </c>
      <c r="CD688" s="418" t="str">
        <f t="shared" si="404"/>
        <v>CU1345001</v>
      </c>
      <c r="CE688" s="442" t="str">
        <f t="shared" si="405"/>
        <v>2020年6月</v>
      </c>
      <c r="CF688" s="418" t="str">
        <f t="shared" si="406"/>
        <v>上海创米科clife服务费暂估</v>
      </c>
      <c r="CG688" s="418" t="str">
        <f t="shared" si="407"/>
        <v>2020年6月上海创米科clife服务费暂估</v>
      </c>
    </row>
    <row r="689" spans="2:85" s="447" customFormat="1" ht="17.25" customHeight="1">
      <c r="B689" s="447" t="str">
        <f t="shared" si="395"/>
        <v>CU1354</v>
      </c>
      <c r="C689" s="431" t="s">
        <v>755</v>
      </c>
      <c r="D689" s="450" t="s">
        <v>1723</v>
      </c>
      <c r="E689" s="539" t="s">
        <v>1840</v>
      </c>
      <c r="F689" s="540">
        <v>43983</v>
      </c>
      <c r="G689" s="538">
        <v>18461.240000000002</v>
      </c>
      <c r="H689" s="440"/>
      <c r="I689" s="440"/>
      <c r="J689" s="440"/>
      <c r="L689" s="462"/>
      <c r="M689" s="462"/>
      <c r="N689" s="444"/>
      <c r="O689" s="462"/>
      <c r="R689" s="462"/>
      <c r="U689" s="462"/>
      <c r="X689" s="462"/>
      <c r="AA689" s="462"/>
      <c r="AD689" s="462"/>
      <c r="AG689" s="462"/>
      <c r="AJ689" s="462"/>
      <c r="AM689" s="462"/>
      <c r="AP689" s="462"/>
      <c r="AS689" s="424"/>
      <c r="AV689" s="462"/>
      <c r="AY689" s="462"/>
      <c r="BB689" s="462"/>
      <c r="BE689" s="462">
        <f t="shared" si="408"/>
        <v>18461.240000000002</v>
      </c>
      <c r="BH689" s="462">
        <f t="shared" si="397"/>
        <v>18461.240000000002</v>
      </c>
      <c r="BI689" s="447" t="s">
        <v>2298</v>
      </c>
      <c r="BK689" s="462">
        <f t="shared" si="398"/>
        <v>18461.240000000002</v>
      </c>
      <c r="BL689" s="447" t="s">
        <v>2341</v>
      </c>
      <c r="BN689" s="462">
        <f t="shared" si="399"/>
        <v>18461.240000000002</v>
      </c>
      <c r="BO689" s="447" t="s">
        <v>2364</v>
      </c>
      <c r="BP689" s="462">
        <f>200000-BP410-BP448-BP482-BP504-BP616-BP647</f>
        <v>18170.330000000009</v>
      </c>
      <c r="BQ689" s="462">
        <f t="shared" si="400"/>
        <v>290.91000000000003</v>
      </c>
      <c r="BS689" s="462"/>
      <c r="BT689" s="462">
        <f t="shared" si="401"/>
        <v>290.91000000000003</v>
      </c>
      <c r="BU689" s="447" t="s">
        <v>2134</v>
      </c>
      <c r="BV689" s="462">
        <f>BT689</f>
        <v>290.91000000000003</v>
      </c>
      <c r="BW689" s="462">
        <f t="shared" si="402"/>
        <v>0</v>
      </c>
      <c r="BZ689" s="462">
        <f t="shared" si="403"/>
        <v>0</v>
      </c>
      <c r="CD689" s="418" t="str">
        <f t="shared" si="404"/>
        <v>CU1354001</v>
      </c>
      <c r="CE689" s="442" t="str">
        <f t="shared" si="405"/>
        <v>2020年6月</v>
      </c>
      <c r="CF689" s="418" t="str">
        <f t="shared" si="406"/>
        <v>威内源企业clife服务费暂估</v>
      </c>
      <c r="CG689" s="418" t="str">
        <f t="shared" si="407"/>
        <v>2020年6月威内源企业clife服务费暂估</v>
      </c>
    </row>
    <row r="690" spans="2:85" s="447" customFormat="1" ht="17.25" customHeight="1">
      <c r="B690" s="447" t="str">
        <f t="shared" si="395"/>
        <v>CU1375</v>
      </c>
      <c r="C690" s="431" t="s">
        <v>755</v>
      </c>
      <c r="D690" s="450" t="s">
        <v>1677</v>
      </c>
      <c r="E690" s="539" t="s">
        <v>1676</v>
      </c>
      <c r="F690" s="540">
        <v>43983</v>
      </c>
      <c r="G690" s="538">
        <v>14824.52</v>
      </c>
      <c r="H690" s="440"/>
      <c r="I690" s="440"/>
      <c r="J690" s="440"/>
      <c r="L690" s="462"/>
      <c r="M690" s="462"/>
      <c r="N690" s="444"/>
      <c r="O690" s="462"/>
      <c r="R690" s="462"/>
      <c r="U690" s="462"/>
      <c r="X690" s="462"/>
      <c r="AA690" s="462"/>
      <c r="AD690" s="462"/>
      <c r="AG690" s="462"/>
      <c r="AJ690" s="462"/>
      <c r="AM690" s="462"/>
      <c r="AP690" s="462"/>
      <c r="AS690" s="424"/>
      <c r="AV690" s="462"/>
      <c r="AY690" s="462"/>
      <c r="BB690" s="462"/>
      <c r="BE690" s="462">
        <f t="shared" si="408"/>
        <v>14824.52</v>
      </c>
      <c r="BH690" s="462">
        <f t="shared" si="397"/>
        <v>14824.52</v>
      </c>
      <c r="BI690" s="447" t="s">
        <v>2298</v>
      </c>
      <c r="BK690" s="462">
        <f t="shared" si="398"/>
        <v>14824.52</v>
      </c>
      <c r="BL690" s="447" t="s">
        <v>2341</v>
      </c>
      <c r="BN690" s="462">
        <f t="shared" si="399"/>
        <v>14824.52</v>
      </c>
      <c r="BO690" s="447" t="s">
        <v>2364</v>
      </c>
      <c r="BQ690" s="462">
        <f t="shared" si="400"/>
        <v>14824.52</v>
      </c>
      <c r="BT690" s="462">
        <f t="shared" si="401"/>
        <v>14824.52</v>
      </c>
      <c r="BU690" s="447" t="s">
        <v>2134</v>
      </c>
      <c r="BV690" s="462">
        <f>BT690</f>
        <v>14824.52</v>
      </c>
      <c r="BW690" s="462">
        <f t="shared" si="402"/>
        <v>0</v>
      </c>
      <c r="BZ690" s="462">
        <f t="shared" si="403"/>
        <v>0</v>
      </c>
      <c r="CD690" s="418" t="str">
        <f t="shared" si="404"/>
        <v>CU1375001</v>
      </c>
      <c r="CE690" s="442" t="str">
        <f t="shared" si="405"/>
        <v>2020年6月</v>
      </c>
      <c r="CF690" s="418" t="str">
        <f t="shared" si="406"/>
        <v>上海库润信clife服务费暂估</v>
      </c>
      <c r="CG690" s="418" t="str">
        <f t="shared" si="407"/>
        <v>2020年6月上海库润信clife服务费暂估</v>
      </c>
    </row>
    <row r="691" spans="2:85" s="447" customFormat="1" ht="17.25" customHeight="1">
      <c r="B691" s="447" t="str">
        <f t="shared" si="395"/>
        <v>CU1430</v>
      </c>
      <c r="C691" s="431" t="s">
        <v>755</v>
      </c>
      <c r="D691" s="450" t="s">
        <v>1847</v>
      </c>
      <c r="E691" s="539" t="s">
        <v>2287</v>
      </c>
      <c r="F691" s="540">
        <v>43983</v>
      </c>
      <c r="G691" s="538">
        <v>12201.4</v>
      </c>
      <c r="H691" s="440"/>
      <c r="I691" s="440"/>
      <c r="J691" s="440"/>
      <c r="L691" s="462"/>
      <c r="M691" s="462"/>
      <c r="N691" s="444"/>
      <c r="O691" s="462"/>
      <c r="R691" s="462"/>
      <c r="U691" s="462"/>
      <c r="X691" s="462"/>
      <c r="AA691" s="462"/>
      <c r="AD691" s="462"/>
      <c r="AG691" s="462"/>
      <c r="AJ691" s="462"/>
      <c r="AM691" s="462"/>
      <c r="AP691" s="462"/>
      <c r="AS691" s="424"/>
      <c r="AV691" s="462"/>
      <c r="AY691" s="462"/>
      <c r="BB691" s="462"/>
      <c r="BE691" s="462">
        <f t="shared" si="408"/>
        <v>12201.4</v>
      </c>
      <c r="BH691" s="462">
        <f t="shared" si="397"/>
        <v>12201.4</v>
      </c>
      <c r="BI691" s="447" t="s">
        <v>2298</v>
      </c>
      <c r="BK691" s="462">
        <f t="shared" si="398"/>
        <v>12201.4</v>
      </c>
      <c r="BL691" s="447" t="s">
        <v>2341</v>
      </c>
      <c r="BN691" s="462">
        <f t="shared" si="399"/>
        <v>12201.4</v>
      </c>
      <c r="BO691" s="447" t="s">
        <v>2364</v>
      </c>
      <c r="BQ691" s="462">
        <f t="shared" si="400"/>
        <v>12201.4</v>
      </c>
      <c r="BT691" s="462">
        <f t="shared" si="401"/>
        <v>12201.4</v>
      </c>
      <c r="BU691" s="447" t="s">
        <v>2134</v>
      </c>
      <c r="BW691" s="462">
        <f t="shared" si="402"/>
        <v>12201.4</v>
      </c>
      <c r="BZ691" s="462">
        <f t="shared" si="403"/>
        <v>12201.4</v>
      </c>
      <c r="CD691" s="418" t="str">
        <f t="shared" si="404"/>
        <v>CU1430001</v>
      </c>
      <c r="CE691" s="442" t="str">
        <f t="shared" si="405"/>
        <v>2020年6月</v>
      </c>
      <c r="CF691" s="418" t="str">
        <f t="shared" si="406"/>
        <v>江苏锐巴新clife服务费暂估</v>
      </c>
      <c r="CG691" s="418" t="str">
        <f t="shared" si="407"/>
        <v>2020年6月江苏锐巴新clife服务费暂估</v>
      </c>
    </row>
    <row r="692" spans="2:85" s="447" customFormat="1" ht="17.25" customHeight="1">
      <c r="B692" s="447" t="str">
        <f t="shared" si="395"/>
        <v>CU1705</v>
      </c>
      <c r="C692" s="431" t="s">
        <v>755</v>
      </c>
      <c r="D692" s="450" t="s">
        <v>1848</v>
      </c>
      <c r="E692" s="539" t="s">
        <v>1845</v>
      </c>
      <c r="F692" s="540">
        <v>43983</v>
      </c>
      <c r="G692" s="538">
        <v>201956.59</v>
      </c>
      <c r="H692" s="440"/>
      <c r="I692" s="440"/>
      <c r="J692" s="440"/>
      <c r="L692" s="462"/>
      <c r="M692" s="462"/>
      <c r="N692" s="444"/>
      <c r="O692" s="462"/>
      <c r="R692" s="462"/>
      <c r="U692" s="462"/>
      <c r="X692" s="462"/>
      <c r="AA692" s="462"/>
      <c r="AD692" s="462"/>
      <c r="AG692" s="462"/>
      <c r="AJ692" s="462"/>
      <c r="AM692" s="462"/>
      <c r="AP692" s="462"/>
      <c r="AS692" s="424"/>
      <c r="AV692" s="462"/>
      <c r="AY692" s="462"/>
      <c r="BB692" s="462"/>
      <c r="BE692" s="462">
        <f t="shared" si="408"/>
        <v>201956.59</v>
      </c>
      <c r="BH692" s="462">
        <f t="shared" si="397"/>
        <v>201956.59</v>
      </c>
      <c r="BI692" s="447" t="s">
        <v>2298</v>
      </c>
      <c r="BJ692" s="462">
        <f>ROUND((111725+102460)/1.06,2)-BJ650</f>
        <v>197261.94000000003</v>
      </c>
      <c r="BK692" s="462">
        <f t="shared" si="398"/>
        <v>4694.6499999999651</v>
      </c>
      <c r="BL692" s="447" t="s">
        <v>2341</v>
      </c>
      <c r="BN692" s="462">
        <f t="shared" si="399"/>
        <v>4694.6499999999651</v>
      </c>
      <c r="BO692" s="447" t="s">
        <v>2364</v>
      </c>
      <c r="BP692" s="462">
        <f>BN692</f>
        <v>4694.6499999999651</v>
      </c>
      <c r="BQ692" s="462">
        <f t="shared" si="400"/>
        <v>0</v>
      </c>
      <c r="BT692" s="462">
        <f t="shared" si="401"/>
        <v>0</v>
      </c>
      <c r="BW692" s="462">
        <f t="shared" si="402"/>
        <v>0</v>
      </c>
      <c r="BZ692" s="462">
        <f t="shared" si="403"/>
        <v>0</v>
      </c>
      <c r="CD692" s="418" t="str">
        <f t="shared" si="404"/>
        <v>CU1705001</v>
      </c>
      <c r="CE692" s="442" t="str">
        <f t="shared" si="405"/>
        <v>2020年6月</v>
      </c>
      <c r="CF692" s="418" t="str">
        <f t="shared" si="406"/>
        <v>通标标准技clife服务费暂估</v>
      </c>
      <c r="CG692" s="418" t="str">
        <f t="shared" si="407"/>
        <v>2020年6月通标标准技clife服务费暂估</v>
      </c>
    </row>
    <row r="693" spans="2:85" s="447" customFormat="1" ht="17.25" customHeight="1">
      <c r="B693" s="447" t="str">
        <f t="shared" si="395"/>
        <v>CU1874</v>
      </c>
      <c r="C693" s="431" t="s">
        <v>755</v>
      </c>
      <c r="D693" s="539" t="s">
        <v>2142</v>
      </c>
      <c r="E693" s="487" t="s">
        <v>2214</v>
      </c>
      <c r="F693" s="540">
        <v>43983</v>
      </c>
      <c r="G693" s="538">
        <v>79130</v>
      </c>
      <c r="H693" s="440"/>
      <c r="I693" s="440"/>
      <c r="J693" s="440"/>
      <c r="L693" s="462"/>
      <c r="M693" s="462"/>
      <c r="N693" s="444"/>
      <c r="O693" s="462"/>
      <c r="R693" s="462"/>
      <c r="U693" s="462"/>
      <c r="X693" s="462"/>
      <c r="AA693" s="462"/>
      <c r="AD693" s="462"/>
      <c r="AG693" s="462"/>
      <c r="AJ693" s="462"/>
      <c r="AM693" s="462"/>
      <c r="AP693" s="462"/>
      <c r="AS693" s="424"/>
      <c r="AV693" s="462"/>
      <c r="AY693" s="462"/>
      <c r="BB693" s="462"/>
      <c r="BE693" s="462">
        <f t="shared" si="408"/>
        <v>79130</v>
      </c>
      <c r="BH693" s="462">
        <f t="shared" si="397"/>
        <v>79130</v>
      </c>
      <c r="BI693" s="447" t="s">
        <v>2298</v>
      </c>
      <c r="BJ693" s="462"/>
      <c r="BK693" s="462">
        <f t="shared" si="398"/>
        <v>79130</v>
      </c>
      <c r="BL693" s="447" t="s">
        <v>2341</v>
      </c>
      <c r="BM693" s="462">
        <f>ROUND(215200/1.06,2)-93626.43-BM654</f>
        <v>34122.44</v>
      </c>
      <c r="BN693" s="462">
        <f t="shared" si="399"/>
        <v>45007.56</v>
      </c>
      <c r="BO693" s="447" t="s">
        <v>2364</v>
      </c>
      <c r="BQ693" s="462">
        <f t="shared" si="400"/>
        <v>45007.56</v>
      </c>
      <c r="BS693" s="462">
        <f>BQ693</f>
        <v>45007.56</v>
      </c>
      <c r="BT693" s="462">
        <f t="shared" si="401"/>
        <v>0</v>
      </c>
      <c r="BW693" s="462">
        <f t="shared" si="402"/>
        <v>0</v>
      </c>
      <c r="BZ693" s="462">
        <f t="shared" si="403"/>
        <v>0</v>
      </c>
      <c r="CD693" s="418" t="str">
        <f t="shared" si="404"/>
        <v>CU1874001</v>
      </c>
      <c r="CE693" s="442" t="str">
        <f t="shared" si="405"/>
        <v>2020年6月</v>
      </c>
      <c r="CF693" s="418" t="str">
        <f t="shared" si="406"/>
        <v>富祥塑胶制clife服务费暂估</v>
      </c>
      <c r="CG693" s="418" t="str">
        <f t="shared" si="407"/>
        <v>2020年6月富祥塑胶制clife服务费暂估</v>
      </c>
    </row>
    <row r="694" spans="2:85" s="447" customFormat="1" ht="17.25" customHeight="1">
      <c r="B694" s="447" t="str">
        <f t="shared" si="395"/>
        <v>CU1954</v>
      </c>
      <c r="C694" s="431" t="s">
        <v>755</v>
      </c>
      <c r="D694" s="539" t="s">
        <v>2282</v>
      </c>
      <c r="E694" s="487" t="s">
        <v>2288</v>
      </c>
      <c r="F694" s="540">
        <v>43983</v>
      </c>
      <c r="G694" s="538">
        <v>177356.56</v>
      </c>
      <c r="H694" s="440"/>
      <c r="I694" s="440"/>
      <c r="J694" s="440"/>
      <c r="L694" s="462"/>
      <c r="M694" s="462"/>
      <c r="N694" s="444"/>
      <c r="O694" s="462"/>
      <c r="R694" s="462"/>
      <c r="U694" s="462"/>
      <c r="X694" s="462"/>
      <c r="AA694" s="462"/>
      <c r="AD694" s="462"/>
      <c r="AG694" s="462"/>
      <c r="AJ694" s="462"/>
      <c r="AM694" s="462"/>
      <c r="AP694" s="462"/>
      <c r="AS694" s="424"/>
      <c r="AV694" s="462"/>
      <c r="AY694" s="462"/>
      <c r="BB694" s="462"/>
      <c r="BE694" s="462">
        <f t="shared" si="408"/>
        <v>177356.56</v>
      </c>
      <c r="BH694" s="462">
        <f t="shared" si="397"/>
        <v>177356.56</v>
      </c>
      <c r="BI694" s="447" t="s">
        <v>2298</v>
      </c>
      <c r="BK694" s="462">
        <f t="shared" si="398"/>
        <v>177356.56</v>
      </c>
      <c r="BL694" s="447" t="s">
        <v>2341</v>
      </c>
      <c r="BN694" s="462">
        <f t="shared" si="399"/>
        <v>177356.56</v>
      </c>
      <c r="BO694" s="447" t="s">
        <v>2364</v>
      </c>
      <c r="BQ694" s="462">
        <f t="shared" si="400"/>
        <v>177356.56</v>
      </c>
      <c r="BT694" s="462">
        <f t="shared" si="401"/>
        <v>177356.56</v>
      </c>
      <c r="BU694" s="447" t="s">
        <v>2134</v>
      </c>
      <c r="BV694" s="462">
        <f>BT694</f>
        <v>177356.56</v>
      </c>
      <c r="BW694" s="462">
        <f t="shared" si="402"/>
        <v>0</v>
      </c>
      <c r="BZ694" s="462">
        <f t="shared" si="403"/>
        <v>0</v>
      </c>
      <c r="CD694" s="418" t="str">
        <f t="shared" si="404"/>
        <v>CU1954001</v>
      </c>
      <c r="CE694" s="442" t="str">
        <f t="shared" si="405"/>
        <v>2020年6月</v>
      </c>
      <c r="CF694" s="418" t="str">
        <f t="shared" si="406"/>
        <v>辉正（上海clife服务费暂估</v>
      </c>
      <c r="CG694" s="418" t="str">
        <f t="shared" si="407"/>
        <v>2020年6月辉正（上海clife服务费暂估</v>
      </c>
    </row>
    <row r="695" spans="2:85" s="447" customFormat="1" ht="17.25" customHeight="1">
      <c r="B695" s="447" t="str">
        <f t="shared" si="395"/>
        <v>CU1961</v>
      </c>
      <c r="C695" s="431" t="s">
        <v>755</v>
      </c>
      <c r="D695" s="539" t="s">
        <v>2283</v>
      </c>
      <c r="E695" s="487" t="s">
        <v>2289</v>
      </c>
      <c r="F695" s="540">
        <v>43983</v>
      </c>
      <c r="G695" s="538">
        <v>4882.9399999999996</v>
      </c>
      <c r="H695" s="440"/>
      <c r="I695" s="440"/>
      <c r="J695" s="440"/>
      <c r="L695" s="462"/>
      <c r="M695" s="462"/>
      <c r="N695" s="444"/>
      <c r="O695" s="462"/>
      <c r="R695" s="462"/>
      <c r="U695" s="462"/>
      <c r="X695" s="462"/>
      <c r="AA695" s="462"/>
      <c r="AD695" s="462"/>
      <c r="AG695" s="462"/>
      <c r="AJ695" s="462"/>
      <c r="AM695" s="462"/>
      <c r="AP695" s="462"/>
      <c r="AS695" s="424"/>
      <c r="AV695" s="462"/>
      <c r="AY695" s="462"/>
      <c r="BB695" s="462"/>
      <c r="BE695" s="462">
        <f t="shared" si="408"/>
        <v>4882.9399999999996</v>
      </c>
      <c r="BH695" s="462">
        <f t="shared" si="397"/>
        <v>4882.9399999999996</v>
      </c>
      <c r="BI695" s="447" t="s">
        <v>2298</v>
      </c>
      <c r="BK695" s="462">
        <f t="shared" si="398"/>
        <v>4882.9399999999996</v>
      </c>
      <c r="BL695" s="447" t="s">
        <v>2341</v>
      </c>
      <c r="BN695" s="462">
        <f t="shared" si="399"/>
        <v>4882.9399999999996</v>
      </c>
      <c r="BO695" s="447" t="s">
        <v>2364</v>
      </c>
      <c r="BQ695" s="462">
        <f t="shared" si="400"/>
        <v>4882.9399999999996</v>
      </c>
      <c r="BT695" s="462">
        <f t="shared" si="401"/>
        <v>4882.9399999999996</v>
      </c>
      <c r="BU695" s="447" t="s">
        <v>2134</v>
      </c>
      <c r="BW695" s="462">
        <f t="shared" si="402"/>
        <v>4882.9399999999996</v>
      </c>
      <c r="BZ695" s="462">
        <f t="shared" si="403"/>
        <v>4882.9399999999996</v>
      </c>
      <c r="CD695" s="418" t="str">
        <f t="shared" si="404"/>
        <v>CU1961001</v>
      </c>
      <c r="CE695" s="442" t="str">
        <f t="shared" si="405"/>
        <v>2020年6月</v>
      </c>
      <c r="CF695" s="418" t="str">
        <f t="shared" si="406"/>
        <v>澳龙信息科clife服务费暂估</v>
      </c>
      <c r="CG695" s="418" t="str">
        <f t="shared" si="407"/>
        <v>2020年6月澳龙信息科clife服务费暂估</v>
      </c>
    </row>
    <row r="696" spans="2:85" s="447" customFormat="1" ht="17.25" customHeight="1">
      <c r="B696" s="447" t="str">
        <f t="shared" si="395"/>
        <v>CU0145</v>
      </c>
      <c r="C696" s="431" t="s">
        <v>755</v>
      </c>
      <c r="D696" s="539" t="s">
        <v>1451</v>
      </c>
      <c r="E696" s="487" t="s">
        <v>1323</v>
      </c>
      <c r="F696" s="540">
        <v>44013</v>
      </c>
      <c r="G696" s="538">
        <v>1797.47</v>
      </c>
      <c r="H696" s="440"/>
      <c r="I696" s="440"/>
      <c r="J696" s="440"/>
      <c r="L696" s="462"/>
      <c r="M696" s="462"/>
      <c r="N696" s="444"/>
      <c r="O696" s="462"/>
      <c r="R696" s="462"/>
      <c r="U696" s="462"/>
      <c r="X696" s="462"/>
      <c r="AA696" s="462"/>
      <c r="AD696" s="462"/>
      <c r="AG696" s="462"/>
      <c r="AJ696" s="462"/>
      <c r="AM696" s="462"/>
      <c r="AP696" s="462"/>
      <c r="AS696" s="424"/>
      <c r="AV696" s="462"/>
      <c r="AY696" s="462"/>
      <c r="BB696" s="462"/>
      <c r="BE696" s="462"/>
      <c r="BH696" s="462"/>
      <c r="BK696" s="462">
        <f>G696</f>
        <v>1797.47</v>
      </c>
      <c r="BL696" s="447" t="s">
        <v>2341</v>
      </c>
      <c r="BN696" s="462">
        <f t="shared" si="399"/>
        <v>1797.47</v>
      </c>
      <c r="BO696" s="447" t="s">
        <v>2364</v>
      </c>
      <c r="BQ696" s="462">
        <f t="shared" si="400"/>
        <v>1797.47</v>
      </c>
      <c r="BT696" s="462">
        <f t="shared" si="401"/>
        <v>1797.47</v>
      </c>
      <c r="BU696" s="447" t="s">
        <v>2134</v>
      </c>
      <c r="BV696" s="462">
        <f>BT696</f>
        <v>1797.47</v>
      </c>
      <c r="BW696" s="462">
        <f t="shared" si="402"/>
        <v>0</v>
      </c>
      <c r="BZ696" s="462">
        <f t="shared" si="403"/>
        <v>0</v>
      </c>
      <c r="CD696" s="418" t="str">
        <f t="shared" ref="CD696:CD723" si="409">B696&amp;$B$1</f>
        <v>CU0145001</v>
      </c>
      <c r="CE696" s="442" t="str">
        <f t="shared" ref="CE696:CE723" si="410">YEAR(F696)&amp;"年"&amp;MONTH(F696)&amp;"月"</f>
        <v>2020年7月</v>
      </c>
      <c r="CF696" s="418" t="str">
        <f t="shared" ref="CF696:CF723" si="411">LEFT(E696,5)&amp;$E$1</f>
        <v>锐珂亚太投clife服务费暂估</v>
      </c>
      <c r="CG696" s="418" t="str">
        <f t="shared" ref="CG696:CG723" si="412">CE696&amp;CF696</f>
        <v>2020年7月锐珂亚太投clife服务费暂估</v>
      </c>
    </row>
    <row r="697" spans="2:85" s="447" customFormat="1" ht="17.25" customHeight="1">
      <c r="B697" s="447" t="str">
        <f t="shared" si="395"/>
        <v>CU0285</v>
      </c>
      <c r="C697" s="431" t="s">
        <v>755</v>
      </c>
      <c r="D697" s="539" t="s">
        <v>1643</v>
      </c>
      <c r="E697" s="487" t="s">
        <v>17</v>
      </c>
      <c r="F697" s="540">
        <v>44013</v>
      </c>
      <c r="G697" s="538">
        <v>20085.79</v>
      </c>
      <c r="H697" s="440"/>
      <c r="I697" s="440"/>
      <c r="J697" s="440"/>
      <c r="L697" s="462"/>
      <c r="M697" s="462"/>
      <c r="N697" s="444"/>
      <c r="O697" s="462"/>
      <c r="R697" s="462"/>
      <c r="U697" s="462"/>
      <c r="X697" s="462"/>
      <c r="AA697" s="462"/>
      <c r="AD697" s="462"/>
      <c r="AG697" s="462"/>
      <c r="AJ697" s="462"/>
      <c r="AM697" s="462"/>
      <c r="AP697" s="462"/>
      <c r="AS697" s="424"/>
      <c r="AV697" s="462"/>
      <c r="AY697" s="462"/>
      <c r="BB697" s="462"/>
      <c r="BE697" s="462"/>
      <c r="BH697" s="462"/>
      <c r="BK697" s="462">
        <f t="shared" ref="BK697:BK723" si="413">G697</f>
        <v>20085.79</v>
      </c>
      <c r="BL697" s="447" t="s">
        <v>2341</v>
      </c>
      <c r="BN697" s="462">
        <f t="shared" si="399"/>
        <v>20085.79</v>
      </c>
      <c r="BO697" s="447" t="s">
        <v>2364</v>
      </c>
      <c r="BQ697" s="462">
        <f t="shared" si="400"/>
        <v>20085.79</v>
      </c>
      <c r="BT697" s="462">
        <f t="shared" si="401"/>
        <v>20085.79</v>
      </c>
      <c r="BU697" s="447" t="s">
        <v>2134</v>
      </c>
      <c r="BV697" s="462">
        <f>BT697</f>
        <v>20085.79</v>
      </c>
      <c r="BW697" s="462">
        <f t="shared" si="402"/>
        <v>0</v>
      </c>
      <c r="BZ697" s="462">
        <f t="shared" si="403"/>
        <v>0</v>
      </c>
      <c r="CD697" s="418" t="str">
        <f t="shared" si="409"/>
        <v>CU0285001</v>
      </c>
      <c r="CE697" s="442" t="str">
        <f t="shared" si="410"/>
        <v>2020年7月</v>
      </c>
      <c r="CF697" s="418" t="str">
        <f t="shared" si="411"/>
        <v>文思海辉技clife服务费暂估</v>
      </c>
      <c r="CG697" s="418" t="str">
        <f t="shared" si="412"/>
        <v>2020年7月文思海辉技clife服务费暂估</v>
      </c>
    </row>
    <row r="698" spans="2:85" s="447" customFormat="1" ht="17.25" customHeight="1">
      <c r="B698" s="447" t="str">
        <f t="shared" si="395"/>
        <v>CU0531</v>
      </c>
      <c r="C698" s="431" t="s">
        <v>755</v>
      </c>
      <c r="D698" s="539" t="s">
        <v>1453</v>
      </c>
      <c r="E698" s="487" t="s">
        <v>2088</v>
      </c>
      <c r="F698" s="540">
        <v>44013</v>
      </c>
      <c r="G698" s="538">
        <v>30017.8</v>
      </c>
      <c r="H698" s="440"/>
      <c r="I698" s="440"/>
      <c r="J698" s="440"/>
      <c r="L698" s="462"/>
      <c r="M698" s="462"/>
      <c r="N698" s="444"/>
      <c r="O698" s="462"/>
      <c r="R698" s="462"/>
      <c r="U698" s="462"/>
      <c r="X698" s="462"/>
      <c r="AA698" s="462"/>
      <c r="AD698" s="462"/>
      <c r="AG698" s="462"/>
      <c r="AJ698" s="462"/>
      <c r="AM698" s="462"/>
      <c r="AP698" s="462"/>
      <c r="AS698" s="424"/>
      <c r="AV698" s="462"/>
      <c r="AY698" s="462"/>
      <c r="BB698" s="462"/>
      <c r="BE698" s="462"/>
      <c r="BH698" s="462"/>
      <c r="BK698" s="462">
        <f t="shared" si="413"/>
        <v>30017.8</v>
      </c>
      <c r="BL698" s="447" t="s">
        <v>2341</v>
      </c>
      <c r="BN698" s="462">
        <f t="shared" si="399"/>
        <v>30017.8</v>
      </c>
      <c r="BO698" s="447" t="s">
        <v>2364</v>
      </c>
      <c r="BQ698" s="462">
        <f t="shared" si="400"/>
        <v>30017.8</v>
      </c>
      <c r="BT698" s="462">
        <f t="shared" si="401"/>
        <v>30017.8</v>
      </c>
      <c r="BU698" s="447" t="s">
        <v>2134</v>
      </c>
      <c r="BW698" s="462">
        <f t="shared" si="402"/>
        <v>30017.8</v>
      </c>
      <c r="BZ698" s="462">
        <f t="shared" si="403"/>
        <v>30017.8</v>
      </c>
      <c r="CD698" s="418" t="str">
        <f t="shared" si="409"/>
        <v>CU0531001</v>
      </c>
      <c r="CE698" s="442" t="str">
        <f t="shared" si="410"/>
        <v>2020年7月</v>
      </c>
      <c r="CF698" s="418" t="str">
        <f t="shared" si="411"/>
        <v>恩思恩clife服务费暂估</v>
      </c>
      <c r="CG698" s="418" t="str">
        <f t="shared" si="412"/>
        <v>2020年7月恩思恩clife服务费暂估</v>
      </c>
    </row>
    <row r="699" spans="2:85" s="447" customFormat="1" ht="17.25" customHeight="1">
      <c r="B699" s="447" t="str">
        <f t="shared" si="395"/>
        <v>CU0542</v>
      </c>
      <c r="C699" s="431" t="s">
        <v>755</v>
      </c>
      <c r="D699" s="539" t="s">
        <v>2281</v>
      </c>
      <c r="E699" s="487" t="s">
        <v>2284</v>
      </c>
      <c r="F699" s="540">
        <v>44013</v>
      </c>
      <c r="G699" s="538">
        <v>4394.6499999999996</v>
      </c>
      <c r="H699" s="440"/>
      <c r="I699" s="440"/>
      <c r="J699" s="440"/>
      <c r="L699" s="462"/>
      <c r="M699" s="462"/>
      <c r="N699" s="444"/>
      <c r="O699" s="462"/>
      <c r="R699" s="462"/>
      <c r="U699" s="462"/>
      <c r="X699" s="462"/>
      <c r="AA699" s="462"/>
      <c r="AD699" s="462"/>
      <c r="AG699" s="462"/>
      <c r="AJ699" s="462"/>
      <c r="AM699" s="462"/>
      <c r="AP699" s="462"/>
      <c r="AS699" s="424"/>
      <c r="AV699" s="462"/>
      <c r="AY699" s="462"/>
      <c r="BB699" s="462"/>
      <c r="BE699" s="462"/>
      <c r="BH699" s="462"/>
      <c r="BK699" s="462">
        <f t="shared" si="413"/>
        <v>4394.6499999999996</v>
      </c>
      <c r="BL699" s="447" t="s">
        <v>2341</v>
      </c>
      <c r="BN699" s="462">
        <f t="shared" si="399"/>
        <v>4394.6499999999996</v>
      </c>
      <c r="BO699" s="447" t="s">
        <v>2364</v>
      </c>
      <c r="BQ699" s="462">
        <f t="shared" si="400"/>
        <v>4394.6499999999996</v>
      </c>
      <c r="BT699" s="462">
        <f t="shared" si="401"/>
        <v>4394.6499999999996</v>
      </c>
      <c r="BU699" s="447" t="s">
        <v>2134</v>
      </c>
      <c r="BW699" s="462">
        <f t="shared" si="402"/>
        <v>4394.6499999999996</v>
      </c>
      <c r="BZ699" s="462">
        <f t="shared" si="403"/>
        <v>4394.6499999999996</v>
      </c>
      <c r="CD699" s="418" t="str">
        <f t="shared" si="409"/>
        <v>CU0542001</v>
      </c>
      <c r="CE699" s="442" t="str">
        <f t="shared" si="410"/>
        <v>2020年7月</v>
      </c>
      <c r="CF699" s="418" t="str">
        <f t="shared" si="411"/>
        <v>上海伏达半clife服务费暂估</v>
      </c>
      <c r="CG699" s="418" t="str">
        <f t="shared" si="412"/>
        <v>2020年7月上海伏达半clife服务费暂估</v>
      </c>
    </row>
    <row r="700" spans="2:85" s="447" customFormat="1" ht="17.25" customHeight="1">
      <c r="B700" s="447" t="str">
        <f t="shared" si="395"/>
        <v>CU0558</v>
      </c>
      <c r="C700" s="431" t="s">
        <v>755</v>
      </c>
      <c r="D700" s="539" t="s">
        <v>1647</v>
      </c>
      <c r="E700" s="487" t="s">
        <v>2285</v>
      </c>
      <c r="F700" s="540">
        <v>44013</v>
      </c>
      <c r="G700" s="538">
        <v>247502.91</v>
      </c>
      <c r="H700" s="440"/>
      <c r="I700" s="440"/>
      <c r="J700" s="440"/>
      <c r="L700" s="462"/>
      <c r="M700" s="462"/>
      <c r="N700" s="444"/>
      <c r="O700" s="462"/>
      <c r="R700" s="462"/>
      <c r="U700" s="462"/>
      <c r="X700" s="462"/>
      <c r="AA700" s="462"/>
      <c r="AD700" s="462"/>
      <c r="AG700" s="462"/>
      <c r="AJ700" s="462"/>
      <c r="AM700" s="462"/>
      <c r="AP700" s="462"/>
      <c r="AS700" s="424"/>
      <c r="AV700" s="462"/>
      <c r="AY700" s="462"/>
      <c r="BB700" s="462"/>
      <c r="BE700" s="462"/>
      <c r="BH700" s="462"/>
      <c r="BK700" s="462">
        <f t="shared" si="413"/>
        <v>247502.91</v>
      </c>
      <c r="BL700" s="447" t="s">
        <v>2341</v>
      </c>
      <c r="BN700" s="462">
        <f t="shared" si="399"/>
        <v>247502.91</v>
      </c>
      <c r="BO700" s="447" t="s">
        <v>2364</v>
      </c>
      <c r="BQ700" s="462">
        <f t="shared" si="400"/>
        <v>247502.91</v>
      </c>
      <c r="BS700" s="462">
        <f>ROUND(253200/1.06,2)-BS667+162235.88</f>
        <v>247502.91</v>
      </c>
      <c r="BT700" s="462">
        <f t="shared" si="401"/>
        <v>0</v>
      </c>
      <c r="BW700" s="462">
        <f t="shared" si="402"/>
        <v>0</v>
      </c>
      <c r="BZ700" s="462">
        <f t="shared" si="403"/>
        <v>0</v>
      </c>
      <c r="CD700" s="418" t="str">
        <f t="shared" si="409"/>
        <v>CU0558001</v>
      </c>
      <c r="CE700" s="442" t="str">
        <f t="shared" si="410"/>
        <v>2020年7月</v>
      </c>
      <c r="CF700" s="418" t="str">
        <f t="shared" si="411"/>
        <v>贵阳聚盟科clife服务费暂估</v>
      </c>
      <c r="CG700" s="418" t="str">
        <f t="shared" si="412"/>
        <v>2020年7月贵阳聚盟科clife服务费暂估</v>
      </c>
    </row>
    <row r="701" spans="2:85" s="447" customFormat="1" ht="17.25" customHeight="1">
      <c r="B701" s="447" t="str">
        <f t="shared" si="395"/>
        <v>CU0562</v>
      </c>
      <c r="C701" s="431" t="s">
        <v>755</v>
      </c>
      <c r="D701" s="539" t="s">
        <v>2025</v>
      </c>
      <c r="E701" s="487" t="s">
        <v>1804</v>
      </c>
      <c r="F701" s="540">
        <v>44013</v>
      </c>
      <c r="G701" s="538">
        <v>12012.04</v>
      </c>
      <c r="H701" s="440"/>
      <c r="I701" s="440"/>
      <c r="J701" s="440"/>
      <c r="L701" s="462"/>
      <c r="M701" s="462"/>
      <c r="N701" s="444"/>
      <c r="O701" s="462"/>
      <c r="R701" s="462"/>
      <c r="U701" s="462"/>
      <c r="X701" s="462"/>
      <c r="AA701" s="462"/>
      <c r="AD701" s="462"/>
      <c r="AG701" s="462"/>
      <c r="AJ701" s="462"/>
      <c r="AM701" s="462"/>
      <c r="AP701" s="462"/>
      <c r="AS701" s="424"/>
      <c r="AV701" s="462"/>
      <c r="AY701" s="462"/>
      <c r="BB701" s="462"/>
      <c r="BE701" s="462"/>
      <c r="BH701" s="462"/>
      <c r="BK701" s="462">
        <f t="shared" si="413"/>
        <v>12012.04</v>
      </c>
      <c r="BL701" s="447" t="s">
        <v>2341</v>
      </c>
      <c r="BN701" s="462">
        <f t="shared" si="399"/>
        <v>12012.04</v>
      </c>
      <c r="BO701" s="447" t="s">
        <v>2364</v>
      </c>
      <c r="BQ701" s="462">
        <f t="shared" si="400"/>
        <v>12012.04</v>
      </c>
      <c r="BT701" s="462">
        <f t="shared" si="401"/>
        <v>12012.04</v>
      </c>
      <c r="BU701" s="447" t="s">
        <v>2134</v>
      </c>
      <c r="BW701" s="462">
        <f t="shared" si="402"/>
        <v>12012.04</v>
      </c>
      <c r="BZ701" s="462">
        <f t="shared" si="403"/>
        <v>12012.04</v>
      </c>
      <c r="CD701" s="418" t="str">
        <f t="shared" si="409"/>
        <v>CU0562001</v>
      </c>
      <c r="CE701" s="442" t="str">
        <f t="shared" si="410"/>
        <v>2020年7月</v>
      </c>
      <c r="CF701" s="418" t="str">
        <f t="shared" si="411"/>
        <v>杭州康晟健clife服务费暂估</v>
      </c>
      <c r="CG701" s="418" t="str">
        <f t="shared" si="412"/>
        <v>2020年7月杭州康晟健clife服务费暂估</v>
      </c>
    </row>
    <row r="702" spans="2:85" s="447" customFormat="1" ht="17.25" customHeight="1">
      <c r="B702" s="447" t="str">
        <f t="shared" si="395"/>
        <v>CU0636</v>
      </c>
      <c r="C702" s="431" t="s">
        <v>755</v>
      </c>
      <c r="D702" s="539" t="s">
        <v>1759</v>
      </c>
      <c r="E702" s="487" t="s">
        <v>23</v>
      </c>
      <c r="F702" s="540">
        <v>44013</v>
      </c>
      <c r="G702" s="538">
        <v>6118.49</v>
      </c>
      <c r="H702" s="440"/>
      <c r="I702" s="440"/>
      <c r="J702" s="440"/>
      <c r="L702" s="462"/>
      <c r="M702" s="462"/>
      <c r="N702" s="444"/>
      <c r="O702" s="462"/>
      <c r="R702" s="462"/>
      <c r="U702" s="462"/>
      <c r="X702" s="462"/>
      <c r="AA702" s="462"/>
      <c r="AD702" s="462"/>
      <c r="AG702" s="462"/>
      <c r="AJ702" s="462"/>
      <c r="AM702" s="462"/>
      <c r="AP702" s="462"/>
      <c r="AS702" s="424"/>
      <c r="AV702" s="462"/>
      <c r="AY702" s="462"/>
      <c r="BB702" s="462"/>
      <c r="BE702" s="462"/>
      <c r="BH702" s="462"/>
      <c r="BK702" s="462">
        <f t="shared" si="413"/>
        <v>6118.49</v>
      </c>
      <c r="BL702" s="447" t="s">
        <v>2341</v>
      </c>
      <c r="BN702" s="462">
        <f t="shared" si="399"/>
        <v>6118.49</v>
      </c>
      <c r="BO702" s="447" t="s">
        <v>2364</v>
      </c>
      <c r="BQ702" s="462">
        <f t="shared" si="400"/>
        <v>6118.49</v>
      </c>
      <c r="BT702" s="462">
        <f t="shared" si="401"/>
        <v>6118.49</v>
      </c>
      <c r="BU702" s="447" t="s">
        <v>2134</v>
      </c>
      <c r="BW702" s="462">
        <f t="shared" si="402"/>
        <v>6118.49</v>
      </c>
      <c r="BZ702" s="462">
        <f t="shared" si="403"/>
        <v>6118.49</v>
      </c>
      <c r="CD702" s="418" t="str">
        <f t="shared" si="409"/>
        <v>CU0636001</v>
      </c>
      <c r="CE702" s="442" t="str">
        <f t="shared" si="410"/>
        <v>2020年7月</v>
      </c>
      <c r="CF702" s="418" t="str">
        <f t="shared" si="411"/>
        <v>巴丽（上海clife服务费暂估</v>
      </c>
      <c r="CG702" s="418" t="str">
        <f t="shared" si="412"/>
        <v>2020年7月巴丽（上海clife服务费暂估</v>
      </c>
    </row>
    <row r="703" spans="2:85" s="447" customFormat="1" ht="17.25" customHeight="1">
      <c r="B703" s="447" t="str">
        <f t="shared" si="395"/>
        <v>CU0667</v>
      </c>
      <c r="C703" s="431" t="s">
        <v>755</v>
      </c>
      <c r="D703" s="539" t="s">
        <v>1454</v>
      </c>
      <c r="E703" s="487" t="s">
        <v>168</v>
      </c>
      <c r="F703" s="540">
        <v>44013</v>
      </c>
      <c r="G703" s="538">
        <v>855.98</v>
      </c>
      <c r="H703" s="440"/>
      <c r="I703" s="440"/>
      <c r="J703" s="440"/>
      <c r="L703" s="462"/>
      <c r="M703" s="462"/>
      <c r="N703" s="444"/>
      <c r="O703" s="462"/>
      <c r="R703" s="462"/>
      <c r="U703" s="462"/>
      <c r="X703" s="462"/>
      <c r="AA703" s="462"/>
      <c r="AD703" s="462"/>
      <c r="AG703" s="462"/>
      <c r="AJ703" s="462"/>
      <c r="AM703" s="462"/>
      <c r="AP703" s="462"/>
      <c r="AS703" s="424"/>
      <c r="AV703" s="462"/>
      <c r="AY703" s="462"/>
      <c r="BB703" s="462"/>
      <c r="BE703" s="462"/>
      <c r="BH703" s="462"/>
      <c r="BK703" s="462">
        <f t="shared" si="413"/>
        <v>855.98</v>
      </c>
      <c r="BL703" s="447" t="s">
        <v>2341</v>
      </c>
      <c r="BM703" s="462">
        <f>1482+1946+1291-BM496-BM535-BM562-BM599-BM634-BM670</f>
        <v>170.74000000000024</v>
      </c>
      <c r="BN703" s="462">
        <f t="shared" si="399"/>
        <v>685.23999999999978</v>
      </c>
      <c r="BO703" s="447" t="s">
        <v>2364</v>
      </c>
      <c r="BQ703" s="462">
        <f t="shared" si="400"/>
        <v>685.24</v>
      </c>
      <c r="BT703" s="462">
        <f t="shared" si="401"/>
        <v>685.24</v>
      </c>
      <c r="BU703" s="447" t="s">
        <v>2134</v>
      </c>
      <c r="BW703" s="462">
        <f t="shared" si="402"/>
        <v>685.24</v>
      </c>
      <c r="BZ703" s="462">
        <f t="shared" si="403"/>
        <v>685.24</v>
      </c>
      <c r="CD703" s="418" t="str">
        <f t="shared" si="409"/>
        <v>CU0667001</v>
      </c>
      <c r="CE703" s="442" t="str">
        <f t="shared" si="410"/>
        <v>2020年7月</v>
      </c>
      <c r="CF703" s="418" t="str">
        <f t="shared" si="411"/>
        <v>北京杰迪安clife服务费暂估</v>
      </c>
      <c r="CG703" s="418" t="str">
        <f t="shared" si="412"/>
        <v>2020年7月北京杰迪安clife服务费暂估</v>
      </c>
    </row>
    <row r="704" spans="2:85" s="447" customFormat="1" ht="17.25" customHeight="1">
      <c r="B704" s="447" t="str">
        <f t="shared" si="395"/>
        <v>CU0804</v>
      </c>
      <c r="C704" s="431" t="s">
        <v>755</v>
      </c>
      <c r="D704" s="539" t="s">
        <v>2141</v>
      </c>
      <c r="E704" s="487" t="s">
        <v>2332</v>
      </c>
      <c r="F704" s="540">
        <v>44013</v>
      </c>
      <c r="G704" s="538">
        <v>2034771.77</v>
      </c>
      <c r="H704" s="440"/>
      <c r="I704" s="440"/>
      <c r="J704" s="440"/>
      <c r="L704" s="462"/>
      <c r="M704" s="462"/>
      <c r="N704" s="444"/>
      <c r="O704" s="462"/>
      <c r="R704" s="462"/>
      <c r="U704" s="462"/>
      <c r="X704" s="462"/>
      <c r="AA704" s="462"/>
      <c r="AD704" s="462"/>
      <c r="AG704" s="462"/>
      <c r="AJ704" s="462"/>
      <c r="AM704" s="462"/>
      <c r="AP704" s="462"/>
      <c r="AS704" s="424"/>
      <c r="AV704" s="462"/>
      <c r="AY704" s="462"/>
      <c r="BB704" s="462"/>
      <c r="BE704" s="462"/>
      <c r="BH704" s="462"/>
      <c r="BK704" s="462">
        <f t="shared" si="413"/>
        <v>2034771.77</v>
      </c>
      <c r="BL704" s="447" t="s">
        <v>2341</v>
      </c>
      <c r="BM704" s="447">
        <f>ROUND(703782.08/1.06,2)</f>
        <v>663945.36</v>
      </c>
      <c r="BN704" s="462">
        <f t="shared" si="399"/>
        <v>1370826.4100000001</v>
      </c>
      <c r="BO704" s="447" t="s">
        <v>2364</v>
      </c>
      <c r="BP704" s="447">
        <f>ROUND(449813.33/1.06,2)</f>
        <v>424352.2</v>
      </c>
      <c r="BQ704" s="462">
        <f t="shared" si="400"/>
        <v>946474.21</v>
      </c>
      <c r="BS704" s="447">
        <f>ROUND(449813.33/1.06,2)</f>
        <v>424352.2</v>
      </c>
      <c r="BT704" s="462">
        <f t="shared" si="401"/>
        <v>522122.01</v>
      </c>
      <c r="BU704" s="447" t="s">
        <v>2134</v>
      </c>
      <c r="BV704" s="462">
        <f>ROUND(449813.33/1.06,2)-BV600</f>
        <v>418158.61</v>
      </c>
      <c r="BW704" s="462">
        <f t="shared" si="402"/>
        <v>103963.4</v>
      </c>
      <c r="BZ704" s="462">
        <f t="shared" si="403"/>
        <v>103963.4</v>
      </c>
      <c r="CD704" s="418" t="str">
        <f t="shared" si="409"/>
        <v>CU0804001</v>
      </c>
      <c r="CE704" s="442" t="str">
        <f t="shared" si="410"/>
        <v>2020年7月</v>
      </c>
      <c r="CF704" s="418" t="str">
        <f t="shared" si="411"/>
        <v>众安在线财clife服务费暂估</v>
      </c>
      <c r="CG704" s="418" t="str">
        <f t="shared" si="412"/>
        <v>2020年7月众安在线财clife服务费暂估</v>
      </c>
    </row>
    <row r="705" spans="2:85" s="447" customFormat="1" ht="17.25" customHeight="1">
      <c r="B705" s="447" t="str">
        <f t="shared" si="395"/>
        <v>CU0812</v>
      </c>
      <c r="C705" s="431" t="s">
        <v>755</v>
      </c>
      <c r="D705" s="539" t="s">
        <v>1455</v>
      </c>
      <c r="E705" s="487" t="s">
        <v>1534</v>
      </c>
      <c r="F705" s="540">
        <v>44013</v>
      </c>
      <c r="G705" s="538">
        <v>2592.92</v>
      </c>
      <c r="H705" s="440"/>
      <c r="I705" s="440"/>
      <c r="J705" s="440"/>
      <c r="L705" s="462"/>
      <c r="M705" s="462"/>
      <c r="N705" s="444"/>
      <c r="O705" s="462"/>
      <c r="R705" s="462"/>
      <c r="U705" s="462"/>
      <c r="X705" s="462"/>
      <c r="AA705" s="462"/>
      <c r="AD705" s="462"/>
      <c r="AG705" s="462"/>
      <c r="AJ705" s="462"/>
      <c r="AM705" s="462"/>
      <c r="AP705" s="462"/>
      <c r="AS705" s="424"/>
      <c r="AV705" s="462"/>
      <c r="AY705" s="462"/>
      <c r="BB705" s="462"/>
      <c r="BE705" s="462"/>
      <c r="BH705" s="462"/>
      <c r="BK705" s="462">
        <f t="shared" si="413"/>
        <v>2592.92</v>
      </c>
      <c r="BL705" s="447" t="s">
        <v>2341</v>
      </c>
      <c r="BN705" s="462">
        <f t="shared" si="399"/>
        <v>2592.92</v>
      </c>
      <c r="BO705" s="447" t="s">
        <v>2364</v>
      </c>
      <c r="BP705" s="462">
        <f>ROUND(42193.82/1.06,2)-BP364-BP394-BP431-BP467-BP497-BP564-BP601-BP635-BP671</f>
        <v>2482.9899999999989</v>
      </c>
      <c r="BQ705" s="462">
        <f t="shared" si="400"/>
        <v>109.93</v>
      </c>
      <c r="BT705" s="462">
        <f t="shared" si="401"/>
        <v>109.93</v>
      </c>
      <c r="BU705" s="447" t="s">
        <v>2134</v>
      </c>
      <c r="BW705" s="462">
        <f t="shared" si="402"/>
        <v>109.93</v>
      </c>
      <c r="BY705" s="462">
        <f>BW705</f>
        <v>109.93</v>
      </c>
      <c r="BZ705" s="462">
        <f t="shared" si="403"/>
        <v>0</v>
      </c>
      <c r="CD705" s="418" t="str">
        <f t="shared" si="409"/>
        <v>CU0812001</v>
      </c>
      <c r="CE705" s="442" t="str">
        <f t="shared" si="410"/>
        <v>2020年7月</v>
      </c>
      <c r="CF705" s="418" t="str">
        <f t="shared" si="411"/>
        <v>上海恩派社clife服务费暂估</v>
      </c>
      <c r="CG705" s="418" t="str">
        <f t="shared" si="412"/>
        <v>2020年7月上海恩派社clife服务费暂估</v>
      </c>
    </row>
    <row r="706" spans="2:85" s="447" customFormat="1" ht="17.25" customHeight="1">
      <c r="B706" s="447" t="str">
        <f t="shared" si="395"/>
        <v>CU0823</v>
      </c>
      <c r="C706" s="431" t="s">
        <v>755</v>
      </c>
      <c r="D706" s="539" t="s">
        <v>1457</v>
      </c>
      <c r="E706" s="487" t="s">
        <v>581</v>
      </c>
      <c r="F706" s="540">
        <v>44013</v>
      </c>
      <c r="G706" s="538">
        <v>10465.15</v>
      </c>
      <c r="H706" s="440"/>
      <c r="I706" s="440"/>
      <c r="J706" s="440"/>
      <c r="L706" s="462"/>
      <c r="M706" s="462"/>
      <c r="N706" s="444"/>
      <c r="O706" s="462"/>
      <c r="R706" s="462"/>
      <c r="U706" s="462"/>
      <c r="X706" s="462"/>
      <c r="AA706" s="462"/>
      <c r="AD706" s="462"/>
      <c r="AG706" s="462"/>
      <c r="AJ706" s="462"/>
      <c r="AM706" s="462"/>
      <c r="AP706" s="462"/>
      <c r="AS706" s="424"/>
      <c r="AV706" s="462"/>
      <c r="AY706" s="462"/>
      <c r="BB706" s="462"/>
      <c r="BE706" s="462"/>
      <c r="BH706" s="462"/>
      <c r="BK706" s="462">
        <f t="shared" si="413"/>
        <v>10465.15</v>
      </c>
      <c r="BL706" s="447" t="s">
        <v>2341</v>
      </c>
      <c r="BN706" s="462">
        <f t="shared" si="399"/>
        <v>10465.15</v>
      </c>
      <c r="BO706" s="447" t="s">
        <v>2364</v>
      </c>
      <c r="BQ706" s="462">
        <f t="shared" si="400"/>
        <v>10465.15</v>
      </c>
      <c r="BT706" s="462">
        <f t="shared" si="401"/>
        <v>10465.15</v>
      </c>
      <c r="BU706" s="447" t="s">
        <v>2134</v>
      </c>
      <c r="BW706" s="462">
        <f t="shared" si="402"/>
        <v>10465.15</v>
      </c>
      <c r="BZ706" s="462">
        <f t="shared" si="403"/>
        <v>10465.15</v>
      </c>
      <c r="CD706" s="418" t="str">
        <f t="shared" si="409"/>
        <v>CU0823001</v>
      </c>
      <c r="CE706" s="442" t="str">
        <f t="shared" si="410"/>
        <v>2020年7月</v>
      </c>
      <c r="CF706" s="418" t="str">
        <f t="shared" si="411"/>
        <v>凯杰生物工clife服务费暂估</v>
      </c>
      <c r="CG706" s="418" t="str">
        <f t="shared" si="412"/>
        <v>2020年7月凯杰生物工clife服务费暂估</v>
      </c>
    </row>
    <row r="707" spans="2:85" s="447" customFormat="1" ht="17.25" customHeight="1">
      <c r="B707" s="447" t="str">
        <f t="shared" ref="B707:B755" si="414">LEFT(D707,6)</f>
        <v>CU0824</v>
      </c>
      <c r="C707" s="431" t="s">
        <v>755</v>
      </c>
      <c r="D707" s="539" t="s">
        <v>1458</v>
      </c>
      <c r="E707" s="487" t="s">
        <v>1292</v>
      </c>
      <c r="F707" s="540">
        <v>44013</v>
      </c>
      <c r="G707" s="538">
        <v>810.16</v>
      </c>
      <c r="H707" s="440"/>
      <c r="I707" s="440"/>
      <c r="J707" s="440"/>
      <c r="L707" s="462"/>
      <c r="M707" s="462"/>
      <c r="N707" s="444"/>
      <c r="O707" s="462"/>
      <c r="R707" s="462"/>
      <c r="U707" s="462"/>
      <c r="X707" s="462"/>
      <c r="AA707" s="462"/>
      <c r="AD707" s="462"/>
      <c r="AG707" s="462"/>
      <c r="AJ707" s="462"/>
      <c r="AM707" s="462"/>
      <c r="AP707" s="462"/>
      <c r="AS707" s="424"/>
      <c r="AV707" s="462"/>
      <c r="AY707" s="462"/>
      <c r="BB707" s="462"/>
      <c r="BE707" s="462"/>
      <c r="BH707" s="462"/>
      <c r="BK707" s="462">
        <f t="shared" si="413"/>
        <v>810.16</v>
      </c>
      <c r="BL707" s="447" t="s">
        <v>2341</v>
      </c>
      <c r="BM707" s="462">
        <f>ROUND(3004.3/1.06,2)-BM604-BM638-BM673</f>
        <v>522.66999999999973</v>
      </c>
      <c r="BN707" s="462">
        <f t="shared" si="399"/>
        <v>287.49000000000024</v>
      </c>
      <c r="BO707" s="447" t="s">
        <v>2364</v>
      </c>
      <c r="BQ707" s="462">
        <f t="shared" si="400"/>
        <v>287.49</v>
      </c>
      <c r="BS707" s="462">
        <f>BQ707</f>
        <v>287.49</v>
      </c>
      <c r="BT707" s="462">
        <f t="shared" si="401"/>
        <v>0</v>
      </c>
      <c r="BW707" s="462">
        <f t="shared" si="402"/>
        <v>0</v>
      </c>
      <c r="BZ707" s="462">
        <f t="shared" si="403"/>
        <v>0</v>
      </c>
      <c r="CD707" s="418" t="str">
        <f t="shared" si="409"/>
        <v>CU0824001</v>
      </c>
      <c r="CE707" s="442" t="str">
        <f t="shared" si="410"/>
        <v>2020年7月</v>
      </c>
      <c r="CF707" s="418" t="str">
        <f t="shared" si="411"/>
        <v>苏州舒尔贸clife服务费暂估</v>
      </c>
      <c r="CG707" s="418" t="str">
        <f t="shared" si="412"/>
        <v>2020年7月苏州舒尔贸clife服务费暂估</v>
      </c>
    </row>
    <row r="708" spans="2:85" s="447" customFormat="1" ht="17.25" customHeight="1">
      <c r="B708" s="447" t="str">
        <f t="shared" si="414"/>
        <v>CU0848</v>
      </c>
      <c r="C708" s="431" t="s">
        <v>755</v>
      </c>
      <c r="D708" s="539" t="s">
        <v>1462</v>
      </c>
      <c r="E708" s="487" t="s">
        <v>1830</v>
      </c>
      <c r="F708" s="540">
        <v>44013</v>
      </c>
      <c r="G708" s="538">
        <v>11032.35</v>
      </c>
      <c r="H708" s="440"/>
      <c r="I708" s="440"/>
      <c r="J708" s="440"/>
      <c r="L708" s="462"/>
      <c r="M708" s="462"/>
      <c r="N708" s="444"/>
      <c r="O708" s="462"/>
      <c r="R708" s="462"/>
      <c r="U708" s="462"/>
      <c r="X708" s="462"/>
      <c r="AA708" s="462"/>
      <c r="AD708" s="462"/>
      <c r="AG708" s="462"/>
      <c r="AJ708" s="462"/>
      <c r="AM708" s="462"/>
      <c r="AP708" s="462"/>
      <c r="AS708" s="424"/>
      <c r="AV708" s="462"/>
      <c r="AY708" s="462"/>
      <c r="BB708" s="462"/>
      <c r="BE708" s="462"/>
      <c r="BH708" s="462"/>
      <c r="BK708" s="462">
        <f t="shared" si="413"/>
        <v>11032.35</v>
      </c>
      <c r="BL708" s="447" t="s">
        <v>2341</v>
      </c>
      <c r="BN708" s="462">
        <f t="shared" ref="BN708:BN723" si="415">BK708-BM708</f>
        <v>11032.35</v>
      </c>
      <c r="BO708" s="447" t="s">
        <v>2364</v>
      </c>
      <c r="BQ708" s="462">
        <f t="shared" ref="BQ708:BQ755" si="416">ROUND((BN708-BP708),2)</f>
        <v>11032.35</v>
      </c>
      <c r="BT708" s="462">
        <f t="shared" ref="BT708:BT771" si="417">ROUND((BQ708-BS708),2)</f>
        <v>11032.35</v>
      </c>
      <c r="BU708" s="447" t="s">
        <v>2134</v>
      </c>
      <c r="BW708" s="462">
        <f t="shared" ref="BW708:BW771" si="418">ROUND((BT708-BV708),2)</f>
        <v>11032.35</v>
      </c>
      <c r="BZ708" s="462">
        <f t="shared" ref="BZ708:BZ771" si="419">ROUND((BW708-BY708),2)</f>
        <v>11032.35</v>
      </c>
      <c r="CD708" s="418" t="str">
        <f t="shared" si="409"/>
        <v>CU0848001</v>
      </c>
      <c r="CE708" s="442" t="str">
        <f t="shared" si="410"/>
        <v>2020年7月</v>
      </c>
      <c r="CF708" s="418" t="str">
        <f t="shared" si="411"/>
        <v>爱德觅尔（clife服务费暂估</v>
      </c>
      <c r="CG708" s="418" t="str">
        <f t="shared" si="412"/>
        <v>2020年7月爱德觅尔（clife服务费暂估</v>
      </c>
    </row>
    <row r="709" spans="2:85" s="447" customFormat="1" ht="17.25" customHeight="1">
      <c r="B709" s="447" t="str">
        <f t="shared" si="414"/>
        <v>CU0914</v>
      </c>
      <c r="C709" s="431" t="s">
        <v>755</v>
      </c>
      <c r="D709" s="539" t="s">
        <v>1721</v>
      </c>
      <c r="E709" s="487" t="s">
        <v>1535</v>
      </c>
      <c r="F709" s="540">
        <v>44013</v>
      </c>
      <c r="G709" s="538">
        <v>761258.78</v>
      </c>
      <c r="H709" s="440"/>
      <c r="I709" s="440"/>
      <c r="J709" s="440"/>
      <c r="L709" s="462"/>
      <c r="M709" s="462"/>
      <c r="N709" s="444"/>
      <c r="O709" s="462"/>
      <c r="R709" s="462"/>
      <c r="U709" s="462"/>
      <c r="X709" s="462"/>
      <c r="AA709" s="462"/>
      <c r="AD709" s="462"/>
      <c r="AG709" s="462"/>
      <c r="AJ709" s="462"/>
      <c r="AM709" s="462"/>
      <c r="AP709" s="462"/>
      <c r="AS709" s="424"/>
      <c r="AV709" s="462"/>
      <c r="AY709" s="462"/>
      <c r="BB709" s="462"/>
      <c r="BE709" s="462"/>
      <c r="BH709" s="462"/>
      <c r="BK709" s="462">
        <f t="shared" si="413"/>
        <v>761258.78</v>
      </c>
      <c r="BL709" s="447" t="s">
        <v>2341</v>
      </c>
      <c r="BM709" s="447">
        <f>ROUND(322800/1.06,2)-15905.29</f>
        <v>288623.01</v>
      </c>
      <c r="BN709" s="462">
        <f t="shared" si="415"/>
        <v>472635.77</v>
      </c>
      <c r="BO709" s="447" t="s">
        <v>2364</v>
      </c>
      <c r="BP709" s="363">
        <f>ROUND(500993.92/1.06,2)</f>
        <v>472635.77</v>
      </c>
      <c r="BQ709" s="462">
        <f t="shared" si="416"/>
        <v>0</v>
      </c>
      <c r="BT709" s="462">
        <f t="shared" si="417"/>
        <v>0</v>
      </c>
      <c r="BW709" s="462">
        <f t="shared" si="418"/>
        <v>0</v>
      </c>
      <c r="BZ709" s="462">
        <f t="shared" si="419"/>
        <v>0</v>
      </c>
      <c r="CD709" s="418" t="str">
        <f t="shared" si="409"/>
        <v>CU0914001</v>
      </c>
      <c r="CE709" s="442" t="str">
        <f t="shared" si="410"/>
        <v>2020年7月</v>
      </c>
      <c r="CF709" s="418" t="str">
        <f t="shared" si="411"/>
        <v>鑫车投资（clife服务费暂估</v>
      </c>
      <c r="CG709" s="418" t="str">
        <f t="shared" si="412"/>
        <v>2020年7月鑫车投资（clife服务费暂估</v>
      </c>
    </row>
    <row r="710" spans="2:85" s="447" customFormat="1" ht="17.25" customHeight="1">
      <c r="B710" s="447" t="str">
        <f t="shared" si="414"/>
        <v>CU1016</v>
      </c>
      <c r="C710" s="431" t="s">
        <v>755</v>
      </c>
      <c r="D710" s="539" t="s">
        <v>1524</v>
      </c>
      <c r="E710" s="487" t="s">
        <v>1536</v>
      </c>
      <c r="F710" s="540">
        <v>44013</v>
      </c>
      <c r="G710" s="538">
        <v>10846.23</v>
      </c>
      <c r="H710" s="440"/>
      <c r="I710" s="440"/>
      <c r="J710" s="440"/>
      <c r="L710" s="462"/>
      <c r="M710" s="462"/>
      <c r="N710" s="444"/>
      <c r="O710" s="462"/>
      <c r="R710" s="462"/>
      <c r="U710" s="462"/>
      <c r="X710" s="462"/>
      <c r="AA710" s="462"/>
      <c r="AD710" s="462"/>
      <c r="AG710" s="462"/>
      <c r="AJ710" s="462"/>
      <c r="AM710" s="462"/>
      <c r="AP710" s="462"/>
      <c r="AS710" s="424"/>
      <c r="AV710" s="462"/>
      <c r="AY710" s="462"/>
      <c r="BB710" s="462"/>
      <c r="BE710" s="462"/>
      <c r="BH710" s="462"/>
      <c r="BK710" s="462">
        <f t="shared" si="413"/>
        <v>10846.23</v>
      </c>
      <c r="BL710" s="447" t="s">
        <v>2341</v>
      </c>
      <c r="BN710" s="462">
        <f t="shared" si="415"/>
        <v>10846.23</v>
      </c>
      <c r="BO710" s="447" t="s">
        <v>2364</v>
      </c>
      <c r="BQ710" s="462">
        <f t="shared" si="416"/>
        <v>10846.23</v>
      </c>
      <c r="BS710" s="462">
        <f>BQ710</f>
        <v>10846.23</v>
      </c>
      <c r="BT710" s="462">
        <f t="shared" si="417"/>
        <v>0</v>
      </c>
      <c r="BW710" s="462">
        <f t="shared" si="418"/>
        <v>0</v>
      </c>
      <c r="BZ710" s="462">
        <f t="shared" si="419"/>
        <v>0</v>
      </c>
      <c r="CD710" s="418" t="str">
        <f t="shared" si="409"/>
        <v>CU1016001</v>
      </c>
      <c r="CE710" s="442" t="str">
        <f t="shared" si="410"/>
        <v>2020年7月</v>
      </c>
      <c r="CF710" s="418" t="str">
        <f t="shared" si="411"/>
        <v>乔治阿玛尼clife服务费暂估</v>
      </c>
      <c r="CG710" s="418" t="str">
        <f t="shared" si="412"/>
        <v>2020年7月乔治阿玛尼clife服务费暂估</v>
      </c>
    </row>
    <row r="711" spans="2:85" s="447" customFormat="1" ht="17.25" customHeight="1">
      <c r="B711" s="447" t="str">
        <f t="shared" si="414"/>
        <v>CU1155</v>
      </c>
      <c r="C711" s="431" t="s">
        <v>755</v>
      </c>
      <c r="D711" s="539" t="s">
        <v>1698</v>
      </c>
      <c r="E711" s="487" t="s">
        <v>1681</v>
      </c>
      <c r="F711" s="540">
        <v>44013</v>
      </c>
      <c r="G711" s="538">
        <v>382.15</v>
      </c>
      <c r="H711" s="440"/>
      <c r="I711" s="440"/>
      <c r="J711" s="440"/>
      <c r="L711" s="462"/>
      <c r="M711" s="462"/>
      <c r="N711" s="444"/>
      <c r="O711" s="462"/>
      <c r="R711" s="462"/>
      <c r="U711" s="462"/>
      <c r="X711" s="462"/>
      <c r="AA711" s="462"/>
      <c r="AD711" s="462"/>
      <c r="AG711" s="462"/>
      <c r="AJ711" s="462"/>
      <c r="AM711" s="462"/>
      <c r="AP711" s="462"/>
      <c r="AS711" s="424"/>
      <c r="AV711" s="462"/>
      <c r="AY711" s="462"/>
      <c r="BB711" s="462"/>
      <c r="BE711" s="462"/>
      <c r="BH711" s="462"/>
      <c r="BK711" s="462">
        <f t="shared" si="413"/>
        <v>382.15</v>
      </c>
      <c r="BL711" s="447" t="s">
        <v>2341</v>
      </c>
      <c r="BN711" s="462">
        <f t="shared" si="415"/>
        <v>382.15</v>
      </c>
      <c r="BO711" s="447" t="s">
        <v>2364</v>
      </c>
      <c r="BQ711" s="462">
        <f t="shared" si="416"/>
        <v>382.15</v>
      </c>
      <c r="BT711" s="462">
        <f t="shared" si="417"/>
        <v>382.15</v>
      </c>
      <c r="BU711" s="447" t="s">
        <v>2134</v>
      </c>
      <c r="BW711" s="462">
        <f t="shared" si="418"/>
        <v>382.15</v>
      </c>
      <c r="BZ711" s="462">
        <f t="shared" si="419"/>
        <v>382.15</v>
      </c>
      <c r="CD711" s="418" t="str">
        <f t="shared" si="409"/>
        <v>CU1155001</v>
      </c>
      <c r="CE711" s="442" t="str">
        <f t="shared" si="410"/>
        <v>2020年7月</v>
      </c>
      <c r="CF711" s="418" t="str">
        <f t="shared" si="411"/>
        <v>艾蒙斯特朗clife服务费暂估</v>
      </c>
      <c r="CG711" s="418" t="str">
        <f t="shared" si="412"/>
        <v>2020年7月艾蒙斯特朗clife服务费暂估</v>
      </c>
    </row>
    <row r="712" spans="2:85" s="447" customFormat="1" ht="17.25" customHeight="1">
      <c r="B712" s="447" t="str">
        <f t="shared" si="414"/>
        <v>CU1198</v>
      </c>
      <c r="C712" s="431" t="s">
        <v>755</v>
      </c>
      <c r="D712" s="539" t="s">
        <v>1538</v>
      </c>
      <c r="E712" s="487" t="s">
        <v>1537</v>
      </c>
      <c r="F712" s="540">
        <v>44013</v>
      </c>
      <c r="G712" s="538">
        <v>335208.24</v>
      </c>
      <c r="H712" s="440"/>
      <c r="I712" s="440"/>
      <c r="J712" s="440"/>
      <c r="L712" s="462"/>
      <c r="M712" s="462"/>
      <c r="N712" s="444"/>
      <c r="O712" s="462"/>
      <c r="R712" s="462"/>
      <c r="U712" s="462"/>
      <c r="X712" s="462"/>
      <c r="AA712" s="462"/>
      <c r="AD712" s="462"/>
      <c r="AG712" s="462"/>
      <c r="AJ712" s="462"/>
      <c r="AM712" s="462"/>
      <c r="AP712" s="462"/>
      <c r="AS712" s="424"/>
      <c r="AV712" s="462"/>
      <c r="AY712" s="462"/>
      <c r="BB712" s="462"/>
      <c r="BE712" s="462"/>
      <c r="BH712" s="462"/>
      <c r="BK712" s="462">
        <f t="shared" si="413"/>
        <v>335208.24</v>
      </c>
      <c r="BL712" s="447" t="s">
        <v>2341</v>
      </c>
      <c r="BM712" s="447">
        <f>ROUND((264913.37+85117.43)/1.06,2)</f>
        <v>330217.74</v>
      </c>
      <c r="BN712" s="462">
        <f t="shared" si="415"/>
        <v>4990.5</v>
      </c>
      <c r="BO712" s="447" t="s">
        <v>2364</v>
      </c>
      <c r="BP712" s="462">
        <f>BN712</f>
        <v>4990.5</v>
      </c>
      <c r="BQ712" s="462">
        <f t="shared" si="416"/>
        <v>0</v>
      </c>
      <c r="BT712" s="462">
        <f t="shared" si="417"/>
        <v>0</v>
      </c>
      <c r="BW712" s="462">
        <f t="shared" si="418"/>
        <v>0</v>
      </c>
      <c r="BZ712" s="462">
        <f t="shared" si="419"/>
        <v>0</v>
      </c>
      <c r="CD712" s="418" t="str">
        <f t="shared" si="409"/>
        <v>CU1198001</v>
      </c>
      <c r="CE712" s="442" t="str">
        <f t="shared" si="410"/>
        <v>2020年7月</v>
      </c>
      <c r="CF712" s="418" t="str">
        <f t="shared" si="411"/>
        <v>通用公正技clife服务费暂估</v>
      </c>
      <c r="CG712" s="418" t="str">
        <f t="shared" si="412"/>
        <v>2020年7月通用公正技clife服务费暂估</v>
      </c>
    </row>
    <row r="713" spans="2:85" s="447" customFormat="1" ht="17.25" customHeight="1">
      <c r="B713" s="447" t="str">
        <f t="shared" si="414"/>
        <v>CU1204</v>
      </c>
      <c r="C713" s="431" t="s">
        <v>755</v>
      </c>
      <c r="D713" s="539" t="s">
        <v>1656</v>
      </c>
      <c r="E713" s="487" t="s">
        <v>1582</v>
      </c>
      <c r="F713" s="540">
        <v>44013</v>
      </c>
      <c r="G713" s="538">
        <v>62310.6</v>
      </c>
      <c r="H713" s="440"/>
      <c r="I713" s="440"/>
      <c r="J713" s="440"/>
      <c r="L713" s="462"/>
      <c r="M713" s="462"/>
      <c r="N713" s="444"/>
      <c r="O713" s="462"/>
      <c r="R713" s="462"/>
      <c r="U713" s="462"/>
      <c r="X713" s="462"/>
      <c r="AA713" s="462"/>
      <c r="AD713" s="462"/>
      <c r="AG713" s="462"/>
      <c r="AJ713" s="462"/>
      <c r="AM713" s="462"/>
      <c r="AP713" s="462"/>
      <c r="AS713" s="424"/>
      <c r="AV713" s="462"/>
      <c r="AY713" s="462"/>
      <c r="BB713" s="462"/>
      <c r="BE713" s="462"/>
      <c r="BH713" s="462"/>
      <c r="BK713" s="462">
        <f t="shared" si="413"/>
        <v>62310.6</v>
      </c>
      <c r="BL713" s="447" t="s">
        <v>2341</v>
      </c>
      <c r="BM713" s="462">
        <f>ROUND(367538/1.06,2)-23033.7-BM479-BM521-BM575-BM613-BM645-BM686+300</f>
        <v>8323.2600000000093</v>
      </c>
      <c r="BN713" s="462">
        <f t="shared" si="415"/>
        <v>53987.339999999989</v>
      </c>
      <c r="BO713" s="447" t="s">
        <v>2364</v>
      </c>
      <c r="BQ713" s="462">
        <f t="shared" si="416"/>
        <v>53987.34</v>
      </c>
      <c r="BT713" s="462">
        <f t="shared" si="417"/>
        <v>53987.34</v>
      </c>
      <c r="BU713" s="447" t="s">
        <v>2134</v>
      </c>
      <c r="BW713" s="462">
        <f t="shared" si="418"/>
        <v>53987.34</v>
      </c>
      <c r="BZ713" s="462">
        <f t="shared" si="419"/>
        <v>53987.34</v>
      </c>
      <c r="CD713" s="418" t="str">
        <f t="shared" si="409"/>
        <v>CU1204001</v>
      </c>
      <c r="CE713" s="442" t="str">
        <f t="shared" si="410"/>
        <v>2020年7月</v>
      </c>
      <c r="CF713" s="418" t="str">
        <f t="shared" si="411"/>
        <v>固特异轮胎clife服务费暂估</v>
      </c>
      <c r="CG713" s="418" t="str">
        <f t="shared" si="412"/>
        <v>2020年7月固特异轮胎clife服务费暂估</v>
      </c>
    </row>
    <row r="714" spans="2:85" s="447" customFormat="1" ht="17.25" customHeight="1">
      <c r="B714" s="447" t="str">
        <f t="shared" si="414"/>
        <v>CU1345</v>
      </c>
      <c r="C714" s="431" t="s">
        <v>755</v>
      </c>
      <c r="D714" s="539" t="s">
        <v>1843</v>
      </c>
      <c r="E714" s="487" t="s">
        <v>1839</v>
      </c>
      <c r="F714" s="540">
        <v>44013</v>
      </c>
      <c r="G714" s="538">
        <v>54869.33</v>
      </c>
      <c r="H714" s="440"/>
      <c r="I714" s="440"/>
      <c r="J714" s="440"/>
      <c r="L714" s="462"/>
      <c r="M714" s="462"/>
      <c r="N714" s="444"/>
      <c r="O714" s="462"/>
      <c r="R714" s="462"/>
      <c r="U714" s="462"/>
      <c r="X714" s="462"/>
      <c r="AA714" s="462"/>
      <c r="AD714" s="462"/>
      <c r="AG714" s="462"/>
      <c r="AJ714" s="462"/>
      <c r="AM714" s="462"/>
      <c r="AP714" s="462"/>
      <c r="AS714" s="424"/>
      <c r="AV714" s="462"/>
      <c r="AY714" s="462"/>
      <c r="BB714" s="462"/>
      <c r="BE714" s="462"/>
      <c r="BH714" s="462"/>
      <c r="BK714" s="462">
        <f t="shared" si="413"/>
        <v>54869.33</v>
      </c>
      <c r="BL714" s="447" t="s">
        <v>2341</v>
      </c>
      <c r="BN714" s="462">
        <f t="shared" si="415"/>
        <v>54869.33</v>
      </c>
      <c r="BO714" s="447" t="s">
        <v>2364</v>
      </c>
      <c r="BQ714" s="462">
        <f t="shared" si="416"/>
        <v>54869.33</v>
      </c>
      <c r="BS714" s="462">
        <f>BQ714</f>
        <v>54869.33</v>
      </c>
      <c r="BT714" s="462">
        <f t="shared" si="417"/>
        <v>0</v>
      </c>
      <c r="BW714" s="462">
        <f t="shared" si="418"/>
        <v>0</v>
      </c>
      <c r="BZ714" s="462">
        <f t="shared" si="419"/>
        <v>0</v>
      </c>
      <c r="CD714" s="418" t="str">
        <f t="shared" si="409"/>
        <v>CU1345001</v>
      </c>
      <c r="CE714" s="442" t="str">
        <f t="shared" si="410"/>
        <v>2020年7月</v>
      </c>
      <c r="CF714" s="418" t="str">
        <f t="shared" si="411"/>
        <v>上海创米科clife服务费暂估</v>
      </c>
      <c r="CG714" s="418" t="str">
        <f t="shared" si="412"/>
        <v>2020年7月上海创米科clife服务费暂估</v>
      </c>
    </row>
    <row r="715" spans="2:85" s="447" customFormat="1" ht="17.25" customHeight="1">
      <c r="B715" s="447" t="str">
        <f t="shared" si="414"/>
        <v>CU1354</v>
      </c>
      <c r="C715" s="431" t="s">
        <v>755</v>
      </c>
      <c r="D715" s="539" t="s">
        <v>1723</v>
      </c>
      <c r="E715" s="487" t="s">
        <v>1840</v>
      </c>
      <c r="F715" s="540">
        <v>44013</v>
      </c>
      <c r="G715" s="538">
        <v>101789.05</v>
      </c>
      <c r="H715" s="440"/>
      <c r="I715" s="440"/>
      <c r="J715" s="440"/>
      <c r="L715" s="462"/>
      <c r="M715" s="462"/>
      <c r="N715" s="444"/>
      <c r="O715" s="462"/>
      <c r="R715" s="462"/>
      <c r="U715" s="462"/>
      <c r="X715" s="462"/>
      <c r="AA715" s="462"/>
      <c r="AD715" s="462"/>
      <c r="AG715" s="462"/>
      <c r="AJ715" s="462"/>
      <c r="AM715" s="462"/>
      <c r="AP715" s="462"/>
      <c r="AS715" s="424"/>
      <c r="AV715" s="462"/>
      <c r="AY715" s="462"/>
      <c r="BB715" s="462"/>
      <c r="BE715" s="462"/>
      <c r="BH715" s="462"/>
      <c r="BK715" s="462">
        <f t="shared" si="413"/>
        <v>101789.05</v>
      </c>
      <c r="BL715" s="447" t="s">
        <v>2341</v>
      </c>
      <c r="BN715" s="462">
        <f t="shared" si="415"/>
        <v>101789.05</v>
      </c>
      <c r="BO715" s="447" t="s">
        <v>2364</v>
      </c>
      <c r="BQ715" s="462">
        <f t="shared" si="416"/>
        <v>101789.05</v>
      </c>
      <c r="BS715" s="462"/>
      <c r="BT715" s="462">
        <f t="shared" si="417"/>
        <v>101789.05</v>
      </c>
      <c r="BU715" s="447" t="s">
        <v>2134</v>
      </c>
      <c r="BV715" s="462">
        <f>ROUND(46577.92/1.06,2)-BV689</f>
        <v>43650.52</v>
      </c>
      <c r="BW715" s="462">
        <f t="shared" si="418"/>
        <v>58138.53</v>
      </c>
      <c r="BZ715" s="462">
        <f t="shared" si="419"/>
        <v>58138.53</v>
      </c>
      <c r="CD715" s="418" t="str">
        <f t="shared" si="409"/>
        <v>CU1354001</v>
      </c>
      <c r="CE715" s="442" t="str">
        <f t="shared" si="410"/>
        <v>2020年7月</v>
      </c>
      <c r="CF715" s="418" t="str">
        <f t="shared" si="411"/>
        <v>威内源企业clife服务费暂估</v>
      </c>
      <c r="CG715" s="418" t="str">
        <f t="shared" si="412"/>
        <v>2020年7月威内源企业clife服务费暂估</v>
      </c>
    </row>
    <row r="716" spans="2:85" s="447" customFormat="1" ht="17.25" customHeight="1">
      <c r="B716" s="447" t="str">
        <f t="shared" si="414"/>
        <v>CU1705</v>
      </c>
      <c r="C716" s="431" t="s">
        <v>755</v>
      </c>
      <c r="D716" s="539" t="s">
        <v>1848</v>
      </c>
      <c r="E716" s="487" t="s">
        <v>1845</v>
      </c>
      <c r="F716" s="540">
        <v>44013</v>
      </c>
      <c r="G716" s="538">
        <v>50332.11</v>
      </c>
      <c r="H716" s="440"/>
      <c r="I716" s="440"/>
      <c r="J716" s="440"/>
      <c r="L716" s="462"/>
      <c r="M716" s="462"/>
      <c r="N716" s="444"/>
      <c r="O716" s="462"/>
      <c r="R716" s="462"/>
      <c r="U716" s="462"/>
      <c r="X716" s="462"/>
      <c r="AA716" s="462"/>
      <c r="AD716" s="462"/>
      <c r="AG716" s="462"/>
      <c r="AJ716" s="462"/>
      <c r="AM716" s="462"/>
      <c r="AP716" s="462"/>
      <c r="AS716" s="424"/>
      <c r="AV716" s="462"/>
      <c r="AY716" s="462"/>
      <c r="BB716" s="462"/>
      <c r="BE716" s="462"/>
      <c r="BH716" s="462"/>
      <c r="BK716" s="462">
        <f t="shared" si="413"/>
        <v>50332.11</v>
      </c>
      <c r="BL716" s="447" t="s">
        <v>2341</v>
      </c>
      <c r="BN716" s="462">
        <f t="shared" si="415"/>
        <v>50332.11</v>
      </c>
      <c r="BO716" s="447" t="s">
        <v>2364</v>
      </c>
      <c r="BP716" s="462">
        <f>ROUND(50417.5/1.06,2)-BP692</f>
        <v>42869.030000000035</v>
      </c>
      <c r="BQ716" s="462">
        <f t="shared" si="416"/>
        <v>7463.08</v>
      </c>
      <c r="BT716" s="462">
        <f t="shared" si="417"/>
        <v>7463.08</v>
      </c>
      <c r="BU716" s="447" t="s">
        <v>2134</v>
      </c>
      <c r="BW716" s="462">
        <f t="shared" si="418"/>
        <v>7463.08</v>
      </c>
      <c r="BZ716" s="462">
        <f t="shared" si="419"/>
        <v>7463.08</v>
      </c>
      <c r="CD716" s="418" t="str">
        <f t="shared" si="409"/>
        <v>CU1705001</v>
      </c>
      <c r="CE716" s="442" t="str">
        <f t="shared" si="410"/>
        <v>2020年7月</v>
      </c>
      <c r="CF716" s="418" t="str">
        <f t="shared" si="411"/>
        <v>通标标准技clife服务费暂估</v>
      </c>
      <c r="CG716" s="418" t="str">
        <f t="shared" si="412"/>
        <v>2020年7月通标标准技clife服务费暂估</v>
      </c>
    </row>
    <row r="717" spans="2:85" s="447" customFormat="1" ht="17.25" customHeight="1">
      <c r="B717" s="447" t="str">
        <f t="shared" si="414"/>
        <v>CU1718</v>
      </c>
      <c r="C717" s="431" t="s">
        <v>755</v>
      </c>
      <c r="D717" s="539" t="s">
        <v>1849</v>
      </c>
      <c r="E717" s="487" t="s">
        <v>1984</v>
      </c>
      <c r="F717" s="540">
        <v>44013</v>
      </c>
      <c r="G717" s="538">
        <v>168050</v>
      </c>
      <c r="H717" s="440"/>
      <c r="I717" s="440"/>
      <c r="J717" s="440"/>
      <c r="L717" s="462"/>
      <c r="M717" s="462"/>
      <c r="N717" s="444"/>
      <c r="O717" s="462"/>
      <c r="R717" s="462"/>
      <c r="U717" s="462"/>
      <c r="X717" s="462"/>
      <c r="AA717" s="462"/>
      <c r="AD717" s="462"/>
      <c r="AG717" s="462"/>
      <c r="AJ717" s="462"/>
      <c r="AM717" s="462"/>
      <c r="AP717" s="462"/>
      <c r="AS717" s="424"/>
      <c r="AV717" s="462"/>
      <c r="AY717" s="462"/>
      <c r="BB717" s="462"/>
      <c r="BE717" s="462"/>
      <c r="BH717" s="462"/>
      <c r="BK717" s="462">
        <f t="shared" si="413"/>
        <v>168050</v>
      </c>
      <c r="BL717" s="447" t="s">
        <v>2341</v>
      </c>
      <c r="BM717" s="447">
        <f>164750+3300</f>
        <v>168050</v>
      </c>
      <c r="BN717" s="462">
        <f t="shared" si="415"/>
        <v>0</v>
      </c>
      <c r="BQ717" s="462">
        <f t="shared" si="416"/>
        <v>0</v>
      </c>
      <c r="BT717" s="462">
        <f t="shared" si="417"/>
        <v>0</v>
      </c>
      <c r="BW717" s="462">
        <f t="shared" si="418"/>
        <v>0</v>
      </c>
      <c r="BZ717" s="462">
        <f t="shared" si="419"/>
        <v>0</v>
      </c>
      <c r="CD717" s="418" t="str">
        <f t="shared" si="409"/>
        <v>CU1718001</v>
      </c>
      <c r="CE717" s="442" t="str">
        <f t="shared" si="410"/>
        <v>2020年7月</v>
      </c>
      <c r="CF717" s="418" t="str">
        <f t="shared" si="411"/>
        <v>Worldclife服务费暂估</v>
      </c>
      <c r="CG717" s="418" t="str">
        <f t="shared" si="412"/>
        <v>2020年7月Worldclife服务费暂估</v>
      </c>
    </row>
    <row r="718" spans="2:85" s="447" customFormat="1" ht="17.25" customHeight="1">
      <c r="B718" s="447" t="str">
        <f t="shared" si="414"/>
        <v>CU1745</v>
      </c>
      <c r="C718" s="431" t="s">
        <v>755</v>
      </c>
      <c r="D718" s="539" t="s">
        <v>1875</v>
      </c>
      <c r="E718" s="487" t="s">
        <v>2211</v>
      </c>
      <c r="F718" s="540">
        <v>44013</v>
      </c>
      <c r="G718" s="538">
        <v>1216.6099999999999</v>
      </c>
      <c r="H718" s="440"/>
      <c r="I718" s="440"/>
      <c r="J718" s="440"/>
      <c r="L718" s="462"/>
      <c r="M718" s="462"/>
      <c r="N718" s="444"/>
      <c r="O718" s="462"/>
      <c r="R718" s="462"/>
      <c r="U718" s="462"/>
      <c r="X718" s="462"/>
      <c r="AA718" s="462"/>
      <c r="AD718" s="462"/>
      <c r="AG718" s="462"/>
      <c r="AJ718" s="462"/>
      <c r="AM718" s="462"/>
      <c r="AP718" s="462"/>
      <c r="AS718" s="424"/>
      <c r="AV718" s="462"/>
      <c r="AY718" s="462"/>
      <c r="BB718" s="462"/>
      <c r="BE718" s="462"/>
      <c r="BH718" s="462"/>
      <c r="BK718" s="462">
        <f t="shared" si="413"/>
        <v>1216.6099999999999</v>
      </c>
      <c r="BL718" s="447" t="s">
        <v>2341</v>
      </c>
      <c r="BN718" s="462">
        <f t="shared" si="415"/>
        <v>1216.6099999999999</v>
      </c>
      <c r="BO718" s="447" t="s">
        <v>2364</v>
      </c>
      <c r="BQ718" s="462">
        <f t="shared" si="416"/>
        <v>1216.6099999999999</v>
      </c>
      <c r="BT718" s="462">
        <f t="shared" si="417"/>
        <v>1216.6099999999999</v>
      </c>
      <c r="BU718" s="447" t="s">
        <v>2134</v>
      </c>
      <c r="BW718" s="462">
        <f t="shared" si="418"/>
        <v>1216.6099999999999</v>
      </c>
      <c r="BZ718" s="462">
        <f t="shared" si="419"/>
        <v>1216.6099999999999</v>
      </c>
      <c r="CD718" s="418" t="str">
        <f t="shared" si="409"/>
        <v>CU1745001</v>
      </c>
      <c r="CE718" s="442" t="str">
        <f t="shared" si="410"/>
        <v>2020年7月</v>
      </c>
      <c r="CF718" s="418" t="str">
        <f t="shared" si="411"/>
        <v>格林机床（clife服务费暂估</v>
      </c>
      <c r="CG718" s="418" t="str">
        <f t="shared" si="412"/>
        <v>2020年7月格林机床（clife服务费暂估</v>
      </c>
    </row>
    <row r="719" spans="2:85" s="447" customFormat="1" ht="17.25" customHeight="1">
      <c r="B719" s="447" t="str">
        <f t="shared" si="414"/>
        <v>CU1815</v>
      </c>
      <c r="C719" s="431" t="s">
        <v>755</v>
      </c>
      <c r="D719" s="539" t="s">
        <v>2336</v>
      </c>
      <c r="E719" s="487" t="s">
        <v>2333</v>
      </c>
      <c r="F719" s="540">
        <v>44013</v>
      </c>
      <c r="G719" s="538">
        <v>39545.260500000004</v>
      </c>
      <c r="H719" s="440"/>
      <c r="I719" s="440"/>
      <c r="J719" s="440"/>
      <c r="L719" s="462"/>
      <c r="M719" s="462"/>
      <c r="N719" s="444"/>
      <c r="O719" s="462"/>
      <c r="R719" s="462"/>
      <c r="U719" s="462"/>
      <c r="X719" s="462"/>
      <c r="AA719" s="462"/>
      <c r="AD719" s="462"/>
      <c r="AG719" s="462"/>
      <c r="AJ719" s="462"/>
      <c r="AM719" s="462"/>
      <c r="AP719" s="462"/>
      <c r="AS719" s="424"/>
      <c r="AV719" s="462"/>
      <c r="AY719" s="462"/>
      <c r="BB719" s="462"/>
      <c r="BE719" s="462"/>
      <c r="BH719" s="462"/>
      <c r="BK719" s="462">
        <f t="shared" si="413"/>
        <v>39545.260500000004</v>
      </c>
      <c r="BL719" s="447" t="s">
        <v>2341</v>
      </c>
      <c r="BN719" s="462">
        <f t="shared" si="415"/>
        <v>39545.260500000004</v>
      </c>
      <c r="BO719" s="447" t="s">
        <v>2364</v>
      </c>
      <c r="BP719" s="447">
        <f>ROUND((1840+11598+5258)/1.13,2)+ROUND(4330/1.09,2)</f>
        <v>20517.61</v>
      </c>
      <c r="BQ719" s="462">
        <f t="shared" si="416"/>
        <v>19027.650000000001</v>
      </c>
      <c r="BT719" s="462">
        <f t="shared" si="417"/>
        <v>19027.650000000001</v>
      </c>
      <c r="BU719" s="447" t="s">
        <v>2134</v>
      </c>
      <c r="BW719" s="462">
        <f t="shared" si="418"/>
        <v>19027.650000000001</v>
      </c>
      <c r="BZ719" s="462">
        <f t="shared" si="419"/>
        <v>19027.650000000001</v>
      </c>
      <c r="CD719" s="418" t="str">
        <f t="shared" si="409"/>
        <v>CU1815001</v>
      </c>
      <c r="CE719" s="442" t="str">
        <f t="shared" si="410"/>
        <v>2020年7月</v>
      </c>
      <c r="CF719" s="418" t="str">
        <f t="shared" si="411"/>
        <v>道达尔clife服务费暂估</v>
      </c>
      <c r="CG719" s="418" t="str">
        <f t="shared" si="412"/>
        <v>2020年7月道达尔clife服务费暂估</v>
      </c>
    </row>
    <row r="720" spans="2:85" s="447" customFormat="1" ht="17.25" customHeight="1">
      <c r="B720" s="447" t="str">
        <f t="shared" si="414"/>
        <v>CU1863</v>
      </c>
      <c r="C720" s="431" t="s">
        <v>755</v>
      </c>
      <c r="D720" s="539" t="s">
        <v>2337</v>
      </c>
      <c r="E720" s="487" t="s">
        <v>2334</v>
      </c>
      <c r="F720" s="540">
        <v>44013</v>
      </c>
      <c r="G720" s="538">
        <v>302932.8</v>
      </c>
      <c r="H720" s="440"/>
      <c r="I720" s="440"/>
      <c r="J720" s="440"/>
      <c r="L720" s="462"/>
      <c r="M720" s="462"/>
      <c r="N720" s="444"/>
      <c r="O720" s="462"/>
      <c r="R720" s="462"/>
      <c r="U720" s="462"/>
      <c r="X720" s="462"/>
      <c r="AA720" s="462"/>
      <c r="AD720" s="462"/>
      <c r="AG720" s="462"/>
      <c r="AJ720" s="462"/>
      <c r="AM720" s="462"/>
      <c r="AP720" s="462"/>
      <c r="AS720" s="424"/>
      <c r="AV720" s="462"/>
      <c r="AY720" s="462"/>
      <c r="BB720" s="462"/>
      <c r="BE720" s="462"/>
      <c r="BH720" s="462"/>
      <c r="BK720" s="462">
        <f t="shared" si="413"/>
        <v>302932.8</v>
      </c>
      <c r="BL720" s="447" t="s">
        <v>2341</v>
      </c>
      <c r="BM720" s="444">
        <f>ROUND(215200/1.06,2)</f>
        <v>203018.87</v>
      </c>
      <c r="BN720" s="462">
        <f t="shared" si="415"/>
        <v>99913.93</v>
      </c>
      <c r="BO720" s="447" t="s">
        <v>2364</v>
      </c>
      <c r="BP720" s="462">
        <f>BN720</f>
        <v>99913.93</v>
      </c>
      <c r="BQ720" s="462">
        <f t="shared" si="416"/>
        <v>0</v>
      </c>
      <c r="BT720" s="462">
        <f t="shared" si="417"/>
        <v>0</v>
      </c>
      <c r="BW720" s="462">
        <f t="shared" si="418"/>
        <v>0</v>
      </c>
      <c r="BZ720" s="462">
        <f t="shared" si="419"/>
        <v>0</v>
      </c>
      <c r="CD720" s="418" t="str">
        <f t="shared" si="409"/>
        <v>CU1863001</v>
      </c>
      <c r="CE720" s="442" t="str">
        <f t="shared" si="410"/>
        <v>2020年7月</v>
      </c>
      <c r="CF720" s="418" t="str">
        <f t="shared" si="411"/>
        <v>浙江正泰新clife服务费暂估</v>
      </c>
      <c r="CG720" s="418" t="str">
        <f t="shared" si="412"/>
        <v>2020年7月浙江正泰新clife服务费暂估</v>
      </c>
    </row>
    <row r="721" spans="2:85" s="447" customFormat="1" ht="17.25" customHeight="1">
      <c r="B721" s="447" t="str">
        <f t="shared" si="414"/>
        <v>CU1874</v>
      </c>
      <c r="C721" s="431" t="s">
        <v>755</v>
      </c>
      <c r="D721" s="539" t="s">
        <v>2142</v>
      </c>
      <c r="E721" s="487" t="s">
        <v>2214</v>
      </c>
      <c r="F721" s="540">
        <v>44013</v>
      </c>
      <c r="G721" s="538">
        <v>505696.22</v>
      </c>
      <c r="H721" s="440"/>
      <c r="I721" s="440"/>
      <c r="J721" s="440"/>
      <c r="L721" s="462"/>
      <c r="M721" s="462"/>
      <c r="N721" s="444"/>
      <c r="O721" s="462"/>
      <c r="R721" s="462"/>
      <c r="U721" s="462"/>
      <c r="X721" s="462"/>
      <c r="AA721" s="462"/>
      <c r="AD721" s="462"/>
      <c r="AG721" s="462"/>
      <c r="AJ721" s="462"/>
      <c r="AM721" s="462"/>
      <c r="AP721" s="462"/>
      <c r="AS721" s="424"/>
      <c r="AV721" s="462"/>
      <c r="AY721" s="462"/>
      <c r="BB721" s="462"/>
      <c r="BE721" s="462"/>
      <c r="BH721" s="462"/>
      <c r="BK721" s="462">
        <f t="shared" si="413"/>
        <v>505696.22</v>
      </c>
      <c r="BL721" s="447" t="s">
        <v>2341</v>
      </c>
      <c r="BM721" s="447">
        <f>ROUND(369241.24/1.06,2)+100000</f>
        <v>448340.79</v>
      </c>
      <c r="BN721" s="462">
        <f t="shared" si="415"/>
        <v>57355.429999999993</v>
      </c>
      <c r="BO721" s="447" t="s">
        <v>2364</v>
      </c>
      <c r="BQ721" s="462">
        <f t="shared" si="416"/>
        <v>57355.43</v>
      </c>
      <c r="BS721" s="462">
        <f>BQ721</f>
        <v>57355.43</v>
      </c>
      <c r="BT721" s="462">
        <f t="shared" si="417"/>
        <v>0</v>
      </c>
      <c r="BW721" s="462">
        <f t="shared" si="418"/>
        <v>0</v>
      </c>
      <c r="BZ721" s="462">
        <f t="shared" si="419"/>
        <v>0</v>
      </c>
      <c r="CD721" s="418" t="str">
        <f t="shared" si="409"/>
        <v>CU1874001</v>
      </c>
      <c r="CE721" s="442" t="str">
        <f t="shared" si="410"/>
        <v>2020年7月</v>
      </c>
      <c r="CF721" s="418" t="str">
        <f t="shared" si="411"/>
        <v>富祥塑胶制clife服务费暂估</v>
      </c>
      <c r="CG721" s="418" t="str">
        <f t="shared" si="412"/>
        <v>2020年7月富祥塑胶制clife服务费暂估</v>
      </c>
    </row>
    <row r="722" spans="2:85" s="447" customFormat="1" ht="17.25" customHeight="1">
      <c r="B722" s="447" t="str">
        <f t="shared" si="414"/>
        <v>CU1926</v>
      </c>
      <c r="C722" s="431" t="s">
        <v>755</v>
      </c>
      <c r="D722" s="539" t="s">
        <v>2249</v>
      </c>
      <c r="E722" s="487" t="s">
        <v>2250</v>
      </c>
      <c r="F722" s="540">
        <v>44013</v>
      </c>
      <c r="G722" s="538">
        <v>1420373.77</v>
      </c>
      <c r="H722" s="440"/>
      <c r="I722" s="440"/>
      <c r="J722" s="440"/>
      <c r="L722" s="462"/>
      <c r="M722" s="462"/>
      <c r="N722" s="444"/>
      <c r="O722" s="462"/>
      <c r="R722" s="462"/>
      <c r="U722" s="462"/>
      <c r="X722" s="462"/>
      <c r="AA722" s="462"/>
      <c r="AD722" s="462"/>
      <c r="AG722" s="462"/>
      <c r="AJ722" s="462"/>
      <c r="AM722" s="462"/>
      <c r="AP722" s="462"/>
      <c r="AS722" s="424"/>
      <c r="AV722" s="462"/>
      <c r="AY722" s="462"/>
      <c r="BB722" s="462"/>
      <c r="BE722" s="462"/>
      <c r="BH722" s="462"/>
      <c r="BK722" s="462">
        <f t="shared" si="413"/>
        <v>1420373.77</v>
      </c>
      <c r="BL722" s="447" t="s">
        <v>2341</v>
      </c>
      <c r="BN722" s="462">
        <f t="shared" si="415"/>
        <v>1420373.77</v>
      </c>
      <c r="BO722" s="447" t="s">
        <v>2364</v>
      </c>
      <c r="BQ722" s="462">
        <f t="shared" si="416"/>
        <v>1420373.77</v>
      </c>
      <c r="BT722" s="462">
        <f t="shared" si="417"/>
        <v>1420373.77</v>
      </c>
      <c r="BU722" s="447" t="s">
        <v>2134</v>
      </c>
      <c r="BW722" s="462">
        <f t="shared" si="418"/>
        <v>1420373.77</v>
      </c>
      <c r="BZ722" s="462">
        <f t="shared" si="419"/>
        <v>1420373.77</v>
      </c>
      <c r="CD722" s="418" t="str">
        <f t="shared" si="409"/>
        <v>CU1926001</v>
      </c>
      <c r="CE722" s="442" t="str">
        <f t="shared" si="410"/>
        <v>2020年7月</v>
      </c>
      <c r="CF722" s="418" t="str">
        <f t="shared" si="411"/>
        <v>奥森多医疗clife服务费暂估</v>
      </c>
      <c r="CG722" s="418" t="str">
        <f t="shared" si="412"/>
        <v>2020年7月奥森多医疗clife服务费暂估</v>
      </c>
    </row>
    <row r="723" spans="2:85" s="447" customFormat="1" ht="17.25" customHeight="1">
      <c r="B723" s="447" t="str">
        <f t="shared" si="414"/>
        <v>CU9999</v>
      </c>
      <c r="C723" s="564" t="s">
        <v>755</v>
      </c>
      <c r="D723" s="539" t="s">
        <v>2345</v>
      </c>
      <c r="E723" s="487" t="s">
        <v>2335</v>
      </c>
      <c r="F723" s="540">
        <v>44013</v>
      </c>
      <c r="G723" s="538">
        <v>1936.99</v>
      </c>
      <c r="H723" s="440"/>
      <c r="I723" s="440"/>
      <c r="J723" s="440"/>
      <c r="L723" s="462"/>
      <c r="M723" s="462"/>
      <c r="N723" s="444"/>
      <c r="O723" s="462"/>
      <c r="R723" s="462"/>
      <c r="U723" s="462"/>
      <c r="X723" s="462"/>
      <c r="AA723" s="462"/>
      <c r="AD723" s="462"/>
      <c r="AG723" s="462"/>
      <c r="AJ723" s="462"/>
      <c r="AM723" s="462"/>
      <c r="AP723" s="462"/>
      <c r="AS723" s="424"/>
      <c r="AV723" s="462"/>
      <c r="AY723" s="462"/>
      <c r="BB723" s="462"/>
      <c r="BE723" s="462"/>
      <c r="BH723" s="462"/>
      <c r="BK723" s="462">
        <f t="shared" si="413"/>
        <v>1936.99</v>
      </c>
      <c r="BL723" s="447" t="s">
        <v>2341</v>
      </c>
      <c r="BN723" s="462">
        <f t="shared" si="415"/>
        <v>1936.99</v>
      </c>
      <c r="BO723" s="447" t="s">
        <v>2364</v>
      </c>
      <c r="BQ723" s="462">
        <f t="shared" si="416"/>
        <v>1936.99</v>
      </c>
      <c r="BT723" s="462">
        <f t="shared" si="417"/>
        <v>1936.99</v>
      </c>
      <c r="BU723" s="447" t="s">
        <v>2134</v>
      </c>
      <c r="BV723" s="447">
        <f>1760+ROUND(38.4/1.09,2)+ROUND(139/1.13,2)</f>
        <v>1918.24</v>
      </c>
      <c r="BW723" s="462">
        <f t="shared" si="418"/>
        <v>18.75</v>
      </c>
      <c r="BZ723" s="462">
        <f t="shared" si="419"/>
        <v>18.75</v>
      </c>
      <c r="CD723" s="418" t="str">
        <f t="shared" si="409"/>
        <v>CU9999001</v>
      </c>
      <c r="CE723" s="442" t="str">
        <f t="shared" si="410"/>
        <v>2020年7月</v>
      </c>
      <c r="CF723" s="418" t="str">
        <f t="shared" si="411"/>
        <v>其他保险客clife服务费暂估</v>
      </c>
      <c r="CG723" s="418" t="str">
        <f t="shared" si="412"/>
        <v>2020年7月其他保险客clife服务费暂估</v>
      </c>
    </row>
    <row r="724" spans="2:85" ht="17.25" customHeight="1">
      <c r="B724" s="541" t="str">
        <f t="shared" si="414"/>
        <v>CU0017</v>
      </c>
      <c r="C724" s="564" t="s">
        <v>755</v>
      </c>
      <c r="D724" s="541" t="s">
        <v>2024</v>
      </c>
      <c r="E724" s="543" t="s">
        <v>2018</v>
      </c>
      <c r="F724" s="540">
        <v>44044</v>
      </c>
      <c r="G724" s="501">
        <v>6401.19</v>
      </c>
      <c r="K724" s="363"/>
      <c r="L724" s="565"/>
      <c r="M724" s="565"/>
      <c r="O724" s="565"/>
      <c r="Q724" s="363"/>
      <c r="R724" s="565"/>
      <c r="U724" s="565"/>
      <c r="X724" s="565"/>
      <c r="AA724" s="565"/>
      <c r="AD724" s="565"/>
      <c r="AG724" s="565"/>
      <c r="AJ724" s="565"/>
      <c r="AM724" s="565"/>
      <c r="AP724" s="565"/>
      <c r="AS724" s="424"/>
      <c r="AV724" s="565"/>
      <c r="AY724" s="565"/>
      <c r="BB724" s="565"/>
      <c r="BE724" s="565"/>
      <c r="BH724" s="565"/>
      <c r="BK724" s="565"/>
      <c r="BN724" s="565">
        <v>6401.19</v>
      </c>
      <c r="BO724" s="363" t="s">
        <v>2363</v>
      </c>
      <c r="BQ724" s="462">
        <f t="shared" si="416"/>
        <v>6401.19</v>
      </c>
      <c r="BT724" s="462">
        <f t="shared" si="417"/>
        <v>6401.19</v>
      </c>
      <c r="BU724" s="447" t="s">
        <v>2134</v>
      </c>
      <c r="BW724" s="462">
        <f t="shared" si="418"/>
        <v>6401.19</v>
      </c>
      <c r="BZ724" s="462">
        <f t="shared" si="419"/>
        <v>6401.19</v>
      </c>
      <c r="CD724" s="418" t="str">
        <f t="shared" ref="CD724:CD755" si="420">B724&amp;$B$1</f>
        <v>CU0017001</v>
      </c>
      <c r="CE724" s="442" t="str">
        <f t="shared" ref="CE724:CE755" si="421">YEAR(F724)&amp;"年"&amp;MONTH(F724)&amp;"月"</f>
        <v>2020年8月</v>
      </c>
      <c r="CF724" s="418" t="str">
        <f t="shared" ref="CF724:CF755" si="422">LEFT(E724,5)&amp;$E$1</f>
        <v>易趋宏挤压clife服务费暂估</v>
      </c>
      <c r="CG724" s="418" t="str">
        <f t="shared" ref="CG724:CG755" si="423">CE724&amp;CF724</f>
        <v>2020年8月易趋宏挤压clife服务费暂估</v>
      </c>
    </row>
    <row r="725" spans="2:85" ht="17.25" customHeight="1">
      <c r="B725" s="541" t="str">
        <f t="shared" si="414"/>
        <v>CU0093</v>
      </c>
      <c r="C725" s="564" t="s">
        <v>755</v>
      </c>
      <c r="D725" s="541" t="s">
        <v>1832</v>
      </c>
      <c r="E725" s="543" t="s">
        <v>32</v>
      </c>
      <c r="F725" s="540">
        <v>44044</v>
      </c>
      <c r="G725" s="501">
        <v>295.87</v>
      </c>
      <c r="K725" s="363"/>
      <c r="L725" s="565"/>
      <c r="M725" s="565"/>
      <c r="O725" s="565"/>
      <c r="Q725" s="363"/>
      <c r="R725" s="565"/>
      <c r="U725" s="565"/>
      <c r="X725" s="565"/>
      <c r="AA725" s="565"/>
      <c r="AD725" s="565"/>
      <c r="AG725" s="565"/>
      <c r="AJ725" s="565"/>
      <c r="AM725" s="565"/>
      <c r="AP725" s="565"/>
      <c r="AS725" s="424"/>
      <c r="AV725" s="565"/>
      <c r="AY725" s="565"/>
      <c r="BB725" s="565"/>
      <c r="BE725" s="565"/>
      <c r="BH725" s="565"/>
      <c r="BK725" s="565"/>
      <c r="BN725" s="565">
        <v>295.87</v>
      </c>
      <c r="BO725" s="363" t="s">
        <v>2363</v>
      </c>
      <c r="BQ725" s="462">
        <f t="shared" si="416"/>
        <v>295.87</v>
      </c>
      <c r="BS725" s="565"/>
      <c r="BT725" s="462">
        <f t="shared" si="417"/>
        <v>295.87</v>
      </c>
      <c r="BU725" s="447" t="s">
        <v>2134</v>
      </c>
      <c r="BV725" s="462">
        <f>BT725</f>
        <v>295.87</v>
      </c>
      <c r="BW725" s="462">
        <f t="shared" si="418"/>
        <v>0</v>
      </c>
      <c r="BZ725" s="462">
        <f t="shared" si="419"/>
        <v>0</v>
      </c>
      <c r="CD725" s="418" t="str">
        <f t="shared" si="420"/>
        <v>CU0093001</v>
      </c>
      <c r="CE725" s="442" t="str">
        <f t="shared" si="421"/>
        <v>2020年8月</v>
      </c>
      <c r="CF725" s="418" t="str">
        <f t="shared" si="422"/>
        <v>日立保险代clife服务费暂估</v>
      </c>
      <c r="CG725" s="418" t="str">
        <f t="shared" si="423"/>
        <v>2020年8月日立保险代clife服务费暂估</v>
      </c>
    </row>
    <row r="726" spans="2:85" ht="17.25" customHeight="1">
      <c r="B726" s="541" t="str">
        <f t="shared" si="414"/>
        <v>CU0109</v>
      </c>
      <c r="C726" s="564" t="s">
        <v>755</v>
      </c>
      <c r="D726" s="541" t="s">
        <v>1642</v>
      </c>
      <c r="E726" s="543" t="s">
        <v>34</v>
      </c>
      <c r="F726" s="540">
        <v>44044</v>
      </c>
      <c r="G726" s="501">
        <v>20767.5</v>
      </c>
      <c r="K726" s="363"/>
      <c r="L726" s="565"/>
      <c r="M726" s="565"/>
      <c r="O726" s="565"/>
      <c r="Q726" s="363"/>
      <c r="R726" s="565"/>
      <c r="U726" s="565"/>
      <c r="X726" s="565"/>
      <c r="AA726" s="565"/>
      <c r="AD726" s="565"/>
      <c r="AG726" s="565"/>
      <c r="AJ726" s="565"/>
      <c r="AM726" s="565"/>
      <c r="AP726" s="565"/>
      <c r="AS726" s="424"/>
      <c r="AV726" s="565"/>
      <c r="AY726" s="565"/>
      <c r="BB726" s="565"/>
      <c r="BE726" s="565"/>
      <c r="BH726" s="565"/>
      <c r="BK726" s="565"/>
      <c r="BN726" s="565">
        <v>20767.5</v>
      </c>
      <c r="BO726" s="363" t="s">
        <v>2363</v>
      </c>
      <c r="BQ726" s="462">
        <f t="shared" si="416"/>
        <v>20767.5</v>
      </c>
      <c r="BT726" s="462">
        <f t="shared" si="417"/>
        <v>20767.5</v>
      </c>
      <c r="BU726" s="447" t="s">
        <v>2134</v>
      </c>
      <c r="BW726" s="462">
        <f t="shared" si="418"/>
        <v>20767.5</v>
      </c>
      <c r="BZ726" s="462">
        <f t="shared" si="419"/>
        <v>20767.5</v>
      </c>
      <c r="CD726" s="418" t="str">
        <f t="shared" si="420"/>
        <v>CU0109001</v>
      </c>
      <c r="CE726" s="442" t="str">
        <f t="shared" si="421"/>
        <v>2020年8月</v>
      </c>
      <c r="CF726" s="418" t="str">
        <f t="shared" si="422"/>
        <v>普拉达时装clife服务费暂估</v>
      </c>
      <c r="CG726" s="418" t="str">
        <f t="shared" si="423"/>
        <v>2020年8月普拉达时装clife服务费暂估</v>
      </c>
    </row>
    <row r="727" spans="2:85" ht="17.25" customHeight="1">
      <c r="B727" s="541" t="str">
        <f t="shared" si="414"/>
        <v>CU0145</v>
      </c>
      <c r="C727" s="564" t="s">
        <v>755</v>
      </c>
      <c r="D727" s="541" t="s">
        <v>1451</v>
      </c>
      <c r="E727" s="543" t="s">
        <v>1323</v>
      </c>
      <c r="F727" s="540">
        <v>44044</v>
      </c>
      <c r="G727" s="501">
        <v>314628.89</v>
      </c>
      <c r="K727" s="363"/>
      <c r="L727" s="565"/>
      <c r="M727" s="565"/>
      <c r="O727" s="565"/>
      <c r="Q727" s="363"/>
      <c r="R727" s="565"/>
      <c r="U727" s="565"/>
      <c r="X727" s="565"/>
      <c r="AA727" s="565"/>
      <c r="AD727" s="565"/>
      <c r="AG727" s="565"/>
      <c r="AJ727" s="565"/>
      <c r="AM727" s="565"/>
      <c r="AP727" s="565"/>
      <c r="AS727" s="424"/>
      <c r="AV727" s="565"/>
      <c r="AY727" s="565"/>
      <c r="BB727" s="565"/>
      <c r="BE727" s="565"/>
      <c r="BH727" s="565"/>
      <c r="BK727" s="565"/>
      <c r="BN727" s="565">
        <v>314628.89</v>
      </c>
      <c r="BO727" s="363" t="s">
        <v>2363</v>
      </c>
      <c r="BQ727" s="462">
        <f t="shared" si="416"/>
        <v>314628.89</v>
      </c>
      <c r="BT727" s="462">
        <f t="shared" si="417"/>
        <v>314628.89</v>
      </c>
      <c r="BU727" s="447" t="s">
        <v>2134</v>
      </c>
      <c r="BV727" s="565">
        <f>ROUND(203175/1.06,2)-BV628-BV659-BV696</f>
        <v>41233.700000000012</v>
      </c>
      <c r="BW727" s="462">
        <f t="shared" si="418"/>
        <v>273395.19</v>
      </c>
      <c r="BY727" s="363">
        <f>ROUND(215000/1.06,2)</f>
        <v>202830.19</v>
      </c>
      <c r="BZ727" s="462">
        <f t="shared" si="419"/>
        <v>70565</v>
      </c>
      <c r="CD727" s="418" t="str">
        <f t="shared" si="420"/>
        <v>CU0145001</v>
      </c>
      <c r="CE727" s="442" t="str">
        <f t="shared" si="421"/>
        <v>2020年8月</v>
      </c>
      <c r="CF727" s="418" t="str">
        <f t="shared" si="422"/>
        <v>锐珂亚太投clife服务费暂估</v>
      </c>
      <c r="CG727" s="418" t="str">
        <f t="shared" si="423"/>
        <v>2020年8月锐珂亚太投clife服务费暂估</v>
      </c>
    </row>
    <row r="728" spans="2:85" ht="17.25" customHeight="1">
      <c r="B728" s="541" t="str">
        <f t="shared" si="414"/>
        <v>CU0238</v>
      </c>
      <c r="C728" s="564" t="s">
        <v>755</v>
      </c>
      <c r="D728" s="541" t="s">
        <v>1987</v>
      </c>
      <c r="E728" s="543" t="s">
        <v>54</v>
      </c>
      <c r="F728" s="540">
        <v>44044</v>
      </c>
      <c r="G728" s="501">
        <v>292.5</v>
      </c>
      <c r="K728" s="363"/>
      <c r="L728" s="565"/>
      <c r="M728" s="565"/>
      <c r="O728" s="565"/>
      <c r="Q728" s="363"/>
      <c r="R728" s="565"/>
      <c r="U728" s="565"/>
      <c r="X728" s="565"/>
      <c r="AA728" s="565"/>
      <c r="AD728" s="565"/>
      <c r="AG728" s="565"/>
      <c r="AJ728" s="565"/>
      <c r="AM728" s="565"/>
      <c r="AP728" s="565"/>
      <c r="AS728" s="424"/>
      <c r="AV728" s="565"/>
      <c r="AY728" s="565"/>
      <c r="BB728" s="565"/>
      <c r="BE728" s="565"/>
      <c r="BH728" s="565"/>
      <c r="BK728" s="565"/>
      <c r="BN728" s="565">
        <v>292.5</v>
      </c>
      <c r="BO728" s="363" t="s">
        <v>2363</v>
      </c>
      <c r="BQ728" s="462">
        <f t="shared" si="416"/>
        <v>292.5</v>
      </c>
      <c r="BS728" s="462">
        <f>BQ728</f>
        <v>292.5</v>
      </c>
      <c r="BT728" s="462">
        <f t="shared" si="417"/>
        <v>0</v>
      </c>
      <c r="BW728" s="462">
        <f t="shared" si="418"/>
        <v>0</v>
      </c>
      <c r="BZ728" s="462">
        <f t="shared" si="419"/>
        <v>0</v>
      </c>
      <c r="CD728" s="418" t="str">
        <f t="shared" si="420"/>
        <v>CU0238001</v>
      </c>
      <c r="CE728" s="442" t="str">
        <f t="shared" si="421"/>
        <v>2020年8月</v>
      </c>
      <c r="CF728" s="418" t="str">
        <f t="shared" si="422"/>
        <v>丘奇鞋业（clife服务费暂估</v>
      </c>
      <c r="CG728" s="418" t="str">
        <f t="shared" si="423"/>
        <v>2020年8月丘奇鞋业（clife服务费暂估</v>
      </c>
    </row>
    <row r="729" spans="2:85" ht="17.25" customHeight="1">
      <c r="B729" s="541" t="str">
        <f t="shared" si="414"/>
        <v>CU0531</v>
      </c>
      <c r="C729" s="564" t="s">
        <v>755</v>
      </c>
      <c r="D729" s="541" t="s">
        <v>1453</v>
      </c>
      <c r="E729" s="543" t="s">
        <v>2088</v>
      </c>
      <c r="F729" s="540">
        <v>44044</v>
      </c>
      <c r="G729" s="501">
        <v>30784.151499999996</v>
      </c>
      <c r="K729" s="363"/>
      <c r="L729" s="565"/>
      <c r="M729" s="565"/>
      <c r="O729" s="565"/>
      <c r="Q729" s="363"/>
      <c r="R729" s="565"/>
      <c r="U729" s="565"/>
      <c r="X729" s="565"/>
      <c r="AA729" s="565"/>
      <c r="AD729" s="565"/>
      <c r="AG729" s="565"/>
      <c r="AJ729" s="565"/>
      <c r="AM729" s="565"/>
      <c r="AP729" s="565"/>
      <c r="AS729" s="424"/>
      <c r="AV729" s="565"/>
      <c r="AY729" s="565"/>
      <c r="BB729" s="565"/>
      <c r="BE729" s="565"/>
      <c r="BH729" s="565"/>
      <c r="BK729" s="565"/>
      <c r="BN729" s="565">
        <v>30784.151499999996</v>
      </c>
      <c r="BO729" s="363" t="s">
        <v>2363</v>
      </c>
      <c r="BQ729" s="462">
        <f t="shared" si="416"/>
        <v>30784.15</v>
      </c>
      <c r="BT729" s="462">
        <f t="shared" si="417"/>
        <v>30784.15</v>
      </c>
      <c r="BU729" s="447" t="s">
        <v>2134</v>
      </c>
      <c r="BW729" s="462">
        <f t="shared" si="418"/>
        <v>30784.15</v>
      </c>
      <c r="BZ729" s="462">
        <f t="shared" si="419"/>
        <v>30784.15</v>
      </c>
      <c r="CD729" s="418" t="str">
        <f t="shared" si="420"/>
        <v>CU0531001</v>
      </c>
      <c r="CE729" s="442" t="str">
        <f t="shared" si="421"/>
        <v>2020年8月</v>
      </c>
      <c r="CF729" s="418" t="str">
        <f t="shared" si="422"/>
        <v>恩思恩clife服务费暂估</v>
      </c>
      <c r="CG729" s="418" t="str">
        <f t="shared" si="423"/>
        <v>2020年8月恩思恩clife服务费暂估</v>
      </c>
    </row>
    <row r="730" spans="2:85" ht="17.25" customHeight="1">
      <c r="B730" s="541" t="str">
        <f t="shared" si="414"/>
        <v>CU0558</v>
      </c>
      <c r="C730" s="564" t="s">
        <v>755</v>
      </c>
      <c r="D730" s="541" t="s">
        <v>1647</v>
      </c>
      <c r="E730" s="543" t="s">
        <v>2285</v>
      </c>
      <c r="F730" s="540">
        <v>44044</v>
      </c>
      <c r="G730" s="501">
        <v>58282.75</v>
      </c>
      <c r="K730" s="363"/>
      <c r="L730" s="565"/>
      <c r="M730" s="565"/>
      <c r="O730" s="565"/>
      <c r="Q730" s="363"/>
      <c r="R730" s="565"/>
      <c r="U730" s="565"/>
      <c r="X730" s="565"/>
      <c r="AA730" s="565"/>
      <c r="AD730" s="565"/>
      <c r="AG730" s="565"/>
      <c r="AJ730" s="565"/>
      <c r="AM730" s="565"/>
      <c r="AP730" s="565"/>
      <c r="AS730" s="424"/>
      <c r="AV730" s="565"/>
      <c r="AY730" s="565"/>
      <c r="BB730" s="565"/>
      <c r="BE730" s="565"/>
      <c r="BH730" s="565"/>
      <c r="BK730" s="565"/>
      <c r="BN730" s="565">
        <v>58282.75</v>
      </c>
      <c r="BO730" s="363" t="s">
        <v>2363</v>
      </c>
      <c r="BQ730" s="462">
        <f t="shared" si="416"/>
        <v>58282.75</v>
      </c>
      <c r="BS730" s="565">
        <f>BQ730</f>
        <v>58282.75</v>
      </c>
      <c r="BT730" s="462">
        <f t="shared" si="417"/>
        <v>0</v>
      </c>
      <c r="BW730" s="462">
        <f t="shared" si="418"/>
        <v>0</v>
      </c>
      <c r="BZ730" s="462">
        <f t="shared" si="419"/>
        <v>0</v>
      </c>
      <c r="CD730" s="418" t="str">
        <f t="shared" si="420"/>
        <v>CU0558001</v>
      </c>
      <c r="CE730" s="442" t="str">
        <f t="shared" si="421"/>
        <v>2020年8月</v>
      </c>
      <c r="CF730" s="418" t="str">
        <f t="shared" si="422"/>
        <v>贵阳聚盟科clife服务费暂估</v>
      </c>
      <c r="CG730" s="418" t="str">
        <f t="shared" si="423"/>
        <v>2020年8月贵阳聚盟科clife服务费暂估</v>
      </c>
    </row>
    <row r="731" spans="2:85" ht="17.25" customHeight="1">
      <c r="B731" s="541" t="str">
        <f t="shared" si="414"/>
        <v>CU0562</v>
      </c>
      <c r="C731" s="564" t="s">
        <v>755</v>
      </c>
      <c r="D731" s="541" t="s">
        <v>2025</v>
      </c>
      <c r="E731" s="543" t="s">
        <v>1804</v>
      </c>
      <c r="F731" s="540">
        <v>44044</v>
      </c>
      <c r="G731" s="501">
        <v>11578.62</v>
      </c>
      <c r="K731" s="363"/>
      <c r="L731" s="565"/>
      <c r="M731" s="565"/>
      <c r="O731" s="565"/>
      <c r="Q731" s="363"/>
      <c r="R731" s="565"/>
      <c r="U731" s="565"/>
      <c r="X731" s="565"/>
      <c r="AA731" s="565"/>
      <c r="AD731" s="565"/>
      <c r="AG731" s="565"/>
      <c r="AJ731" s="565"/>
      <c r="AM731" s="565"/>
      <c r="AP731" s="565"/>
      <c r="AS731" s="424"/>
      <c r="AV731" s="565"/>
      <c r="AY731" s="565"/>
      <c r="BB731" s="565"/>
      <c r="BE731" s="565"/>
      <c r="BH731" s="565"/>
      <c r="BK731" s="565"/>
      <c r="BN731" s="565">
        <v>11578.62</v>
      </c>
      <c r="BO731" s="363" t="s">
        <v>2363</v>
      </c>
      <c r="BQ731" s="462">
        <f t="shared" si="416"/>
        <v>11578.62</v>
      </c>
      <c r="BT731" s="462">
        <f t="shared" si="417"/>
        <v>11578.62</v>
      </c>
      <c r="BU731" s="447" t="s">
        <v>2134</v>
      </c>
      <c r="BW731" s="462">
        <f t="shared" si="418"/>
        <v>11578.62</v>
      </c>
      <c r="BZ731" s="462">
        <f t="shared" si="419"/>
        <v>11578.62</v>
      </c>
      <c r="CD731" s="418" t="str">
        <f t="shared" si="420"/>
        <v>CU0562001</v>
      </c>
      <c r="CE731" s="442" t="str">
        <f t="shared" si="421"/>
        <v>2020年8月</v>
      </c>
      <c r="CF731" s="418" t="str">
        <f t="shared" si="422"/>
        <v>杭州康晟健clife服务费暂估</v>
      </c>
      <c r="CG731" s="418" t="str">
        <f t="shared" si="423"/>
        <v>2020年8月杭州康晟健clife服务费暂估</v>
      </c>
    </row>
    <row r="732" spans="2:85" ht="17.25" customHeight="1">
      <c r="B732" s="541" t="str">
        <f t="shared" si="414"/>
        <v>CU0636</v>
      </c>
      <c r="C732" s="564" t="s">
        <v>755</v>
      </c>
      <c r="D732" s="541" t="s">
        <v>1759</v>
      </c>
      <c r="E732" s="543" t="s">
        <v>23</v>
      </c>
      <c r="F732" s="540">
        <v>44044</v>
      </c>
      <c r="G732" s="501">
        <v>12044.78</v>
      </c>
      <c r="K732" s="363"/>
      <c r="L732" s="565"/>
      <c r="M732" s="565"/>
      <c r="O732" s="565"/>
      <c r="Q732" s="363"/>
      <c r="R732" s="565"/>
      <c r="U732" s="565"/>
      <c r="X732" s="565"/>
      <c r="AA732" s="565"/>
      <c r="AD732" s="565"/>
      <c r="AG732" s="565"/>
      <c r="AJ732" s="565"/>
      <c r="AM732" s="565"/>
      <c r="AP732" s="565"/>
      <c r="AS732" s="424"/>
      <c r="AV732" s="565"/>
      <c r="AY732" s="565"/>
      <c r="BB732" s="565"/>
      <c r="BE732" s="565"/>
      <c r="BH732" s="565"/>
      <c r="BK732" s="565"/>
      <c r="BN732" s="565">
        <v>12044.78</v>
      </c>
      <c r="BO732" s="363" t="s">
        <v>2363</v>
      </c>
      <c r="BQ732" s="462">
        <f t="shared" si="416"/>
        <v>12044.78</v>
      </c>
      <c r="BT732" s="462">
        <f t="shared" si="417"/>
        <v>12044.78</v>
      </c>
      <c r="BU732" s="447" t="s">
        <v>2134</v>
      </c>
      <c r="BW732" s="462">
        <f t="shared" si="418"/>
        <v>12044.78</v>
      </c>
      <c r="BZ732" s="462">
        <f t="shared" si="419"/>
        <v>12044.78</v>
      </c>
      <c r="CD732" s="418" t="str">
        <f t="shared" si="420"/>
        <v>CU0636001</v>
      </c>
      <c r="CE732" s="442" t="str">
        <f t="shared" si="421"/>
        <v>2020年8月</v>
      </c>
      <c r="CF732" s="418" t="str">
        <f t="shared" si="422"/>
        <v>巴丽（上海clife服务费暂估</v>
      </c>
      <c r="CG732" s="418" t="str">
        <f t="shared" si="423"/>
        <v>2020年8月巴丽（上海clife服务费暂估</v>
      </c>
    </row>
    <row r="733" spans="2:85" ht="17.25" customHeight="1">
      <c r="B733" s="541" t="str">
        <f t="shared" si="414"/>
        <v>CU0667</v>
      </c>
      <c r="C733" s="564" t="s">
        <v>755</v>
      </c>
      <c r="D733" s="541" t="s">
        <v>1454</v>
      </c>
      <c r="E733" s="543" t="s">
        <v>2350</v>
      </c>
      <c r="F733" s="540">
        <v>44044</v>
      </c>
      <c r="G733" s="501">
        <v>825.09</v>
      </c>
      <c r="K733" s="363"/>
      <c r="L733" s="565"/>
      <c r="M733" s="565"/>
      <c r="O733" s="565"/>
      <c r="Q733" s="363"/>
      <c r="R733" s="565"/>
      <c r="U733" s="565"/>
      <c r="X733" s="565"/>
      <c r="AA733" s="565"/>
      <c r="AD733" s="565"/>
      <c r="AG733" s="565"/>
      <c r="AJ733" s="565"/>
      <c r="AM733" s="565"/>
      <c r="AP733" s="565"/>
      <c r="AS733" s="424"/>
      <c r="AV733" s="565"/>
      <c r="AY733" s="565"/>
      <c r="BB733" s="565"/>
      <c r="BE733" s="565"/>
      <c r="BH733" s="565"/>
      <c r="BK733" s="565"/>
      <c r="BN733" s="565">
        <v>825.09</v>
      </c>
      <c r="BO733" s="363" t="s">
        <v>2363</v>
      </c>
      <c r="BQ733" s="462">
        <f t="shared" si="416"/>
        <v>825.09</v>
      </c>
      <c r="BT733" s="462">
        <f t="shared" si="417"/>
        <v>825.09</v>
      </c>
      <c r="BU733" s="447" t="s">
        <v>2134</v>
      </c>
      <c r="BW733" s="462">
        <f t="shared" si="418"/>
        <v>825.09</v>
      </c>
      <c r="BZ733" s="462">
        <f t="shared" si="419"/>
        <v>825.09</v>
      </c>
      <c r="CD733" s="418" t="str">
        <f t="shared" si="420"/>
        <v>CU0667001</v>
      </c>
      <c r="CE733" s="442" t="str">
        <f t="shared" si="421"/>
        <v>2020年8月</v>
      </c>
      <c r="CF733" s="418" t="str">
        <f t="shared" si="422"/>
        <v>碧涌达科技clife服务费暂估</v>
      </c>
      <c r="CG733" s="418" t="str">
        <f t="shared" si="423"/>
        <v>2020年8月碧涌达科技clife服务费暂估</v>
      </c>
    </row>
    <row r="734" spans="2:85" ht="17.25" customHeight="1">
      <c r="B734" s="541" t="str">
        <f t="shared" si="414"/>
        <v>CU0812</v>
      </c>
      <c r="C734" s="564" t="s">
        <v>755</v>
      </c>
      <c r="D734" s="541" t="s">
        <v>1455</v>
      </c>
      <c r="E734" s="543" t="s">
        <v>1534</v>
      </c>
      <c r="F734" s="540">
        <v>44044</v>
      </c>
      <c r="G734" s="501">
        <v>721.43</v>
      </c>
      <c r="K734" s="363"/>
      <c r="L734" s="565"/>
      <c r="M734" s="565"/>
      <c r="O734" s="565"/>
      <c r="Q734" s="363"/>
      <c r="R734" s="565"/>
      <c r="U734" s="565"/>
      <c r="X734" s="565"/>
      <c r="AA734" s="565"/>
      <c r="AD734" s="565"/>
      <c r="AG734" s="565"/>
      <c r="AJ734" s="565"/>
      <c r="AM734" s="565"/>
      <c r="AP734" s="565"/>
      <c r="AS734" s="424"/>
      <c r="AV734" s="565"/>
      <c r="AY734" s="565"/>
      <c r="BB734" s="565"/>
      <c r="BE734" s="565"/>
      <c r="BH734" s="565"/>
      <c r="BK734" s="565"/>
      <c r="BN734" s="565">
        <v>721.43</v>
      </c>
      <c r="BO734" s="363" t="s">
        <v>2363</v>
      </c>
      <c r="BQ734" s="462">
        <f t="shared" si="416"/>
        <v>721.43</v>
      </c>
      <c r="BT734" s="462">
        <f t="shared" si="417"/>
        <v>721.43</v>
      </c>
      <c r="BU734" s="447" t="s">
        <v>2134</v>
      </c>
      <c r="BW734" s="462">
        <f t="shared" si="418"/>
        <v>721.43</v>
      </c>
      <c r="BY734" s="462">
        <f>BW734</f>
        <v>721.43</v>
      </c>
      <c r="BZ734" s="462">
        <f t="shared" si="419"/>
        <v>0</v>
      </c>
      <c r="CD734" s="418" t="str">
        <f t="shared" si="420"/>
        <v>CU0812001</v>
      </c>
      <c r="CE734" s="442" t="str">
        <f t="shared" si="421"/>
        <v>2020年8月</v>
      </c>
      <c r="CF734" s="418" t="str">
        <f t="shared" si="422"/>
        <v>上海恩派社clife服务费暂估</v>
      </c>
      <c r="CG734" s="418" t="str">
        <f t="shared" si="423"/>
        <v>2020年8月上海恩派社clife服务费暂估</v>
      </c>
    </row>
    <row r="735" spans="2:85" ht="17.25" customHeight="1">
      <c r="B735" s="541" t="str">
        <f t="shared" si="414"/>
        <v>CU0823</v>
      </c>
      <c r="C735" s="564" t="s">
        <v>755</v>
      </c>
      <c r="D735" s="541" t="s">
        <v>1457</v>
      </c>
      <c r="E735" s="543" t="s">
        <v>581</v>
      </c>
      <c r="F735" s="540">
        <v>44044</v>
      </c>
      <c r="G735" s="501">
        <v>174059.46</v>
      </c>
      <c r="K735" s="363"/>
      <c r="L735" s="565"/>
      <c r="M735" s="565"/>
      <c r="O735" s="565"/>
      <c r="Q735" s="363"/>
      <c r="R735" s="565"/>
      <c r="U735" s="565"/>
      <c r="X735" s="565"/>
      <c r="AA735" s="565"/>
      <c r="AD735" s="565"/>
      <c r="AG735" s="565"/>
      <c r="AJ735" s="565"/>
      <c r="AM735" s="565"/>
      <c r="AP735" s="565"/>
      <c r="AS735" s="424"/>
      <c r="AV735" s="565"/>
      <c r="AY735" s="565"/>
      <c r="BB735" s="565"/>
      <c r="BE735" s="565"/>
      <c r="BH735" s="565"/>
      <c r="BK735" s="565"/>
      <c r="BN735" s="565">
        <v>174059.46</v>
      </c>
      <c r="BO735" s="363" t="s">
        <v>2363</v>
      </c>
      <c r="BQ735" s="462">
        <f t="shared" si="416"/>
        <v>174059.46</v>
      </c>
      <c r="BT735" s="462">
        <f t="shared" si="417"/>
        <v>174059.46</v>
      </c>
      <c r="BU735" s="447" t="s">
        <v>2134</v>
      </c>
      <c r="BW735" s="462">
        <f t="shared" si="418"/>
        <v>174059.46</v>
      </c>
      <c r="BZ735" s="462">
        <f t="shared" si="419"/>
        <v>174059.46</v>
      </c>
      <c r="CD735" s="418" t="str">
        <f t="shared" si="420"/>
        <v>CU0823001</v>
      </c>
      <c r="CE735" s="442" t="str">
        <f t="shared" si="421"/>
        <v>2020年8月</v>
      </c>
      <c r="CF735" s="418" t="str">
        <f t="shared" si="422"/>
        <v>凯杰生物工clife服务费暂估</v>
      </c>
      <c r="CG735" s="418" t="str">
        <f t="shared" si="423"/>
        <v>2020年8月凯杰生物工clife服务费暂估</v>
      </c>
    </row>
    <row r="736" spans="2:85" ht="17.25" customHeight="1">
      <c r="B736" s="541" t="str">
        <f t="shared" si="414"/>
        <v>CU0848</v>
      </c>
      <c r="C736" s="564" t="s">
        <v>755</v>
      </c>
      <c r="D736" s="541" t="s">
        <v>1462</v>
      </c>
      <c r="E736" s="543" t="s">
        <v>1830</v>
      </c>
      <c r="F736" s="540">
        <v>44044</v>
      </c>
      <c r="G736" s="501">
        <v>3117.6149999999998</v>
      </c>
      <c r="K736" s="363"/>
      <c r="L736" s="565"/>
      <c r="M736" s="565"/>
      <c r="O736" s="565"/>
      <c r="Q736" s="363"/>
      <c r="R736" s="565"/>
      <c r="U736" s="565"/>
      <c r="X736" s="565"/>
      <c r="AA736" s="565"/>
      <c r="AD736" s="565"/>
      <c r="AG736" s="565"/>
      <c r="AJ736" s="565"/>
      <c r="AM736" s="565"/>
      <c r="AP736" s="565"/>
      <c r="AS736" s="424"/>
      <c r="AV736" s="565"/>
      <c r="AY736" s="565"/>
      <c r="BB736" s="565"/>
      <c r="BE736" s="565"/>
      <c r="BH736" s="565"/>
      <c r="BK736" s="565"/>
      <c r="BN736" s="565">
        <v>3117.6149999999998</v>
      </c>
      <c r="BO736" s="363" t="s">
        <v>2363</v>
      </c>
      <c r="BQ736" s="462">
        <f t="shared" si="416"/>
        <v>3117.62</v>
      </c>
      <c r="BT736" s="462">
        <f t="shared" si="417"/>
        <v>3117.62</v>
      </c>
      <c r="BU736" s="447" t="s">
        <v>2134</v>
      </c>
      <c r="BW736" s="462">
        <f t="shared" si="418"/>
        <v>3117.62</v>
      </c>
      <c r="BZ736" s="462">
        <f t="shared" si="419"/>
        <v>3117.62</v>
      </c>
      <c r="CD736" s="418" t="str">
        <f t="shared" si="420"/>
        <v>CU0848001</v>
      </c>
      <c r="CE736" s="442" t="str">
        <f t="shared" si="421"/>
        <v>2020年8月</v>
      </c>
      <c r="CF736" s="418" t="str">
        <f t="shared" si="422"/>
        <v>爱德觅尔（clife服务费暂估</v>
      </c>
      <c r="CG736" s="418" t="str">
        <f t="shared" si="423"/>
        <v>2020年8月爱德觅尔（clife服务费暂估</v>
      </c>
    </row>
    <row r="737" spans="2:85" ht="17.25" customHeight="1">
      <c r="B737" s="541" t="str">
        <f t="shared" si="414"/>
        <v>CU0860</v>
      </c>
      <c r="C737" s="564" t="s">
        <v>755</v>
      </c>
      <c r="D737" s="541" t="s">
        <v>2353</v>
      </c>
      <c r="E737" s="543" t="s">
        <v>613</v>
      </c>
      <c r="F737" s="540">
        <v>44044</v>
      </c>
      <c r="G737" s="501">
        <v>511597.4</v>
      </c>
      <c r="K737" s="363"/>
      <c r="L737" s="565"/>
      <c r="M737" s="565"/>
      <c r="O737" s="565"/>
      <c r="Q737" s="363"/>
      <c r="R737" s="565"/>
      <c r="U737" s="565"/>
      <c r="X737" s="565"/>
      <c r="AA737" s="565"/>
      <c r="AD737" s="565"/>
      <c r="AG737" s="565"/>
      <c r="AJ737" s="565"/>
      <c r="AM737" s="565"/>
      <c r="AP737" s="565"/>
      <c r="AS737" s="424"/>
      <c r="AV737" s="565"/>
      <c r="AY737" s="565"/>
      <c r="BB737" s="565"/>
      <c r="BE737" s="565"/>
      <c r="BH737" s="565"/>
      <c r="BK737" s="565"/>
      <c r="BN737" s="565">
        <v>511597.4</v>
      </c>
      <c r="BO737" s="363" t="s">
        <v>2363</v>
      </c>
      <c r="BP737" s="565">
        <f>BN737</f>
        <v>511597.4</v>
      </c>
      <c r="BQ737" s="462">
        <f t="shared" si="416"/>
        <v>0</v>
      </c>
      <c r="BT737" s="462">
        <f t="shared" si="417"/>
        <v>0</v>
      </c>
      <c r="BW737" s="462">
        <f t="shared" si="418"/>
        <v>0</v>
      </c>
      <c r="BZ737" s="462">
        <f t="shared" si="419"/>
        <v>0</v>
      </c>
      <c r="CD737" s="418" t="str">
        <f t="shared" si="420"/>
        <v>CU0860001</v>
      </c>
      <c r="CE737" s="442" t="str">
        <f t="shared" si="421"/>
        <v>2020年8月</v>
      </c>
      <c r="CF737" s="418" t="str">
        <f t="shared" si="422"/>
        <v>光辉（上海clife服务费暂估</v>
      </c>
      <c r="CG737" s="418" t="str">
        <f t="shared" si="423"/>
        <v>2020年8月光辉（上海clife服务费暂估</v>
      </c>
    </row>
    <row r="738" spans="2:85" ht="17.25" customHeight="1">
      <c r="B738" s="541" t="str">
        <f t="shared" si="414"/>
        <v>CU0869</v>
      </c>
      <c r="C738" s="564" t="s">
        <v>755</v>
      </c>
      <c r="D738" s="541" t="s">
        <v>1459</v>
      </c>
      <c r="E738" s="543" t="s">
        <v>2090</v>
      </c>
      <c r="F738" s="540">
        <v>44044</v>
      </c>
      <c r="G738" s="501">
        <v>463401.73</v>
      </c>
      <c r="K738" s="363"/>
      <c r="L738" s="565"/>
      <c r="M738" s="565"/>
      <c r="O738" s="565"/>
      <c r="Q738" s="363"/>
      <c r="R738" s="565"/>
      <c r="U738" s="565"/>
      <c r="X738" s="565"/>
      <c r="AA738" s="565"/>
      <c r="AD738" s="565"/>
      <c r="AG738" s="565"/>
      <c r="AJ738" s="565"/>
      <c r="AM738" s="565"/>
      <c r="AP738" s="565"/>
      <c r="AS738" s="424"/>
      <c r="AV738" s="565"/>
      <c r="AY738" s="565"/>
      <c r="BB738" s="565"/>
      <c r="BE738" s="565"/>
      <c r="BH738" s="565"/>
      <c r="BK738" s="565"/>
      <c r="BN738" s="565">
        <v>463401.73</v>
      </c>
      <c r="BO738" s="363" t="s">
        <v>2363</v>
      </c>
      <c r="BQ738" s="462">
        <f t="shared" si="416"/>
        <v>463401.73</v>
      </c>
      <c r="BT738" s="462">
        <f t="shared" si="417"/>
        <v>463401.73</v>
      </c>
      <c r="BU738" s="447" t="s">
        <v>2134</v>
      </c>
      <c r="BW738" s="462">
        <f t="shared" si="418"/>
        <v>463401.73</v>
      </c>
      <c r="BZ738" s="462">
        <f t="shared" si="419"/>
        <v>463401.73</v>
      </c>
      <c r="CD738" s="418" t="str">
        <f t="shared" si="420"/>
        <v>CU0869001</v>
      </c>
      <c r="CE738" s="442" t="str">
        <f t="shared" si="421"/>
        <v>2020年8月</v>
      </c>
      <c r="CF738" s="418" t="str">
        <f t="shared" si="422"/>
        <v>智睿企业咨clife服务费暂估</v>
      </c>
      <c r="CG738" s="418" t="str">
        <f t="shared" si="423"/>
        <v>2020年8月智睿企业咨clife服务费暂估</v>
      </c>
    </row>
    <row r="739" spans="2:85" ht="17.25" customHeight="1">
      <c r="B739" s="541" t="str">
        <f t="shared" si="414"/>
        <v>CU0904</v>
      </c>
      <c r="C739" s="564" t="s">
        <v>755</v>
      </c>
      <c r="D739" s="541" t="s">
        <v>1460</v>
      </c>
      <c r="E739" s="543" t="s">
        <v>955</v>
      </c>
      <c r="F739" s="540">
        <v>44044</v>
      </c>
      <c r="G739" s="501">
        <v>16039.28</v>
      </c>
      <c r="K739" s="363"/>
      <c r="L739" s="565"/>
      <c r="M739" s="565"/>
      <c r="O739" s="565"/>
      <c r="Q739" s="363"/>
      <c r="R739" s="565"/>
      <c r="U739" s="565"/>
      <c r="X739" s="565"/>
      <c r="AA739" s="565"/>
      <c r="AD739" s="565"/>
      <c r="AG739" s="565"/>
      <c r="AJ739" s="565"/>
      <c r="AM739" s="565"/>
      <c r="AP739" s="565"/>
      <c r="AS739" s="424"/>
      <c r="AV739" s="565"/>
      <c r="AY739" s="565"/>
      <c r="BB739" s="565"/>
      <c r="BE739" s="565"/>
      <c r="BH739" s="565"/>
      <c r="BK739" s="565"/>
      <c r="BN739" s="565">
        <v>16039.28</v>
      </c>
      <c r="BO739" s="363" t="s">
        <v>2363</v>
      </c>
      <c r="BQ739" s="462">
        <f t="shared" si="416"/>
        <v>16039.28</v>
      </c>
      <c r="BS739" s="363">
        <f>200000-BS569-BS606-BS640-BS677</f>
        <v>6165.1400000000067</v>
      </c>
      <c r="BT739" s="462">
        <f t="shared" si="417"/>
        <v>9874.14</v>
      </c>
      <c r="BU739" s="447" t="s">
        <v>2134</v>
      </c>
      <c r="BW739" s="462">
        <f t="shared" si="418"/>
        <v>9874.14</v>
      </c>
      <c r="BY739" s="565">
        <f>BW739</f>
        <v>9874.14</v>
      </c>
      <c r="BZ739" s="462">
        <f t="shared" si="419"/>
        <v>0</v>
      </c>
      <c r="CD739" s="418" t="str">
        <f t="shared" si="420"/>
        <v>CU0904001</v>
      </c>
      <c r="CE739" s="442" t="str">
        <f t="shared" si="421"/>
        <v>2020年8月</v>
      </c>
      <c r="CF739" s="418" t="str">
        <f t="shared" si="422"/>
        <v>紫光电子商clife服务费暂估</v>
      </c>
      <c r="CG739" s="418" t="str">
        <f t="shared" si="423"/>
        <v>2020年8月紫光电子商clife服务费暂估</v>
      </c>
    </row>
    <row r="740" spans="2:85" ht="17.25" customHeight="1">
      <c r="B740" s="541" t="str">
        <f t="shared" si="414"/>
        <v>CU0914</v>
      </c>
      <c r="C740" s="564" t="s">
        <v>755</v>
      </c>
      <c r="D740" s="541" t="s">
        <v>1721</v>
      </c>
      <c r="E740" s="543" t="s">
        <v>1535</v>
      </c>
      <c r="F740" s="540">
        <v>44044</v>
      </c>
      <c r="G740" s="501">
        <v>2467935.86</v>
      </c>
      <c r="K740" s="363"/>
      <c r="L740" s="565"/>
      <c r="M740" s="565"/>
      <c r="O740" s="565"/>
      <c r="Q740" s="363"/>
      <c r="R740" s="565"/>
      <c r="U740" s="565"/>
      <c r="X740" s="565"/>
      <c r="AA740" s="565"/>
      <c r="AD740" s="565"/>
      <c r="AG740" s="565"/>
      <c r="AJ740" s="565"/>
      <c r="AM740" s="565"/>
      <c r="AP740" s="565"/>
      <c r="AS740" s="424"/>
      <c r="AV740" s="565"/>
      <c r="AY740" s="565"/>
      <c r="BB740" s="565"/>
      <c r="BE740" s="565"/>
      <c r="BH740" s="565"/>
      <c r="BK740" s="565"/>
      <c r="BN740" s="565">
        <v>2467935.86</v>
      </c>
      <c r="BO740" s="363" t="s">
        <v>2363</v>
      </c>
      <c r="BP740" s="363">
        <f>ROUND((588025+430400+494960)/1.06,2)</f>
        <v>1427721.7</v>
      </c>
      <c r="BQ740" s="462">
        <f t="shared" si="416"/>
        <v>1040214.16</v>
      </c>
      <c r="BS740" s="441">
        <f>BQ740</f>
        <v>1040214.16</v>
      </c>
      <c r="BT740" s="462">
        <f t="shared" si="417"/>
        <v>0</v>
      </c>
      <c r="BW740" s="462">
        <f t="shared" si="418"/>
        <v>0</v>
      </c>
      <c r="BZ740" s="462">
        <f t="shared" si="419"/>
        <v>0</v>
      </c>
      <c r="CD740" s="418" t="str">
        <f t="shared" si="420"/>
        <v>CU0914001</v>
      </c>
      <c r="CE740" s="442" t="str">
        <f t="shared" si="421"/>
        <v>2020年8月</v>
      </c>
      <c r="CF740" s="418" t="str">
        <f t="shared" si="422"/>
        <v>鑫车投资（clife服务费暂估</v>
      </c>
      <c r="CG740" s="418" t="str">
        <f t="shared" si="423"/>
        <v>2020年8月鑫车投资（clife服务费暂估</v>
      </c>
    </row>
    <row r="741" spans="2:85" ht="17.25" customHeight="1">
      <c r="B741" s="541" t="str">
        <f t="shared" si="414"/>
        <v>CU1016</v>
      </c>
      <c r="C741" s="564" t="s">
        <v>755</v>
      </c>
      <c r="D741" s="541" t="s">
        <v>1524</v>
      </c>
      <c r="E741" s="543" t="s">
        <v>1536</v>
      </c>
      <c r="F741" s="540">
        <v>44044</v>
      </c>
      <c r="G741" s="501">
        <v>262344.86</v>
      </c>
      <c r="K741" s="363"/>
      <c r="L741" s="565"/>
      <c r="M741" s="565"/>
      <c r="O741" s="565"/>
      <c r="Q741" s="363"/>
      <c r="R741" s="565"/>
      <c r="U741" s="565"/>
      <c r="X741" s="565"/>
      <c r="AA741" s="565"/>
      <c r="AD741" s="565"/>
      <c r="AG741" s="565"/>
      <c r="AJ741" s="565"/>
      <c r="AM741" s="565"/>
      <c r="AP741" s="565"/>
      <c r="AS741" s="424"/>
      <c r="AV741" s="565"/>
      <c r="AY741" s="565"/>
      <c r="BB741" s="565"/>
      <c r="BE741" s="565"/>
      <c r="BH741" s="565"/>
      <c r="BK741" s="565"/>
      <c r="BN741" s="565">
        <v>262344.86</v>
      </c>
      <c r="BO741" s="363" t="s">
        <v>2363</v>
      </c>
      <c r="BQ741" s="462">
        <f t="shared" si="416"/>
        <v>262344.86</v>
      </c>
      <c r="BS741" s="363">
        <f>100000-BS542-BS571-BS607-BS642-BS680-BS710</f>
        <v>47905.999999999985</v>
      </c>
      <c r="BT741" s="462">
        <f t="shared" si="417"/>
        <v>214438.86</v>
      </c>
      <c r="BU741" s="447" t="s">
        <v>2134</v>
      </c>
      <c r="BW741" s="462">
        <f t="shared" si="418"/>
        <v>214438.86</v>
      </c>
      <c r="BZ741" s="462">
        <f t="shared" si="419"/>
        <v>214438.86</v>
      </c>
      <c r="CD741" s="418" t="str">
        <f t="shared" si="420"/>
        <v>CU1016001</v>
      </c>
      <c r="CE741" s="442" t="str">
        <f t="shared" si="421"/>
        <v>2020年8月</v>
      </c>
      <c r="CF741" s="418" t="str">
        <f t="shared" si="422"/>
        <v>乔治阿玛尼clife服务费暂估</v>
      </c>
      <c r="CG741" s="418" t="str">
        <f t="shared" si="423"/>
        <v>2020年8月乔治阿玛尼clife服务费暂估</v>
      </c>
    </row>
    <row r="742" spans="2:85" ht="17.25" customHeight="1">
      <c r="B742" s="541" t="str">
        <f t="shared" si="414"/>
        <v>CU1155</v>
      </c>
      <c r="C742" s="564" t="s">
        <v>755</v>
      </c>
      <c r="D742" s="541" t="s">
        <v>1698</v>
      </c>
      <c r="E742" s="543" t="s">
        <v>1681</v>
      </c>
      <c r="F742" s="540">
        <v>44044</v>
      </c>
      <c r="G742" s="501">
        <v>752.24</v>
      </c>
      <c r="K742" s="363"/>
      <c r="L742" s="565"/>
      <c r="M742" s="565"/>
      <c r="O742" s="565"/>
      <c r="Q742" s="363"/>
      <c r="R742" s="565"/>
      <c r="U742" s="565"/>
      <c r="X742" s="565"/>
      <c r="AA742" s="565"/>
      <c r="AD742" s="565"/>
      <c r="AG742" s="565"/>
      <c r="AJ742" s="565"/>
      <c r="AM742" s="565"/>
      <c r="AP742" s="565"/>
      <c r="AS742" s="424"/>
      <c r="AV742" s="565"/>
      <c r="AY742" s="565"/>
      <c r="BB742" s="565"/>
      <c r="BE742" s="565"/>
      <c r="BH742" s="565"/>
      <c r="BK742" s="565"/>
      <c r="BN742" s="565">
        <v>752.24</v>
      </c>
      <c r="BO742" s="363" t="s">
        <v>2363</v>
      </c>
      <c r="BQ742" s="462">
        <f t="shared" si="416"/>
        <v>752.24</v>
      </c>
      <c r="BT742" s="462">
        <f t="shared" si="417"/>
        <v>752.24</v>
      </c>
      <c r="BU742" s="447" t="s">
        <v>2134</v>
      </c>
      <c r="BW742" s="462">
        <f t="shared" si="418"/>
        <v>752.24</v>
      </c>
      <c r="BZ742" s="462">
        <f t="shared" si="419"/>
        <v>752.24</v>
      </c>
      <c r="CD742" s="418" t="str">
        <f t="shared" si="420"/>
        <v>CU1155001</v>
      </c>
      <c r="CE742" s="442" t="str">
        <f t="shared" si="421"/>
        <v>2020年8月</v>
      </c>
      <c r="CF742" s="418" t="str">
        <f t="shared" si="422"/>
        <v>艾蒙斯特朗clife服务费暂估</v>
      </c>
      <c r="CG742" s="418" t="str">
        <f t="shared" si="423"/>
        <v>2020年8月艾蒙斯特朗clife服务费暂估</v>
      </c>
    </row>
    <row r="743" spans="2:85" ht="17.25" customHeight="1">
      <c r="B743" s="541" t="str">
        <f t="shared" si="414"/>
        <v>CU1198</v>
      </c>
      <c r="C743" s="564" t="s">
        <v>755</v>
      </c>
      <c r="D743" s="541" t="s">
        <v>1538</v>
      </c>
      <c r="E743" s="543" t="s">
        <v>1537</v>
      </c>
      <c r="F743" s="540">
        <v>44044</v>
      </c>
      <c r="G743" s="501">
        <v>116098.3</v>
      </c>
      <c r="K743" s="363"/>
      <c r="L743" s="565"/>
      <c r="M743" s="565"/>
      <c r="O743" s="565"/>
      <c r="Q743" s="363"/>
      <c r="R743" s="565"/>
      <c r="U743" s="565"/>
      <c r="X743" s="565"/>
      <c r="AA743" s="565"/>
      <c r="AD743" s="565"/>
      <c r="AG743" s="565"/>
      <c r="AJ743" s="565"/>
      <c r="AM743" s="565"/>
      <c r="AP743" s="565"/>
      <c r="AS743" s="424"/>
      <c r="AV743" s="565"/>
      <c r="AY743" s="565"/>
      <c r="BB743" s="565"/>
      <c r="BE743" s="565"/>
      <c r="BH743" s="565"/>
      <c r="BK743" s="565"/>
      <c r="BN743" s="565">
        <v>116098.3</v>
      </c>
      <c r="BO743" s="363" t="s">
        <v>2363</v>
      </c>
      <c r="BP743" s="565">
        <f>ROUND((24831+35094.65+50086.72+11107.98)/1.06,2)-BP685-BP712</f>
        <v>108577.59010000002</v>
      </c>
      <c r="BQ743" s="462">
        <f t="shared" si="416"/>
        <v>7520.71</v>
      </c>
      <c r="BS743" s="565">
        <f>BQ743</f>
        <v>7520.71</v>
      </c>
      <c r="BT743" s="462">
        <f t="shared" si="417"/>
        <v>0</v>
      </c>
      <c r="BW743" s="462">
        <f t="shared" si="418"/>
        <v>0</v>
      </c>
      <c r="BZ743" s="462">
        <f t="shared" si="419"/>
        <v>0</v>
      </c>
      <c r="CD743" s="418" t="str">
        <f t="shared" si="420"/>
        <v>CU1198001</v>
      </c>
      <c r="CE743" s="442" t="str">
        <f t="shared" si="421"/>
        <v>2020年8月</v>
      </c>
      <c r="CF743" s="418" t="str">
        <f t="shared" si="422"/>
        <v>通用公正技clife服务费暂估</v>
      </c>
      <c r="CG743" s="418" t="str">
        <f t="shared" si="423"/>
        <v>2020年8月通用公正技clife服务费暂估</v>
      </c>
    </row>
    <row r="744" spans="2:85" ht="17.25" customHeight="1">
      <c r="B744" s="541" t="str">
        <f t="shared" si="414"/>
        <v>CU1204</v>
      </c>
      <c r="C744" s="564" t="s">
        <v>755</v>
      </c>
      <c r="D744" s="541" t="s">
        <v>1656</v>
      </c>
      <c r="E744" s="543" t="s">
        <v>1582</v>
      </c>
      <c r="F744" s="540">
        <v>44044</v>
      </c>
      <c r="G744" s="501">
        <v>44411.25</v>
      </c>
      <c r="K744" s="363"/>
      <c r="L744" s="565"/>
      <c r="M744" s="565"/>
      <c r="O744" s="565"/>
      <c r="Q744" s="363"/>
      <c r="R744" s="565"/>
      <c r="U744" s="565"/>
      <c r="X744" s="565"/>
      <c r="AA744" s="565"/>
      <c r="AD744" s="565"/>
      <c r="AG744" s="565"/>
      <c r="AJ744" s="565"/>
      <c r="AM744" s="565"/>
      <c r="AP744" s="565"/>
      <c r="AS744" s="424"/>
      <c r="AV744" s="565"/>
      <c r="AY744" s="565"/>
      <c r="BB744" s="565"/>
      <c r="BE744" s="565"/>
      <c r="BH744" s="565"/>
      <c r="BK744" s="565"/>
      <c r="BN744" s="565">
        <v>44411.25</v>
      </c>
      <c r="BO744" s="363" t="s">
        <v>2363</v>
      </c>
      <c r="BQ744" s="462">
        <f t="shared" si="416"/>
        <v>44411.25</v>
      </c>
      <c r="BT744" s="462">
        <f t="shared" si="417"/>
        <v>44411.25</v>
      </c>
      <c r="BU744" s="447" t="s">
        <v>2134</v>
      </c>
      <c r="BW744" s="462">
        <f t="shared" si="418"/>
        <v>44411.25</v>
      </c>
      <c r="BZ744" s="462">
        <f t="shared" si="419"/>
        <v>44411.25</v>
      </c>
      <c r="CD744" s="418" t="str">
        <f t="shared" si="420"/>
        <v>CU1204001</v>
      </c>
      <c r="CE744" s="442" t="str">
        <f t="shared" si="421"/>
        <v>2020年8月</v>
      </c>
      <c r="CF744" s="418" t="str">
        <f t="shared" si="422"/>
        <v>固特异轮胎clife服务费暂估</v>
      </c>
      <c r="CG744" s="418" t="str">
        <f t="shared" si="423"/>
        <v>2020年8月固特异轮胎clife服务费暂估</v>
      </c>
    </row>
    <row r="745" spans="2:85" ht="17.25" customHeight="1">
      <c r="B745" s="541" t="str">
        <f t="shared" si="414"/>
        <v>CU1345</v>
      </c>
      <c r="C745" s="564" t="s">
        <v>755</v>
      </c>
      <c r="D745" s="541" t="s">
        <v>1843</v>
      </c>
      <c r="E745" s="543" t="s">
        <v>1839</v>
      </c>
      <c r="F745" s="540">
        <v>44044</v>
      </c>
      <c r="G745" s="501">
        <v>65963.23</v>
      </c>
      <c r="K745" s="363"/>
      <c r="L745" s="565"/>
      <c r="M745" s="565"/>
      <c r="O745" s="565"/>
      <c r="Q745" s="363"/>
      <c r="R745" s="565"/>
      <c r="U745" s="565"/>
      <c r="X745" s="565"/>
      <c r="AA745" s="565"/>
      <c r="AD745" s="565"/>
      <c r="AG745" s="565"/>
      <c r="AJ745" s="565"/>
      <c r="AM745" s="565"/>
      <c r="AP745" s="565"/>
      <c r="AS745" s="424"/>
      <c r="AV745" s="565"/>
      <c r="AY745" s="565"/>
      <c r="BB745" s="565"/>
      <c r="BE745" s="565"/>
      <c r="BH745" s="565"/>
      <c r="BK745" s="565"/>
      <c r="BN745" s="565">
        <v>65963.23</v>
      </c>
      <c r="BO745" s="363" t="s">
        <v>2363</v>
      </c>
      <c r="BQ745" s="462">
        <f t="shared" si="416"/>
        <v>65963.23</v>
      </c>
      <c r="BS745" s="565">
        <f>ROUND(85892.5/1.06,2)-BS688-BS714</f>
        <v>2328.0500000000029</v>
      </c>
      <c r="BT745" s="462">
        <f t="shared" si="417"/>
        <v>63635.18</v>
      </c>
      <c r="BU745" s="447" t="s">
        <v>2134</v>
      </c>
      <c r="BV745" s="565">
        <f>BT745</f>
        <v>63635.18</v>
      </c>
      <c r="BW745" s="462">
        <f t="shared" si="418"/>
        <v>0</v>
      </c>
      <c r="BZ745" s="462">
        <f t="shared" si="419"/>
        <v>0</v>
      </c>
      <c r="CD745" s="418" t="str">
        <f t="shared" si="420"/>
        <v>CU1345001</v>
      </c>
      <c r="CE745" s="442" t="str">
        <f t="shared" si="421"/>
        <v>2020年8月</v>
      </c>
      <c r="CF745" s="418" t="str">
        <f t="shared" si="422"/>
        <v>上海创米科clife服务费暂估</v>
      </c>
      <c r="CG745" s="418" t="str">
        <f t="shared" si="423"/>
        <v>2020年8月上海创米科clife服务费暂估</v>
      </c>
    </row>
    <row r="746" spans="2:85" ht="17.25" customHeight="1">
      <c r="B746" s="541" t="str">
        <f t="shared" si="414"/>
        <v>CU1354</v>
      </c>
      <c r="C746" s="564" t="s">
        <v>755</v>
      </c>
      <c r="D746" s="541" t="s">
        <v>1723</v>
      </c>
      <c r="E746" s="543" t="s">
        <v>1840</v>
      </c>
      <c r="F746" s="540">
        <v>44044</v>
      </c>
      <c r="G746" s="501">
        <v>37474.11</v>
      </c>
      <c r="K746" s="363"/>
      <c r="L746" s="565"/>
      <c r="M746" s="565"/>
      <c r="O746" s="565"/>
      <c r="Q746" s="363"/>
      <c r="R746" s="565"/>
      <c r="U746" s="565"/>
      <c r="X746" s="565"/>
      <c r="AA746" s="565"/>
      <c r="AD746" s="565"/>
      <c r="AG746" s="565"/>
      <c r="AJ746" s="565"/>
      <c r="AM746" s="565"/>
      <c r="AP746" s="565"/>
      <c r="AS746" s="424"/>
      <c r="AV746" s="565"/>
      <c r="AY746" s="565"/>
      <c r="BB746" s="565"/>
      <c r="BE746" s="565"/>
      <c r="BH746" s="565"/>
      <c r="BK746" s="565"/>
      <c r="BN746" s="565">
        <v>37474.11</v>
      </c>
      <c r="BO746" s="363" t="s">
        <v>2363</v>
      </c>
      <c r="BQ746" s="462">
        <f t="shared" si="416"/>
        <v>37474.11</v>
      </c>
      <c r="BT746" s="462">
        <f t="shared" si="417"/>
        <v>37474.11</v>
      </c>
      <c r="BU746" s="447" t="s">
        <v>2134</v>
      </c>
      <c r="BW746" s="462">
        <f t="shared" si="418"/>
        <v>37474.11</v>
      </c>
      <c r="BZ746" s="462">
        <f t="shared" si="419"/>
        <v>37474.11</v>
      </c>
      <c r="CD746" s="418" t="str">
        <f t="shared" si="420"/>
        <v>CU1354001</v>
      </c>
      <c r="CE746" s="442" t="str">
        <f t="shared" si="421"/>
        <v>2020年8月</v>
      </c>
      <c r="CF746" s="418" t="str">
        <f t="shared" si="422"/>
        <v>威内源企业clife服务费暂估</v>
      </c>
      <c r="CG746" s="418" t="str">
        <f t="shared" si="423"/>
        <v>2020年8月威内源企业clife服务费暂估</v>
      </c>
    </row>
    <row r="747" spans="2:85" ht="17.25" customHeight="1">
      <c r="B747" s="541" t="str">
        <f t="shared" si="414"/>
        <v>CU1375</v>
      </c>
      <c r="C747" s="564" t="s">
        <v>755</v>
      </c>
      <c r="D747" s="541" t="s">
        <v>1677</v>
      </c>
      <c r="E747" s="543" t="s">
        <v>1676</v>
      </c>
      <c r="F747" s="540">
        <v>44044</v>
      </c>
      <c r="G747" s="501">
        <v>89343.12</v>
      </c>
      <c r="K747" s="363"/>
      <c r="L747" s="565"/>
      <c r="M747" s="565"/>
      <c r="O747" s="565"/>
      <c r="Q747" s="363"/>
      <c r="R747" s="565"/>
      <c r="U747" s="565"/>
      <c r="X747" s="565"/>
      <c r="AA747" s="565"/>
      <c r="AD747" s="565"/>
      <c r="AG747" s="565"/>
      <c r="AJ747" s="565"/>
      <c r="AM747" s="565"/>
      <c r="AP747" s="565"/>
      <c r="AS747" s="424"/>
      <c r="AV747" s="565"/>
      <c r="AY747" s="565"/>
      <c r="BB747" s="565"/>
      <c r="BE747" s="565"/>
      <c r="BH747" s="565"/>
      <c r="BK747" s="565"/>
      <c r="BN747" s="565">
        <v>89343.12</v>
      </c>
      <c r="BO747" s="363" t="s">
        <v>2363</v>
      </c>
      <c r="BQ747" s="462">
        <f t="shared" si="416"/>
        <v>89343.12</v>
      </c>
      <c r="BT747" s="462">
        <f t="shared" si="417"/>
        <v>89343.12</v>
      </c>
      <c r="BU747" s="447" t="s">
        <v>2134</v>
      </c>
      <c r="BV747" s="565">
        <f>ROUND(280521.56/1.06,2)-BV300-BV411-BV449-BV648-BV690</f>
        <v>74763.89999999998</v>
      </c>
      <c r="BW747" s="462">
        <f t="shared" si="418"/>
        <v>14579.22</v>
      </c>
      <c r="BZ747" s="462">
        <f t="shared" si="419"/>
        <v>14579.22</v>
      </c>
      <c r="CD747" s="418" t="str">
        <f t="shared" si="420"/>
        <v>CU1375001</v>
      </c>
      <c r="CE747" s="442" t="str">
        <f t="shared" si="421"/>
        <v>2020年8月</v>
      </c>
      <c r="CF747" s="418" t="str">
        <f t="shared" si="422"/>
        <v>上海库润信clife服务费暂估</v>
      </c>
      <c r="CG747" s="418" t="str">
        <f t="shared" si="423"/>
        <v>2020年8月上海库润信clife服务费暂估</v>
      </c>
    </row>
    <row r="748" spans="2:85" ht="17.25" customHeight="1">
      <c r="B748" s="541" t="str">
        <f t="shared" si="414"/>
        <v>CU1705</v>
      </c>
      <c r="C748" s="564" t="s">
        <v>755</v>
      </c>
      <c r="D748" s="541" t="s">
        <v>1848</v>
      </c>
      <c r="E748" s="543" t="s">
        <v>1845</v>
      </c>
      <c r="F748" s="540">
        <v>44044</v>
      </c>
      <c r="G748" s="501">
        <v>269222.59999999998</v>
      </c>
      <c r="K748" s="363"/>
      <c r="L748" s="565"/>
      <c r="M748" s="565"/>
      <c r="O748" s="565"/>
      <c r="Q748" s="363"/>
      <c r="R748" s="565"/>
      <c r="U748" s="565"/>
      <c r="X748" s="565"/>
      <c r="AA748" s="565"/>
      <c r="AD748" s="565"/>
      <c r="AG748" s="565"/>
      <c r="AJ748" s="565"/>
      <c r="AM748" s="565"/>
      <c r="AP748" s="565"/>
      <c r="AS748" s="424"/>
      <c r="AV748" s="565"/>
      <c r="AY748" s="565"/>
      <c r="BB748" s="565"/>
      <c r="BE748" s="565"/>
      <c r="BH748" s="565"/>
      <c r="BK748" s="565"/>
      <c r="BN748" s="565">
        <v>269222.59999999998</v>
      </c>
      <c r="BO748" s="363" t="s">
        <v>2363</v>
      </c>
      <c r="BP748" s="363">
        <f>ROUND((20425+259964.03)/1.06,2)</f>
        <v>264517.95</v>
      </c>
      <c r="BQ748" s="462">
        <f t="shared" si="416"/>
        <v>4704.6499999999996</v>
      </c>
      <c r="BT748" s="462">
        <f t="shared" si="417"/>
        <v>4704.6499999999996</v>
      </c>
      <c r="BU748" s="447" t="s">
        <v>2134</v>
      </c>
      <c r="BW748" s="462">
        <f t="shared" si="418"/>
        <v>4704.6499999999996</v>
      </c>
      <c r="BZ748" s="462">
        <f t="shared" si="419"/>
        <v>4704.6499999999996</v>
      </c>
      <c r="CD748" s="418" t="str">
        <f t="shared" si="420"/>
        <v>CU1705001</v>
      </c>
      <c r="CE748" s="442" t="str">
        <f t="shared" si="421"/>
        <v>2020年8月</v>
      </c>
      <c r="CF748" s="418" t="str">
        <f t="shared" si="422"/>
        <v>通标标准技clife服务费暂估</v>
      </c>
      <c r="CG748" s="418" t="str">
        <f t="shared" si="423"/>
        <v>2020年8月通标标准技clife服务费暂估</v>
      </c>
    </row>
    <row r="749" spans="2:85" ht="17.25" customHeight="1">
      <c r="B749" s="541" t="str">
        <f t="shared" si="414"/>
        <v>CU1745</v>
      </c>
      <c r="C749" s="564" t="s">
        <v>755</v>
      </c>
      <c r="D749" s="541" t="s">
        <v>1875</v>
      </c>
      <c r="E749" s="543" t="s">
        <v>2211</v>
      </c>
      <c r="F749" s="540">
        <v>44044</v>
      </c>
      <c r="G749" s="501">
        <v>9273.77</v>
      </c>
      <c r="K749" s="363"/>
      <c r="L749" s="565"/>
      <c r="M749" s="565"/>
      <c r="O749" s="565"/>
      <c r="Q749" s="363"/>
      <c r="R749" s="565"/>
      <c r="U749" s="565"/>
      <c r="X749" s="565"/>
      <c r="AA749" s="565"/>
      <c r="AD749" s="565"/>
      <c r="AG749" s="565"/>
      <c r="AJ749" s="565"/>
      <c r="AM749" s="565"/>
      <c r="AP749" s="565"/>
      <c r="AS749" s="424"/>
      <c r="AV749" s="565"/>
      <c r="AY749" s="565"/>
      <c r="BB749" s="565"/>
      <c r="BE749" s="565"/>
      <c r="BH749" s="565"/>
      <c r="BK749" s="565"/>
      <c r="BN749" s="565">
        <v>9273.77</v>
      </c>
      <c r="BO749" s="363" t="s">
        <v>2363</v>
      </c>
      <c r="BQ749" s="462">
        <f t="shared" si="416"/>
        <v>9273.77</v>
      </c>
      <c r="BT749" s="462">
        <f t="shared" si="417"/>
        <v>9273.77</v>
      </c>
      <c r="BU749" s="447" t="s">
        <v>2134</v>
      </c>
      <c r="BW749" s="462">
        <f t="shared" si="418"/>
        <v>9273.77</v>
      </c>
      <c r="BZ749" s="462">
        <f t="shared" si="419"/>
        <v>9273.77</v>
      </c>
      <c r="CD749" s="418" t="str">
        <f t="shared" si="420"/>
        <v>CU1745001</v>
      </c>
      <c r="CE749" s="442" t="str">
        <f t="shared" si="421"/>
        <v>2020年8月</v>
      </c>
      <c r="CF749" s="418" t="str">
        <f t="shared" si="422"/>
        <v>格林机床（clife服务费暂估</v>
      </c>
      <c r="CG749" s="418" t="str">
        <f t="shared" si="423"/>
        <v>2020年8月格林机床（clife服务费暂估</v>
      </c>
    </row>
    <row r="750" spans="2:85" ht="17.25" customHeight="1">
      <c r="B750" s="541" t="str">
        <f t="shared" si="414"/>
        <v>CU1809</v>
      </c>
      <c r="C750" s="564" t="s">
        <v>755</v>
      </c>
      <c r="D750" s="541" t="s">
        <v>2196</v>
      </c>
      <c r="E750" s="543" t="s">
        <v>2212</v>
      </c>
      <c r="F750" s="540">
        <v>44044</v>
      </c>
      <c r="G750" s="501">
        <v>27971.72</v>
      </c>
      <c r="K750" s="363"/>
      <c r="L750" s="565"/>
      <c r="M750" s="565"/>
      <c r="O750" s="565"/>
      <c r="Q750" s="363"/>
      <c r="R750" s="565"/>
      <c r="U750" s="565"/>
      <c r="X750" s="565"/>
      <c r="AA750" s="565"/>
      <c r="AD750" s="565"/>
      <c r="AG750" s="565"/>
      <c r="AJ750" s="565"/>
      <c r="AM750" s="565"/>
      <c r="AP750" s="565"/>
      <c r="AS750" s="424"/>
      <c r="AV750" s="565"/>
      <c r="AY750" s="565"/>
      <c r="BB750" s="565"/>
      <c r="BE750" s="565"/>
      <c r="BH750" s="565"/>
      <c r="BK750" s="565"/>
      <c r="BN750" s="565">
        <v>27971.72</v>
      </c>
      <c r="BO750" s="363" t="s">
        <v>2363</v>
      </c>
      <c r="BQ750" s="462">
        <f t="shared" si="416"/>
        <v>27971.72</v>
      </c>
      <c r="BS750" s="565"/>
      <c r="BT750" s="462">
        <f t="shared" si="417"/>
        <v>27971.72</v>
      </c>
      <c r="BU750" s="447" t="s">
        <v>2134</v>
      </c>
      <c r="BV750" s="565">
        <f>ROUND(73847.47/1.06,2)-BV522-BV621</f>
        <v>26957.279999999995</v>
      </c>
      <c r="BW750" s="462">
        <f t="shared" si="418"/>
        <v>1014.44</v>
      </c>
      <c r="BZ750" s="462">
        <f t="shared" si="419"/>
        <v>1014.44</v>
      </c>
      <c r="CD750" s="418" t="str">
        <f t="shared" si="420"/>
        <v>CU1809001</v>
      </c>
      <c r="CE750" s="442" t="str">
        <f t="shared" si="421"/>
        <v>2020年8月</v>
      </c>
      <c r="CF750" s="418" t="str">
        <f t="shared" si="422"/>
        <v>伟亚安医疗clife服务费暂估</v>
      </c>
      <c r="CG750" s="418" t="str">
        <f t="shared" si="423"/>
        <v>2020年8月伟亚安医疗clife服务费暂估</v>
      </c>
    </row>
    <row r="751" spans="2:85" ht="17.25" customHeight="1">
      <c r="B751" s="541" t="str">
        <f t="shared" si="414"/>
        <v>CU1844</v>
      </c>
      <c r="C751" s="564" t="s">
        <v>755</v>
      </c>
      <c r="D751" s="541" t="s">
        <v>2209</v>
      </c>
      <c r="E751" s="543" t="s">
        <v>2213</v>
      </c>
      <c r="F751" s="540">
        <v>44044</v>
      </c>
      <c r="G751" s="501">
        <v>69541.78</v>
      </c>
      <c r="K751" s="363"/>
      <c r="L751" s="565"/>
      <c r="M751" s="565"/>
      <c r="O751" s="565"/>
      <c r="Q751" s="363"/>
      <c r="R751" s="565"/>
      <c r="U751" s="565"/>
      <c r="X751" s="565"/>
      <c r="AA751" s="565"/>
      <c r="AD751" s="565"/>
      <c r="AG751" s="565"/>
      <c r="AJ751" s="565"/>
      <c r="AM751" s="565"/>
      <c r="AP751" s="565"/>
      <c r="AS751" s="424"/>
      <c r="AV751" s="565"/>
      <c r="AY751" s="565"/>
      <c r="BB751" s="565"/>
      <c r="BE751" s="565"/>
      <c r="BH751" s="565"/>
      <c r="BK751" s="565"/>
      <c r="BN751" s="565">
        <v>69541.78</v>
      </c>
      <c r="BO751" s="363" t="s">
        <v>2363</v>
      </c>
      <c r="BP751" s="565">
        <f>BN751</f>
        <v>69541.78</v>
      </c>
      <c r="BQ751" s="462">
        <f t="shared" si="416"/>
        <v>0</v>
      </c>
      <c r="BT751" s="462">
        <f t="shared" si="417"/>
        <v>0</v>
      </c>
      <c r="BW751" s="462">
        <f t="shared" si="418"/>
        <v>0</v>
      </c>
      <c r="BZ751" s="462">
        <f t="shared" si="419"/>
        <v>0</v>
      </c>
      <c r="CD751" s="418" t="str">
        <f t="shared" si="420"/>
        <v>CU1844001</v>
      </c>
      <c r="CE751" s="442" t="str">
        <f t="shared" si="421"/>
        <v>2020年8月</v>
      </c>
      <c r="CF751" s="418" t="str">
        <f t="shared" si="422"/>
        <v>上海仙豆智clife服务费暂估</v>
      </c>
      <c r="CG751" s="418" t="str">
        <f t="shared" si="423"/>
        <v>2020年8月上海仙豆智clife服务费暂估</v>
      </c>
    </row>
    <row r="752" spans="2:85" ht="17.25" customHeight="1">
      <c r="B752" s="541" t="str">
        <f t="shared" si="414"/>
        <v>CU1863</v>
      </c>
      <c r="C752" s="564" t="s">
        <v>755</v>
      </c>
      <c r="D752" s="541" t="s">
        <v>2337</v>
      </c>
      <c r="E752" s="543" t="s">
        <v>2334</v>
      </c>
      <c r="F752" s="540">
        <v>44044</v>
      </c>
      <c r="G752" s="501">
        <v>150199.25</v>
      </c>
      <c r="K752" s="363"/>
      <c r="L752" s="565"/>
      <c r="M752" s="565"/>
      <c r="O752" s="565"/>
      <c r="Q752" s="363"/>
      <c r="R752" s="565"/>
      <c r="U752" s="565"/>
      <c r="X752" s="565"/>
      <c r="AA752" s="565"/>
      <c r="AD752" s="565"/>
      <c r="AG752" s="565"/>
      <c r="AJ752" s="565"/>
      <c r="AM752" s="565"/>
      <c r="AP752" s="565"/>
      <c r="AS752" s="424"/>
      <c r="AV752" s="565"/>
      <c r="AY752" s="565"/>
      <c r="BB752" s="565"/>
      <c r="BE752" s="565"/>
      <c r="BH752" s="565"/>
      <c r="BK752" s="565"/>
      <c r="BN752" s="565">
        <v>150199.25</v>
      </c>
      <c r="BO752" s="363" t="s">
        <v>2363</v>
      </c>
      <c r="BP752" s="565">
        <f>ROUND(215200/1.06,2)-BP720</f>
        <v>103104.94</v>
      </c>
      <c r="BQ752" s="462">
        <f t="shared" si="416"/>
        <v>47094.31</v>
      </c>
      <c r="BT752" s="462">
        <f t="shared" si="417"/>
        <v>47094.31</v>
      </c>
      <c r="BU752" s="447" t="s">
        <v>2134</v>
      </c>
      <c r="BV752" s="363">
        <f>ROUND(10500/1.06,2)+37188.65</f>
        <v>47094.31</v>
      </c>
      <c r="BW752" s="462">
        <f t="shared" si="418"/>
        <v>0</v>
      </c>
      <c r="BZ752" s="462">
        <f t="shared" si="419"/>
        <v>0</v>
      </c>
      <c r="CD752" s="418" t="str">
        <f t="shared" si="420"/>
        <v>CU1863001</v>
      </c>
      <c r="CE752" s="442" t="str">
        <f t="shared" si="421"/>
        <v>2020年8月</v>
      </c>
      <c r="CF752" s="418" t="str">
        <f t="shared" si="422"/>
        <v>浙江正泰新clife服务费暂估</v>
      </c>
      <c r="CG752" s="418" t="str">
        <f t="shared" si="423"/>
        <v>2020年8月浙江正泰新clife服务费暂估</v>
      </c>
    </row>
    <row r="753" spans="2:85" ht="17.25" customHeight="1">
      <c r="B753" s="541" t="str">
        <f t="shared" si="414"/>
        <v>CU1900</v>
      </c>
      <c r="C753" s="564" t="s">
        <v>755</v>
      </c>
      <c r="D753" s="541" t="s">
        <v>2354</v>
      </c>
      <c r="E753" s="543" t="s">
        <v>2351</v>
      </c>
      <c r="F753" s="540">
        <v>44044</v>
      </c>
      <c r="G753" s="501">
        <v>365000</v>
      </c>
      <c r="K753" s="363"/>
      <c r="L753" s="565"/>
      <c r="M753" s="565"/>
      <c r="O753" s="565"/>
      <c r="Q753" s="363"/>
      <c r="R753" s="565"/>
      <c r="U753" s="565"/>
      <c r="X753" s="565"/>
      <c r="AA753" s="565"/>
      <c r="AD753" s="565"/>
      <c r="AG753" s="565"/>
      <c r="AJ753" s="565"/>
      <c r="AM753" s="565"/>
      <c r="AP753" s="565"/>
      <c r="AS753" s="424"/>
      <c r="AV753" s="565"/>
      <c r="AY753" s="565"/>
      <c r="BB753" s="565"/>
      <c r="BE753" s="565"/>
      <c r="BH753" s="565"/>
      <c r="BK753" s="565"/>
      <c r="BN753" s="565">
        <v>365000</v>
      </c>
      <c r="BO753" s="363" t="s">
        <v>2363</v>
      </c>
      <c r="BP753" s="363">
        <f>ROUND((219555+130275+13244+3916)/1.13,2)+ROUND(5586/1.06,2)</f>
        <v>330039.71999999997</v>
      </c>
      <c r="BQ753" s="462">
        <f t="shared" si="416"/>
        <v>34960.28</v>
      </c>
      <c r="BT753" s="462">
        <f t="shared" si="417"/>
        <v>34960.28</v>
      </c>
      <c r="BU753" s="447" t="s">
        <v>2134</v>
      </c>
      <c r="BW753" s="462">
        <f t="shared" si="418"/>
        <v>34960.28</v>
      </c>
      <c r="BZ753" s="462">
        <f t="shared" si="419"/>
        <v>34960.28</v>
      </c>
      <c r="CD753" s="418" t="str">
        <f t="shared" si="420"/>
        <v>CU1900001</v>
      </c>
      <c r="CE753" s="442" t="str">
        <f t="shared" si="421"/>
        <v>2020年8月</v>
      </c>
      <c r="CF753" s="418" t="str">
        <f t="shared" si="422"/>
        <v>宁波公牛国clife服务费暂估</v>
      </c>
      <c r="CG753" s="418" t="str">
        <f t="shared" si="423"/>
        <v>2020年8月宁波公牛国clife服务费暂估</v>
      </c>
    </row>
    <row r="754" spans="2:85" ht="17.25" customHeight="1">
      <c r="B754" s="541" t="str">
        <f t="shared" si="414"/>
        <v>CU1961</v>
      </c>
      <c r="C754" s="564" t="s">
        <v>755</v>
      </c>
      <c r="D754" s="541" t="s">
        <v>2283</v>
      </c>
      <c r="E754" s="543" t="s">
        <v>2289</v>
      </c>
      <c r="F754" s="540">
        <v>44044</v>
      </c>
      <c r="G754" s="501">
        <v>1700</v>
      </c>
      <c r="K754" s="363"/>
      <c r="L754" s="565"/>
      <c r="M754" s="565"/>
      <c r="O754" s="565"/>
      <c r="Q754" s="363"/>
      <c r="R754" s="565"/>
      <c r="U754" s="565"/>
      <c r="X754" s="565"/>
      <c r="AA754" s="565"/>
      <c r="AD754" s="565"/>
      <c r="AG754" s="565"/>
      <c r="AJ754" s="565"/>
      <c r="AM754" s="565"/>
      <c r="AP754" s="565"/>
      <c r="AS754" s="424"/>
      <c r="AV754" s="565"/>
      <c r="AY754" s="565"/>
      <c r="BB754" s="565"/>
      <c r="BE754" s="565"/>
      <c r="BH754" s="565"/>
      <c r="BK754" s="565"/>
      <c r="BN754" s="565">
        <v>1700</v>
      </c>
      <c r="BO754" s="363" t="s">
        <v>2363</v>
      </c>
      <c r="BQ754" s="462">
        <f t="shared" si="416"/>
        <v>1700</v>
      </c>
      <c r="BT754" s="462">
        <f t="shared" si="417"/>
        <v>1700</v>
      </c>
      <c r="BU754" s="447" t="s">
        <v>2134</v>
      </c>
      <c r="BW754" s="462">
        <f t="shared" si="418"/>
        <v>1700</v>
      </c>
      <c r="BZ754" s="462">
        <f t="shared" si="419"/>
        <v>1700</v>
      </c>
      <c r="CD754" s="418" t="str">
        <f t="shared" si="420"/>
        <v>CU1961001</v>
      </c>
      <c r="CE754" s="442" t="str">
        <f t="shared" si="421"/>
        <v>2020年8月</v>
      </c>
      <c r="CF754" s="418" t="str">
        <f t="shared" si="422"/>
        <v>澳龙信息科clife服务费暂估</v>
      </c>
      <c r="CG754" s="418" t="str">
        <f t="shared" si="423"/>
        <v>2020年8月澳龙信息科clife服务费暂估</v>
      </c>
    </row>
    <row r="755" spans="2:85" ht="17.25" customHeight="1">
      <c r="B755" s="541" t="str">
        <f t="shared" si="414"/>
        <v>CU2010</v>
      </c>
      <c r="C755" s="564" t="s">
        <v>755</v>
      </c>
      <c r="D755" s="541" t="s">
        <v>2355</v>
      </c>
      <c r="E755" s="543" t="s">
        <v>2352</v>
      </c>
      <c r="F755" s="540">
        <v>44044</v>
      </c>
      <c r="G755" s="501">
        <v>10058.86</v>
      </c>
      <c r="K755" s="363"/>
      <c r="L755" s="565"/>
      <c r="M755" s="565"/>
      <c r="O755" s="565"/>
      <c r="Q755" s="363"/>
      <c r="R755" s="565"/>
      <c r="U755" s="565"/>
      <c r="X755" s="565"/>
      <c r="AA755" s="565"/>
      <c r="AD755" s="565"/>
      <c r="AG755" s="565"/>
      <c r="AJ755" s="565"/>
      <c r="AM755" s="565"/>
      <c r="AP755" s="565"/>
      <c r="AS755" s="424"/>
      <c r="AV755" s="565"/>
      <c r="AY755" s="565"/>
      <c r="BB755" s="565"/>
      <c r="BE755" s="565"/>
      <c r="BH755" s="565"/>
      <c r="BK755" s="565"/>
      <c r="BN755" s="565">
        <v>10058.86</v>
      </c>
      <c r="BO755" s="363" t="s">
        <v>2363</v>
      </c>
      <c r="BP755" s="363">
        <v>1600</v>
      </c>
      <c r="BQ755" s="462">
        <f t="shared" si="416"/>
        <v>8458.86</v>
      </c>
      <c r="BS755" s="363">
        <f>6000</f>
        <v>6000</v>
      </c>
      <c r="BT755" s="462">
        <f t="shared" si="417"/>
        <v>2458.86</v>
      </c>
      <c r="BU755" s="447" t="s">
        <v>2134</v>
      </c>
      <c r="BW755" s="462">
        <f t="shared" si="418"/>
        <v>2458.86</v>
      </c>
      <c r="BZ755" s="462">
        <f t="shared" si="419"/>
        <v>2458.86</v>
      </c>
      <c r="CD755" s="418" t="str">
        <f t="shared" si="420"/>
        <v>CU2010001</v>
      </c>
      <c r="CE755" s="442" t="str">
        <f t="shared" si="421"/>
        <v>2020年8月</v>
      </c>
      <c r="CF755" s="418" t="str">
        <f t="shared" si="422"/>
        <v>迈康尼电子clife服务费暂估</v>
      </c>
      <c r="CG755" s="418" t="str">
        <f t="shared" si="423"/>
        <v>2020年8月迈康尼电子clife服务费暂估</v>
      </c>
    </row>
    <row r="756" spans="2:85" ht="17.25" customHeight="1">
      <c r="B756" s="541" t="str">
        <f t="shared" ref="B756:B873" si="424">LEFT(D756,6)</f>
        <v>CU0017</v>
      </c>
      <c r="C756" s="564" t="s">
        <v>755</v>
      </c>
      <c r="D756" s="541" t="s">
        <v>2024</v>
      </c>
      <c r="E756" s="543" t="s">
        <v>2018</v>
      </c>
      <c r="F756" s="540">
        <v>44075</v>
      </c>
      <c r="G756" s="501">
        <v>9564.52</v>
      </c>
      <c r="K756" s="363"/>
      <c r="L756" s="565"/>
      <c r="M756" s="565"/>
      <c r="O756" s="565"/>
      <c r="Q756" s="363"/>
      <c r="R756" s="565"/>
      <c r="U756" s="565"/>
      <c r="X756" s="565"/>
      <c r="AA756" s="565"/>
      <c r="AD756" s="565"/>
      <c r="AG756" s="565"/>
      <c r="AJ756" s="565"/>
      <c r="AM756" s="565"/>
      <c r="AP756" s="565"/>
      <c r="AS756" s="424"/>
      <c r="AV756" s="565"/>
      <c r="AY756" s="565"/>
      <c r="BB756" s="565"/>
      <c r="BE756" s="565"/>
      <c r="BH756" s="565"/>
      <c r="BK756" s="565"/>
      <c r="BN756" s="565"/>
      <c r="BQ756" s="462">
        <f>G756</f>
        <v>9564.52</v>
      </c>
      <c r="BT756" s="462">
        <f t="shared" si="417"/>
        <v>9564.52</v>
      </c>
      <c r="BU756" s="447" t="s">
        <v>2134</v>
      </c>
      <c r="BW756" s="462">
        <f t="shared" si="418"/>
        <v>9564.52</v>
      </c>
      <c r="BZ756" s="462">
        <f t="shared" si="419"/>
        <v>9564.52</v>
      </c>
      <c r="CD756" s="418" t="str">
        <f t="shared" ref="CD756:CD873" si="425">B756&amp;$B$1</f>
        <v>CU0017001</v>
      </c>
      <c r="CE756" s="442" t="str">
        <f t="shared" ref="CE756:CE873" si="426">YEAR(F756)&amp;"年"&amp;MONTH(F756)&amp;"月"</f>
        <v>2020年9月</v>
      </c>
      <c r="CF756" s="418" t="str">
        <f t="shared" ref="CF756:CF873" si="427">LEFT(E756,5)&amp;$E$1</f>
        <v>易趋宏挤压clife服务费暂估</v>
      </c>
      <c r="CG756" s="418" t="str">
        <f t="shared" ref="CG756:CG873" si="428">CE756&amp;CF756</f>
        <v>2020年9月易趋宏挤压clife服务费暂估</v>
      </c>
    </row>
    <row r="757" spans="2:85" ht="17.25" customHeight="1">
      <c r="B757" s="541" t="str">
        <f t="shared" si="424"/>
        <v>CU0093</v>
      </c>
      <c r="C757" s="564" t="s">
        <v>755</v>
      </c>
      <c r="D757" s="541" t="s">
        <v>1832</v>
      </c>
      <c r="E757" s="543" t="s">
        <v>32</v>
      </c>
      <c r="F757" s="540">
        <v>44075</v>
      </c>
      <c r="G757" s="501">
        <v>7317.69</v>
      </c>
      <c r="K757" s="363"/>
      <c r="L757" s="565"/>
      <c r="M757" s="565"/>
      <c r="O757" s="565"/>
      <c r="Q757" s="363"/>
      <c r="R757" s="565"/>
      <c r="U757" s="565"/>
      <c r="X757" s="565"/>
      <c r="AA757" s="565"/>
      <c r="AD757" s="565"/>
      <c r="AG757" s="565"/>
      <c r="AJ757" s="565"/>
      <c r="AM757" s="565"/>
      <c r="AP757" s="565"/>
      <c r="AS757" s="424"/>
      <c r="AV757" s="565"/>
      <c r="AY757" s="565"/>
      <c r="BB757" s="565"/>
      <c r="BE757" s="565"/>
      <c r="BH757" s="565"/>
      <c r="BK757" s="565"/>
      <c r="BN757" s="565"/>
      <c r="BQ757" s="462">
        <f t="shared" ref="BQ757:BQ797" si="429">G757</f>
        <v>7317.69</v>
      </c>
      <c r="BS757" s="565"/>
      <c r="BT757" s="462">
        <f t="shared" si="417"/>
        <v>7317.69</v>
      </c>
      <c r="BU757" s="447" t="s">
        <v>2134</v>
      </c>
      <c r="BV757" s="565">
        <f>ROUND((905+5725+1642.65)/1.06,2)-BV657-BV725</f>
        <v>7317.6900000000005</v>
      </c>
      <c r="BW757" s="462">
        <f t="shared" si="418"/>
        <v>0</v>
      </c>
      <c r="BZ757" s="462">
        <f t="shared" si="419"/>
        <v>0</v>
      </c>
      <c r="CD757" s="418" t="str">
        <f t="shared" si="425"/>
        <v>CU0093001</v>
      </c>
      <c r="CE757" s="442" t="str">
        <f t="shared" si="426"/>
        <v>2020年9月</v>
      </c>
      <c r="CF757" s="418" t="str">
        <f t="shared" si="427"/>
        <v>日立保险代clife服务费暂估</v>
      </c>
      <c r="CG757" s="418" t="str">
        <f t="shared" si="428"/>
        <v>2020年9月日立保险代clife服务费暂估</v>
      </c>
    </row>
    <row r="758" spans="2:85" ht="17.25" customHeight="1">
      <c r="B758" s="541" t="str">
        <f t="shared" si="424"/>
        <v>CU0097</v>
      </c>
      <c r="C758" s="564" t="s">
        <v>755</v>
      </c>
      <c r="D758" s="541" t="s">
        <v>2386</v>
      </c>
      <c r="E758" s="543" t="s">
        <v>2380</v>
      </c>
      <c r="F758" s="540">
        <v>44075</v>
      </c>
      <c r="G758" s="501">
        <v>26047.5</v>
      </c>
      <c r="K758" s="363"/>
      <c r="L758" s="565"/>
      <c r="M758" s="565"/>
      <c r="O758" s="565"/>
      <c r="Q758" s="363"/>
      <c r="R758" s="565"/>
      <c r="U758" s="565"/>
      <c r="X758" s="565"/>
      <c r="AA758" s="565"/>
      <c r="AD758" s="565"/>
      <c r="AG758" s="565"/>
      <c r="AJ758" s="565"/>
      <c r="AM758" s="565"/>
      <c r="AP758" s="565"/>
      <c r="AS758" s="424"/>
      <c r="AV758" s="565"/>
      <c r="AY758" s="565"/>
      <c r="BB758" s="565"/>
      <c r="BE758" s="565"/>
      <c r="BH758" s="565"/>
      <c r="BK758" s="565"/>
      <c r="BN758" s="565"/>
      <c r="BQ758" s="462">
        <f t="shared" si="429"/>
        <v>26047.5</v>
      </c>
      <c r="BT758" s="462">
        <f t="shared" si="417"/>
        <v>26047.5</v>
      </c>
      <c r="BU758" s="447" t="s">
        <v>2134</v>
      </c>
      <c r="BW758" s="462">
        <f t="shared" si="418"/>
        <v>26047.5</v>
      </c>
      <c r="BZ758" s="462">
        <f t="shared" si="419"/>
        <v>26047.5</v>
      </c>
      <c r="CD758" s="418" t="str">
        <f t="shared" si="425"/>
        <v>CU0097001</v>
      </c>
      <c r="CE758" s="442" t="str">
        <f t="shared" si="426"/>
        <v>2020年9月</v>
      </c>
      <c r="CF758" s="418" t="str">
        <f t="shared" si="427"/>
        <v>邱博投资（clife服务费暂估</v>
      </c>
      <c r="CG758" s="418" t="str">
        <f t="shared" si="428"/>
        <v>2020年9月邱博投资（clife服务费暂估</v>
      </c>
    </row>
    <row r="759" spans="2:85" ht="17.25" customHeight="1">
      <c r="B759" s="541" t="str">
        <f t="shared" si="424"/>
        <v>CU0109</v>
      </c>
      <c r="C759" s="564" t="s">
        <v>755</v>
      </c>
      <c r="D759" s="541" t="s">
        <v>1642</v>
      </c>
      <c r="E759" s="543" t="s">
        <v>34</v>
      </c>
      <c r="F759" s="540">
        <v>44075</v>
      </c>
      <c r="G759" s="501">
        <v>105506</v>
      </c>
      <c r="K759" s="363"/>
      <c r="L759" s="565"/>
      <c r="M759" s="565"/>
      <c r="O759" s="565"/>
      <c r="Q759" s="363"/>
      <c r="R759" s="565"/>
      <c r="U759" s="565"/>
      <c r="X759" s="565"/>
      <c r="AA759" s="565"/>
      <c r="AD759" s="565"/>
      <c r="AG759" s="565"/>
      <c r="AJ759" s="565"/>
      <c r="AM759" s="565"/>
      <c r="AP759" s="565"/>
      <c r="AS759" s="424"/>
      <c r="AV759" s="565"/>
      <c r="AY759" s="565"/>
      <c r="BB759" s="565"/>
      <c r="BE759" s="565"/>
      <c r="BH759" s="565"/>
      <c r="BK759" s="565"/>
      <c r="BN759" s="565"/>
      <c r="BQ759" s="462">
        <f t="shared" si="429"/>
        <v>105506</v>
      </c>
      <c r="BT759" s="462">
        <f t="shared" si="417"/>
        <v>105506</v>
      </c>
      <c r="BU759" s="447" t="s">
        <v>2134</v>
      </c>
      <c r="BW759" s="462">
        <f t="shared" si="418"/>
        <v>105506</v>
      </c>
      <c r="BZ759" s="462">
        <f t="shared" si="419"/>
        <v>105506</v>
      </c>
      <c r="CD759" s="418" t="str">
        <f t="shared" si="425"/>
        <v>CU0109001</v>
      </c>
      <c r="CE759" s="442" t="str">
        <f t="shared" si="426"/>
        <v>2020年9月</v>
      </c>
      <c r="CF759" s="418" t="str">
        <f t="shared" si="427"/>
        <v>普拉达时装clife服务费暂估</v>
      </c>
      <c r="CG759" s="418" t="str">
        <f t="shared" si="428"/>
        <v>2020年9月普拉达时装clife服务费暂估</v>
      </c>
    </row>
    <row r="760" spans="2:85" ht="17.25" customHeight="1">
      <c r="B760" s="541" t="str">
        <f t="shared" si="424"/>
        <v>CU0145</v>
      </c>
      <c r="C760" s="564" t="s">
        <v>755</v>
      </c>
      <c r="D760" s="541" t="s">
        <v>1451</v>
      </c>
      <c r="E760" s="543" t="s">
        <v>1323</v>
      </c>
      <c r="F760" s="540">
        <v>44075</v>
      </c>
      <c r="G760" s="501">
        <v>200755.96</v>
      </c>
      <c r="K760" s="363"/>
      <c r="L760" s="565"/>
      <c r="M760" s="565"/>
      <c r="O760" s="565"/>
      <c r="Q760" s="363"/>
      <c r="R760" s="565"/>
      <c r="U760" s="565"/>
      <c r="X760" s="565"/>
      <c r="AA760" s="565"/>
      <c r="AD760" s="565"/>
      <c r="AG760" s="565"/>
      <c r="AJ760" s="565"/>
      <c r="AM760" s="565"/>
      <c r="AP760" s="565"/>
      <c r="AS760" s="424"/>
      <c r="AV760" s="565"/>
      <c r="AY760" s="565"/>
      <c r="BB760" s="565"/>
      <c r="BE760" s="565"/>
      <c r="BH760" s="565"/>
      <c r="BK760" s="565"/>
      <c r="BN760" s="565"/>
      <c r="BQ760" s="462">
        <f t="shared" si="429"/>
        <v>200755.96</v>
      </c>
      <c r="BT760" s="462">
        <f t="shared" si="417"/>
        <v>200755.96</v>
      </c>
      <c r="BU760" s="447" t="s">
        <v>2134</v>
      </c>
      <c r="BW760" s="462">
        <f t="shared" si="418"/>
        <v>200755.96</v>
      </c>
      <c r="BZ760" s="462">
        <f t="shared" si="419"/>
        <v>200755.96</v>
      </c>
      <c r="CD760" s="418" t="str">
        <f t="shared" si="425"/>
        <v>CU0145001</v>
      </c>
      <c r="CE760" s="442" t="str">
        <f t="shared" si="426"/>
        <v>2020年9月</v>
      </c>
      <c r="CF760" s="418" t="str">
        <f t="shared" si="427"/>
        <v>锐珂亚太投clife服务费暂估</v>
      </c>
      <c r="CG760" s="418" t="str">
        <f t="shared" si="428"/>
        <v>2020年9月锐珂亚太投clife服务费暂估</v>
      </c>
    </row>
    <row r="761" spans="2:85" ht="17.25" customHeight="1">
      <c r="B761" s="541" t="str">
        <f t="shared" si="424"/>
        <v>CU0182</v>
      </c>
      <c r="C761" s="564" t="s">
        <v>755</v>
      </c>
      <c r="D761" s="541" t="s">
        <v>1452</v>
      </c>
      <c r="E761" s="543" t="s">
        <v>821</v>
      </c>
      <c r="F761" s="540">
        <v>44075</v>
      </c>
      <c r="G761" s="501">
        <v>4510.3900000000003</v>
      </c>
      <c r="K761" s="363"/>
      <c r="L761" s="565"/>
      <c r="M761" s="565"/>
      <c r="O761" s="565"/>
      <c r="Q761" s="363"/>
      <c r="R761" s="565"/>
      <c r="U761" s="565"/>
      <c r="X761" s="565"/>
      <c r="AA761" s="565"/>
      <c r="AD761" s="565"/>
      <c r="AG761" s="565"/>
      <c r="AJ761" s="565"/>
      <c r="AM761" s="565"/>
      <c r="AP761" s="565"/>
      <c r="AS761" s="424"/>
      <c r="AV761" s="565"/>
      <c r="AY761" s="565"/>
      <c r="BB761" s="565"/>
      <c r="BE761" s="565"/>
      <c r="BH761" s="565"/>
      <c r="BK761" s="565"/>
      <c r="BN761" s="565"/>
      <c r="BQ761" s="462">
        <f t="shared" si="429"/>
        <v>4510.3900000000003</v>
      </c>
      <c r="BT761" s="462">
        <f t="shared" si="417"/>
        <v>4510.3900000000003</v>
      </c>
      <c r="BU761" s="447" t="s">
        <v>2134</v>
      </c>
      <c r="BW761" s="462">
        <f t="shared" si="418"/>
        <v>4510.3900000000003</v>
      </c>
      <c r="BZ761" s="462">
        <f t="shared" si="419"/>
        <v>4510.3900000000003</v>
      </c>
      <c r="CD761" s="418" t="str">
        <f t="shared" si="425"/>
        <v>CU0182001</v>
      </c>
      <c r="CE761" s="442" t="str">
        <f t="shared" si="426"/>
        <v>2020年9月</v>
      </c>
      <c r="CF761" s="418" t="str">
        <f t="shared" si="427"/>
        <v>阿姆斯壮（clife服务费暂估</v>
      </c>
      <c r="CG761" s="418" t="str">
        <f t="shared" si="428"/>
        <v>2020年9月阿姆斯壮（clife服务费暂估</v>
      </c>
    </row>
    <row r="762" spans="2:85" ht="17.25" customHeight="1">
      <c r="B762" s="541" t="str">
        <f t="shared" si="424"/>
        <v>CU0238</v>
      </c>
      <c r="C762" s="564" t="s">
        <v>755</v>
      </c>
      <c r="D762" s="541" t="s">
        <v>1987</v>
      </c>
      <c r="E762" s="543" t="s">
        <v>54</v>
      </c>
      <c r="F762" s="540">
        <v>44075</v>
      </c>
      <c r="G762" s="501">
        <v>3880.8</v>
      </c>
      <c r="K762" s="363"/>
      <c r="L762" s="565"/>
      <c r="M762" s="565"/>
      <c r="O762" s="565"/>
      <c r="Q762" s="363"/>
      <c r="R762" s="565"/>
      <c r="U762" s="565"/>
      <c r="X762" s="565"/>
      <c r="AA762" s="565"/>
      <c r="AD762" s="565"/>
      <c r="AG762" s="565"/>
      <c r="AJ762" s="565"/>
      <c r="AM762" s="565"/>
      <c r="AP762" s="565"/>
      <c r="AS762" s="424"/>
      <c r="AV762" s="565"/>
      <c r="AY762" s="565"/>
      <c r="BB762" s="565"/>
      <c r="BE762" s="565"/>
      <c r="BH762" s="565"/>
      <c r="BK762" s="565"/>
      <c r="BN762" s="565"/>
      <c r="BQ762" s="462">
        <f t="shared" si="429"/>
        <v>3880.8</v>
      </c>
      <c r="BS762" s="565">
        <f>ROUND(16276/1.06,2)-BS325-BS420-BS460-BS530-BS554-BS592-BS629-BS662-BS728</f>
        <v>3673.2199999999993</v>
      </c>
      <c r="BT762" s="462">
        <f t="shared" si="417"/>
        <v>207.58</v>
      </c>
      <c r="BU762" s="447" t="s">
        <v>2134</v>
      </c>
      <c r="BV762" s="363">
        <f>ROUND(220.03/1.06,2)</f>
        <v>207.58</v>
      </c>
      <c r="BW762" s="462">
        <f t="shared" si="418"/>
        <v>0</v>
      </c>
      <c r="BZ762" s="462">
        <f t="shared" si="419"/>
        <v>0</v>
      </c>
      <c r="CD762" s="418" t="str">
        <f t="shared" si="425"/>
        <v>CU0238001</v>
      </c>
      <c r="CE762" s="442" t="str">
        <f t="shared" si="426"/>
        <v>2020年9月</v>
      </c>
      <c r="CF762" s="418" t="str">
        <f t="shared" si="427"/>
        <v>丘奇鞋业（clife服务费暂估</v>
      </c>
      <c r="CG762" s="418" t="str">
        <f t="shared" si="428"/>
        <v>2020年9月丘奇鞋业（clife服务费暂估</v>
      </c>
    </row>
    <row r="763" spans="2:85" ht="17.25" customHeight="1">
      <c r="B763" s="541" t="str">
        <f t="shared" si="424"/>
        <v>CU0285</v>
      </c>
      <c r="C763" s="564" t="s">
        <v>755</v>
      </c>
      <c r="D763" s="541" t="s">
        <v>1643</v>
      </c>
      <c r="E763" s="543" t="s">
        <v>17</v>
      </c>
      <c r="F763" s="540">
        <v>44075</v>
      </c>
      <c r="G763" s="501">
        <v>919355.01</v>
      </c>
      <c r="K763" s="363"/>
      <c r="L763" s="565"/>
      <c r="M763" s="565"/>
      <c r="O763" s="565"/>
      <c r="Q763" s="363"/>
      <c r="R763" s="565"/>
      <c r="U763" s="565"/>
      <c r="X763" s="565"/>
      <c r="AA763" s="565"/>
      <c r="AD763" s="565"/>
      <c r="AG763" s="565"/>
      <c r="AJ763" s="565"/>
      <c r="AM763" s="565"/>
      <c r="AP763" s="565"/>
      <c r="AS763" s="424"/>
      <c r="AV763" s="565"/>
      <c r="AY763" s="565"/>
      <c r="BB763" s="565"/>
      <c r="BE763" s="565"/>
      <c r="BH763" s="565"/>
      <c r="BK763" s="565"/>
      <c r="BN763" s="565"/>
      <c r="BQ763" s="462">
        <f t="shared" si="429"/>
        <v>919355.01</v>
      </c>
      <c r="BT763" s="462">
        <f t="shared" si="417"/>
        <v>919355.01</v>
      </c>
      <c r="BU763" s="447" t="s">
        <v>2134</v>
      </c>
      <c r="BV763" s="565">
        <f>248933.6-BV630-BV663-BV697+150000</f>
        <v>293429.09999999998</v>
      </c>
      <c r="BW763" s="462">
        <f t="shared" si="418"/>
        <v>625925.91</v>
      </c>
      <c r="BY763" s="363">
        <f>ROUND(205237.5/1.06,2)</f>
        <v>193620.28</v>
      </c>
      <c r="BZ763" s="462">
        <f t="shared" si="419"/>
        <v>432305.63</v>
      </c>
      <c r="CD763" s="418" t="str">
        <f t="shared" si="425"/>
        <v>CU0285001</v>
      </c>
      <c r="CE763" s="442" t="str">
        <f t="shared" si="426"/>
        <v>2020年9月</v>
      </c>
      <c r="CF763" s="418" t="str">
        <f t="shared" si="427"/>
        <v>文思海辉技clife服务费暂估</v>
      </c>
      <c r="CG763" s="418" t="str">
        <f t="shared" si="428"/>
        <v>2020年9月文思海辉技clife服务费暂估</v>
      </c>
    </row>
    <row r="764" spans="2:85" ht="17.25" customHeight="1">
      <c r="B764" s="541" t="str">
        <f t="shared" si="424"/>
        <v>CU0351</v>
      </c>
      <c r="C764" s="564" t="s">
        <v>755</v>
      </c>
      <c r="D764" s="541" t="s">
        <v>1571</v>
      </c>
      <c r="E764" s="543" t="s">
        <v>82</v>
      </c>
      <c r="F764" s="540">
        <v>44075</v>
      </c>
      <c r="G764" s="501">
        <v>44621.85</v>
      </c>
      <c r="K764" s="363"/>
      <c r="L764" s="565"/>
      <c r="M764" s="565"/>
      <c r="O764" s="565"/>
      <c r="Q764" s="363"/>
      <c r="R764" s="565"/>
      <c r="U764" s="565"/>
      <c r="X764" s="565"/>
      <c r="AA764" s="565"/>
      <c r="AD764" s="565"/>
      <c r="AG764" s="565"/>
      <c r="AJ764" s="565"/>
      <c r="AM764" s="565"/>
      <c r="AP764" s="565"/>
      <c r="AS764" s="424"/>
      <c r="AV764" s="565"/>
      <c r="AY764" s="565"/>
      <c r="BB764" s="565"/>
      <c r="BE764" s="565"/>
      <c r="BH764" s="565"/>
      <c r="BK764" s="565"/>
      <c r="BN764" s="565"/>
      <c r="BQ764" s="462">
        <f t="shared" si="429"/>
        <v>44621.85</v>
      </c>
      <c r="BT764" s="462">
        <f t="shared" si="417"/>
        <v>44621.85</v>
      </c>
      <c r="BU764" s="447" t="s">
        <v>2134</v>
      </c>
      <c r="BW764" s="462">
        <f t="shared" si="418"/>
        <v>44621.85</v>
      </c>
      <c r="BZ764" s="462">
        <f t="shared" si="419"/>
        <v>44621.85</v>
      </c>
      <c r="CD764" s="418" t="str">
        <f t="shared" si="425"/>
        <v>CU0351001</v>
      </c>
      <c r="CE764" s="442" t="str">
        <f t="shared" si="426"/>
        <v>2020年9月</v>
      </c>
      <c r="CF764" s="418" t="str">
        <f t="shared" si="427"/>
        <v>克鲁勃润滑clife服务费暂估</v>
      </c>
      <c r="CG764" s="418" t="str">
        <f t="shared" si="428"/>
        <v>2020年9月克鲁勃润滑clife服务费暂估</v>
      </c>
    </row>
    <row r="765" spans="2:85" ht="17.25" customHeight="1">
      <c r="B765" s="541" t="str">
        <f t="shared" si="424"/>
        <v>CU0531</v>
      </c>
      <c r="C765" s="564" t="s">
        <v>755</v>
      </c>
      <c r="D765" s="541" t="s">
        <v>1453</v>
      </c>
      <c r="E765" s="543" t="s">
        <v>2088</v>
      </c>
      <c r="F765" s="540">
        <v>44075</v>
      </c>
      <c r="G765" s="501">
        <v>32335.78</v>
      </c>
      <c r="K765" s="363"/>
      <c r="L765" s="565"/>
      <c r="M765" s="565"/>
      <c r="O765" s="565"/>
      <c r="Q765" s="363"/>
      <c r="R765" s="565"/>
      <c r="U765" s="565"/>
      <c r="X765" s="565"/>
      <c r="AA765" s="565"/>
      <c r="AD765" s="565"/>
      <c r="AG765" s="565"/>
      <c r="AJ765" s="565"/>
      <c r="AM765" s="565"/>
      <c r="AP765" s="565"/>
      <c r="AS765" s="424"/>
      <c r="AV765" s="565"/>
      <c r="AY765" s="565"/>
      <c r="BB765" s="565"/>
      <c r="BE765" s="565"/>
      <c r="BH765" s="565"/>
      <c r="BK765" s="565"/>
      <c r="BN765" s="565"/>
      <c r="BQ765" s="462">
        <f t="shared" si="429"/>
        <v>32335.78</v>
      </c>
      <c r="BT765" s="462">
        <f t="shared" si="417"/>
        <v>32335.78</v>
      </c>
      <c r="BU765" s="447" t="s">
        <v>2134</v>
      </c>
      <c r="BW765" s="462">
        <f t="shared" si="418"/>
        <v>32335.78</v>
      </c>
      <c r="BZ765" s="462">
        <f t="shared" si="419"/>
        <v>32335.78</v>
      </c>
      <c r="CD765" s="418" t="str">
        <f t="shared" si="425"/>
        <v>CU0531001</v>
      </c>
      <c r="CE765" s="442" t="str">
        <f t="shared" si="426"/>
        <v>2020年9月</v>
      </c>
      <c r="CF765" s="418" t="str">
        <f t="shared" si="427"/>
        <v>恩思恩clife服务费暂估</v>
      </c>
      <c r="CG765" s="418" t="str">
        <f t="shared" si="428"/>
        <v>2020年9月恩思恩clife服务费暂估</v>
      </c>
    </row>
    <row r="766" spans="2:85" ht="17.25" customHeight="1">
      <c r="B766" s="541" t="str">
        <f t="shared" si="424"/>
        <v>CU0558</v>
      </c>
      <c r="C766" s="564" t="s">
        <v>755</v>
      </c>
      <c r="D766" s="541" t="s">
        <v>1647</v>
      </c>
      <c r="E766" s="543" t="s">
        <v>2285</v>
      </c>
      <c r="F766" s="540">
        <v>44075</v>
      </c>
      <c r="G766" s="501">
        <v>200000</v>
      </c>
      <c r="K766" s="363"/>
      <c r="L766" s="565"/>
      <c r="M766" s="565"/>
      <c r="O766" s="565"/>
      <c r="Q766" s="363"/>
      <c r="R766" s="565"/>
      <c r="U766" s="565"/>
      <c r="X766" s="565"/>
      <c r="AA766" s="565"/>
      <c r="AD766" s="565"/>
      <c r="AG766" s="565"/>
      <c r="AJ766" s="565"/>
      <c r="AM766" s="565"/>
      <c r="AP766" s="565"/>
      <c r="AS766" s="424"/>
      <c r="AV766" s="565"/>
      <c r="AY766" s="565"/>
      <c r="BB766" s="565"/>
      <c r="BE766" s="565"/>
      <c r="BH766" s="565"/>
      <c r="BK766" s="565"/>
      <c r="BN766" s="565"/>
      <c r="BQ766" s="462">
        <f t="shared" si="429"/>
        <v>200000</v>
      </c>
      <c r="BS766" s="363">
        <v>130817.56</v>
      </c>
      <c r="BT766" s="462">
        <f t="shared" si="417"/>
        <v>69182.44</v>
      </c>
      <c r="BU766" s="447" t="s">
        <v>2134</v>
      </c>
      <c r="BW766" s="462">
        <f t="shared" si="418"/>
        <v>69182.44</v>
      </c>
      <c r="BZ766" s="462">
        <f t="shared" si="419"/>
        <v>69182.44</v>
      </c>
      <c r="CD766" s="418" t="str">
        <f t="shared" si="425"/>
        <v>CU0558001</v>
      </c>
      <c r="CE766" s="442" t="str">
        <f t="shared" si="426"/>
        <v>2020年9月</v>
      </c>
      <c r="CF766" s="418" t="str">
        <f t="shared" si="427"/>
        <v>贵阳聚盟科clife服务费暂估</v>
      </c>
      <c r="CG766" s="418" t="str">
        <f t="shared" si="428"/>
        <v>2020年9月贵阳聚盟科clife服务费暂估</v>
      </c>
    </row>
    <row r="767" spans="2:85" ht="17.25" customHeight="1">
      <c r="B767" s="541" t="str">
        <f t="shared" si="424"/>
        <v>CU0562</v>
      </c>
      <c r="C767" s="564" t="s">
        <v>755</v>
      </c>
      <c r="D767" s="541" t="s">
        <v>2025</v>
      </c>
      <c r="E767" s="543" t="s">
        <v>1804</v>
      </c>
      <c r="F767" s="540">
        <v>44075</v>
      </c>
      <c r="G767" s="501">
        <v>12012.04</v>
      </c>
      <c r="K767" s="363"/>
      <c r="L767" s="565"/>
      <c r="M767" s="565"/>
      <c r="O767" s="565"/>
      <c r="Q767" s="363"/>
      <c r="R767" s="565"/>
      <c r="U767" s="565"/>
      <c r="X767" s="565"/>
      <c r="AA767" s="565"/>
      <c r="AD767" s="565"/>
      <c r="AG767" s="565"/>
      <c r="AJ767" s="565"/>
      <c r="AM767" s="565"/>
      <c r="AP767" s="565"/>
      <c r="AS767" s="424"/>
      <c r="AV767" s="565"/>
      <c r="AY767" s="565"/>
      <c r="BB767" s="565"/>
      <c r="BE767" s="565"/>
      <c r="BH767" s="565"/>
      <c r="BK767" s="565"/>
      <c r="BN767" s="565"/>
      <c r="BQ767" s="462">
        <f t="shared" si="429"/>
        <v>12012.04</v>
      </c>
      <c r="BT767" s="462">
        <f t="shared" si="417"/>
        <v>12012.04</v>
      </c>
      <c r="BU767" s="447" t="s">
        <v>2134</v>
      </c>
      <c r="BW767" s="462">
        <f t="shared" si="418"/>
        <v>12012.04</v>
      </c>
      <c r="BZ767" s="462">
        <f t="shared" si="419"/>
        <v>12012.04</v>
      </c>
      <c r="CD767" s="418" t="str">
        <f t="shared" si="425"/>
        <v>CU0562001</v>
      </c>
      <c r="CE767" s="442" t="str">
        <f t="shared" si="426"/>
        <v>2020年9月</v>
      </c>
      <c r="CF767" s="418" t="str">
        <f t="shared" si="427"/>
        <v>杭州康晟健clife服务费暂估</v>
      </c>
      <c r="CG767" s="418" t="str">
        <f t="shared" si="428"/>
        <v>2020年9月杭州康晟健clife服务费暂估</v>
      </c>
    </row>
    <row r="768" spans="2:85" ht="17.25" customHeight="1">
      <c r="B768" s="541" t="str">
        <f t="shared" si="424"/>
        <v>CU0570</v>
      </c>
      <c r="C768" s="564" t="s">
        <v>755</v>
      </c>
      <c r="D768" s="541" t="s">
        <v>1758</v>
      </c>
      <c r="E768" s="543" t="s">
        <v>1471</v>
      </c>
      <c r="F768" s="540">
        <v>44075</v>
      </c>
      <c r="G768" s="501">
        <v>103527.98</v>
      </c>
      <c r="K768" s="363"/>
      <c r="L768" s="565"/>
      <c r="M768" s="565"/>
      <c r="O768" s="565"/>
      <c r="Q768" s="363"/>
      <c r="R768" s="565"/>
      <c r="U768" s="565"/>
      <c r="X768" s="565"/>
      <c r="AA768" s="565"/>
      <c r="AD768" s="565"/>
      <c r="AG768" s="565"/>
      <c r="AJ768" s="565"/>
      <c r="AM768" s="565"/>
      <c r="AP768" s="565"/>
      <c r="AS768" s="424"/>
      <c r="AV768" s="565"/>
      <c r="AY768" s="565"/>
      <c r="BB768" s="565"/>
      <c r="BE768" s="565"/>
      <c r="BH768" s="565"/>
      <c r="BK768" s="565"/>
      <c r="BN768" s="565"/>
      <c r="BQ768" s="462">
        <f t="shared" si="429"/>
        <v>103527.98</v>
      </c>
      <c r="BS768" s="565">
        <f>BQ768</f>
        <v>103527.98</v>
      </c>
      <c r="BT768" s="462">
        <f t="shared" si="417"/>
        <v>0</v>
      </c>
      <c r="BW768" s="462">
        <f t="shared" si="418"/>
        <v>0</v>
      </c>
      <c r="BZ768" s="462">
        <f t="shared" si="419"/>
        <v>0</v>
      </c>
      <c r="CD768" s="418" t="str">
        <f t="shared" si="425"/>
        <v>CU0570001</v>
      </c>
      <c r="CE768" s="442" t="str">
        <f t="shared" si="426"/>
        <v>2020年9月</v>
      </c>
      <c r="CF768" s="418" t="str">
        <f t="shared" si="427"/>
        <v>华院数据技clife服务费暂估</v>
      </c>
      <c r="CG768" s="418" t="str">
        <f t="shared" si="428"/>
        <v>2020年9月华院数据技clife服务费暂估</v>
      </c>
    </row>
    <row r="769" spans="2:85" ht="17.25" customHeight="1">
      <c r="B769" s="541" t="str">
        <f t="shared" si="424"/>
        <v>CU0636</v>
      </c>
      <c r="C769" s="564" t="s">
        <v>755</v>
      </c>
      <c r="D769" s="541" t="s">
        <v>1759</v>
      </c>
      <c r="E769" s="543" t="s">
        <v>23</v>
      </c>
      <c r="F769" s="540">
        <v>44075</v>
      </c>
      <c r="G769" s="501">
        <v>1223.7</v>
      </c>
      <c r="K769" s="363"/>
      <c r="L769" s="565"/>
      <c r="M769" s="565"/>
      <c r="O769" s="565"/>
      <c r="Q769" s="363"/>
      <c r="R769" s="565"/>
      <c r="U769" s="565"/>
      <c r="X769" s="565"/>
      <c r="AA769" s="565"/>
      <c r="AD769" s="565"/>
      <c r="AG769" s="565"/>
      <c r="AJ769" s="565"/>
      <c r="AM769" s="565"/>
      <c r="AP769" s="565"/>
      <c r="AS769" s="424"/>
      <c r="AV769" s="565"/>
      <c r="AY769" s="565"/>
      <c r="BB769" s="565"/>
      <c r="BE769" s="565"/>
      <c r="BH769" s="565"/>
      <c r="BK769" s="565"/>
      <c r="BN769" s="565"/>
      <c r="BQ769" s="462">
        <f t="shared" si="429"/>
        <v>1223.7</v>
      </c>
      <c r="BT769" s="462">
        <f t="shared" si="417"/>
        <v>1223.7</v>
      </c>
      <c r="BU769" s="447" t="s">
        <v>2134</v>
      </c>
      <c r="BW769" s="462">
        <f t="shared" si="418"/>
        <v>1223.7</v>
      </c>
      <c r="BZ769" s="462">
        <f t="shared" si="419"/>
        <v>1223.7</v>
      </c>
      <c r="CD769" s="418" t="str">
        <f t="shared" si="425"/>
        <v>CU0636001</v>
      </c>
      <c r="CE769" s="442" t="str">
        <f t="shared" si="426"/>
        <v>2020年9月</v>
      </c>
      <c r="CF769" s="418" t="str">
        <f t="shared" si="427"/>
        <v>巴丽（上海clife服务费暂估</v>
      </c>
      <c r="CG769" s="418" t="str">
        <f t="shared" si="428"/>
        <v>2020年9月巴丽（上海clife服务费暂估</v>
      </c>
    </row>
    <row r="770" spans="2:85" ht="17.25" customHeight="1">
      <c r="B770" s="541" t="str">
        <f t="shared" si="424"/>
        <v>CU0667</v>
      </c>
      <c r="C770" s="564" t="s">
        <v>755</v>
      </c>
      <c r="D770" s="541" t="s">
        <v>1454</v>
      </c>
      <c r="E770" s="543" t="s">
        <v>2350</v>
      </c>
      <c r="F770" s="540">
        <v>44075</v>
      </c>
      <c r="G770" s="501">
        <v>1426.63</v>
      </c>
      <c r="K770" s="363"/>
      <c r="L770" s="565"/>
      <c r="M770" s="565"/>
      <c r="O770" s="565"/>
      <c r="Q770" s="363"/>
      <c r="R770" s="565"/>
      <c r="U770" s="565"/>
      <c r="X770" s="565"/>
      <c r="AA770" s="565"/>
      <c r="AD770" s="565"/>
      <c r="AG770" s="565"/>
      <c r="AJ770" s="565"/>
      <c r="AM770" s="565"/>
      <c r="AP770" s="565"/>
      <c r="AS770" s="424"/>
      <c r="AV770" s="565"/>
      <c r="AY770" s="565"/>
      <c r="BB770" s="565"/>
      <c r="BE770" s="565"/>
      <c r="BH770" s="565"/>
      <c r="BK770" s="565"/>
      <c r="BN770" s="565"/>
      <c r="BQ770" s="462">
        <f t="shared" si="429"/>
        <v>1426.63</v>
      </c>
      <c r="BT770" s="462">
        <f t="shared" si="417"/>
        <v>1426.63</v>
      </c>
      <c r="BU770" s="447" t="s">
        <v>2134</v>
      </c>
      <c r="BW770" s="462">
        <f t="shared" si="418"/>
        <v>1426.63</v>
      </c>
      <c r="BZ770" s="462">
        <f t="shared" si="419"/>
        <v>1426.63</v>
      </c>
      <c r="CD770" s="418" t="str">
        <f t="shared" si="425"/>
        <v>CU0667001</v>
      </c>
      <c r="CE770" s="442" t="str">
        <f t="shared" si="426"/>
        <v>2020年9月</v>
      </c>
      <c r="CF770" s="418" t="str">
        <f t="shared" si="427"/>
        <v>碧涌达科技clife服务费暂估</v>
      </c>
      <c r="CG770" s="418" t="str">
        <f t="shared" si="428"/>
        <v>2020年9月碧涌达科技clife服务费暂估</v>
      </c>
    </row>
    <row r="771" spans="2:85" ht="17.25" customHeight="1">
      <c r="B771" s="541" t="str">
        <f t="shared" si="424"/>
        <v>CU0769</v>
      </c>
      <c r="C771" s="564" t="s">
        <v>755</v>
      </c>
      <c r="D771" s="541" t="s">
        <v>1689</v>
      </c>
      <c r="E771" s="543" t="s">
        <v>188</v>
      </c>
      <c r="F771" s="540">
        <v>44075</v>
      </c>
      <c r="G771" s="501">
        <v>8320.76</v>
      </c>
      <c r="K771" s="363"/>
      <c r="L771" s="565"/>
      <c r="M771" s="565"/>
      <c r="O771" s="565"/>
      <c r="Q771" s="363"/>
      <c r="R771" s="565"/>
      <c r="U771" s="565"/>
      <c r="X771" s="565"/>
      <c r="AA771" s="565"/>
      <c r="AD771" s="565"/>
      <c r="AG771" s="565"/>
      <c r="AJ771" s="565"/>
      <c r="AM771" s="565"/>
      <c r="AP771" s="565"/>
      <c r="AS771" s="424"/>
      <c r="AV771" s="565"/>
      <c r="AY771" s="565"/>
      <c r="BB771" s="565"/>
      <c r="BE771" s="565"/>
      <c r="BH771" s="565"/>
      <c r="BK771" s="565"/>
      <c r="BN771" s="565"/>
      <c r="BQ771" s="462">
        <f t="shared" si="429"/>
        <v>8320.76</v>
      </c>
      <c r="BT771" s="462">
        <f t="shared" si="417"/>
        <v>8320.76</v>
      </c>
      <c r="BU771" s="447" t="s">
        <v>2134</v>
      </c>
      <c r="BV771" s="565">
        <f>BT771</f>
        <v>8320.76</v>
      </c>
      <c r="BW771" s="462">
        <f t="shared" si="418"/>
        <v>0</v>
      </c>
      <c r="BZ771" s="462">
        <f t="shared" si="419"/>
        <v>0</v>
      </c>
      <c r="CD771" s="418" t="str">
        <f t="shared" si="425"/>
        <v>CU0769001</v>
      </c>
      <c r="CE771" s="442" t="str">
        <f t="shared" si="426"/>
        <v>2020年9月</v>
      </c>
      <c r="CF771" s="418" t="str">
        <f t="shared" si="427"/>
        <v>思童嘉商贸clife服务费暂估</v>
      </c>
      <c r="CG771" s="418" t="str">
        <f t="shared" si="428"/>
        <v>2020年9月思童嘉商贸clife服务费暂估</v>
      </c>
    </row>
    <row r="772" spans="2:85" ht="17.25" customHeight="1">
      <c r="B772" s="541" t="str">
        <f t="shared" si="424"/>
        <v>CU0812</v>
      </c>
      <c r="C772" s="564" t="s">
        <v>755</v>
      </c>
      <c r="D772" s="541" t="s">
        <v>1455</v>
      </c>
      <c r="E772" s="543" t="s">
        <v>1534</v>
      </c>
      <c r="F772" s="540">
        <v>44075</v>
      </c>
      <c r="G772" s="501">
        <v>8377.19</v>
      </c>
      <c r="K772" s="363"/>
      <c r="L772" s="565"/>
      <c r="M772" s="565"/>
      <c r="O772" s="565"/>
      <c r="Q772" s="363"/>
      <c r="R772" s="565"/>
      <c r="U772" s="565"/>
      <c r="X772" s="565"/>
      <c r="AA772" s="565"/>
      <c r="AD772" s="565"/>
      <c r="AG772" s="565"/>
      <c r="AJ772" s="565"/>
      <c r="AM772" s="565"/>
      <c r="AP772" s="565"/>
      <c r="AS772" s="424"/>
      <c r="AV772" s="565"/>
      <c r="AY772" s="565"/>
      <c r="BB772" s="565"/>
      <c r="BE772" s="565"/>
      <c r="BH772" s="565"/>
      <c r="BK772" s="565"/>
      <c r="BN772" s="565"/>
      <c r="BQ772" s="462">
        <f t="shared" si="429"/>
        <v>8377.19</v>
      </c>
      <c r="BT772" s="462">
        <f t="shared" ref="BT772:BT797" si="430">ROUND((BQ772-BS772),2)</f>
        <v>8377.19</v>
      </c>
      <c r="BU772" s="447" t="s">
        <v>2134</v>
      </c>
      <c r="BW772" s="462">
        <f t="shared" ref="BW772:BW835" si="431">ROUND((BT772-BV772),2)</f>
        <v>8377.19</v>
      </c>
      <c r="BY772" s="462">
        <f>BW772</f>
        <v>8377.19</v>
      </c>
      <c r="BZ772" s="462">
        <f t="shared" ref="BZ772:BZ835" si="432">ROUND((BW772-BY772),2)</f>
        <v>0</v>
      </c>
      <c r="CD772" s="418" t="str">
        <f t="shared" si="425"/>
        <v>CU0812001</v>
      </c>
      <c r="CE772" s="442" t="str">
        <f t="shared" si="426"/>
        <v>2020年9月</v>
      </c>
      <c r="CF772" s="418" t="str">
        <f t="shared" si="427"/>
        <v>上海恩派社clife服务费暂估</v>
      </c>
      <c r="CG772" s="418" t="str">
        <f t="shared" si="428"/>
        <v>2020年9月上海恩派社clife服务费暂估</v>
      </c>
    </row>
    <row r="773" spans="2:85" ht="17.25" customHeight="1">
      <c r="B773" s="541" t="str">
        <f t="shared" si="424"/>
        <v>CU0823</v>
      </c>
      <c r="C773" s="564" t="s">
        <v>755</v>
      </c>
      <c r="D773" s="541" t="s">
        <v>1457</v>
      </c>
      <c r="E773" s="543" t="s">
        <v>581</v>
      </c>
      <c r="F773" s="540">
        <v>44075</v>
      </c>
      <c r="G773" s="501">
        <v>12927.52</v>
      </c>
      <c r="K773" s="363"/>
      <c r="L773" s="565"/>
      <c r="M773" s="565"/>
      <c r="O773" s="565"/>
      <c r="Q773" s="363"/>
      <c r="R773" s="565"/>
      <c r="U773" s="565"/>
      <c r="X773" s="565"/>
      <c r="AA773" s="565"/>
      <c r="AD773" s="565"/>
      <c r="AG773" s="565"/>
      <c r="AJ773" s="565"/>
      <c r="AM773" s="565"/>
      <c r="AP773" s="565"/>
      <c r="AS773" s="424"/>
      <c r="AV773" s="565"/>
      <c r="AY773" s="565"/>
      <c r="BB773" s="565"/>
      <c r="BE773" s="565"/>
      <c r="BH773" s="565"/>
      <c r="BK773" s="565"/>
      <c r="BN773" s="565"/>
      <c r="BQ773" s="462">
        <f t="shared" si="429"/>
        <v>12927.52</v>
      </c>
      <c r="BT773" s="462">
        <f t="shared" si="430"/>
        <v>12927.52</v>
      </c>
      <c r="BU773" s="447" t="s">
        <v>2134</v>
      </c>
      <c r="BW773" s="462">
        <f t="shared" si="431"/>
        <v>12927.52</v>
      </c>
      <c r="BZ773" s="462">
        <f t="shared" si="432"/>
        <v>12927.52</v>
      </c>
      <c r="CD773" s="418" t="str">
        <f t="shared" si="425"/>
        <v>CU0823001</v>
      </c>
      <c r="CE773" s="442" t="str">
        <f t="shared" si="426"/>
        <v>2020年9月</v>
      </c>
      <c r="CF773" s="418" t="str">
        <f t="shared" si="427"/>
        <v>凯杰生物工clife服务费暂估</v>
      </c>
      <c r="CG773" s="418" t="str">
        <f t="shared" si="428"/>
        <v>2020年9月凯杰生物工clife服务费暂估</v>
      </c>
    </row>
    <row r="774" spans="2:85" ht="17.25" customHeight="1">
      <c r="B774" s="541" t="str">
        <f t="shared" ref="B774:B793" si="433">LEFT(D774,6)</f>
        <v>CU0824</v>
      </c>
      <c r="C774" s="564" t="s">
        <v>755</v>
      </c>
      <c r="D774" s="541" t="s">
        <v>1458</v>
      </c>
      <c r="E774" s="543" t="s">
        <v>1292</v>
      </c>
      <c r="F774" s="540">
        <v>44075</v>
      </c>
      <c r="G774" s="501">
        <v>9924.4599999999991</v>
      </c>
      <c r="K774" s="363"/>
      <c r="L774" s="565"/>
      <c r="M774" s="565"/>
      <c r="O774" s="565"/>
      <c r="Q774" s="363"/>
      <c r="R774" s="565"/>
      <c r="U774" s="565"/>
      <c r="X774" s="565"/>
      <c r="AA774" s="565"/>
      <c r="AD774" s="565"/>
      <c r="AG774" s="565"/>
      <c r="AJ774" s="565"/>
      <c r="AM774" s="565"/>
      <c r="AP774" s="565"/>
      <c r="AS774" s="424"/>
      <c r="AV774" s="565"/>
      <c r="AY774" s="565"/>
      <c r="BB774" s="565"/>
      <c r="BE774" s="565"/>
      <c r="BH774" s="565"/>
      <c r="BK774" s="565"/>
      <c r="BN774" s="565"/>
      <c r="BQ774" s="462">
        <f t="shared" si="429"/>
        <v>9924.4599999999991</v>
      </c>
      <c r="BS774" s="363">
        <f>534-287.49+187+ROUND(10000/1.06,2)</f>
        <v>9867.4699999999993</v>
      </c>
      <c r="BT774" s="462">
        <f t="shared" si="430"/>
        <v>56.99</v>
      </c>
      <c r="BU774" s="447" t="s">
        <v>2134</v>
      </c>
      <c r="BW774" s="462">
        <f t="shared" si="431"/>
        <v>56.99</v>
      </c>
      <c r="BZ774" s="462">
        <f t="shared" si="432"/>
        <v>56.99</v>
      </c>
      <c r="CD774" s="418" t="str">
        <f t="shared" si="425"/>
        <v>CU0824001</v>
      </c>
      <c r="CE774" s="442" t="str">
        <f t="shared" si="426"/>
        <v>2020年9月</v>
      </c>
      <c r="CF774" s="418" t="str">
        <f t="shared" si="427"/>
        <v>苏州舒尔贸clife服务费暂估</v>
      </c>
      <c r="CG774" s="418" t="str">
        <f t="shared" si="428"/>
        <v>2020年9月苏州舒尔贸clife服务费暂估</v>
      </c>
    </row>
    <row r="775" spans="2:85" ht="17.25" customHeight="1">
      <c r="B775" s="541" t="str">
        <f t="shared" si="433"/>
        <v>CU0848</v>
      </c>
      <c r="C775" s="564" t="s">
        <v>755</v>
      </c>
      <c r="D775" s="541" t="s">
        <v>1462</v>
      </c>
      <c r="E775" s="543" t="s">
        <v>1830</v>
      </c>
      <c r="F775" s="540">
        <v>44075</v>
      </c>
      <c r="G775" s="501">
        <v>46348.04</v>
      </c>
      <c r="K775" s="363"/>
      <c r="L775" s="565"/>
      <c r="M775" s="565"/>
      <c r="O775" s="565"/>
      <c r="Q775" s="363"/>
      <c r="R775" s="565"/>
      <c r="U775" s="565"/>
      <c r="X775" s="565"/>
      <c r="AA775" s="565"/>
      <c r="AD775" s="565"/>
      <c r="AG775" s="565"/>
      <c r="AJ775" s="565"/>
      <c r="AM775" s="565"/>
      <c r="AP775" s="565"/>
      <c r="AS775" s="424"/>
      <c r="AV775" s="565"/>
      <c r="AY775" s="565"/>
      <c r="BB775" s="565"/>
      <c r="BE775" s="565"/>
      <c r="BH775" s="565"/>
      <c r="BK775" s="565"/>
      <c r="BN775" s="565"/>
      <c r="BQ775" s="462">
        <f t="shared" si="429"/>
        <v>46348.04</v>
      </c>
      <c r="BT775" s="462">
        <f t="shared" si="430"/>
        <v>46348.04</v>
      </c>
      <c r="BU775" s="447" t="s">
        <v>2134</v>
      </c>
      <c r="BW775" s="462">
        <f t="shared" si="431"/>
        <v>46348.04</v>
      </c>
      <c r="BZ775" s="462">
        <f t="shared" si="432"/>
        <v>46348.04</v>
      </c>
      <c r="CD775" s="418" t="str">
        <f t="shared" si="425"/>
        <v>CU0848001</v>
      </c>
      <c r="CE775" s="442" t="str">
        <f t="shared" si="426"/>
        <v>2020年9月</v>
      </c>
      <c r="CF775" s="418" t="str">
        <f t="shared" si="427"/>
        <v>爱德觅尔（clife服务费暂估</v>
      </c>
      <c r="CG775" s="418" t="str">
        <f t="shared" si="428"/>
        <v>2020年9月爱德觅尔（clife服务费暂估</v>
      </c>
    </row>
    <row r="776" spans="2:85" ht="17.25" customHeight="1">
      <c r="B776" s="541" t="str">
        <f t="shared" si="433"/>
        <v>CU0884</v>
      </c>
      <c r="C776" s="564" t="s">
        <v>755</v>
      </c>
      <c r="D776" s="541" t="s">
        <v>1575</v>
      </c>
      <c r="E776" s="543" t="s">
        <v>2286</v>
      </c>
      <c r="F776" s="540">
        <v>44075</v>
      </c>
      <c r="G776" s="501">
        <v>2358490.5699999998</v>
      </c>
      <c r="K776" s="363"/>
      <c r="L776" s="565"/>
      <c r="M776" s="565"/>
      <c r="O776" s="565"/>
      <c r="Q776" s="363"/>
      <c r="R776" s="565"/>
      <c r="U776" s="565"/>
      <c r="X776" s="565"/>
      <c r="AA776" s="565"/>
      <c r="AD776" s="565"/>
      <c r="AG776" s="565"/>
      <c r="AJ776" s="565"/>
      <c r="AM776" s="565"/>
      <c r="AP776" s="565"/>
      <c r="AS776" s="424"/>
      <c r="AV776" s="565"/>
      <c r="AY776" s="565"/>
      <c r="BB776" s="565"/>
      <c r="BE776" s="565"/>
      <c r="BH776" s="565"/>
      <c r="BK776" s="565"/>
      <c r="BN776" s="565"/>
      <c r="BQ776" s="462">
        <f t="shared" si="429"/>
        <v>2358490.5699999998</v>
      </c>
      <c r="BT776" s="462">
        <f t="shared" si="430"/>
        <v>2358490.5699999998</v>
      </c>
      <c r="BU776" s="447" t="s">
        <v>2134</v>
      </c>
      <c r="BV776" s="363">
        <f>1662000-481739.86</f>
        <v>1180260.1400000001</v>
      </c>
      <c r="BW776" s="462">
        <f t="shared" si="431"/>
        <v>1178230.43</v>
      </c>
      <c r="BZ776" s="462">
        <f t="shared" si="432"/>
        <v>1178230.43</v>
      </c>
      <c r="CD776" s="418" t="str">
        <f t="shared" si="425"/>
        <v>CU0884001</v>
      </c>
      <c r="CE776" s="442" t="str">
        <f t="shared" si="426"/>
        <v>2020年9月</v>
      </c>
      <c r="CF776" s="418" t="str">
        <f t="shared" si="427"/>
        <v>恩德斯豪斯clife服务费暂估</v>
      </c>
      <c r="CG776" s="418" t="str">
        <f t="shared" si="428"/>
        <v>2020年9月恩德斯豪斯clife服务费暂估</v>
      </c>
    </row>
    <row r="777" spans="2:85" ht="17.25" customHeight="1">
      <c r="B777" s="541" t="str">
        <f t="shared" si="433"/>
        <v>CU0904</v>
      </c>
      <c r="C777" s="564" t="s">
        <v>755</v>
      </c>
      <c r="D777" s="541" t="s">
        <v>1460</v>
      </c>
      <c r="E777" s="543" t="s">
        <v>955</v>
      </c>
      <c r="F777" s="540">
        <v>44075</v>
      </c>
      <c r="G777" s="501">
        <v>399735.57</v>
      </c>
      <c r="K777" s="363"/>
      <c r="L777" s="565"/>
      <c r="M777" s="565"/>
      <c r="O777" s="565"/>
      <c r="Q777" s="363"/>
      <c r="R777" s="565"/>
      <c r="U777" s="565"/>
      <c r="X777" s="565"/>
      <c r="AA777" s="565"/>
      <c r="AD777" s="565"/>
      <c r="AG777" s="565"/>
      <c r="AJ777" s="565"/>
      <c r="AM777" s="565"/>
      <c r="AP777" s="565"/>
      <c r="AS777" s="424"/>
      <c r="AV777" s="565"/>
      <c r="AY777" s="565"/>
      <c r="BB777" s="565"/>
      <c r="BE777" s="565"/>
      <c r="BH777" s="565"/>
      <c r="BK777" s="565"/>
      <c r="BN777" s="565"/>
      <c r="BQ777" s="462">
        <f t="shared" si="429"/>
        <v>399735.57</v>
      </c>
      <c r="BT777" s="462">
        <f t="shared" si="430"/>
        <v>399735.57</v>
      </c>
      <c r="BU777" s="447" t="s">
        <v>2134</v>
      </c>
      <c r="BW777" s="462">
        <f t="shared" si="431"/>
        <v>399735.57</v>
      </c>
      <c r="BY777" s="565">
        <f>250000-BY739</f>
        <v>240125.86</v>
      </c>
      <c r="BZ777" s="462">
        <f t="shared" si="432"/>
        <v>159609.71</v>
      </c>
      <c r="CD777" s="418" t="str">
        <f t="shared" si="425"/>
        <v>CU0904001</v>
      </c>
      <c r="CE777" s="442" t="str">
        <f t="shared" si="426"/>
        <v>2020年9月</v>
      </c>
      <c r="CF777" s="418" t="str">
        <f t="shared" si="427"/>
        <v>紫光电子商clife服务费暂估</v>
      </c>
      <c r="CG777" s="418" t="str">
        <f t="shared" si="428"/>
        <v>2020年9月紫光电子商clife服务费暂估</v>
      </c>
    </row>
    <row r="778" spans="2:85" ht="17.25" customHeight="1">
      <c r="B778" s="541" t="str">
        <f t="shared" si="433"/>
        <v>CU0914</v>
      </c>
      <c r="C778" s="564" t="s">
        <v>755</v>
      </c>
      <c r="D778" s="541" t="s">
        <v>1721</v>
      </c>
      <c r="E778" s="543" t="s">
        <v>1535</v>
      </c>
      <c r="F778" s="540">
        <v>44075</v>
      </c>
      <c r="G778" s="501">
        <v>291235.11</v>
      </c>
      <c r="K778" s="363"/>
      <c r="L778" s="565"/>
      <c r="M778" s="565"/>
      <c r="O778" s="565"/>
      <c r="Q778" s="363"/>
      <c r="R778" s="565"/>
      <c r="U778" s="565"/>
      <c r="X778" s="565"/>
      <c r="AA778" s="565"/>
      <c r="AD778" s="565"/>
      <c r="AG778" s="565"/>
      <c r="AJ778" s="565"/>
      <c r="AM778" s="565"/>
      <c r="AP778" s="565"/>
      <c r="AS778" s="424"/>
      <c r="AV778" s="565"/>
      <c r="AY778" s="565"/>
      <c r="BB778" s="565"/>
      <c r="BE778" s="565"/>
      <c r="BH778" s="565"/>
      <c r="BK778" s="565"/>
      <c r="BN778" s="565"/>
      <c r="BQ778" s="462">
        <f t="shared" si="429"/>
        <v>291235.11</v>
      </c>
      <c r="BS778" s="573">
        <f>ROUND(1233174.56/1.06,2)-BS740</f>
        <v>123158.06999999995</v>
      </c>
      <c r="BT778" s="462">
        <f t="shared" si="430"/>
        <v>168077.04</v>
      </c>
      <c r="BU778" s="447" t="s">
        <v>2134</v>
      </c>
      <c r="BV778" s="565">
        <f>BT778</f>
        <v>168077.04</v>
      </c>
      <c r="BW778" s="462">
        <f t="shared" si="431"/>
        <v>0</v>
      </c>
      <c r="BZ778" s="462">
        <f t="shared" si="432"/>
        <v>0</v>
      </c>
      <c r="CD778" s="418" t="str">
        <f t="shared" si="425"/>
        <v>CU0914001</v>
      </c>
      <c r="CE778" s="442" t="str">
        <f t="shared" si="426"/>
        <v>2020年9月</v>
      </c>
      <c r="CF778" s="418" t="str">
        <f t="shared" si="427"/>
        <v>鑫车投资（clife服务费暂估</v>
      </c>
      <c r="CG778" s="418" t="str">
        <f t="shared" si="428"/>
        <v>2020年9月鑫车投资（clife服务费暂估</v>
      </c>
    </row>
    <row r="779" spans="2:85" ht="17.25" customHeight="1">
      <c r="B779" s="541" t="str">
        <f t="shared" si="433"/>
        <v>CU1016</v>
      </c>
      <c r="C779" s="564" t="s">
        <v>755</v>
      </c>
      <c r="D779" s="541" t="s">
        <v>1524</v>
      </c>
      <c r="E779" s="543" t="s">
        <v>1536</v>
      </c>
      <c r="F779" s="540">
        <v>44075</v>
      </c>
      <c r="G779" s="501">
        <v>13924.21</v>
      </c>
      <c r="K779" s="363"/>
      <c r="L779" s="565"/>
      <c r="M779" s="565"/>
      <c r="O779" s="565"/>
      <c r="Q779" s="363"/>
      <c r="R779" s="565"/>
      <c r="U779" s="565"/>
      <c r="X779" s="565"/>
      <c r="AA779" s="565"/>
      <c r="AD779" s="565"/>
      <c r="AG779" s="565"/>
      <c r="AJ779" s="565"/>
      <c r="AM779" s="565"/>
      <c r="AP779" s="565"/>
      <c r="AS779" s="424"/>
      <c r="AV779" s="565"/>
      <c r="AY779" s="565"/>
      <c r="BB779" s="565"/>
      <c r="BE779" s="565"/>
      <c r="BH779" s="565"/>
      <c r="BK779" s="565"/>
      <c r="BN779" s="565"/>
      <c r="BQ779" s="462">
        <f t="shared" si="429"/>
        <v>13924.21</v>
      </c>
      <c r="BT779" s="462">
        <f t="shared" si="430"/>
        <v>13924.21</v>
      </c>
      <c r="BU779" s="447" t="s">
        <v>2134</v>
      </c>
      <c r="BW779" s="462">
        <f t="shared" si="431"/>
        <v>13924.21</v>
      </c>
      <c r="BZ779" s="462">
        <f t="shared" si="432"/>
        <v>13924.21</v>
      </c>
      <c r="CD779" s="418" t="str">
        <f t="shared" si="425"/>
        <v>CU1016001</v>
      </c>
      <c r="CE779" s="442" t="str">
        <f t="shared" si="426"/>
        <v>2020年9月</v>
      </c>
      <c r="CF779" s="418" t="str">
        <f t="shared" si="427"/>
        <v>乔治阿玛尼clife服务费暂估</v>
      </c>
      <c r="CG779" s="418" t="str">
        <f t="shared" si="428"/>
        <v>2020年9月乔治阿玛尼clife服务费暂估</v>
      </c>
    </row>
    <row r="780" spans="2:85" ht="17.25" customHeight="1">
      <c r="B780" s="541" t="str">
        <f t="shared" si="433"/>
        <v>CU1155</v>
      </c>
      <c r="C780" s="564" t="s">
        <v>755</v>
      </c>
      <c r="D780" s="541" t="s">
        <v>1698</v>
      </c>
      <c r="E780" s="543" t="s">
        <v>1681</v>
      </c>
      <c r="F780" s="540">
        <v>44075</v>
      </c>
      <c r="G780" s="501">
        <v>477.69</v>
      </c>
      <c r="K780" s="363"/>
      <c r="L780" s="565"/>
      <c r="M780" s="565"/>
      <c r="O780" s="565"/>
      <c r="Q780" s="363"/>
      <c r="R780" s="565"/>
      <c r="U780" s="565"/>
      <c r="X780" s="565"/>
      <c r="AA780" s="565"/>
      <c r="AD780" s="565"/>
      <c r="AG780" s="565"/>
      <c r="AJ780" s="565"/>
      <c r="AM780" s="565"/>
      <c r="AP780" s="565"/>
      <c r="AS780" s="424"/>
      <c r="AV780" s="565"/>
      <c r="AY780" s="565"/>
      <c r="BB780" s="565"/>
      <c r="BE780" s="565"/>
      <c r="BH780" s="565"/>
      <c r="BK780" s="565"/>
      <c r="BN780" s="565"/>
      <c r="BQ780" s="462">
        <f t="shared" si="429"/>
        <v>477.69</v>
      </c>
      <c r="BT780" s="462">
        <f t="shared" si="430"/>
        <v>477.69</v>
      </c>
      <c r="BU780" s="447" t="s">
        <v>2134</v>
      </c>
      <c r="BW780" s="462">
        <f t="shared" si="431"/>
        <v>477.69</v>
      </c>
      <c r="BZ780" s="462">
        <f t="shared" si="432"/>
        <v>477.69</v>
      </c>
      <c r="CD780" s="418" t="str">
        <f t="shared" si="425"/>
        <v>CU1155001</v>
      </c>
      <c r="CE780" s="442" t="str">
        <f t="shared" si="426"/>
        <v>2020年9月</v>
      </c>
      <c r="CF780" s="418" t="str">
        <f t="shared" si="427"/>
        <v>艾蒙斯特朗clife服务费暂估</v>
      </c>
      <c r="CG780" s="418" t="str">
        <f t="shared" si="428"/>
        <v>2020年9月艾蒙斯特朗clife服务费暂估</v>
      </c>
    </row>
    <row r="781" spans="2:85" ht="17.25" customHeight="1">
      <c r="B781" s="541" t="str">
        <f t="shared" si="433"/>
        <v>CU1172</v>
      </c>
      <c r="C781" s="564" t="s">
        <v>755</v>
      </c>
      <c r="D781" s="541" t="s">
        <v>1841</v>
      </c>
      <c r="E781" s="543" t="s">
        <v>1831</v>
      </c>
      <c r="F781" s="540">
        <v>44075</v>
      </c>
      <c r="G781" s="501">
        <v>3286.5</v>
      </c>
      <c r="K781" s="363"/>
      <c r="L781" s="565"/>
      <c r="M781" s="565"/>
      <c r="O781" s="565"/>
      <c r="Q781" s="363"/>
      <c r="R781" s="565"/>
      <c r="U781" s="565"/>
      <c r="X781" s="565"/>
      <c r="AA781" s="565"/>
      <c r="AD781" s="565"/>
      <c r="AG781" s="565"/>
      <c r="AJ781" s="565"/>
      <c r="AM781" s="565"/>
      <c r="AP781" s="565"/>
      <c r="AS781" s="424"/>
      <c r="AV781" s="565"/>
      <c r="AY781" s="565"/>
      <c r="BB781" s="565"/>
      <c r="BE781" s="565"/>
      <c r="BH781" s="565"/>
      <c r="BK781" s="565"/>
      <c r="BN781" s="565"/>
      <c r="BQ781" s="462">
        <f t="shared" si="429"/>
        <v>3286.5</v>
      </c>
      <c r="BT781" s="462">
        <f t="shared" si="430"/>
        <v>3286.5</v>
      </c>
      <c r="BU781" s="447" t="s">
        <v>2134</v>
      </c>
      <c r="BW781" s="462">
        <f t="shared" si="431"/>
        <v>3286.5</v>
      </c>
      <c r="BZ781" s="462">
        <f t="shared" si="432"/>
        <v>3286.5</v>
      </c>
      <c r="CD781" s="418" t="str">
        <f t="shared" si="425"/>
        <v>CU1172001</v>
      </c>
      <c r="CE781" s="442" t="str">
        <f t="shared" si="426"/>
        <v>2020年9月</v>
      </c>
      <c r="CF781" s="418" t="str">
        <f t="shared" si="427"/>
        <v>之宝（中国clife服务费暂估</v>
      </c>
      <c r="CG781" s="418" t="str">
        <f t="shared" si="428"/>
        <v>2020年9月之宝（中国clife服务费暂估</v>
      </c>
    </row>
    <row r="782" spans="2:85" ht="17.25" customHeight="1">
      <c r="B782" s="541" t="str">
        <f t="shared" si="433"/>
        <v>CU1198</v>
      </c>
      <c r="C782" s="564" t="s">
        <v>755</v>
      </c>
      <c r="D782" s="541" t="s">
        <v>1538</v>
      </c>
      <c r="E782" s="543" t="s">
        <v>1537</v>
      </c>
      <c r="F782" s="540">
        <v>44075</v>
      </c>
      <c r="G782" s="501">
        <v>217006.8</v>
      </c>
      <c r="K782" s="363"/>
      <c r="L782" s="565"/>
      <c r="M782" s="565"/>
      <c r="O782" s="565"/>
      <c r="Q782" s="363"/>
      <c r="R782" s="565"/>
      <c r="U782" s="565"/>
      <c r="X782" s="565"/>
      <c r="AA782" s="565"/>
      <c r="AD782" s="565"/>
      <c r="AG782" s="565"/>
      <c r="AJ782" s="565"/>
      <c r="AM782" s="565"/>
      <c r="AP782" s="565"/>
      <c r="AS782" s="424"/>
      <c r="AV782" s="565"/>
      <c r="AY782" s="565"/>
      <c r="BB782" s="565"/>
      <c r="BE782" s="565"/>
      <c r="BH782" s="565"/>
      <c r="BK782" s="565"/>
      <c r="BN782" s="565"/>
      <c r="BQ782" s="462">
        <f t="shared" si="429"/>
        <v>217006.8</v>
      </c>
      <c r="BS782" s="565">
        <f>ROUND((62661.75+101574.37+59542.1)/1.06,2)-BS743</f>
        <v>203590.82</v>
      </c>
      <c r="BT782" s="462">
        <f t="shared" si="430"/>
        <v>13415.98</v>
      </c>
      <c r="BU782" s="447" t="s">
        <v>2134</v>
      </c>
      <c r="BV782" s="565">
        <f>BT782</f>
        <v>13415.98</v>
      </c>
      <c r="BW782" s="462">
        <f t="shared" si="431"/>
        <v>0</v>
      </c>
      <c r="BZ782" s="462">
        <f t="shared" si="432"/>
        <v>0</v>
      </c>
      <c r="CD782" s="418" t="str">
        <f t="shared" si="425"/>
        <v>CU1198001</v>
      </c>
      <c r="CE782" s="442" t="str">
        <f t="shared" si="426"/>
        <v>2020年9月</v>
      </c>
      <c r="CF782" s="418" t="str">
        <f t="shared" si="427"/>
        <v>通用公正技clife服务费暂估</v>
      </c>
      <c r="CG782" s="418" t="str">
        <f t="shared" si="428"/>
        <v>2020年9月通用公正技clife服务费暂估</v>
      </c>
    </row>
    <row r="783" spans="2:85" ht="17.25" customHeight="1">
      <c r="B783" s="541" t="str">
        <f t="shared" si="433"/>
        <v>CU1345</v>
      </c>
      <c r="C783" s="564" t="s">
        <v>755</v>
      </c>
      <c r="D783" s="541" t="s">
        <v>1843</v>
      </c>
      <c r="E783" s="543" t="s">
        <v>1839</v>
      </c>
      <c r="F783" s="540">
        <v>44075</v>
      </c>
      <c r="G783" s="501">
        <v>54362.45</v>
      </c>
      <c r="K783" s="363"/>
      <c r="L783" s="565"/>
      <c r="M783" s="565"/>
      <c r="O783" s="565"/>
      <c r="Q783" s="363"/>
      <c r="R783" s="565"/>
      <c r="U783" s="565"/>
      <c r="X783" s="565"/>
      <c r="AA783" s="565"/>
      <c r="AD783" s="565"/>
      <c r="AG783" s="565"/>
      <c r="AJ783" s="565"/>
      <c r="AM783" s="565"/>
      <c r="AP783" s="565"/>
      <c r="AS783" s="424"/>
      <c r="AV783" s="565"/>
      <c r="AY783" s="565"/>
      <c r="BB783" s="565"/>
      <c r="BE783" s="565"/>
      <c r="BH783" s="565"/>
      <c r="BK783" s="565"/>
      <c r="BN783" s="565"/>
      <c r="BQ783" s="462">
        <f t="shared" si="429"/>
        <v>54362.45</v>
      </c>
      <c r="BT783" s="462">
        <f t="shared" si="430"/>
        <v>54362.45</v>
      </c>
      <c r="BU783" s="447" t="s">
        <v>2134</v>
      </c>
      <c r="BV783" s="565">
        <f>ROUND((123332.22+1745.27)/1.06,2)-BV745</f>
        <v>54362.450000000004</v>
      </c>
      <c r="BW783" s="462">
        <f t="shared" si="431"/>
        <v>0</v>
      </c>
      <c r="BZ783" s="462">
        <f t="shared" si="432"/>
        <v>0</v>
      </c>
      <c r="CD783" s="418" t="str">
        <f t="shared" si="425"/>
        <v>CU1345001</v>
      </c>
      <c r="CE783" s="442" t="str">
        <f t="shared" si="426"/>
        <v>2020年9月</v>
      </c>
      <c r="CF783" s="418" t="str">
        <f t="shared" si="427"/>
        <v>上海创米科clife服务费暂估</v>
      </c>
      <c r="CG783" s="418" t="str">
        <f t="shared" si="428"/>
        <v>2020年9月上海创米科clife服务费暂估</v>
      </c>
    </row>
    <row r="784" spans="2:85" ht="17.25" customHeight="1">
      <c r="B784" s="541" t="str">
        <f t="shared" si="433"/>
        <v>CU1354</v>
      </c>
      <c r="C784" s="564" t="s">
        <v>755</v>
      </c>
      <c r="D784" s="541" t="s">
        <v>1723</v>
      </c>
      <c r="E784" s="543" t="s">
        <v>1840</v>
      </c>
      <c r="F784" s="540">
        <v>44075</v>
      </c>
      <c r="G784" s="501">
        <v>74507.39</v>
      </c>
      <c r="K784" s="363"/>
      <c r="L784" s="565"/>
      <c r="M784" s="565"/>
      <c r="O784" s="565"/>
      <c r="Q784" s="363"/>
      <c r="R784" s="565"/>
      <c r="U784" s="565"/>
      <c r="X784" s="565"/>
      <c r="AA784" s="565"/>
      <c r="AD784" s="565"/>
      <c r="AG784" s="565"/>
      <c r="AJ784" s="565"/>
      <c r="AM784" s="565"/>
      <c r="AP784" s="565"/>
      <c r="AS784" s="424"/>
      <c r="AV784" s="565"/>
      <c r="AY784" s="565"/>
      <c r="BB784" s="565"/>
      <c r="BE784" s="565"/>
      <c r="BH784" s="565"/>
      <c r="BK784" s="565"/>
      <c r="BN784" s="565"/>
      <c r="BQ784" s="462">
        <f t="shared" si="429"/>
        <v>74507.39</v>
      </c>
      <c r="BT784" s="462">
        <f t="shared" si="430"/>
        <v>74507.39</v>
      </c>
      <c r="BU784" s="447" t="s">
        <v>2134</v>
      </c>
      <c r="BW784" s="462">
        <f t="shared" si="431"/>
        <v>74507.39</v>
      </c>
      <c r="BZ784" s="462">
        <f t="shared" si="432"/>
        <v>74507.39</v>
      </c>
      <c r="CD784" s="418" t="str">
        <f t="shared" si="425"/>
        <v>CU1354001</v>
      </c>
      <c r="CE784" s="442" t="str">
        <f t="shared" si="426"/>
        <v>2020年9月</v>
      </c>
      <c r="CF784" s="418" t="str">
        <f t="shared" si="427"/>
        <v>威内源企业clife服务费暂估</v>
      </c>
      <c r="CG784" s="418" t="str">
        <f t="shared" si="428"/>
        <v>2020年9月威内源企业clife服务费暂估</v>
      </c>
    </row>
    <row r="785" spans="2:85" ht="17.25" customHeight="1">
      <c r="B785" s="541" t="str">
        <f t="shared" si="433"/>
        <v>CU1375</v>
      </c>
      <c r="C785" s="564" t="s">
        <v>755</v>
      </c>
      <c r="D785" s="541" t="s">
        <v>1677</v>
      </c>
      <c r="E785" s="543" t="s">
        <v>1676</v>
      </c>
      <c r="F785" s="540">
        <v>44075</v>
      </c>
      <c r="G785" s="501">
        <v>15441.51</v>
      </c>
      <c r="K785" s="363"/>
      <c r="L785" s="565"/>
      <c r="M785" s="565"/>
      <c r="O785" s="565"/>
      <c r="Q785" s="363"/>
      <c r="R785" s="565"/>
      <c r="U785" s="565"/>
      <c r="X785" s="565"/>
      <c r="AA785" s="565"/>
      <c r="AD785" s="565"/>
      <c r="AG785" s="565"/>
      <c r="AJ785" s="565"/>
      <c r="AM785" s="565"/>
      <c r="AP785" s="565"/>
      <c r="AS785" s="424"/>
      <c r="AV785" s="565"/>
      <c r="AY785" s="565"/>
      <c r="BB785" s="565"/>
      <c r="BE785" s="565"/>
      <c r="BH785" s="565"/>
      <c r="BK785" s="565"/>
      <c r="BN785" s="565"/>
      <c r="BQ785" s="462">
        <f t="shared" si="429"/>
        <v>15441.51</v>
      </c>
      <c r="BT785" s="462">
        <f t="shared" si="430"/>
        <v>15441.51</v>
      </c>
      <c r="BU785" s="447" t="s">
        <v>2134</v>
      </c>
      <c r="BW785" s="462">
        <f t="shared" si="431"/>
        <v>15441.51</v>
      </c>
      <c r="BZ785" s="462">
        <f t="shared" si="432"/>
        <v>15441.51</v>
      </c>
      <c r="CD785" s="418" t="str">
        <f t="shared" si="425"/>
        <v>CU1375001</v>
      </c>
      <c r="CE785" s="442" t="str">
        <f t="shared" si="426"/>
        <v>2020年9月</v>
      </c>
      <c r="CF785" s="418" t="str">
        <f t="shared" si="427"/>
        <v>上海库润信clife服务费暂估</v>
      </c>
      <c r="CG785" s="418" t="str">
        <f t="shared" si="428"/>
        <v>2020年9月上海库润信clife服务费暂估</v>
      </c>
    </row>
    <row r="786" spans="2:85" ht="17.25" customHeight="1">
      <c r="B786" s="541" t="str">
        <f t="shared" si="433"/>
        <v>CU1705</v>
      </c>
      <c r="C786" s="564" t="s">
        <v>755</v>
      </c>
      <c r="D786" s="541" t="s">
        <v>1848</v>
      </c>
      <c r="E786" s="543" t="s">
        <v>1845</v>
      </c>
      <c r="F786" s="540">
        <v>44075</v>
      </c>
      <c r="G786" s="501">
        <v>71091.98</v>
      </c>
      <c r="K786" s="363"/>
      <c r="L786" s="565"/>
      <c r="M786" s="565"/>
      <c r="O786" s="565"/>
      <c r="Q786" s="363"/>
      <c r="R786" s="565"/>
      <c r="U786" s="565"/>
      <c r="X786" s="565"/>
      <c r="AA786" s="565"/>
      <c r="AD786" s="565"/>
      <c r="AG786" s="565"/>
      <c r="AJ786" s="565"/>
      <c r="AM786" s="565"/>
      <c r="AP786" s="565"/>
      <c r="AS786" s="424"/>
      <c r="AV786" s="565"/>
      <c r="AY786" s="565"/>
      <c r="BB786" s="565"/>
      <c r="BE786" s="565"/>
      <c r="BH786" s="565"/>
      <c r="BK786" s="565"/>
      <c r="BN786" s="565"/>
      <c r="BQ786" s="462">
        <f t="shared" si="429"/>
        <v>71091.98</v>
      </c>
      <c r="BT786" s="462">
        <f t="shared" si="430"/>
        <v>71091.98</v>
      </c>
      <c r="BU786" s="447" t="s">
        <v>2134</v>
      </c>
      <c r="BW786" s="462">
        <f t="shared" si="431"/>
        <v>71091.98</v>
      </c>
      <c r="BZ786" s="462">
        <f t="shared" si="432"/>
        <v>71091.98</v>
      </c>
      <c r="CD786" s="418" t="str">
        <f t="shared" si="425"/>
        <v>CU1705001</v>
      </c>
      <c r="CE786" s="442" t="str">
        <f t="shared" si="426"/>
        <v>2020年9月</v>
      </c>
      <c r="CF786" s="418" t="str">
        <f t="shared" si="427"/>
        <v>通标标准技clife服务费暂估</v>
      </c>
      <c r="CG786" s="418" t="str">
        <f t="shared" si="428"/>
        <v>2020年9月通标标准技clife服务费暂估</v>
      </c>
    </row>
    <row r="787" spans="2:85" ht="17.25" customHeight="1">
      <c r="B787" s="541" t="str">
        <f t="shared" si="433"/>
        <v>CU1745</v>
      </c>
      <c r="C787" s="564" t="s">
        <v>755</v>
      </c>
      <c r="D787" s="541" t="s">
        <v>1875</v>
      </c>
      <c r="E787" s="543" t="s">
        <v>2211</v>
      </c>
      <c r="F787" s="540">
        <v>44075</v>
      </c>
      <c r="G787" s="501">
        <v>811.07</v>
      </c>
      <c r="K787" s="363"/>
      <c r="L787" s="565"/>
      <c r="M787" s="565"/>
      <c r="O787" s="565"/>
      <c r="Q787" s="363"/>
      <c r="R787" s="565"/>
      <c r="U787" s="565"/>
      <c r="X787" s="565"/>
      <c r="AA787" s="565"/>
      <c r="AD787" s="565"/>
      <c r="AG787" s="565"/>
      <c r="AJ787" s="565"/>
      <c r="AM787" s="565"/>
      <c r="AP787" s="565"/>
      <c r="AS787" s="424"/>
      <c r="AV787" s="565"/>
      <c r="AY787" s="565"/>
      <c r="BB787" s="565"/>
      <c r="BE787" s="565"/>
      <c r="BH787" s="565"/>
      <c r="BK787" s="565"/>
      <c r="BN787" s="565"/>
      <c r="BQ787" s="462">
        <f t="shared" si="429"/>
        <v>811.07</v>
      </c>
      <c r="BT787" s="462">
        <f t="shared" si="430"/>
        <v>811.07</v>
      </c>
      <c r="BU787" s="447" t="s">
        <v>2134</v>
      </c>
      <c r="BW787" s="462">
        <f t="shared" si="431"/>
        <v>811.07</v>
      </c>
      <c r="BZ787" s="462">
        <f t="shared" si="432"/>
        <v>811.07</v>
      </c>
      <c r="CD787" s="418" t="str">
        <f t="shared" si="425"/>
        <v>CU1745001</v>
      </c>
      <c r="CE787" s="442" t="str">
        <f t="shared" si="426"/>
        <v>2020年9月</v>
      </c>
      <c r="CF787" s="418" t="str">
        <f t="shared" si="427"/>
        <v>格林机床（clife服务费暂估</v>
      </c>
      <c r="CG787" s="418" t="str">
        <f t="shared" si="428"/>
        <v>2020年9月格林机床（clife服务费暂估</v>
      </c>
    </row>
    <row r="788" spans="2:85" ht="17.25" customHeight="1">
      <c r="B788" s="541" t="str">
        <f t="shared" si="433"/>
        <v>CU1863</v>
      </c>
      <c r="C788" s="564" t="s">
        <v>755</v>
      </c>
      <c r="D788" s="541" t="s">
        <v>2337</v>
      </c>
      <c r="E788" s="543" t="s">
        <v>2334</v>
      </c>
      <c r="F788" s="540">
        <v>44075</v>
      </c>
      <c r="G788" s="501">
        <v>138698.49</v>
      </c>
      <c r="K788" s="363"/>
      <c r="L788" s="565"/>
      <c r="M788" s="565"/>
      <c r="O788" s="565"/>
      <c r="Q788" s="363"/>
      <c r="R788" s="565"/>
      <c r="U788" s="565"/>
      <c r="X788" s="565"/>
      <c r="AA788" s="565"/>
      <c r="AD788" s="565"/>
      <c r="AG788" s="565"/>
      <c r="AJ788" s="565"/>
      <c r="AM788" s="565"/>
      <c r="AP788" s="565"/>
      <c r="AS788" s="424"/>
      <c r="AV788" s="565"/>
      <c r="AY788" s="565"/>
      <c r="BB788" s="565"/>
      <c r="BE788" s="565"/>
      <c r="BH788" s="565"/>
      <c r="BK788" s="565"/>
      <c r="BN788" s="565"/>
      <c r="BQ788" s="462">
        <f t="shared" si="429"/>
        <v>138698.49</v>
      </c>
      <c r="BT788" s="462">
        <f t="shared" si="430"/>
        <v>138698.49</v>
      </c>
      <c r="BU788" s="447" t="s">
        <v>2134</v>
      </c>
      <c r="BV788" s="363">
        <f>ROUND(102418.29/1.06,2)-37188.65+79266.11</f>
        <v>138698.49</v>
      </c>
      <c r="BW788" s="462">
        <f t="shared" si="431"/>
        <v>0</v>
      </c>
      <c r="BZ788" s="462">
        <f t="shared" si="432"/>
        <v>0</v>
      </c>
      <c r="CD788" s="418" t="str">
        <f t="shared" si="425"/>
        <v>CU1863001</v>
      </c>
      <c r="CE788" s="442" t="str">
        <f t="shared" si="426"/>
        <v>2020年9月</v>
      </c>
      <c r="CF788" s="418" t="str">
        <f t="shared" si="427"/>
        <v>浙江正泰新clife服务费暂估</v>
      </c>
      <c r="CG788" s="418" t="str">
        <f t="shared" si="428"/>
        <v>2020年9月浙江正泰新clife服务费暂估</v>
      </c>
    </row>
    <row r="789" spans="2:85" ht="17.25" customHeight="1">
      <c r="B789" s="541" t="str">
        <f t="shared" si="433"/>
        <v>CU1874</v>
      </c>
      <c r="C789" s="564" t="s">
        <v>755</v>
      </c>
      <c r="D789" s="541" t="s">
        <v>2142</v>
      </c>
      <c r="E789" s="543" t="s">
        <v>2214</v>
      </c>
      <c r="F789" s="540">
        <v>44075</v>
      </c>
      <c r="G789" s="501">
        <v>161443.57999999999</v>
      </c>
      <c r="K789" s="363"/>
      <c r="L789" s="565"/>
      <c r="M789" s="565"/>
      <c r="O789" s="565"/>
      <c r="Q789" s="363"/>
      <c r="R789" s="565"/>
      <c r="U789" s="565"/>
      <c r="X789" s="565"/>
      <c r="AA789" s="565"/>
      <c r="AD789" s="565"/>
      <c r="AG789" s="565"/>
      <c r="AJ789" s="565"/>
      <c r="AM789" s="565"/>
      <c r="AP789" s="565"/>
      <c r="AS789" s="424"/>
      <c r="AV789" s="565"/>
      <c r="AY789" s="565"/>
      <c r="BB789" s="565"/>
      <c r="BE789" s="565"/>
      <c r="BH789" s="565"/>
      <c r="BK789" s="565"/>
      <c r="BN789" s="565"/>
      <c r="BQ789" s="462">
        <f t="shared" si="429"/>
        <v>161443.57999999999</v>
      </c>
      <c r="BS789" s="565">
        <f>ROUND(230884.4/1.06,2)-BS693-BS721</f>
        <v>115452.48000000001</v>
      </c>
      <c r="BT789" s="462">
        <f t="shared" si="430"/>
        <v>45991.1</v>
      </c>
      <c r="BU789" s="447" t="s">
        <v>2134</v>
      </c>
      <c r="BW789" s="462">
        <f t="shared" si="431"/>
        <v>45991.1</v>
      </c>
      <c r="BZ789" s="462">
        <f t="shared" si="432"/>
        <v>45991.1</v>
      </c>
      <c r="CD789" s="418" t="str">
        <f t="shared" si="425"/>
        <v>CU1874001</v>
      </c>
      <c r="CE789" s="442" t="str">
        <f t="shared" si="426"/>
        <v>2020年9月</v>
      </c>
      <c r="CF789" s="418" t="str">
        <f t="shared" si="427"/>
        <v>富祥塑胶制clife服务费暂估</v>
      </c>
      <c r="CG789" s="418" t="str">
        <f t="shared" si="428"/>
        <v>2020年9月富祥塑胶制clife服务费暂估</v>
      </c>
    </row>
    <row r="790" spans="2:85" ht="17.25" customHeight="1">
      <c r="B790" s="541" t="str">
        <f t="shared" si="433"/>
        <v>CU1875</v>
      </c>
      <c r="C790" s="564" t="s">
        <v>755</v>
      </c>
      <c r="D790" s="541" t="s">
        <v>2387</v>
      </c>
      <c r="E790" s="543" t="s">
        <v>2381</v>
      </c>
      <c r="F790" s="540">
        <v>44075</v>
      </c>
      <c r="G790" s="501">
        <v>27000</v>
      </c>
      <c r="K790" s="363"/>
      <c r="L790" s="565"/>
      <c r="M790" s="565"/>
      <c r="O790" s="565"/>
      <c r="Q790" s="363"/>
      <c r="R790" s="565"/>
      <c r="U790" s="565"/>
      <c r="X790" s="565"/>
      <c r="AA790" s="565"/>
      <c r="AD790" s="565"/>
      <c r="AG790" s="565"/>
      <c r="AJ790" s="565"/>
      <c r="AM790" s="565"/>
      <c r="AP790" s="565"/>
      <c r="AS790" s="424"/>
      <c r="AV790" s="565"/>
      <c r="AY790" s="565"/>
      <c r="BB790" s="565"/>
      <c r="BE790" s="565"/>
      <c r="BH790" s="565"/>
      <c r="BK790" s="565"/>
      <c r="BN790" s="565"/>
      <c r="BQ790" s="462">
        <f t="shared" si="429"/>
        <v>27000</v>
      </c>
      <c r="BT790" s="462">
        <f t="shared" si="430"/>
        <v>27000</v>
      </c>
      <c r="BU790" s="447" t="s">
        <v>2134</v>
      </c>
      <c r="BW790" s="462">
        <f t="shared" si="431"/>
        <v>27000</v>
      </c>
      <c r="BZ790" s="462">
        <f t="shared" si="432"/>
        <v>27000</v>
      </c>
      <c r="CD790" s="418" t="str">
        <f t="shared" si="425"/>
        <v>CU1875001</v>
      </c>
      <c r="CE790" s="442" t="str">
        <f t="shared" si="426"/>
        <v>2020年9月</v>
      </c>
      <c r="CF790" s="418" t="str">
        <f t="shared" si="427"/>
        <v>上海孚创实clife服务费暂估</v>
      </c>
      <c r="CG790" s="418" t="str">
        <f t="shared" si="428"/>
        <v>2020年9月上海孚创实clife服务费暂估</v>
      </c>
    </row>
    <row r="791" spans="2:85" ht="17.25" customHeight="1">
      <c r="B791" s="541" t="str">
        <f t="shared" si="433"/>
        <v>CU1914</v>
      </c>
      <c r="C791" s="564" t="s">
        <v>755</v>
      </c>
      <c r="D791" s="541" t="s">
        <v>2388</v>
      </c>
      <c r="E791" s="543" t="s">
        <v>2382</v>
      </c>
      <c r="F791" s="540">
        <v>44075</v>
      </c>
      <c r="G791" s="501">
        <v>5773.58</v>
      </c>
      <c r="K791" s="363"/>
      <c r="L791" s="565"/>
      <c r="M791" s="565"/>
      <c r="O791" s="565"/>
      <c r="Q791" s="363"/>
      <c r="R791" s="565"/>
      <c r="U791" s="565"/>
      <c r="X791" s="565"/>
      <c r="AA791" s="565"/>
      <c r="AD791" s="565"/>
      <c r="AG791" s="565"/>
      <c r="AJ791" s="565"/>
      <c r="AM791" s="565"/>
      <c r="AP791" s="565"/>
      <c r="AS791" s="424"/>
      <c r="AV791" s="565"/>
      <c r="AY791" s="565"/>
      <c r="BB791" s="565"/>
      <c r="BE791" s="565"/>
      <c r="BH791" s="565"/>
      <c r="BK791" s="565"/>
      <c r="BN791" s="565"/>
      <c r="BQ791" s="462">
        <f t="shared" si="429"/>
        <v>5773.58</v>
      </c>
      <c r="BS791" s="363">
        <v>5570</v>
      </c>
      <c r="BT791" s="462">
        <f t="shared" si="430"/>
        <v>203.58</v>
      </c>
      <c r="BU791" s="447" t="s">
        <v>2134</v>
      </c>
      <c r="BW791" s="462">
        <f t="shared" si="431"/>
        <v>203.58</v>
      </c>
      <c r="BZ791" s="462">
        <f t="shared" si="432"/>
        <v>203.58</v>
      </c>
      <c r="CD791" s="418" t="str">
        <f t="shared" si="425"/>
        <v>CU1914001</v>
      </c>
      <c r="CE791" s="442" t="str">
        <f t="shared" si="426"/>
        <v>2020年9月</v>
      </c>
      <c r="CF791" s="418" t="str">
        <f t="shared" si="427"/>
        <v>南京源堡科clife服务费暂估</v>
      </c>
      <c r="CG791" s="418" t="str">
        <f t="shared" si="428"/>
        <v>2020年9月南京源堡科clife服务费暂估</v>
      </c>
    </row>
    <row r="792" spans="2:85" ht="17.25" customHeight="1">
      <c r="B792" s="541" t="str">
        <f t="shared" si="433"/>
        <v>CU1954</v>
      </c>
      <c r="C792" s="564" t="s">
        <v>755</v>
      </c>
      <c r="D792" s="541" t="s">
        <v>2282</v>
      </c>
      <c r="E792" s="543" t="s">
        <v>2288</v>
      </c>
      <c r="F792" s="540">
        <v>44075</v>
      </c>
      <c r="G792" s="501">
        <v>484805.8</v>
      </c>
      <c r="K792" s="363"/>
      <c r="L792" s="565"/>
      <c r="M792" s="565"/>
      <c r="O792" s="565"/>
      <c r="Q792" s="363"/>
      <c r="R792" s="565"/>
      <c r="U792" s="565"/>
      <c r="X792" s="565"/>
      <c r="AA792" s="565"/>
      <c r="AD792" s="565"/>
      <c r="AG792" s="565"/>
      <c r="AJ792" s="565"/>
      <c r="AM792" s="565"/>
      <c r="AP792" s="565"/>
      <c r="AS792" s="424"/>
      <c r="AV792" s="565"/>
      <c r="AY792" s="565"/>
      <c r="BB792" s="565"/>
      <c r="BE792" s="565"/>
      <c r="BH792" s="565"/>
      <c r="BK792" s="565"/>
      <c r="BN792" s="565"/>
      <c r="BQ792" s="462">
        <f t="shared" si="429"/>
        <v>484805.8</v>
      </c>
      <c r="BT792" s="462">
        <f t="shared" si="430"/>
        <v>484805.8</v>
      </c>
      <c r="BU792" s="447" t="s">
        <v>2134</v>
      </c>
      <c r="BV792" s="565">
        <f>ROUND((189356.65+2679.58)/1.06,2)-BV694</f>
        <v>3809.6900000000023</v>
      </c>
      <c r="BW792" s="462">
        <f t="shared" si="431"/>
        <v>480996.11</v>
      </c>
      <c r="BY792" s="363">
        <f>ROUND(231138.31/1.06,2)</f>
        <v>218055.01</v>
      </c>
      <c r="BZ792" s="462">
        <f t="shared" si="432"/>
        <v>262941.09999999998</v>
      </c>
      <c r="CD792" s="418" t="str">
        <f t="shared" si="425"/>
        <v>CU1954001</v>
      </c>
      <c r="CE792" s="442" t="str">
        <f t="shared" si="426"/>
        <v>2020年9月</v>
      </c>
      <c r="CF792" s="418" t="str">
        <f t="shared" si="427"/>
        <v>辉正（上海clife服务费暂估</v>
      </c>
      <c r="CG792" s="418" t="str">
        <f t="shared" si="428"/>
        <v>2020年9月辉正（上海clife服务费暂估</v>
      </c>
    </row>
    <row r="793" spans="2:85" ht="17.25" customHeight="1">
      <c r="B793" s="541" t="str">
        <f t="shared" si="433"/>
        <v>CU1961</v>
      </c>
      <c r="C793" s="564" t="s">
        <v>755</v>
      </c>
      <c r="D793" s="541" t="s">
        <v>2283</v>
      </c>
      <c r="E793" s="543" t="s">
        <v>2289</v>
      </c>
      <c r="F793" s="540">
        <v>44075</v>
      </c>
      <c r="G793" s="501">
        <v>16589.419999999998</v>
      </c>
      <c r="K793" s="363"/>
      <c r="L793" s="565"/>
      <c r="M793" s="565"/>
      <c r="O793" s="565"/>
      <c r="Q793" s="363"/>
      <c r="R793" s="565"/>
      <c r="U793" s="565"/>
      <c r="X793" s="565"/>
      <c r="AA793" s="565"/>
      <c r="AD793" s="565"/>
      <c r="AG793" s="565"/>
      <c r="AJ793" s="565"/>
      <c r="AM793" s="565"/>
      <c r="AP793" s="565"/>
      <c r="AS793" s="424"/>
      <c r="AV793" s="565"/>
      <c r="AY793" s="565"/>
      <c r="BB793" s="565"/>
      <c r="BE793" s="565"/>
      <c r="BH793" s="565"/>
      <c r="BK793" s="565"/>
      <c r="BN793" s="565"/>
      <c r="BQ793" s="462">
        <f t="shared" si="429"/>
        <v>16589.419999999998</v>
      </c>
      <c r="BT793" s="462">
        <f t="shared" si="430"/>
        <v>16589.419999999998</v>
      </c>
      <c r="BU793" s="447" t="s">
        <v>2134</v>
      </c>
      <c r="BW793" s="462">
        <f t="shared" si="431"/>
        <v>16589.419999999998</v>
      </c>
      <c r="BZ793" s="462">
        <f t="shared" si="432"/>
        <v>16589.419999999998</v>
      </c>
      <c r="CD793" s="418" t="str">
        <f t="shared" si="425"/>
        <v>CU1961001</v>
      </c>
      <c r="CE793" s="442" t="str">
        <f t="shared" si="426"/>
        <v>2020年9月</v>
      </c>
      <c r="CF793" s="418" t="str">
        <f t="shared" si="427"/>
        <v>澳龙信息科clife服务费暂估</v>
      </c>
      <c r="CG793" s="418" t="str">
        <f t="shared" si="428"/>
        <v>2020年9月澳龙信息科clife服务费暂估</v>
      </c>
    </row>
    <row r="794" spans="2:85" ht="17.25" customHeight="1">
      <c r="B794" s="541" t="str">
        <f t="shared" si="424"/>
        <v>CU2010</v>
      </c>
      <c r="C794" s="564" t="s">
        <v>755</v>
      </c>
      <c r="D794" s="541" t="s">
        <v>2355</v>
      </c>
      <c r="E794" s="543" t="s">
        <v>2352</v>
      </c>
      <c r="F794" s="540">
        <v>44075</v>
      </c>
      <c r="G794" s="501">
        <v>38016.28</v>
      </c>
      <c r="K794" s="363"/>
      <c r="L794" s="565"/>
      <c r="M794" s="565"/>
      <c r="O794" s="565"/>
      <c r="Q794" s="363"/>
      <c r="R794" s="565"/>
      <c r="U794" s="565"/>
      <c r="X794" s="565"/>
      <c r="AA794" s="565"/>
      <c r="AD794" s="565"/>
      <c r="AG794" s="565"/>
      <c r="AJ794" s="565"/>
      <c r="AM794" s="565"/>
      <c r="AP794" s="565"/>
      <c r="AS794" s="424"/>
      <c r="AV794" s="565"/>
      <c r="AY794" s="565"/>
      <c r="BB794" s="565"/>
      <c r="BE794" s="565"/>
      <c r="BH794" s="565"/>
      <c r="BK794" s="565"/>
      <c r="BN794" s="565"/>
      <c r="BQ794" s="462">
        <f t="shared" si="429"/>
        <v>38016.28</v>
      </c>
      <c r="BT794" s="462">
        <f t="shared" si="430"/>
        <v>38016.28</v>
      </c>
      <c r="BU794" s="447" t="s">
        <v>2134</v>
      </c>
      <c r="BW794" s="462">
        <f t="shared" si="431"/>
        <v>38016.28</v>
      </c>
      <c r="BZ794" s="462">
        <f t="shared" si="432"/>
        <v>38016.28</v>
      </c>
      <c r="CD794" s="418" t="str">
        <f t="shared" si="425"/>
        <v>CU2010001</v>
      </c>
      <c r="CE794" s="442" t="str">
        <f t="shared" si="426"/>
        <v>2020年9月</v>
      </c>
      <c r="CF794" s="418" t="str">
        <f t="shared" si="427"/>
        <v>迈康尼电子clife服务费暂估</v>
      </c>
      <c r="CG794" s="418" t="str">
        <f t="shared" si="428"/>
        <v>2020年9月迈康尼电子clife服务费暂估</v>
      </c>
    </row>
    <row r="795" spans="2:85" ht="17.25" customHeight="1">
      <c r="B795" s="541" t="str">
        <f t="shared" si="424"/>
        <v>CU2031</v>
      </c>
      <c r="C795" s="564" t="s">
        <v>755</v>
      </c>
      <c r="D795" s="541" t="s">
        <v>2389</v>
      </c>
      <c r="E795" s="543" t="s">
        <v>2383</v>
      </c>
      <c r="F795" s="540">
        <v>44075</v>
      </c>
      <c r="G795" s="501">
        <v>103752</v>
      </c>
      <c r="K795" s="363"/>
      <c r="L795" s="565"/>
      <c r="M795" s="565"/>
      <c r="O795" s="565"/>
      <c r="Q795" s="363"/>
      <c r="R795" s="565"/>
      <c r="U795" s="565"/>
      <c r="X795" s="565"/>
      <c r="AA795" s="565"/>
      <c r="AD795" s="565"/>
      <c r="AG795" s="565"/>
      <c r="AJ795" s="565"/>
      <c r="AM795" s="565"/>
      <c r="AP795" s="565"/>
      <c r="AS795" s="424"/>
      <c r="AV795" s="565"/>
      <c r="AY795" s="565"/>
      <c r="BB795" s="565"/>
      <c r="BE795" s="565"/>
      <c r="BH795" s="565"/>
      <c r="BK795" s="565"/>
      <c r="BN795" s="565"/>
      <c r="BQ795" s="462">
        <f t="shared" si="429"/>
        <v>103752</v>
      </c>
      <c r="BT795" s="462">
        <f t="shared" si="430"/>
        <v>103752</v>
      </c>
      <c r="BU795" s="447" t="s">
        <v>2134</v>
      </c>
      <c r="BW795" s="462">
        <f t="shared" si="431"/>
        <v>103752</v>
      </c>
      <c r="BZ795" s="462">
        <f t="shared" si="432"/>
        <v>103752</v>
      </c>
      <c r="CD795" s="418" t="str">
        <f t="shared" si="425"/>
        <v>CU2031001</v>
      </c>
      <c r="CE795" s="442" t="str">
        <f t="shared" si="426"/>
        <v>2020年9月</v>
      </c>
      <c r="CF795" s="418" t="str">
        <f t="shared" si="427"/>
        <v>海虹老人（clife服务费暂估</v>
      </c>
      <c r="CG795" s="418" t="str">
        <f t="shared" si="428"/>
        <v>2020年9月海虹老人（clife服务费暂估</v>
      </c>
    </row>
    <row r="796" spans="2:85" ht="17.25" customHeight="1">
      <c r="B796" s="541" t="str">
        <f t="shared" si="424"/>
        <v>CU2054</v>
      </c>
      <c r="C796" s="564" t="s">
        <v>755</v>
      </c>
      <c r="D796" s="541" t="s">
        <v>2390</v>
      </c>
      <c r="E796" s="543" t="s">
        <v>2384</v>
      </c>
      <c r="F796" s="540">
        <v>44075</v>
      </c>
      <c r="G796" s="501">
        <v>122353.65509433963</v>
      </c>
      <c r="K796" s="363"/>
      <c r="L796" s="565"/>
      <c r="M796" s="565"/>
      <c r="O796" s="565"/>
      <c r="Q796" s="363"/>
      <c r="R796" s="565"/>
      <c r="U796" s="565"/>
      <c r="X796" s="565"/>
      <c r="AA796" s="565"/>
      <c r="AD796" s="565"/>
      <c r="AG796" s="565"/>
      <c r="AJ796" s="565"/>
      <c r="AM796" s="565"/>
      <c r="AP796" s="565"/>
      <c r="AS796" s="424"/>
      <c r="AV796" s="565"/>
      <c r="AY796" s="565"/>
      <c r="BB796" s="565"/>
      <c r="BE796" s="565"/>
      <c r="BH796" s="565"/>
      <c r="BK796" s="565"/>
      <c r="BN796" s="565"/>
      <c r="BQ796" s="462">
        <f t="shared" si="429"/>
        <v>122353.65509433963</v>
      </c>
      <c r="BS796" s="565">
        <f>BQ796</f>
        <v>122353.65509433963</v>
      </c>
      <c r="BT796" s="462">
        <f t="shared" si="430"/>
        <v>0</v>
      </c>
      <c r="BW796" s="462">
        <f t="shared" si="431"/>
        <v>0</v>
      </c>
      <c r="BZ796" s="462">
        <f t="shared" si="432"/>
        <v>0</v>
      </c>
      <c r="CD796" s="418" t="str">
        <f t="shared" si="425"/>
        <v>CU2054001</v>
      </c>
      <c r="CE796" s="442" t="str">
        <f t="shared" si="426"/>
        <v>2020年9月</v>
      </c>
      <c r="CF796" s="418" t="str">
        <f t="shared" si="427"/>
        <v>易格斯（上clife服务费暂估</v>
      </c>
      <c r="CG796" s="418" t="str">
        <f t="shared" si="428"/>
        <v>2020年9月易格斯（上clife服务费暂估</v>
      </c>
    </row>
    <row r="797" spans="2:85" ht="17.25" customHeight="1">
      <c r="B797" s="541" t="str">
        <f t="shared" si="424"/>
        <v>CU2092</v>
      </c>
      <c r="C797" s="564" t="s">
        <v>755</v>
      </c>
      <c r="D797" s="541" t="s">
        <v>2391</v>
      </c>
      <c r="E797" s="543" t="s">
        <v>2385</v>
      </c>
      <c r="F797" s="540">
        <v>44075</v>
      </c>
      <c r="G797" s="501">
        <v>3600</v>
      </c>
      <c r="K797" s="363"/>
      <c r="L797" s="565"/>
      <c r="M797" s="565"/>
      <c r="O797" s="565"/>
      <c r="Q797" s="363"/>
      <c r="R797" s="565"/>
      <c r="U797" s="565"/>
      <c r="X797" s="565"/>
      <c r="AA797" s="565"/>
      <c r="AD797" s="565"/>
      <c r="AG797" s="565"/>
      <c r="AJ797" s="565"/>
      <c r="AM797" s="565"/>
      <c r="AP797" s="565"/>
      <c r="AS797" s="424"/>
      <c r="AV797" s="565"/>
      <c r="AY797" s="565"/>
      <c r="BB797" s="565"/>
      <c r="BE797" s="565"/>
      <c r="BH797" s="565"/>
      <c r="BK797" s="565"/>
      <c r="BN797" s="565"/>
      <c r="BQ797" s="462">
        <f t="shared" si="429"/>
        <v>3600</v>
      </c>
      <c r="BT797" s="462">
        <f t="shared" si="430"/>
        <v>3600</v>
      </c>
      <c r="BU797" s="447" t="s">
        <v>2134</v>
      </c>
      <c r="BW797" s="462">
        <f t="shared" si="431"/>
        <v>3600</v>
      </c>
      <c r="BZ797" s="462">
        <f t="shared" si="432"/>
        <v>3600</v>
      </c>
      <c r="CD797" s="418" t="str">
        <f t="shared" si="425"/>
        <v>CU2092001</v>
      </c>
      <c r="CE797" s="442" t="str">
        <f t="shared" si="426"/>
        <v>2020年9月</v>
      </c>
      <c r="CF797" s="418" t="str">
        <f t="shared" si="427"/>
        <v>宿迁孚晟信clife服务费暂估</v>
      </c>
      <c r="CG797" s="418" t="str">
        <f t="shared" si="428"/>
        <v>2020年9月宿迁孚晟信clife服务费暂估</v>
      </c>
    </row>
    <row r="798" spans="2:85" ht="17.25" customHeight="1">
      <c r="B798" s="541" t="str">
        <f t="shared" si="424"/>
        <v>CU0017</v>
      </c>
      <c r="C798" s="564" t="s">
        <v>755</v>
      </c>
      <c r="D798" s="541" t="s">
        <v>2024</v>
      </c>
      <c r="E798" s="543" t="s">
        <v>2018</v>
      </c>
      <c r="F798" s="540">
        <v>44105</v>
      </c>
      <c r="G798" s="501">
        <v>50</v>
      </c>
      <c r="K798" s="363"/>
      <c r="L798" s="565"/>
      <c r="M798" s="565"/>
      <c r="O798" s="565"/>
      <c r="Q798" s="363"/>
      <c r="R798" s="565"/>
      <c r="U798" s="565"/>
      <c r="X798" s="565"/>
      <c r="AA798" s="565"/>
      <c r="AD798" s="565"/>
      <c r="AG798" s="565"/>
      <c r="AJ798" s="565"/>
      <c r="AM798" s="565"/>
      <c r="AP798" s="565"/>
      <c r="AS798" s="424"/>
      <c r="AV798" s="565"/>
      <c r="AY798" s="565"/>
      <c r="BB798" s="565"/>
      <c r="BE798" s="565"/>
      <c r="BH798" s="565"/>
      <c r="BK798" s="565"/>
      <c r="BN798" s="565"/>
      <c r="BQ798" s="462"/>
      <c r="BT798" s="462">
        <f>G798</f>
        <v>50</v>
      </c>
      <c r="BU798" s="447" t="s">
        <v>2134</v>
      </c>
      <c r="BW798" s="462">
        <f t="shared" si="431"/>
        <v>50</v>
      </c>
      <c r="BZ798" s="462">
        <f t="shared" si="432"/>
        <v>50</v>
      </c>
      <c r="CD798" s="418" t="str">
        <f t="shared" si="425"/>
        <v>CU0017001</v>
      </c>
      <c r="CE798" s="442" t="str">
        <f t="shared" si="426"/>
        <v>2020年10月</v>
      </c>
      <c r="CF798" s="418" t="str">
        <f t="shared" si="427"/>
        <v>易趋宏挤压clife服务费暂估</v>
      </c>
      <c r="CG798" s="418" t="str">
        <f t="shared" si="428"/>
        <v>2020年10月易趋宏挤压clife服务费暂估</v>
      </c>
    </row>
    <row r="799" spans="2:85" ht="17.25" customHeight="1">
      <c r="B799" s="541" t="str">
        <f t="shared" ref="B799:B867" si="434">LEFT(D799,6)</f>
        <v>CU0109</v>
      </c>
      <c r="C799" s="564" t="s">
        <v>755</v>
      </c>
      <c r="D799" s="541" t="s">
        <v>1642</v>
      </c>
      <c r="E799" s="543" t="s">
        <v>34</v>
      </c>
      <c r="F799" s="540">
        <v>44105</v>
      </c>
      <c r="G799" s="501">
        <v>24147.59</v>
      </c>
      <c r="K799" s="363"/>
      <c r="L799" s="565"/>
      <c r="M799" s="565"/>
      <c r="O799" s="565"/>
      <c r="Q799" s="363"/>
      <c r="R799" s="565"/>
      <c r="U799" s="565"/>
      <c r="X799" s="565"/>
      <c r="AA799" s="565"/>
      <c r="AD799" s="565"/>
      <c r="AG799" s="565"/>
      <c r="AJ799" s="565"/>
      <c r="AM799" s="565"/>
      <c r="AP799" s="565"/>
      <c r="AS799" s="424"/>
      <c r="AV799" s="565"/>
      <c r="AY799" s="565"/>
      <c r="BB799" s="565"/>
      <c r="BE799" s="565"/>
      <c r="BH799" s="565"/>
      <c r="BK799" s="565"/>
      <c r="BN799" s="565"/>
      <c r="BQ799" s="462"/>
      <c r="BT799" s="462">
        <f t="shared" ref="BT799:BT840" si="435">G799</f>
        <v>24147.59</v>
      </c>
      <c r="BU799" s="447" t="s">
        <v>2134</v>
      </c>
      <c r="BW799" s="462">
        <f t="shared" si="431"/>
        <v>24147.59</v>
      </c>
      <c r="BZ799" s="462">
        <f t="shared" si="432"/>
        <v>24147.59</v>
      </c>
      <c r="CD799" s="418" t="str">
        <f t="shared" ref="CD799:CD841" si="436">B799&amp;$B$1</f>
        <v>CU0109001</v>
      </c>
      <c r="CE799" s="442" t="str">
        <f t="shared" ref="CE799:CE841" si="437">YEAR(F799)&amp;"年"&amp;MONTH(F799)&amp;"月"</f>
        <v>2020年10月</v>
      </c>
      <c r="CF799" s="418" t="str">
        <f t="shared" ref="CF799:CF841" si="438">LEFT(E799,5)&amp;$E$1</f>
        <v>普拉达时装clife服务费暂估</v>
      </c>
      <c r="CG799" s="418" t="str">
        <f t="shared" ref="CG799:CG841" si="439">CE799&amp;CF799</f>
        <v>2020年10月普拉达时装clife服务费暂估</v>
      </c>
    </row>
    <row r="800" spans="2:85" ht="17.25" customHeight="1">
      <c r="B800" s="541" t="str">
        <f t="shared" si="434"/>
        <v>CU0148</v>
      </c>
      <c r="C800" s="564" t="s">
        <v>755</v>
      </c>
      <c r="D800" s="541" t="s">
        <v>1574</v>
      </c>
      <c r="E800" s="543" t="s">
        <v>1636</v>
      </c>
      <c r="F800" s="540">
        <v>44105</v>
      </c>
      <c r="G800" s="501">
        <v>9119.43</v>
      </c>
      <c r="K800" s="363"/>
      <c r="L800" s="565"/>
      <c r="M800" s="565"/>
      <c r="O800" s="565"/>
      <c r="Q800" s="363"/>
      <c r="R800" s="565"/>
      <c r="U800" s="565"/>
      <c r="X800" s="565"/>
      <c r="AA800" s="565"/>
      <c r="AD800" s="565"/>
      <c r="AG800" s="565"/>
      <c r="AJ800" s="565"/>
      <c r="AM800" s="565"/>
      <c r="AP800" s="565"/>
      <c r="AS800" s="424"/>
      <c r="AV800" s="565"/>
      <c r="AY800" s="565"/>
      <c r="BB800" s="565"/>
      <c r="BE800" s="565"/>
      <c r="BH800" s="565"/>
      <c r="BK800" s="565"/>
      <c r="BN800" s="565"/>
      <c r="BQ800" s="462"/>
      <c r="BT800" s="462">
        <f t="shared" si="435"/>
        <v>9119.43</v>
      </c>
      <c r="BU800" s="447" t="s">
        <v>2134</v>
      </c>
      <c r="BV800" s="363">
        <f>6233-576.81+3463.24</f>
        <v>9119.43</v>
      </c>
      <c r="BW800" s="462">
        <f t="shared" si="431"/>
        <v>0</v>
      </c>
      <c r="BZ800" s="462">
        <f t="shared" si="432"/>
        <v>0</v>
      </c>
      <c r="CD800" s="418" t="str">
        <f t="shared" si="436"/>
        <v>CU0148001</v>
      </c>
      <c r="CE800" s="442" t="str">
        <f t="shared" si="437"/>
        <v>2020年10月</v>
      </c>
      <c r="CF800" s="418" t="str">
        <f t="shared" si="438"/>
        <v>贝雅投资咨clife服务费暂估</v>
      </c>
      <c r="CG800" s="418" t="str">
        <f t="shared" si="439"/>
        <v>2020年10月贝雅投资咨clife服务费暂估</v>
      </c>
    </row>
    <row r="801" spans="2:85" ht="17.25" customHeight="1">
      <c r="B801" s="541" t="str">
        <f t="shared" si="434"/>
        <v>CU0182</v>
      </c>
      <c r="C801" s="564" t="s">
        <v>755</v>
      </c>
      <c r="D801" s="541" t="s">
        <v>1452</v>
      </c>
      <c r="E801" s="543" t="s">
        <v>821</v>
      </c>
      <c r="F801" s="540">
        <v>44105</v>
      </c>
      <c r="G801" s="501">
        <v>44.339999999999996</v>
      </c>
      <c r="K801" s="363"/>
      <c r="L801" s="565"/>
      <c r="M801" s="565"/>
      <c r="O801" s="565"/>
      <c r="Q801" s="363"/>
      <c r="R801" s="565"/>
      <c r="U801" s="565"/>
      <c r="X801" s="565"/>
      <c r="AA801" s="565"/>
      <c r="AD801" s="565"/>
      <c r="AG801" s="565"/>
      <c r="AJ801" s="565"/>
      <c r="AM801" s="565"/>
      <c r="AP801" s="565"/>
      <c r="AS801" s="424"/>
      <c r="AV801" s="565"/>
      <c r="AY801" s="565"/>
      <c r="BB801" s="565"/>
      <c r="BE801" s="565"/>
      <c r="BH801" s="565"/>
      <c r="BK801" s="565"/>
      <c r="BN801" s="565"/>
      <c r="BQ801" s="462"/>
      <c r="BT801" s="462">
        <f t="shared" si="435"/>
        <v>44.339999999999996</v>
      </c>
      <c r="BU801" s="447" t="s">
        <v>2134</v>
      </c>
      <c r="BW801" s="462">
        <f t="shared" si="431"/>
        <v>44.34</v>
      </c>
      <c r="BZ801" s="462">
        <f t="shared" si="432"/>
        <v>44.34</v>
      </c>
      <c r="CD801" s="418" t="str">
        <f t="shared" si="436"/>
        <v>CU0182001</v>
      </c>
      <c r="CE801" s="442" t="str">
        <f t="shared" si="437"/>
        <v>2020年10月</v>
      </c>
      <c r="CF801" s="418" t="str">
        <f t="shared" si="438"/>
        <v>阿姆斯壮（clife服务费暂估</v>
      </c>
      <c r="CG801" s="418" t="str">
        <f t="shared" si="439"/>
        <v>2020年10月阿姆斯壮（clife服务费暂估</v>
      </c>
    </row>
    <row r="802" spans="2:85" ht="17.25" customHeight="1">
      <c r="B802" s="541" t="str">
        <f t="shared" si="434"/>
        <v>CU0285</v>
      </c>
      <c r="C802" s="564" t="s">
        <v>755</v>
      </c>
      <c r="D802" s="541" t="s">
        <v>1643</v>
      </c>
      <c r="E802" s="543" t="s">
        <v>17</v>
      </c>
      <c r="F802" s="540">
        <v>44105</v>
      </c>
      <c r="G802" s="501">
        <v>9798.2000000000007</v>
      </c>
      <c r="K802" s="363"/>
      <c r="L802" s="565"/>
      <c r="M802" s="565"/>
      <c r="O802" s="565"/>
      <c r="Q802" s="363"/>
      <c r="R802" s="565"/>
      <c r="U802" s="565"/>
      <c r="X802" s="565"/>
      <c r="AA802" s="565"/>
      <c r="AD802" s="565"/>
      <c r="AG802" s="565"/>
      <c r="AJ802" s="565"/>
      <c r="AM802" s="565"/>
      <c r="AP802" s="565"/>
      <c r="AS802" s="424"/>
      <c r="AV802" s="565"/>
      <c r="AY802" s="565"/>
      <c r="BB802" s="565"/>
      <c r="BE802" s="565"/>
      <c r="BH802" s="565"/>
      <c r="BK802" s="565"/>
      <c r="BN802" s="565"/>
      <c r="BQ802" s="462"/>
      <c r="BT802" s="462">
        <f t="shared" si="435"/>
        <v>9798.2000000000007</v>
      </c>
      <c r="BU802" s="447" t="s">
        <v>2134</v>
      </c>
      <c r="BW802" s="462">
        <f t="shared" si="431"/>
        <v>9798.2000000000007</v>
      </c>
      <c r="BZ802" s="462">
        <f t="shared" si="432"/>
        <v>9798.2000000000007</v>
      </c>
      <c r="CD802" s="418" t="str">
        <f t="shared" si="436"/>
        <v>CU0285001</v>
      </c>
      <c r="CE802" s="442" t="str">
        <f t="shared" si="437"/>
        <v>2020年10月</v>
      </c>
      <c r="CF802" s="418" t="str">
        <f t="shared" si="438"/>
        <v>文思海辉技clife服务费暂估</v>
      </c>
      <c r="CG802" s="418" t="str">
        <f t="shared" si="439"/>
        <v>2020年10月文思海辉技clife服务费暂估</v>
      </c>
    </row>
    <row r="803" spans="2:85" ht="17.25" customHeight="1">
      <c r="B803" s="541" t="str">
        <f t="shared" si="434"/>
        <v>CU0289</v>
      </c>
      <c r="C803" s="564" t="s">
        <v>755</v>
      </c>
      <c r="D803" s="541" t="s">
        <v>1644</v>
      </c>
      <c r="E803" s="543" t="s">
        <v>19</v>
      </c>
      <c r="F803" s="540">
        <v>44105</v>
      </c>
      <c r="G803" s="501">
        <v>5989.51</v>
      </c>
      <c r="K803" s="363"/>
      <c r="L803" s="565"/>
      <c r="M803" s="565"/>
      <c r="O803" s="565"/>
      <c r="Q803" s="363"/>
      <c r="R803" s="565"/>
      <c r="U803" s="565"/>
      <c r="X803" s="565"/>
      <c r="AA803" s="565"/>
      <c r="AD803" s="565"/>
      <c r="AG803" s="565"/>
      <c r="AJ803" s="565"/>
      <c r="AM803" s="565"/>
      <c r="AP803" s="565"/>
      <c r="AS803" s="424"/>
      <c r="AV803" s="565"/>
      <c r="AY803" s="565"/>
      <c r="BB803" s="565"/>
      <c r="BE803" s="565"/>
      <c r="BH803" s="565"/>
      <c r="BK803" s="565"/>
      <c r="BN803" s="565"/>
      <c r="BQ803" s="462"/>
      <c r="BT803" s="462">
        <f t="shared" si="435"/>
        <v>5989.51</v>
      </c>
      <c r="BU803" s="447" t="s">
        <v>2134</v>
      </c>
      <c r="BV803" s="462">
        <f>BT803</f>
        <v>5989.51</v>
      </c>
      <c r="BW803" s="462">
        <f t="shared" si="431"/>
        <v>0</v>
      </c>
      <c r="BZ803" s="462">
        <f t="shared" si="432"/>
        <v>0</v>
      </c>
      <c r="CD803" s="418" t="str">
        <f t="shared" si="436"/>
        <v>CU0289001</v>
      </c>
      <c r="CE803" s="442" t="str">
        <f t="shared" si="437"/>
        <v>2020年10月</v>
      </c>
      <c r="CF803" s="418" t="str">
        <f t="shared" si="438"/>
        <v>拉格代尔商clife服务费暂估</v>
      </c>
      <c r="CG803" s="418" t="str">
        <f t="shared" si="439"/>
        <v>2020年10月拉格代尔商clife服务费暂估</v>
      </c>
    </row>
    <row r="804" spans="2:85" ht="17.25" customHeight="1">
      <c r="B804" s="541" t="str">
        <f t="shared" si="434"/>
        <v>CU0296</v>
      </c>
      <c r="C804" s="564" t="s">
        <v>755</v>
      </c>
      <c r="D804" s="541" t="s">
        <v>1988</v>
      </c>
      <c r="E804" s="543" t="s">
        <v>72</v>
      </c>
      <c r="F804" s="540">
        <v>44105</v>
      </c>
      <c r="G804" s="501">
        <v>6.6</v>
      </c>
      <c r="K804" s="363"/>
      <c r="L804" s="565"/>
      <c r="M804" s="565"/>
      <c r="O804" s="565"/>
      <c r="Q804" s="363"/>
      <c r="R804" s="565"/>
      <c r="U804" s="565"/>
      <c r="X804" s="565"/>
      <c r="AA804" s="565"/>
      <c r="AD804" s="565"/>
      <c r="AG804" s="565"/>
      <c r="AJ804" s="565"/>
      <c r="AM804" s="565"/>
      <c r="AP804" s="565"/>
      <c r="AS804" s="424"/>
      <c r="AV804" s="565"/>
      <c r="AY804" s="565"/>
      <c r="BB804" s="565"/>
      <c r="BE804" s="565"/>
      <c r="BH804" s="565"/>
      <c r="BK804" s="565"/>
      <c r="BN804" s="565"/>
      <c r="BQ804" s="462"/>
      <c r="BT804" s="462">
        <f t="shared" si="435"/>
        <v>6.6</v>
      </c>
      <c r="BU804" s="447" t="s">
        <v>2134</v>
      </c>
      <c r="BW804" s="462">
        <f t="shared" si="431"/>
        <v>6.6</v>
      </c>
      <c r="BZ804" s="462">
        <f t="shared" si="432"/>
        <v>6.6</v>
      </c>
      <c r="CD804" s="418" t="str">
        <f t="shared" si="436"/>
        <v>CU0296001</v>
      </c>
      <c r="CE804" s="442" t="str">
        <f t="shared" si="437"/>
        <v>2020年10月</v>
      </c>
      <c r="CF804" s="418" t="str">
        <f t="shared" si="438"/>
        <v>德莎国际货clife服务费暂估</v>
      </c>
      <c r="CG804" s="418" t="str">
        <f t="shared" si="439"/>
        <v>2020年10月德莎国际货clife服务费暂估</v>
      </c>
    </row>
    <row r="805" spans="2:85" ht="17.25" customHeight="1">
      <c r="B805" s="541" t="str">
        <f t="shared" si="434"/>
        <v>CU0460</v>
      </c>
      <c r="C805" s="564" t="s">
        <v>755</v>
      </c>
      <c r="D805" s="541" t="s">
        <v>1646</v>
      </c>
      <c r="E805" s="543" t="s">
        <v>1637</v>
      </c>
      <c r="F805" s="540">
        <v>44105</v>
      </c>
      <c r="G805" s="501">
        <v>1090.57</v>
      </c>
      <c r="K805" s="363"/>
      <c r="L805" s="565"/>
      <c r="M805" s="565"/>
      <c r="O805" s="565"/>
      <c r="Q805" s="363"/>
      <c r="R805" s="565"/>
      <c r="U805" s="565"/>
      <c r="X805" s="565"/>
      <c r="AA805" s="565"/>
      <c r="AD805" s="565"/>
      <c r="AG805" s="565"/>
      <c r="AJ805" s="565"/>
      <c r="AM805" s="565"/>
      <c r="AP805" s="565"/>
      <c r="AS805" s="424"/>
      <c r="AV805" s="565"/>
      <c r="AY805" s="565"/>
      <c r="BB805" s="565"/>
      <c r="BE805" s="565"/>
      <c r="BH805" s="565"/>
      <c r="BK805" s="565"/>
      <c r="BN805" s="565"/>
      <c r="BQ805" s="462"/>
      <c r="BT805" s="462">
        <f t="shared" si="435"/>
        <v>1090.57</v>
      </c>
      <c r="BU805" s="447" t="s">
        <v>2134</v>
      </c>
      <c r="BV805" s="565">
        <f>BT805</f>
        <v>1090.57</v>
      </c>
      <c r="BW805" s="462">
        <f t="shared" si="431"/>
        <v>0</v>
      </c>
      <c r="BZ805" s="462">
        <f t="shared" si="432"/>
        <v>0</v>
      </c>
      <c r="CD805" s="418" t="str">
        <f t="shared" si="436"/>
        <v>CU0460001</v>
      </c>
      <c r="CE805" s="442" t="str">
        <f t="shared" si="437"/>
        <v>2020年10月</v>
      </c>
      <c r="CF805" s="418" t="str">
        <f t="shared" si="438"/>
        <v>新疆金风科clife服务费暂估</v>
      </c>
      <c r="CG805" s="418" t="str">
        <f t="shared" si="439"/>
        <v>2020年10月新疆金风科clife服务费暂估</v>
      </c>
    </row>
    <row r="806" spans="2:85" ht="17.25" customHeight="1">
      <c r="B806" s="541" t="str">
        <f t="shared" si="434"/>
        <v>CU0468</v>
      </c>
      <c r="C806" s="564" t="s">
        <v>755</v>
      </c>
      <c r="D806" s="541" t="s">
        <v>1572</v>
      </c>
      <c r="E806" s="543" t="s">
        <v>128</v>
      </c>
      <c r="F806" s="540">
        <v>44105</v>
      </c>
      <c r="G806" s="501">
        <v>236.79</v>
      </c>
      <c r="K806" s="363"/>
      <c r="L806" s="565"/>
      <c r="M806" s="565"/>
      <c r="O806" s="565"/>
      <c r="Q806" s="363"/>
      <c r="R806" s="565"/>
      <c r="U806" s="565"/>
      <c r="X806" s="565"/>
      <c r="AA806" s="565"/>
      <c r="AD806" s="565"/>
      <c r="AG806" s="565"/>
      <c r="AJ806" s="565"/>
      <c r="AM806" s="565"/>
      <c r="AP806" s="565"/>
      <c r="AS806" s="424"/>
      <c r="AV806" s="565"/>
      <c r="AY806" s="565"/>
      <c r="BB806" s="565"/>
      <c r="BE806" s="565"/>
      <c r="BH806" s="565"/>
      <c r="BK806" s="565"/>
      <c r="BN806" s="565"/>
      <c r="BQ806" s="462"/>
      <c r="BT806" s="462">
        <f t="shared" si="435"/>
        <v>236.79</v>
      </c>
      <c r="BU806" s="447" t="s">
        <v>2134</v>
      </c>
      <c r="BV806" s="565">
        <f>BT806</f>
        <v>236.79</v>
      </c>
      <c r="BW806" s="462">
        <f t="shared" si="431"/>
        <v>0</v>
      </c>
      <c r="BZ806" s="462">
        <f t="shared" si="432"/>
        <v>0</v>
      </c>
      <c r="CD806" s="418" t="str">
        <f t="shared" si="436"/>
        <v>CU0468001</v>
      </c>
      <c r="CE806" s="442" t="str">
        <f t="shared" si="437"/>
        <v>2020年10月</v>
      </c>
      <c r="CF806" s="418" t="str">
        <f t="shared" si="438"/>
        <v>包商银行股clife服务费暂估</v>
      </c>
      <c r="CG806" s="418" t="str">
        <f t="shared" si="439"/>
        <v>2020年10月包商银行股clife服务费暂估</v>
      </c>
    </row>
    <row r="807" spans="2:85" ht="17.25" customHeight="1">
      <c r="B807" s="541" t="str">
        <f t="shared" si="434"/>
        <v>CU0531</v>
      </c>
      <c r="C807" s="564" t="s">
        <v>755</v>
      </c>
      <c r="D807" s="541" t="s">
        <v>1453</v>
      </c>
      <c r="E807" s="543" t="s">
        <v>2088</v>
      </c>
      <c r="F807" s="540">
        <v>44105</v>
      </c>
      <c r="G807" s="501">
        <v>33712.74</v>
      </c>
      <c r="K807" s="363"/>
      <c r="L807" s="565"/>
      <c r="M807" s="565"/>
      <c r="O807" s="565"/>
      <c r="Q807" s="363"/>
      <c r="R807" s="565"/>
      <c r="U807" s="565"/>
      <c r="X807" s="565"/>
      <c r="AA807" s="565"/>
      <c r="AD807" s="565"/>
      <c r="AG807" s="565"/>
      <c r="AJ807" s="565"/>
      <c r="AM807" s="565"/>
      <c r="AP807" s="565"/>
      <c r="AS807" s="424"/>
      <c r="AV807" s="565"/>
      <c r="AY807" s="565"/>
      <c r="BB807" s="565"/>
      <c r="BE807" s="565"/>
      <c r="BH807" s="565"/>
      <c r="BK807" s="565"/>
      <c r="BN807" s="565"/>
      <c r="BQ807" s="462"/>
      <c r="BT807" s="462">
        <f t="shared" si="435"/>
        <v>33712.74</v>
      </c>
      <c r="BU807" s="447" t="s">
        <v>2134</v>
      </c>
      <c r="BW807" s="462">
        <f t="shared" si="431"/>
        <v>33712.74</v>
      </c>
      <c r="BZ807" s="462">
        <f t="shared" si="432"/>
        <v>33712.74</v>
      </c>
      <c r="CD807" s="418" t="str">
        <f t="shared" si="436"/>
        <v>CU0531001</v>
      </c>
      <c r="CE807" s="442" t="str">
        <f t="shared" si="437"/>
        <v>2020年10月</v>
      </c>
      <c r="CF807" s="418" t="str">
        <f t="shared" si="438"/>
        <v>恩思恩clife服务费暂估</v>
      </c>
      <c r="CG807" s="418" t="str">
        <f t="shared" si="439"/>
        <v>2020年10月恩思恩clife服务费暂估</v>
      </c>
    </row>
    <row r="808" spans="2:85" ht="17.25" customHeight="1">
      <c r="B808" s="541" t="str">
        <f t="shared" si="434"/>
        <v>CU0542</v>
      </c>
      <c r="C808" s="564" t="s">
        <v>755</v>
      </c>
      <c r="D808" s="541" t="s">
        <v>2281</v>
      </c>
      <c r="E808" s="543" t="s">
        <v>2284</v>
      </c>
      <c r="F808" s="540">
        <v>44105</v>
      </c>
      <c r="G808" s="501">
        <v>26866.25</v>
      </c>
      <c r="K808" s="363"/>
      <c r="L808" s="565"/>
      <c r="M808" s="565"/>
      <c r="O808" s="565"/>
      <c r="Q808" s="363"/>
      <c r="R808" s="565"/>
      <c r="U808" s="565"/>
      <c r="X808" s="565"/>
      <c r="AA808" s="565"/>
      <c r="AD808" s="565"/>
      <c r="AG808" s="565"/>
      <c r="AJ808" s="565"/>
      <c r="AM808" s="565"/>
      <c r="AP808" s="565"/>
      <c r="AS808" s="424"/>
      <c r="AV808" s="565"/>
      <c r="AY808" s="565"/>
      <c r="BB808" s="565"/>
      <c r="BE808" s="565"/>
      <c r="BH808" s="565"/>
      <c r="BK808" s="565"/>
      <c r="BN808" s="565"/>
      <c r="BQ808" s="462"/>
      <c r="BT808" s="462">
        <f t="shared" si="435"/>
        <v>26866.25</v>
      </c>
      <c r="BU808" s="447" t="s">
        <v>2134</v>
      </c>
      <c r="BW808" s="462">
        <f t="shared" si="431"/>
        <v>26866.25</v>
      </c>
      <c r="BZ808" s="462">
        <f t="shared" si="432"/>
        <v>26866.25</v>
      </c>
      <c r="CD808" s="418" t="str">
        <f t="shared" si="436"/>
        <v>CU0542001</v>
      </c>
      <c r="CE808" s="442" t="str">
        <f t="shared" si="437"/>
        <v>2020年10月</v>
      </c>
      <c r="CF808" s="418" t="str">
        <f t="shared" si="438"/>
        <v>上海伏达半clife服务费暂估</v>
      </c>
      <c r="CG808" s="418" t="str">
        <f t="shared" si="439"/>
        <v>2020年10月上海伏达半clife服务费暂估</v>
      </c>
    </row>
    <row r="809" spans="2:85" ht="17.25" customHeight="1">
      <c r="B809" s="541" t="str">
        <f t="shared" si="434"/>
        <v>CU0558</v>
      </c>
      <c r="C809" s="564" t="s">
        <v>755</v>
      </c>
      <c r="D809" s="541" t="s">
        <v>1647</v>
      </c>
      <c r="E809" s="543" t="s">
        <v>2285</v>
      </c>
      <c r="F809" s="540">
        <v>44105</v>
      </c>
      <c r="G809" s="501">
        <v>5697.17</v>
      </c>
      <c r="K809" s="363"/>
      <c r="L809" s="565"/>
      <c r="M809" s="565"/>
      <c r="O809" s="565"/>
      <c r="Q809" s="363"/>
      <c r="R809" s="565"/>
      <c r="U809" s="565"/>
      <c r="X809" s="565"/>
      <c r="AA809" s="565"/>
      <c r="AD809" s="565"/>
      <c r="AG809" s="565"/>
      <c r="AJ809" s="565"/>
      <c r="AM809" s="565"/>
      <c r="AP809" s="565"/>
      <c r="AS809" s="424"/>
      <c r="AV809" s="565"/>
      <c r="AY809" s="565"/>
      <c r="BB809" s="565"/>
      <c r="BE809" s="565"/>
      <c r="BH809" s="565"/>
      <c r="BK809" s="565"/>
      <c r="BN809" s="565"/>
      <c r="BQ809" s="462"/>
      <c r="BT809" s="462">
        <f t="shared" si="435"/>
        <v>5697.17</v>
      </c>
      <c r="BU809" s="447" t="s">
        <v>2134</v>
      </c>
      <c r="BW809" s="462">
        <f t="shared" si="431"/>
        <v>5697.17</v>
      </c>
      <c r="BZ809" s="462">
        <f t="shared" si="432"/>
        <v>5697.17</v>
      </c>
      <c r="CD809" s="418" t="str">
        <f t="shared" si="436"/>
        <v>CU0558001</v>
      </c>
      <c r="CE809" s="442" t="str">
        <f t="shared" si="437"/>
        <v>2020年10月</v>
      </c>
      <c r="CF809" s="418" t="str">
        <f t="shared" si="438"/>
        <v>贵阳聚盟科clife服务费暂估</v>
      </c>
      <c r="CG809" s="418" t="str">
        <f t="shared" si="439"/>
        <v>2020年10月贵阳聚盟科clife服务费暂估</v>
      </c>
    </row>
    <row r="810" spans="2:85" ht="17.25" customHeight="1">
      <c r="B810" s="541" t="str">
        <f t="shared" si="434"/>
        <v>CU0636</v>
      </c>
      <c r="C810" s="564" t="s">
        <v>755</v>
      </c>
      <c r="D810" s="541" t="s">
        <v>1759</v>
      </c>
      <c r="E810" s="543" t="s">
        <v>23</v>
      </c>
      <c r="F810" s="540">
        <v>44105</v>
      </c>
      <c r="G810" s="501">
        <v>354.72</v>
      </c>
      <c r="K810" s="363"/>
      <c r="L810" s="565"/>
      <c r="M810" s="565"/>
      <c r="O810" s="565"/>
      <c r="Q810" s="363"/>
      <c r="R810" s="565"/>
      <c r="U810" s="565"/>
      <c r="X810" s="565"/>
      <c r="AA810" s="565"/>
      <c r="AD810" s="565"/>
      <c r="AG810" s="565"/>
      <c r="AJ810" s="565"/>
      <c r="AM810" s="565"/>
      <c r="AP810" s="565"/>
      <c r="AS810" s="424"/>
      <c r="AV810" s="565"/>
      <c r="AY810" s="565"/>
      <c r="BB810" s="565"/>
      <c r="BE810" s="565"/>
      <c r="BH810" s="565"/>
      <c r="BK810" s="565"/>
      <c r="BN810" s="565"/>
      <c r="BQ810" s="462"/>
      <c r="BT810" s="462">
        <f t="shared" si="435"/>
        <v>354.72</v>
      </c>
      <c r="BU810" s="447" t="s">
        <v>2134</v>
      </c>
      <c r="BW810" s="462">
        <f t="shared" si="431"/>
        <v>354.72</v>
      </c>
      <c r="BZ810" s="462">
        <f t="shared" si="432"/>
        <v>354.72</v>
      </c>
      <c r="CD810" s="418" t="str">
        <f t="shared" si="436"/>
        <v>CU0636001</v>
      </c>
      <c r="CE810" s="442" t="str">
        <f t="shared" si="437"/>
        <v>2020年10月</v>
      </c>
      <c r="CF810" s="418" t="str">
        <f t="shared" si="438"/>
        <v>巴丽（上海clife服务费暂估</v>
      </c>
      <c r="CG810" s="418" t="str">
        <f t="shared" si="439"/>
        <v>2020年10月巴丽（上海clife服务费暂估</v>
      </c>
    </row>
    <row r="811" spans="2:85" ht="17.25" customHeight="1">
      <c r="B811" s="541" t="str">
        <f t="shared" si="434"/>
        <v>CU0667</v>
      </c>
      <c r="C811" s="564" t="s">
        <v>755</v>
      </c>
      <c r="D811" s="541" t="s">
        <v>1454</v>
      </c>
      <c r="E811" s="543" t="s">
        <v>2350</v>
      </c>
      <c r="F811" s="540">
        <v>44105</v>
      </c>
      <c r="G811" s="501">
        <v>1426.63</v>
      </c>
      <c r="K811" s="363"/>
      <c r="L811" s="565"/>
      <c r="M811" s="565"/>
      <c r="O811" s="565"/>
      <c r="Q811" s="363"/>
      <c r="R811" s="565"/>
      <c r="U811" s="565"/>
      <c r="X811" s="565"/>
      <c r="AA811" s="565"/>
      <c r="AD811" s="565"/>
      <c r="AG811" s="565"/>
      <c r="AJ811" s="565"/>
      <c r="AM811" s="565"/>
      <c r="AP811" s="565"/>
      <c r="AS811" s="424"/>
      <c r="AV811" s="565"/>
      <c r="AY811" s="565"/>
      <c r="BB811" s="565"/>
      <c r="BE811" s="565"/>
      <c r="BH811" s="565"/>
      <c r="BK811" s="565"/>
      <c r="BN811" s="565"/>
      <c r="BQ811" s="462"/>
      <c r="BT811" s="462">
        <f t="shared" si="435"/>
        <v>1426.63</v>
      </c>
      <c r="BU811" s="447" t="s">
        <v>2134</v>
      </c>
      <c r="BW811" s="462">
        <f t="shared" si="431"/>
        <v>1426.63</v>
      </c>
      <c r="BZ811" s="462">
        <f t="shared" si="432"/>
        <v>1426.63</v>
      </c>
      <c r="CD811" s="418" t="str">
        <f t="shared" si="436"/>
        <v>CU0667001</v>
      </c>
      <c r="CE811" s="442" t="str">
        <f t="shared" si="437"/>
        <v>2020年10月</v>
      </c>
      <c r="CF811" s="418" t="str">
        <f t="shared" si="438"/>
        <v>碧涌达科技clife服务费暂估</v>
      </c>
      <c r="CG811" s="418" t="str">
        <f t="shared" si="439"/>
        <v>2020年10月碧涌达科技clife服务费暂估</v>
      </c>
    </row>
    <row r="812" spans="2:85" ht="17.25" customHeight="1">
      <c r="B812" s="541" t="str">
        <f t="shared" si="434"/>
        <v>CU0692</v>
      </c>
      <c r="C812" s="564" t="s">
        <v>755</v>
      </c>
      <c r="D812" s="541" t="s">
        <v>1648</v>
      </c>
      <c r="E812" s="543" t="s">
        <v>172</v>
      </c>
      <c r="F812" s="540">
        <v>44105</v>
      </c>
      <c r="G812" s="501">
        <v>283.02</v>
      </c>
      <c r="K812" s="363"/>
      <c r="L812" s="565"/>
      <c r="M812" s="565"/>
      <c r="O812" s="565"/>
      <c r="Q812" s="363"/>
      <c r="R812" s="565"/>
      <c r="U812" s="565"/>
      <c r="X812" s="565"/>
      <c r="AA812" s="565"/>
      <c r="AD812" s="565"/>
      <c r="AG812" s="565"/>
      <c r="AJ812" s="565"/>
      <c r="AM812" s="565"/>
      <c r="AP812" s="565"/>
      <c r="AS812" s="424"/>
      <c r="AV812" s="565"/>
      <c r="AY812" s="565"/>
      <c r="BB812" s="565"/>
      <c r="BE812" s="565"/>
      <c r="BH812" s="565"/>
      <c r="BK812" s="565"/>
      <c r="BN812" s="565"/>
      <c r="BQ812" s="462"/>
      <c r="BT812" s="462">
        <f t="shared" si="435"/>
        <v>283.02</v>
      </c>
      <c r="BU812" s="447" t="s">
        <v>2134</v>
      </c>
      <c r="BV812" s="363">
        <v>283.02</v>
      </c>
      <c r="BW812" s="462">
        <f t="shared" si="431"/>
        <v>0</v>
      </c>
      <c r="BZ812" s="462">
        <f t="shared" si="432"/>
        <v>0</v>
      </c>
      <c r="CD812" s="418" t="str">
        <f t="shared" si="436"/>
        <v>CU0692001</v>
      </c>
      <c r="CE812" s="442" t="str">
        <f t="shared" si="437"/>
        <v>2020年10月</v>
      </c>
      <c r="CF812" s="418" t="str">
        <f t="shared" si="438"/>
        <v>欧尚（中国clife服务费暂估</v>
      </c>
      <c r="CG812" s="418" t="str">
        <f t="shared" si="439"/>
        <v>2020年10月欧尚（中国clife服务费暂估</v>
      </c>
    </row>
    <row r="813" spans="2:85" ht="17.25" customHeight="1">
      <c r="B813" s="541" t="str">
        <f t="shared" si="434"/>
        <v>CU0734</v>
      </c>
      <c r="C813" s="564" t="s">
        <v>755</v>
      </c>
      <c r="D813" s="541" t="s">
        <v>1649</v>
      </c>
      <c r="E813" s="543" t="s">
        <v>1639</v>
      </c>
      <c r="F813" s="540">
        <v>44105</v>
      </c>
      <c r="G813" s="501">
        <v>94.34</v>
      </c>
      <c r="K813" s="363"/>
      <c r="L813" s="565"/>
      <c r="M813" s="565"/>
      <c r="O813" s="565"/>
      <c r="Q813" s="363"/>
      <c r="R813" s="565"/>
      <c r="U813" s="565"/>
      <c r="X813" s="565"/>
      <c r="AA813" s="565"/>
      <c r="AD813" s="565"/>
      <c r="AG813" s="565"/>
      <c r="AJ813" s="565"/>
      <c r="AM813" s="565"/>
      <c r="AP813" s="565"/>
      <c r="AS813" s="424"/>
      <c r="AV813" s="565"/>
      <c r="AY813" s="565"/>
      <c r="BB813" s="565"/>
      <c r="BE813" s="565"/>
      <c r="BH813" s="565"/>
      <c r="BK813" s="565"/>
      <c r="BN813" s="565"/>
      <c r="BQ813" s="462"/>
      <c r="BT813" s="462">
        <f t="shared" si="435"/>
        <v>94.34</v>
      </c>
      <c r="BU813" s="447" t="s">
        <v>2134</v>
      </c>
      <c r="BV813" s="565">
        <f>BT813</f>
        <v>94.34</v>
      </c>
      <c r="BW813" s="462">
        <f t="shared" si="431"/>
        <v>0</v>
      </c>
      <c r="BZ813" s="462">
        <f t="shared" si="432"/>
        <v>0</v>
      </c>
      <c r="CD813" s="418" t="str">
        <f t="shared" si="436"/>
        <v>CU0734001</v>
      </c>
      <c r="CE813" s="442" t="str">
        <f t="shared" si="437"/>
        <v>2020年10月</v>
      </c>
      <c r="CF813" s="418" t="str">
        <f t="shared" si="438"/>
        <v>蒂森克虏伯clife服务费暂估</v>
      </c>
      <c r="CG813" s="418" t="str">
        <f t="shared" si="439"/>
        <v>2020年10月蒂森克虏伯clife服务费暂估</v>
      </c>
    </row>
    <row r="814" spans="2:85" ht="17.25" customHeight="1">
      <c r="B814" s="541" t="str">
        <f t="shared" si="434"/>
        <v>CU0782</v>
      </c>
      <c r="C814" s="564" t="s">
        <v>755</v>
      </c>
      <c r="D814" s="541" t="s">
        <v>1652</v>
      </c>
      <c r="E814" s="543" t="s">
        <v>196</v>
      </c>
      <c r="F814" s="540">
        <v>44105</v>
      </c>
      <c r="G814" s="501">
        <v>97.17</v>
      </c>
      <c r="K814" s="363"/>
      <c r="L814" s="565"/>
      <c r="M814" s="565"/>
      <c r="O814" s="565"/>
      <c r="Q814" s="363"/>
      <c r="R814" s="565"/>
      <c r="U814" s="565"/>
      <c r="X814" s="565"/>
      <c r="AA814" s="565"/>
      <c r="AD814" s="565"/>
      <c r="AG814" s="565"/>
      <c r="AJ814" s="565"/>
      <c r="AM814" s="565"/>
      <c r="AP814" s="565"/>
      <c r="AS814" s="424"/>
      <c r="AV814" s="565"/>
      <c r="AY814" s="565"/>
      <c r="BB814" s="565"/>
      <c r="BE814" s="565"/>
      <c r="BH814" s="565"/>
      <c r="BK814" s="565"/>
      <c r="BN814" s="565"/>
      <c r="BQ814" s="462"/>
      <c r="BT814" s="462">
        <f t="shared" si="435"/>
        <v>97.17</v>
      </c>
      <c r="BU814" s="447" t="s">
        <v>2134</v>
      </c>
      <c r="BW814" s="462">
        <f t="shared" si="431"/>
        <v>97.17</v>
      </c>
      <c r="BZ814" s="462">
        <f t="shared" si="432"/>
        <v>97.17</v>
      </c>
      <c r="CD814" s="418" t="str">
        <f t="shared" si="436"/>
        <v>CU0782001</v>
      </c>
      <c r="CE814" s="442" t="str">
        <f t="shared" si="437"/>
        <v>2020年10月</v>
      </c>
      <c r="CF814" s="418" t="str">
        <f t="shared" si="438"/>
        <v>天职工程咨clife服务费暂估</v>
      </c>
      <c r="CG814" s="418" t="str">
        <f t="shared" si="439"/>
        <v>2020年10月天职工程咨clife服务费暂估</v>
      </c>
    </row>
    <row r="815" spans="2:85" ht="17.25" customHeight="1">
      <c r="B815" s="541" t="str">
        <f t="shared" si="434"/>
        <v>CU0812</v>
      </c>
      <c r="C815" s="564" t="s">
        <v>755</v>
      </c>
      <c r="D815" s="541" t="s">
        <v>1455</v>
      </c>
      <c r="E815" s="543" t="s">
        <v>1534</v>
      </c>
      <c r="F815" s="540">
        <v>44105</v>
      </c>
      <c r="G815" s="501">
        <v>4481.24</v>
      </c>
      <c r="K815" s="363"/>
      <c r="L815" s="565"/>
      <c r="M815" s="565"/>
      <c r="O815" s="565"/>
      <c r="Q815" s="363"/>
      <c r="R815" s="565"/>
      <c r="U815" s="565"/>
      <c r="X815" s="565"/>
      <c r="AA815" s="565"/>
      <c r="AD815" s="565"/>
      <c r="AG815" s="565"/>
      <c r="AJ815" s="565"/>
      <c r="AM815" s="565"/>
      <c r="AP815" s="565"/>
      <c r="AS815" s="424"/>
      <c r="AV815" s="565"/>
      <c r="AY815" s="565"/>
      <c r="BB815" s="565"/>
      <c r="BE815" s="565"/>
      <c r="BH815" s="565"/>
      <c r="BK815" s="565"/>
      <c r="BN815" s="565"/>
      <c r="BQ815" s="462"/>
      <c r="BT815" s="462">
        <f t="shared" si="435"/>
        <v>4481.24</v>
      </c>
      <c r="BU815" s="447" t="s">
        <v>2134</v>
      </c>
      <c r="BW815" s="462">
        <f t="shared" si="431"/>
        <v>4481.24</v>
      </c>
      <c r="BY815" s="565">
        <f>ROUND(10644.5/1.06,2)-BY705-BY734-BY772</f>
        <v>833.42999999999847</v>
      </c>
      <c r="BZ815" s="462">
        <f t="shared" si="432"/>
        <v>3647.81</v>
      </c>
      <c r="CD815" s="418" t="str">
        <f t="shared" si="436"/>
        <v>CU0812001</v>
      </c>
      <c r="CE815" s="442" t="str">
        <f t="shared" si="437"/>
        <v>2020年10月</v>
      </c>
      <c r="CF815" s="418" t="str">
        <f t="shared" si="438"/>
        <v>上海恩派社clife服务费暂估</v>
      </c>
      <c r="CG815" s="418" t="str">
        <f t="shared" si="439"/>
        <v>2020年10月上海恩派社clife服务费暂估</v>
      </c>
    </row>
    <row r="816" spans="2:85" ht="17.25" customHeight="1">
      <c r="B816" s="541" t="str">
        <f t="shared" si="434"/>
        <v>CU0822</v>
      </c>
      <c r="C816" s="564" t="s">
        <v>755</v>
      </c>
      <c r="D816" s="541" t="s">
        <v>1456</v>
      </c>
      <c r="E816" s="543" t="s">
        <v>239</v>
      </c>
      <c r="F816" s="540">
        <v>44105</v>
      </c>
      <c r="G816" s="501">
        <v>7916.98</v>
      </c>
      <c r="K816" s="363"/>
      <c r="L816" s="565"/>
      <c r="M816" s="565"/>
      <c r="O816" s="565"/>
      <c r="Q816" s="363"/>
      <c r="R816" s="565"/>
      <c r="U816" s="565"/>
      <c r="X816" s="565"/>
      <c r="AA816" s="565"/>
      <c r="AD816" s="565"/>
      <c r="AG816" s="565"/>
      <c r="AJ816" s="565"/>
      <c r="AM816" s="565"/>
      <c r="AP816" s="565"/>
      <c r="AS816" s="424"/>
      <c r="AV816" s="565"/>
      <c r="AY816" s="565"/>
      <c r="BB816" s="565"/>
      <c r="BE816" s="565"/>
      <c r="BH816" s="565"/>
      <c r="BK816" s="565"/>
      <c r="BN816" s="565"/>
      <c r="BQ816" s="462"/>
      <c r="BT816" s="462">
        <f t="shared" si="435"/>
        <v>7916.98</v>
      </c>
      <c r="BU816" s="447" t="s">
        <v>2134</v>
      </c>
      <c r="BW816" s="462">
        <f t="shared" si="431"/>
        <v>7916.98</v>
      </c>
      <c r="BZ816" s="462">
        <f t="shared" si="432"/>
        <v>7916.98</v>
      </c>
      <c r="CD816" s="418" t="str">
        <f t="shared" si="436"/>
        <v>CU0822001</v>
      </c>
      <c r="CE816" s="442" t="str">
        <f t="shared" si="437"/>
        <v>2020年10月</v>
      </c>
      <c r="CF816" s="418" t="str">
        <f t="shared" si="438"/>
        <v>美克国际家clife服务费暂估</v>
      </c>
      <c r="CG816" s="418" t="str">
        <f t="shared" si="439"/>
        <v>2020年10月美克国际家clife服务费暂估</v>
      </c>
    </row>
    <row r="817" spans="2:85" ht="17.25" customHeight="1">
      <c r="B817" s="541" t="str">
        <f t="shared" si="434"/>
        <v>CU0823</v>
      </c>
      <c r="C817" s="564" t="s">
        <v>755</v>
      </c>
      <c r="D817" s="541" t="s">
        <v>1457</v>
      </c>
      <c r="E817" s="543" t="s">
        <v>581</v>
      </c>
      <c r="F817" s="540">
        <v>44105</v>
      </c>
      <c r="G817" s="501">
        <v>71112.06</v>
      </c>
      <c r="K817" s="363"/>
      <c r="L817" s="565"/>
      <c r="M817" s="565"/>
      <c r="O817" s="565"/>
      <c r="Q817" s="363"/>
      <c r="R817" s="565"/>
      <c r="U817" s="565"/>
      <c r="X817" s="565"/>
      <c r="AA817" s="565"/>
      <c r="AD817" s="565"/>
      <c r="AG817" s="565"/>
      <c r="AJ817" s="565"/>
      <c r="AM817" s="565"/>
      <c r="AP817" s="565"/>
      <c r="AS817" s="424"/>
      <c r="AV817" s="565"/>
      <c r="AY817" s="565"/>
      <c r="BB817" s="565"/>
      <c r="BE817" s="565"/>
      <c r="BH817" s="565"/>
      <c r="BK817" s="565"/>
      <c r="BN817" s="565"/>
      <c r="BQ817" s="462"/>
      <c r="BT817" s="462">
        <f t="shared" si="435"/>
        <v>71112.06</v>
      </c>
      <c r="BU817" s="447" t="s">
        <v>2134</v>
      </c>
      <c r="BW817" s="462">
        <f t="shared" si="431"/>
        <v>71112.06</v>
      </c>
      <c r="BZ817" s="462">
        <f t="shared" si="432"/>
        <v>71112.06</v>
      </c>
      <c r="CD817" s="418" t="str">
        <f t="shared" si="436"/>
        <v>CU0823001</v>
      </c>
      <c r="CE817" s="442" t="str">
        <f t="shared" si="437"/>
        <v>2020年10月</v>
      </c>
      <c r="CF817" s="418" t="str">
        <f t="shared" si="438"/>
        <v>凯杰生物工clife服务费暂估</v>
      </c>
      <c r="CG817" s="418" t="str">
        <f t="shared" si="439"/>
        <v>2020年10月凯杰生物工clife服务费暂估</v>
      </c>
    </row>
    <row r="818" spans="2:85" ht="17.25" customHeight="1">
      <c r="B818" s="541" t="str">
        <f t="shared" si="434"/>
        <v>CU0824</v>
      </c>
      <c r="C818" s="564" t="s">
        <v>755</v>
      </c>
      <c r="D818" s="541" t="s">
        <v>1458</v>
      </c>
      <c r="E818" s="543" t="s">
        <v>1292</v>
      </c>
      <c r="F818" s="540">
        <v>44105</v>
      </c>
      <c r="G818" s="501">
        <v>1017.17</v>
      </c>
      <c r="K818" s="363"/>
      <c r="L818" s="565"/>
      <c r="M818" s="565"/>
      <c r="O818" s="565"/>
      <c r="Q818" s="363"/>
      <c r="R818" s="565"/>
      <c r="U818" s="565"/>
      <c r="X818" s="565"/>
      <c r="AA818" s="565"/>
      <c r="AD818" s="565"/>
      <c r="AG818" s="565"/>
      <c r="AJ818" s="565"/>
      <c r="AM818" s="565"/>
      <c r="AP818" s="565"/>
      <c r="AS818" s="424"/>
      <c r="AV818" s="565"/>
      <c r="AY818" s="565"/>
      <c r="BB818" s="565"/>
      <c r="BE818" s="565"/>
      <c r="BH818" s="565"/>
      <c r="BK818" s="565"/>
      <c r="BN818" s="565"/>
      <c r="BQ818" s="462"/>
      <c r="BT818" s="462">
        <f t="shared" si="435"/>
        <v>1017.17</v>
      </c>
      <c r="BU818" s="447" t="s">
        <v>2134</v>
      </c>
      <c r="BW818" s="462">
        <f t="shared" si="431"/>
        <v>1017.17</v>
      </c>
      <c r="BZ818" s="462">
        <f t="shared" si="432"/>
        <v>1017.17</v>
      </c>
      <c r="CD818" s="418" t="str">
        <f t="shared" si="436"/>
        <v>CU0824001</v>
      </c>
      <c r="CE818" s="442" t="str">
        <f t="shared" si="437"/>
        <v>2020年10月</v>
      </c>
      <c r="CF818" s="418" t="str">
        <f t="shared" si="438"/>
        <v>苏州舒尔贸clife服务费暂估</v>
      </c>
      <c r="CG818" s="418" t="str">
        <f t="shared" si="439"/>
        <v>2020年10月苏州舒尔贸clife服务费暂估</v>
      </c>
    </row>
    <row r="819" spans="2:85" ht="17.25" customHeight="1">
      <c r="B819" s="541" t="str">
        <f t="shared" ref="B819:B836" si="440">LEFT(D819,6)</f>
        <v>CU0848</v>
      </c>
      <c r="C819" s="564" t="s">
        <v>755</v>
      </c>
      <c r="D819" s="541" t="s">
        <v>1462</v>
      </c>
      <c r="E819" s="543" t="s">
        <v>1830</v>
      </c>
      <c r="F819" s="540">
        <v>44105</v>
      </c>
      <c r="G819" s="501">
        <v>138412.89000000001</v>
      </c>
      <c r="K819" s="363"/>
      <c r="L819" s="565"/>
      <c r="M819" s="565"/>
      <c r="O819" s="565"/>
      <c r="Q819" s="363"/>
      <c r="R819" s="565"/>
      <c r="U819" s="565"/>
      <c r="X819" s="565"/>
      <c r="AA819" s="565"/>
      <c r="AD819" s="565"/>
      <c r="AG819" s="565"/>
      <c r="AJ819" s="565"/>
      <c r="AM819" s="565"/>
      <c r="AP819" s="565"/>
      <c r="AS819" s="424"/>
      <c r="AV819" s="565"/>
      <c r="AY819" s="565"/>
      <c r="BB819" s="565"/>
      <c r="BE819" s="565"/>
      <c r="BH819" s="565"/>
      <c r="BK819" s="565"/>
      <c r="BN819" s="565"/>
      <c r="BQ819" s="462"/>
      <c r="BT819" s="462">
        <f t="shared" si="435"/>
        <v>138412.89000000001</v>
      </c>
      <c r="BU819" s="447" t="s">
        <v>2134</v>
      </c>
      <c r="BW819" s="462">
        <f t="shared" si="431"/>
        <v>138412.89000000001</v>
      </c>
      <c r="BZ819" s="462">
        <f t="shared" si="432"/>
        <v>138412.89000000001</v>
      </c>
      <c r="CD819" s="418" t="str">
        <f t="shared" ref="CD819:CD836" si="441">B819&amp;$B$1</f>
        <v>CU0848001</v>
      </c>
      <c r="CE819" s="442" t="str">
        <f t="shared" ref="CE819:CE836" si="442">YEAR(F819)&amp;"年"&amp;MONTH(F819)&amp;"月"</f>
        <v>2020年10月</v>
      </c>
      <c r="CF819" s="418" t="str">
        <f t="shared" ref="CF819:CF836" si="443">LEFT(E819,5)&amp;$E$1</f>
        <v>爱德觅尔（clife服务费暂估</v>
      </c>
      <c r="CG819" s="418" t="str">
        <f t="shared" ref="CG819:CG836" si="444">CE819&amp;CF819</f>
        <v>2020年10月爱德觅尔（clife服务费暂估</v>
      </c>
    </row>
    <row r="820" spans="2:85" ht="17.25" customHeight="1">
      <c r="B820" s="541" t="str">
        <f t="shared" si="440"/>
        <v>CU0869</v>
      </c>
      <c r="C820" s="564" t="s">
        <v>755</v>
      </c>
      <c r="D820" s="541" t="s">
        <v>1459</v>
      </c>
      <c r="E820" s="543" t="s">
        <v>2090</v>
      </c>
      <c r="F820" s="540">
        <v>44105</v>
      </c>
      <c r="G820" s="501">
        <v>4992.01</v>
      </c>
      <c r="K820" s="363"/>
      <c r="L820" s="565"/>
      <c r="M820" s="565"/>
      <c r="O820" s="565"/>
      <c r="Q820" s="363"/>
      <c r="R820" s="565"/>
      <c r="U820" s="565"/>
      <c r="X820" s="565"/>
      <c r="AA820" s="565"/>
      <c r="AD820" s="565"/>
      <c r="AG820" s="565"/>
      <c r="AJ820" s="565"/>
      <c r="AM820" s="565"/>
      <c r="AP820" s="565"/>
      <c r="AS820" s="424"/>
      <c r="AV820" s="565"/>
      <c r="AY820" s="565"/>
      <c r="BB820" s="565"/>
      <c r="BE820" s="565"/>
      <c r="BH820" s="565"/>
      <c r="BK820" s="565"/>
      <c r="BN820" s="565"/>
      <c r="BQ820" s="462"/>
      <c r="BT820" s="462">
        <f t="shared" si="435"/>
        <v>4992.01</v>
      </c>
      <c r="BU820" s="447" t="s">
        <v>2134</v>
      </c>
      <c r="BW820" s="462">
        <f t="shared" si="431"/>
        <v>4992.01</v>
      </c>
      <c r="BZ820" s="462">
        <f t="shared" si="432"/>
        <v>4992.01</v>
      </c>
      <c r="CD820" s="418" t="str">
        <f t="shared" si="441"/>
        <v>CU0869001</v>
      </c>
      <c r="CE820" s="442" t="str">
        <f t="shared" si="442"/>
        <v>2020年10月</v>
      </c>
      <c r="CF820" s="418" t="str">
        <f t="shared" si="443"/>
        <v>智睿企业咨clife服务费暂估</v>
      </c>
      <c r="CG820" s="418" t="str">
        <f t="shared" si="444"/>
        <v>2020年10月智睿企业咨clife服务费暂估</v>
      </c>
    </row>
    <row r="821" spans="2:85" ht="17.25" customHeight="1">
      <c r="B821" s="541" t="str">
        <f t="shared" si="440"/>
        <v>CU0884</v>
      </c>
      <c r="C821" s="564" t="s">
        <v>755</v>
      </c>
      <c r="D821" s="541" t="s">
        <v>1575</v>
      </c>
      <c r="E821" s="543" t="s">
        <v>2286</v>
      </c>
      <c r="F821" s="540">
        <v>44105</v>
      </c>
      <c r="G821" s="501">
        <v>148.11000000000001</v>
      </c>
      <c r="K821" s="363"/>
      <c r="L821" s="565"/>
      <c r="M821" s="565"/>
      <c r="O821" s="565"/>
      <c r="Q821" s="363"/>
      <c r="R821" s="565"/>
      <c r="U821" s="565"/>
      <c r="X821" s="565"/>
      <c r="AA821" s="565"/>
      <c r="AD821" s="565"/>
      <c r="AG821" s="565"/>
      <c r="AJ821" s="565"/>
      <c r="AM821" s="565"/>
      <c r="AP821" s="565"/>
      <c r="AS821" s="424"/>
      <c r="AV821" s="565"/>
      <c r="AY821" s="565"/>
      <c r="BB821" s="565"/>
      <c r="BE821" s="565"/>
      <c r="BH821" s="565"/>
      <c r="BK821" s="565"/>
      <c r="BN821" s="565"/>
      <c r="BQ821" s="462"/>
      <c r="BT821" s="462">
        <f t="shared" si="435"/>
        <v>148.11000000000001</v>
      </c>
      <c r="BU821" s="447" t="s">
        <v>2134</v>
      </c>
      <c r="BW821" s="462">
        <f t="shared" si="431"/>
        <v>148.11000000000001</v>
      </c>
      <c r="BZ821" s="462">
        <f t="shared" si="432"/>
        <v>148.11000000000001</v>
      </c>
      <c r="CD821" s="418" t="str">
        <f t="shared" si="441"/>
        <v>CU0884001</v>
      </c>
      <c r="CE821" s="442" t="str">
        <f t="shared" si="442"/>
        <v>2020年10月</v>
      </c>
      <c r="CF821" s="418" t="str">
        <f t="shared" si="443"/>
        <v>恩德斯豪斯clife服务费暂估</v>
      </c>
      <c r="CG821" s="418" t="str">
        <f t="shared" si="444"/>
        <v>2020年10月恩德斯豪斯clife服务费暂估</v>
      </c>
    </row>
    <row r="822" spans="2:85" ht="17.25" customHeight="1">
      <c r="B822" s="541" t="str">
        <f t="shared" si="440"/>
        <v>CU0904</v>
      </c>
      <c r="C822" s="564" t="s">
        <v>755</v>
      </c>
      <c r="D822" s="541" t="s">
        <v>1460</v>
      </c>
      <c r="E822" s="543" t="s">
        <v>955</v>
      </c>
      <c r="F822" s="540">
        <v>44105</v>
      </c>
      <c r="G822" s="501">
        <v>16242.91</v>
      </c>
      <c r="K822" s="363"/>
      <c r="L822" s="565"/>
      <c r="M822" s="565"/>
      <c r="O822" s="565"/>
      <c r="Q822" s="363"/>
      <c r="R822" s="565"/>
      <c r="U822" s="565"/>
      <c r="X822" s="565"/>
      <c r="AA822" s="565"/>
      <c r="AD822" s="565"/>
      <c r="AG822" s="565"/>
      <c r="AJ822" s="565"/>
      <c r="AM822" s="565"/>
      <c r="AP822" s="565"/>
      <c r="AS822" s="424"/>
      <c r="AV822" s="565"/>
      <c r="AY822" s="565"/>
      <c r="BB822" s="565"/>
      <c r="BE822" s="565"/>
      <c r="BH822" s="565"/>
      <c r="BK822" s="565"/>
      <c r="BN822" s="565"/>
      <c r="BQ822" s="462"/>
      <c r="BT822" s="462">
        <f t="shared" si="435"/>
        <v>16242.91</v>
      </c>
      <c r="BU822" s="447" t="s">
        <v>2134</v>
      </c>
      <c r="BW822" s="462">
        <f t="shared" si="431"/>
        <v>16242.91</v>
      </c>
      <c r="BZ822" s="462">
        <f t="shared" si="432"/>
        <v>16242.91</v>
      </c>
      <c r="CD822" s="418" t="str">
        <f t="shared" si="441"/>
        <v>CU0904001</v>
      </c>
      <c r="CE822" s="442" t="str">
        <f t="shared" si="442"/>
        <v>2020年10月</v>
      </c>
      <c r="CF822" s="418" t="str">
        <f t="shared" si="443"/>
        <v>紫光电子商clife服务费暂估</v>
      </c>
      <c r="CG822" s="418" t="str">
        <f t="shared" si="444"/>
        <v>2020年10月紫光电子商clife服务费暂估</v>
      </c>
    </row>
    <row r="823" spans="2:85" ht="17.25" customHeight="1">
      <c r="B823" s="541" t="str">
        <f t="shared" si="440"/>
        <v>CU0914</v>
      </c>
      <c r="C823" s="564" t="s">
        <v>755</v>
      </c>
      <c r="D823" s="541" t="s">
        <v>1721</v>
      </c>
      <c r="E823" s="543" t="s">
        <v>1535</v>
      </c>
      <c r="F823" s="540">
        <v>44105</v>
      </c>
      <c r="G823" s="501">
        <v>1272778.1200000001</v>
      </c>
      <c r="K823" s="363"/>
      <c r="L823" s="565"/>
      <c r="M823" s="565"/>
      <c r="O823" s="565"/>
      <c r="Q823" s="363"/>
      <c r="R823" s="565"/>
      <c r="U823" s="565"/>
      <c r="X823" s="565"/>
      <c r="AA823" s="565"/>
      <c r="AD823" s="565"/>
      <c r="AG823" s="565"/>
      <c r="AJ823" s="565"/>
      <c r="AM823" s="565"/>
      <c r="AP823" s="565"/>
      <c r="AS823" s="424"/>
      <c r="AV823" s="565"/>
      <c r="AY823" s="565"/>
      <c r="BB823" s="565"/>
      <c r="BE823" s="565"/>
      <c r="BH823" s="565"/>
      <c r="BK823" s="565"/>
      <c r="BN823" s="565"/>
      <c r="BQ823" s="462"/>
      <c r="BT823" s="462">
        <f t="shared" si="435"/>
        <v>1272778.1200000001</v>
      </c>
      <c r="BU823" s="447" t="s">
        <v>2134</v>
      </c>
      <c r="BV823" s="565">
        <v>684</v>
      </c>
      <c r="BW823" s="462">
        <f t="shared" si="431"/>
        <v>1272094.1200000001</v>
      </c>
      <c r="BZ823" s="462">
        <f t="shared" si="432"/>
        <v>1272094.1200000001</v>
      </c>
      <c r="CD823" s="418" t="str">
        <f t="shared" si="441"/>
        <v>CU0914001</v>
      </c>
      <c r="CE823" s="442" t="str">
        <f t="shared" si="442"/>
        <v>2020年10月</v>
      </c>
      <c r="CF823" s="418" t="str">
        <f t="shared" si="443"/>
        <v>鑫车投资（clife服务费暂估</v>
      </c>
      <c r="CG823" s="418" t="str">
        <f t="shared" si="444"/>
        <v>2020年10月鑫车投资（clife服务费暂估</v>
      </c>
    </row>
    <row r="824" spans="2:85" ht="17.25" customHeight="1">
      <c r="B824" s="541" t="str">
        <f t="shared" si="440"/>
        <v>CU0963</v>
      </c>
      <c r="C824" s="564" t="s">
        <v>755</v>
      </c>
      <c r="D824" s="541" t="s">
        <v>2397</v>
      </c>
      <c r="E824" s="543" t="s">
        <v>2396</v>
      </c>
      <c r="F824" s="540">
        <v>44105</v>
      </c>
      <c r="G824" s="501">
        <v>82841.919999999998</v>
      </c>
      <c r="K824" s="363"/>
      <c r="L824" s="565"/>
      <c r="M824" s="565"/>
      <c r="O824" s="565"/>
      <c r="Q824" s="363"/>
      <c r="R824" s="565"/>
      <c r="U824" s="565"/>
      <c r="X824" s="565"/>
      <c r="AA824" s="565"/>
      <c r="AD824" s="565"/>
      <c r="AG824" s="565"/>
      <c r="AJ824" s="565"/>
      <c r="AM824" s="565"/>
      <c r="AP824" s="565"/>
      <c r="AS824" s="424"/>
      <c r="AV824" s="565"/>
      <c r="AY824" s="565"/>
      <c r="BB824" s="565"/>
      <c r="BE824" s="565"/>
      <c r="BH824" s="565"/>
      <c r="BK824" s="565"/>
      <c r="BN824" s="565"/>
      <c r="BQ824" s="462"/>
      <c r="BT824" s="462">
        <f t="shared" si="435"/>
        <v>82841.919999999998</v>
      </c>
      <c r="BU824" s="447" t="s">
        <v>2134</v>
      </c>
      <c r="BV824" s="565">
        <f>BT824</f>
        <v>82841.919999999998</v>
      </c>
      <c r="BW824" s="462">
        <f t="shared" si="431"/>
        <v>0</v>
      </c>
      <c r="BZ824" s="462">
        <f t="shared" si="432"/>
        <v>0</v>
      </c>
      <c r="CD824" s="418" t="str">
        <f t="shared" si="441"/>
        <v>CU0963001</v>
      </c>
      <c r="CE824" s="442" t="str">
        <f t="shared" si="442"/>
        <v>2020年10月</v>
      </c>
      <c r="CF824" s="418" t="str">
        <f t="shared" si="443"/>
        <v>上海瑞慈门clife服务费暂估</v>
      </c>
      <c r="CG824" s="418" t="str">
        <f t="shared" si="444"/>
        <v>2020年10月上海瑞慈门clife服务费暂估</v>
      </c>
    </row>
    <row r="825" spans="2:85" ht="17.25" customHeight="1">
      <c r="B825" s="541" t="str">
        <f t="shared" si="440"/>
        <v>CU1013</v>
      </c>
      <c r="C825" s="564" t="s">
        <v>755</v>
      </c>
      <c r="D825" s="541" t="s">
        <v>1653</v>
      </c>
      <c r="E825" s="543" t="s">
        <v>1468</v>
      </c>
      <c r="F825" s="540">
        <v>44105</v>
      </c>
      <c r="G825" s="501">
        <v>26.42</v>
      </c>
      <c r="K825" s="363"/>
      <c r="L825" s="565"/>
      <c r="M825" s="565"/>
      <c r="O825" s="565"/>
      <c r="Q825" s="363"/>
      <c r="R825" s="565"/>
      <c r="U825" s="565"/>
      <c r="X825" s="565"/>
      <c r="AA825" s="565"/>
      <c r="AD825" s="565"/>
      <c r="AG825" s="565"/>
      <c r="AJ825" s="565"/>
      <c r="AM825" s="565"/>
      <c r="AP825" s="565"/>
      <c r="AS825" s="424"/>
      <c r="AV825" s="565"/>
      <c r="AY825" s="565"/>
      <c r="BB825" s="565"/>
      <c r="BE825" s="565"/>
      <c r="BH825" s="565"/>
      <c r="BK825" s="565"/>
      <c r="BN825" s="565"/>
      <c r="BQ825" s="462"/>
      <c r="BT825" s="462">
        <f t="shared" si="435"/>
        <v>26.42</v>
      </c>
      <c r="BU825" s="447" t="s">
        <v>2134</v>
      </c>
      <c r="BW825" s="462">
        <f t="shared" si="431"/>
        <v>26.42</v>
      </c>
      <c r="BZ825" s="462">
        <f t="shared" si="432"/>
        <v>26.42</v>
      </c>
      <c r="CD825" s="418" t="str">
        <f t="shared" si="441"/>
        <v>CU1013001</v>
      </c>
      <c r="CE825" s="442" t="str">
        <f t="shared" si="442"/>
        <v>2020年10月</v>
      </c>
      <c r="CF825" s="418" t="str">
        <f t="shared" si="443"/>
        <v>喜利得（中clife服务费暂估</v>
      </c>
      <c r="CG825" s="418" t="str">
        <f t="shared" si="444"/>
        <v>2020年10月喜利得（中clife服务费暂估</v>
      </c>
    </row>
    <row r="826" spans="2:85" ht="17.25" customHeight="1">
      <c r="B826" s="541" t="str">
        <f t="shared" si="440"/>
        <v>CU1016</v>
      </c>
      <c r="C826" s="564" t="s">
        <v>755</v>
      </c>
      <c r="D826" s="541" t="s">
        <v>1524</v>
      </c>
      <c r="E826" s="543" t="s">
        <v>1536</v>
      </c>
      <c r="F826" s="540">
        <v>44105</v>
      </c>
      <c r="G826" s="501">
        <v>25351.3</v>
      </c>
      <c r="K826" s="363"/>
      <c r="L826" s="565"/>
      <c r="M826" s="565"/>
      <c r="O826" s="565"/>
      <c r="Q826" s="363"/>
      <c r="R826" s="565"/>
      <c r="U826" s="565"/>
      <c r="X826" s="565"/>
      <c r="AA826" s="565"/>
      <c r="AD826" s="565"/>
      <c r="AG826" s="565"/>
      <c r="AJ826" s="565"/>
      <c r="AM826" s="565"/>
      <c r="AP826" s="565"/>
      <c r="AS826" s="424"/>
      <c r="AV826" s="565"/>
      <c r="AY826" s="565"/>
      <c r="BB826" s="565"/>
      <c r="BE826" s="565"/>
      <c r="BH826" s="565"/>
      <c r="BK826" s="565"/>
      <c r="BN826" s="565"/>
      <c r="BQ826" s="462"/>
      <c r="BT826" s="462">
        <f t="shared" si="435"/>
        <v>25351.3</v>
      </c>
      <c r="BU826" s="447" t="s">
        <v>2134</v>
      </c>
      <c r="BW826" s="462">
        <f t="shared" si="431"/>
        <v>25351.3</v>
      </c>
      <c r="BZ826" s="462">
        <f t="shared" si="432"/>
        <v>25351.3</v>
      </c>
      <c r="CD826" s="418" t="str">
        <f t="shared" si="441"/>
        <v>CU1016001</v>
      </c>
      <c r="CE826" s="442" t="str">
        <f t="shared" si="442"/>
        <v>2020年10月</v>
      </c>
      <c r="CF826" s="418" t="str">
        <f t="shared" si="443"/>
        <v>乔治阿玛尼clife服务费暂估</v>
      </c>
      <c r="CG826" s="418" t="str">
        <f t="shared" si="444"/>
        <v>2020年10月乔治阿玛尼clife服务费暂估</v>
      </c>
    </row>
    <row r="827" spans="2:85" ht="17.25" customHeight="1">
      <c r="B827" s="541" t="str">
        <f t="shared" si="440"/>
        <v>CU1152</v>
      </c>
      <c r="C827" s="564" t="s">
        <v>755</v>
      </c>
      <c r="D827" s="541" t="s">
        <v>1655</v>
      </c>
      <c r="E827" s="543" t="s">
        <v>1641</v>
      </c>
      <c r="F827" s="540">
        <v>44105</v>
      </c>
      <c r="G827" s="501">
        <v>4.72</v>
      </c>
      <c r="K827" s="363"/>
      <c r="L827" s="565"/>
      <c r="M827" s="565"/>
      <c r="O827" s="565"/>
      <c r="Q827" s="363"/>
      <c r="R827" s="565"/>
      <c r="U827" s="565"/>
      <c r="X827" s="565"/>
      <c r="AA827" s="565"/>
      <c r="AD827" s="565"/>
      <c r="AG827" s="565"/>
      <c r="AJ827" s="565"/>
      <c r="AM827" s="565"/>
      <c r="AP827" s="565"/>
      <c r="AS827" s="424"/>
      <c r="AV827" s="565"/>
      <c r="AY827" s="565"/>
      <c r="BB827" s="565"/>
      <c r="BE827" s="565"/>
      <c r="BH827" s="565"/>
      <c r="BK827" s="565"/>
      <c r="BN827" s="565"/>
      <c r="BQ827" s="462"/>
      <c r="BT827" s="462">
        <f t="shared" si="435"/>
        <v>4.72</v>
      </c>
      <c r="BU827" s="447" t="s">
        <v>2134</v>
      </c>
      <c r="BV827" s="565">
        <f>BT827</f>
        <v>4.72</v>
      </c>
      <c r="BW827" s="462">
        <f t="shared" si="431"/>
        <v>0</v>
      </c>
      <c r="BZ827" s="462">
        <f t="shared" si="432"/>
        <v>0</v>
      </c>
      <c r="CD827" s="418" t="str">
        <f t="shared" si="441"/>
        <v>CU1152001</v>
      </c>
      <c r="CE827" s="442" t="str">
        <f t="shared" si="442"/>
        <v>2020年10月</v>
      </c>
      <c r="CF827" s="418" t="str">
        <f t="shared" si="443"/>
        <v>昆明贝泰妮clife服务费暂估</v>
      </c>
      <c r="CG827" s="418" t="str">
        <f t="shared" si="444"/>
        <v>2020年10月昆明贝泰妮clife服务费暂估</v>
      </c>
    </row>
    <row r="828" spans="2:85" ht="17.25" customHeight="1">
      <c r="B828" s="541" t="str">
        <f t="shared" si="440"/>
        <v>CU1155</v>
      </c>
      <c r="C828" s="564" t="s">
        <v>755</v>
      </c>
      <c r="D828" s="541" t="s">
        <v>1698</v>
      </c>
      <c r="E828" s="543" t="s">
        <v>1681</v>
      </c>
      <c r="F828" s="540">
        <v>44105</v>
      </c>
      <c r="G828" s="501">
        <v>13470.82</v>
      </c>
      <c r="K828" s="363"/>
      <c r="L828" s="565"/>
      <c r="M828" s="565"/>
      <c r="O828" s="565"/>
      <c r="Q828" s="363"/>
      <c r="R828" s="565"/>
      <c r="U828" s="565"/>
      <c r="X828" s="565"/>
      <c r="AA828" s="565"/>
      <c r="AD828" s="565"/>
      <c r="AG828" s="565"/>
      <c r="AJ828" s="565"/>
      <c r="AM828" s="565"/>
      <c r="AP828" s="565"/>
      <c r="AS828" s="424"/>
      <c r="AV828" s="565"/>
      <c r="AY828" s="565"/>
      <c r="BB828" s="565"/>
      <c r="BE828" s="565"/>
      <c r="BH828" s="565"/>
      <c r="BK828" s="565"/>
      <c r="BN828" s="565"/>
      <c r="BQ828" s="462"/>
      <c r="BT828" s="462">
        <f t="shared" si="435"/>
        <v>13470.82</v>
      </c>
      <c r="BU828" s="447" t="s">
        <v>2134</v>
      </c>
      <c r="BW828" s="462">
        <f t="shared" si="431"/>
        <v>13470.82</v>
      </c>
      <c r="BZ828" s="462">
        <f t="shared" si="432"/>
        <v>13470.82</v>
      </c>
      <c r="CD828" s="418" t="str">
        <f t="shared" si="441"/>
        <v>CU1155001</v>
      </c>
      <c r="CE828" s="442" t="str">
        <f t="shared" si="442"/>
        <v>2020年10月</v>
      </c>
      <c r="CF828" s="418" t="str">
        <f t="shared" si="443"/>
        <v>艾蒙斯特朗clife服务费暂估</v>
      </c>
      <c r="CG828" s="418" t="str">
        <f t="shared" si="444"/>
        <v>2020年10月艾蒙斯特朗clife服务费暂估</v>
      </c>
    </row>
    <row r="829" spans="2:85" ht="17.25" customHeight="1">
      <c r="B829" s="541" t="str">
        <f t="shared" si="440"/>
        <v>CU1198</v>
      </c>
      <c r="C829" s="564" t="s">
        <v>755</v>
      </c>
      <c r="D829" s="541" t="s">
        <v>1538</v>
      </c>
      <c r="E829" s="543" t="s">
        <v>1537</v>
      </c>
      <c r="F829" s="540">
        <v>44105</v>
      </c>
      <c r="G829" s="501">
        <v>336383.84</v>
      </c>
      <c r="K829" s="363"/>
      <c r="L829" s="565"/>
      <c r="M829" s="565"/>
      <c r="O829" s="565"/>
      <c r="Q829" s="363"/>
      <c r="R829" s="565"/>
      <c r="U829" s="565"/>
      <c r="X829" s="565"/>
      <c r="AA829" s="565"/>
      <c r="AD829" s="565"/>
      <c r="AG829" s="565"/>
      <c r="AJ829" s="565"/>
      <c r="AM829" s="565"/>
      <c r="AP829" s="565"/>
      <c r="AS829" s="424"/>
      <c r="AV829" s="565"/>
      <c r="AY829" s="565"/>
      <c r="BB829" s="565"/>
      <c r="BE829" s="565"/>
      <c r="BH829" s="565"/>
      <c r="BK829" s="565"/>
      <c r="BN829" s="565"/>
      <c r="BQ829" s="462"/>
      <c r="BT829" s="462">
        <f t="shared" si="435"/>
        <v>336383.84</v>
      </c>
      <c r="BU829" s="447" t="s">
        <v>2134</v>
      </c>
      <c r="BV829" s="565">
        <f>ROUND((134855.7+50610.14)/1.06,2)-BV782</f>
        <v>161551.78999999998</v>
      </c>
      <c r="BW829" s="462">
        <f t="shared" si="431"/>
        <v>174832.05</v>
      </c>
      <c r="BZ829" s="462">
        <f t="shared" si="432"/>
        <v>174832.05</v>
      </c>
      <c r="CD829" s="418" t="str">
        <f t="shared" si="441"/>
        <v>CU1198001</v>
      </c>
      <c r="CE829" s="442" t="str">
        <f t="shared" si="442"/>
        <v>2020年10月</v>
      </c>
      <c r="CF829" s="418" t="str">
        <f t="shared" si="443"/>
        <v>通用公正技clife服务费暂估</v>
      </c>
      <c r="CG829" s="418" t="str">
        <f t="shared" si="444"/>
        <v>2020年10月通用公正技clife服务费暂估</v>
      </c>
    </row>
    <row r="830" spans="2:85" ht="17.25" customHeight="1">
      <c r="B830" s="541" t="str">
        <f t="shared" si="440"/>
        <v>CU1354</v>
      </c>
      <c r="C830" s="564" t="s">
        <v>755</v>
      </c>
      <c r="D830" s="541" t="s">
        <v>1723</v>
      </c>
      <c r="E830" s="543" t="s">
        <v>1840</v>
      </c>
      <c r="F830" s="540">
        <v>44105</v>
      </c>
      <c r="G830" s="501">
        <v>18350.099999999999</v>
      </c>
      <c r="K830" s="363"/>
      <c r="L830" s="565"/>
      <c r="M830" s="565"/>
      <c r="O830" s="565"/>
      <c r="Q830" s="363"/>
      <c r="R830" s="565"/>
      <c r="U830" s="565"/>
      <c r="X830" s="565"/>
      <c r="AA830" s="565"/>
      <c r="AD830" s="565"/>
      <c r="AG830" s="565"/>
      <c r="AJ830" s="565"/>
      <c r="AM830" s="565"/>
      <c r="AP830" s="565"/>
      <c r="AS830" s="424"/>
      <c r="AV830" s="565"/>
      <c r="AY830" s="565"/>
      <c r="BB830" s="565"/>
      <c r="BE830" s="565"/>
      <c r="BH830" s="565"/>
      <c r="BK830" s="565"/>
      <c r="BN830" s="565"/>
      <c r="BQ830" s="462"/>
      <c r="BT830" s="462">
        <f t="shared" si="435"/>
        <v>18350.099999999999</v>
      </c>
      <c r="BU830" s="447" t="s">
        <v>2134</v>
      </c>
      <c r="BW830" s="462">
        <f t="shared" si="431"/>
        <v>18350.099999999999</v>
      </c>
      <c r="BZ830" s="462">
        <f t="shared" si="432"/>
        <v>18350.099999999999</v>
      </c>
      <c r="CD830" s="418" t="str">
        <f t="shared" si="441"/>
        <v>CU1354001</v>
      </c>
      <c r="CE830" s="442" t="str">
        <f t="shared" si="442"/>
        <v>2020年10月</v>
      </c>
      <c r="CF830" s="418" t="str">
        <f t="shared" si="443"/>
        <v>威内源企业clife服务费暂估</v>
      </c>
      <c r="CG830" s="418" t="str">
        <f t="shared" si="444"/>
        <v>2020年10月威内源企业clife服务费暂估</v>
      </c>
    </row>
    <row r="831" spans="2:85" ht="17.25" customHeight="1">
      <c r="B831" s="541" t="str">
        <f t="shared" si="440"/>
        <v>CU1705</v>
      </c>
      <c r="C831" s="564" t="s">
        <v>755</v>
      </c>
      <c r="D831" s="541" t="s">
        <v>1848</v>
      </c>
      <c r="E831" s="543" t="s">
        <v>1845</v>
      </c>
      <c r="F831" s="540">
        <v>44105</v>
      </c>
      <c r="G831" s="501">
        <v>23887.75</v>
      </c>
      <c r="K831" s="363"/>
      <c r="L831" s="565"/>
      <c r="M831" s="565"/>
      <c r="O831" s="565"/>
      <c r="Q831" s="363"/>
      <c r="R831" s="565"/>
      <c r="U831" s="565"/>
      <c r="X831" s="565"/>
      <c r="AA831" s="565"/>
      <c r="AD831" s="565"/>
      <c r="AG831" s="565"/>
      <c r="AJ831" s="565"/>
      <c r="AM831" s="565"/>
      <c r="AP831" s="565"/>
      <c r="AS831" s="424"/>
      <c r="AV831" s="565"/>
      <c r="AY831" s="565"/>
      <c r="BB831" s="565"/>
      <c r="BE831" s="565"/>
      <c r="BH831" s="565"/>
      <c r="BK831" s="565"/>
      <c r="BN831" s="565"/>
      <c r="BQ831" s="462"/>
      <c r="BT831" s="462">
        <f t="shared" si="435"/>
        <v>23887.75</v>
      </c>
      <c r="BU831" s="447" t="s">
        <v>2134</v>
      </c>
      <c r="BW831" s="462">
        <f t="shared" si="431"/>
        <v>23887.75</v>
      </c>
      <c r="BZ831" s="462">
        <f t="shared" si="432"/>
        <v>23887.75</v>
      </c>
      <c r="CD831" s="418" t="str">
        <f t="shared" si="441"/>
        <v>CU1705001</v>
      </c>
      <c r="CE831" s="442" t="str">
        <f t="shared" si="442"/>
        <v>2020年10月</v>
      </c>
      <c r="CF831" s="418" t="str">
        <f t="shared" si="443"/>
        <v>通标标准技clife服务费暂估</v>
      </c>
      <c r="CG831" s="418" t="str">
        <f t="shared" si="444"/>
        <v>2020年10月通标标准技clife服务费暂估</v>
      </c>
    </row>
    <row r="832" spans="2:85" ht="17.25" customHeight="1">
      <c r="B832" s="541" t="str">
        <f t="shared" si="440"/>
        <v>CU1745</v>
      </c>
      <c r="C832" s="564" t="s">
        <v>755</v>
      </c>
      <c r="D832" s="541" t="s">
        <v>1875</v>
      </c>
      <c r="E832" s="543" t="s">
        <v>2211</v>
      </c>
      <c r="F832" s="540">
        <v>44105</v>
      </c>
      <c r="G832" s="501">
        <v>7.54</v>
      </c>
      <c r="K832" s="363"/>
      <c r="L832" s="565"/>
      <c r="M832" s="565"/>
      <c r="O832" s="565"/>
      <c r="Q832" s="363"/>
      <c r="R832" s="565"/>
      <c r="U832" s="565"/>
      <c r="X832" s="565"/>
      <c r="AA832" s="565"/>
      <c r="AD832" s="565"/>
      <c r="AG832" s="565"/>
      <c r="AJ832" s="565"/>
      <c r="AM832" s="565"/>
      <c r="AP832" s="565"/>
      <c r="AS832" s="424"/>
      <c r="AV832" s="565"/>
      <c r="AY832" s="565"/>
      <c r="BB832" s="565"/>
      <c r="BE832" s="565"/>
      <c r="BH832" s="565"/>
      <c r="BK832" s="565"/>
      <c r="BN832" s="565"/>
      <c r="BQ832" s="462"/>
      <c r="BT832" s="462">
        <f t="shared" si="435"/>
        <v>7.54</v>
      </c>
      <c r="BU832" s="447" t="s">
        <v>2134</v>
      </c>
      <c r="BW832" s="462">
        <f t="shared" si="431"/>
        <v>7.54</v>
      </c>
      <c r="BZ832" s="462">
        <f t="shared" si="432"/>
        <v>7.54</v>
      </c>
      <c r="CD832" s="418" t="str">
        <f t="shared" si="441"/>
        <v>CU1745001</v>
      </c>
      <c r="CE832" s="442" t="str">
        <f t="shared" si="442"/>
        <v>2020年10月</v>
      </c>
      <c r="CF832" s="418" t="str">
        <f t="shared" si="443"/>
        <v>格林机床（clife服务费暂估</v>
      </c>
      <c r="CG832" s="418" t="str">
        <f t="shared" si="444"/>
        <v>2020年10月格林机床（clife服务费暂估</v>
      </c>
    </row>
    <row r="833" spans="2:85" ht="17.25" customHeight="1">
      <c r="B833" s="541" t="str">
        <f t="shared" si="440"/>
        <v>CU1809</v>
      </c>
      <c r="C833" s="564" t="s">
        <v>755</v>
      </c>
      <c r="D833" s="541" t="s">
        <v>2196</v>
      </c>
      <c r="E833" s="543" t="s">
        <v>2212</v>
      </c>
      <c r="F833" s="540">
        <v>44105</v>
      </c>
      <c r="G833" s="501">
        <v>50</v>
      </c>
      <c r="K833" s="363"/>
      <c r="L833" s="565"/>
      <c r="M833" s="565"/>
      <c r="O833" s="565"/>
      <c r="Q833" s="363"/>
      <c r="R833" s="565"/>
      <c r="U833" s="565"/>
      <c r="X833" s="565"/>
      <c r="AA833" s="565"/>
      <c r="AD833" s="565"/>
      <c r="AG833" s="565"/>
      <c r="AJ833" s="565"/>
      <c r="AM833" s="565"/>
      <c r="AP833" s="565"/>
      <c r="AS833" s="424"/>
      <c r="AV833" s="565"/>
      <c r="AY833" s="565"/>
      <c r="BB833" s="565"/>
      <c r="BE833" s="565"/>
      <c r="BH833" s="565"/>
      <c r="BK833" s="565"/>
      <c r="BN833" s="565"/>
      <c r="BQ833" s="462"/>
      <c r="BT833" s="462">
        <f t="shared" si="435"/>
        <v>50</v>
      </c>
      <c r="BU833" s="447" t="s">
        <v>2134</v>
      </c>
      <c r="BW833" s="462">
        <f t="shared" si="431"/>
        <v>50</v>
      </c>
      <c r="BZ833" s="462">
        <f t="shared" si="432"/>
        <v>50</v>
      </c>
      <c r="CD833" s="418" t="str">
        <f t="shared" si="441"/>
        <v>CU1809001</v>
      </c>
      <c r="CE833" s="442" t="str">
        <f t="shared" si="442"/>
        <v>2020年10月</v>
      </c>
      <c r="CF833" s="418" t="str">
        <f t="shared" si="443"/>
        <v>伟亚安医疗clife服务费暂估</v>
      </c>
      <c r="CG833" s="418" t="str">
        <f t="shared" si="444"/>
        <v>2020年10月伟亚安医疗clife服务费暂估</v>
      </c>
    </row>
    <row r="834" spans="2:85" ht="17.25" customHeight="1">
      <c r="B834" s="541" t="str">
        <f t="shared" si="440"/>
        <v>CU1815</v>
      </c>
      <c r="C834" s="564" t="s">
        <v>755</v>
      </c>
      <c r="D834" s="541" t="s">
        <v>2336</v>
      </c>
      <c r="E834" s="543" t="s">
        <v>2333</v>
      </c>
      <c r="F834" s="540">
        <v>44105</v>
      </c>
      <c r="G834" s="501">
        <v>323.01</v>
      </c>
      <c r="K834" s="363"/>
      <c r="L834" s="565"/>
      <c r="M834" s="565"/>
      <c r="O834" s="565"/>
      <c r="Q834" s="363"/>
      <c r="R834" s="565"/>
      <c r="U834" s="565"/>
      <c r="X834" s="565"/>
      <c r="AA834" s="565"/>
      <c r="AD834" s="565"/>
      <c r="AG834" s="565"/>
      <c r="AJ834" s="565"/>
      <c r="AM834" s="565"/>
      <c r="AP834" s="565"/>
      <c r="AS834" s="424"/>
      <c r="AV834" s="565"/>
      <c r="AY834" s="565"/>
      <c r="BB834" s="565"/>
      <c r="BE834" s="565"/>
      <c r="BH834" s="565"/>
      <c r="BK834" s="565"/>
      <c r="BN834" s="565"/>
      <c r="BQ834" s="462"/>
      <c r="BT834" s="462">
        <f t="shared" si="435"/>
        <v>323.01</v>
      </c>
      <c r="BU834" s="447" t="s">
        <v>2134</v>
      </c>
      <c r="BW834" s="462">
        <f t="shared" si="431"/>
        <v>323.01</v>
      </c>
      <c r="BZ834" s="462">
        <f t="shared" si="432"/>
        <v>323.01</v>
      </c>
      <c r="CD834" s="418" t="str">
        <f t="shared" si="441"/>
        <v>CU1815001</v>
      </c>
      <c r="CE834" s="442" t="str">
        <f t="shared" si="442"/>
        <v>2020年10月</v>
      </c>
      <c r="CF834" s="418" t="str">
        <f t="shared" si="443"/>
        <v>道达尔clife服务费暂估</v>
      </c>
      <c r="CG834" s="418" t="str">
        <f t="shared" si="444"/>
        <v>2020年10月道达尔clife服务费暂估</v>
      </c>
    </row>
    <row r="835" spans="2:85" ht="17.25" customHeight="1">
      <c r="B835" s="541" t="str">
        <f t="shared" si="440"/>
        <v>CU1844</v>
      </c>
      <c r="C835" s="564" t="s">
        <v>755</v>
      </c>
      <c r="D835" s="541" t="s">
        <v>2209</v>
      </c>
      <c r="E835" s="543" t="s">
        <v>2213</v>
      </c>
      <c r="F835" s="540">
        <v>44105</v>
      </c>
      <c r="G835" s="501">
        <v>53435.42</v>
      </c>
      <c r="K835" s="363"/>
      <c r="L835" s="565"/>
      <c r="M835" s="565"/>
      <c r="O835" s="565"/>
      <c r="Q835" s="363"/>
      <c r="R835" s="565"/>
      <c r="U835" s="565"/>
      <c r="X835" s="565"/>
      <c r="AA835" s="565"/>
      <c r="AD835" s="565"/>
      <c r="AG835" s="565"/>
      <c r="AJ835" s="565"/>
      <c r="AM835" s="565"/>
      <c r="AP835" s="565"/>
      <c r="AS835" s="424"/>
      <c r="AV835" s="565"/>
      <c r="AY835" s="565"/>
      <c r="BB835" s="565"/>
      <c r="BE835" s="565"/>
      <c r="BH835" s="565"/>
      <c r="BK835" s="565"/>
      <c r="BN835" s="565"/>
      <c r="BQ835" s="462"/>
      <c r="BT835" s="462">
        <f t="shared" si="435"/>
        <v>53435.42</v>
      </c>
      <c r="BU835" s="447" t="s">
        <v>2134</v>
      </c>
      <c r="BW835" s="462">
        <f t="shared" si="431"/>
        <v>53435.42</v>
      </c>
      <c r="BZ835" s="462">
        <f t="shared" si="432"/>
        <v>53435.42</v>
      </c>
      <c r="CD835" s="418" t="str">
        <f t="shared" si="441"/>
        <v>CU1844001</v>
      </c>
      <c r="CE835" s="442" t="str">
        <f t="shared" si="442"/>
        <v>2020年10月</v>
      </c>
      <c r="CF835" s="418" t="str">
        <f t="shared" si="443"/>
        <v>上海仙豆智clife服务费暂估</v>
      </c>
      <c r="CG835" s="418" t="str">
        <f t="shared" si="444"/>
        <v>2020年10月上海仙豆智clife服务费暂估</v>
      </c>
    </row>
    <row r="836" spans="2:85" ht="17.25" customHeight="1">
      <c r="B836" s="541" t="str">
        <f t="shared" si="440"/>
        <v>CU1853</v>
      </c>
      <c r="C836" s="564" t="s">
        <v>755</v>
      </c>
      <c r="D836" s="541" t="s">
        <v>2096</v>
      </c>
      <c r="E836" s="543" t="s">
        <v>2100</v>
      </c>
      <c r="F836" s="540">
        <v>44105</v>
      </c>
      <c r="G836" s="501">
        <v>223.58</v>
      </c>
      <c r="K836" s="363"/>
      <c r="L836" s="565"/>
      <c r="M836" s="565"/>
      <c r="O836" s="565"/>
      <c r="Q836" s="363"/>
      <c r="R836" s="565"/>
      <c r="U836" s="565"/>
      <c r="X836" s="565"/>
      <c r="AA836" s="565"/>
      <c r="AD836" s="565"/>
      <c r="AG836" s="565"/>
      <c r="AJ836" s="565"/>
      <c r="AM836" s="565"/>
      <c r="AP836" s="565"/>
      <c r="AS836" s="424"/>
      <c r="AV836" s="565"/>
      <c r="AY836" s="565"/>
      <c r="BB836" s="565"/>
      <c r="BE836" s="565"/>
      <c r="BH836" s="565"/>
      <c r="BK836" s="565"/>
      <c r="BN836" s="565"/>
      <c r="BQ836" s="462"/>
      <c r="BT836" s="462">
        <f t="shared" si="435"/>
        <v>223.58</v>
      </c>
      <c r="BU836" s="447" t="s">
        <v>2134</v>
      </c>
      <c r="BW836" s="462">
        <f t="shared" ref="BW836:BW840" si="445">ROUND((BT836-BV836),2)</f>
        <v>223.58</v>
      </c>
      <c r="BZ836" s="462">
        <f t="shared" ref="BZ836:BZ869" si="446">ROUND((BW836-BY836),2)</f>
        <v>223.58</v>
      </c>
      <c r="CD836" s="418" t="str">
        <f t="shared" si="441"/>
        <v>CU1853001</v>
      </c>
      <c r="CE836" s="442" t="str">
        <f t="shared" si="442"/>
        <v>2020年10月</v>
      </c>
      <c r="CF836" s="418" t="str">
        <f t="shared" si="443"/>
        <v>北京易车互clife服务费暂估</v>
      </c>
      <c r="CG836" s="418" t="str">
        <f t="shared" si="444"/>
        <v>2020年10月北京易车互clife服务费暂估</v>
      </c>
    </row>
    <row r="837" spans="2:85" ht="17.25" customHeight="1">
      <c r="B837" s="541" t="str">
        <f t="shared" si="434"/>
        <v>CU1863</v>
      </c>
      <c r="C837" s="564" t="s">
        <v>755</v>
      </c>
      <c r="D837" s="541" t="s">
        <v>2337</v>
      </c>
      <c r="E837" s="543" t="s">
        <v>2334</v>
      </c>
      <c r="F837" s="540">
        <v>44105</v>
      </c>
      <c r="G837" s="501">
        <v>192043.26</v>
      </c>
      <c r="K837" s="363"/>
      <c r="L837" s="565"/>
      <c r="M837" s="565"/>
      <c r="O837" s="565"/>
      <c r="Q837" s="363"/>
      <c r="R837" s="565"/>
      <c r="U837" s="565"/>
      <c r="X837" s="565"/>
      <c r="AA837" s="565"/>
      <c r="AD837" s="565"/>
      <c r="AG837" s="565"/>
      <c r="AJ837" s="565"/>
      <c r="AM837" s="565"/>
      <c r="AP837" s="565"/>
      <c r="AS837" s="424"/>
      <c r="AV837" s="565"/>
      <c r="AY837" s="565"/>
      <c r="BB837" s="565"/>
      <c r="BE837" s="565"/>
      <c r="BH837" s="565"/>
      <c r="BK837" s="565"/>
      <c r="BN837" s="565"/>
      <c r="BQ837" s="462"/>
      <c r="BT837" s="462">
        <f t="shared" si="435"/>
        <v>192043.26</v>
      </c>
      <c r="BU837" s="447" t="s">
        <v>2134</v>
      </c>
      <c r="BV837" s="363">
        <f>ROUND(143975/1.06,2)-79266.11</f>
        <v>56559.360000000001</v>
      </c>
      <c r="BW837" s="462">
        <f t="shared" si="445"/>
        <v>135483.9</v>
      </c>
      <c r="BZ837" s="462">
        <f t="shared" si="446"/>
        <v>135483.9</v>
      </c>
      <c r="CD837" s="418" t="str">
        <f t="shared" si="436"/>
        <v>CU1863001</v>
      </c>
      <c r="CE837" s="442" t="str">
        <f t="shared" si="437"/>
        <v>2020年10月</v>
      </c>
      <c r="CF837" s="418" t="str">
        <f t="shared" si="438"/>
        <v>浙江正泰新clife服务费暂估</v>
      </c>
      <c r="CG837" s="418" t="str">
        <f t="shared" si="439"/>
        <v>2020年10月浙江正泰新clife服务费暂估</v>
      </c>
    </row>
    <row r="838" spans="2:85" ht="17.25" customHeight="1">
      <c r="B838" s="541" t="str">
        <f t="shared" si="434"/>
        <v>CU1926</v>
      </c>
      <c r="C838" s="564" t="s">
        <v>755</v>
      </c>
      <c r="D838" s="541" t="s">
        <v>2249</v>
      </c>
      <c r="E838" s="543" t="s">
        <v>2250</v>
      </c>
      <c r="F838" s="540">
        <v>44105</v>
      </c>
      <c r="G838" s="501">
        <v>0.94</v>
      </c>
      <c r="K838" s="363"/>
      <c r="L838" s="565"/>
      <c r="M838" s="565"/>
      <c r="O838" s="565"/>
      <c r="Q838" s="363"/>
      <c r="R838" s="565"/>
      <c r="U838" s="565"/>
      <c r="X838" s="565"/>
      <c r="AA838" s="565"/>
      <c r="AD838" s="565"/>
      <c r="AG838" s="565"/>
      <c r="AJ838" s="565"/>
      <c r="AM838" s="565"/>
      <c r="AP838" s="565"/>
      <c r="AS838" s="424"/>
      <c r="AV838" s="565"/>
      <c r="AY838" s="565"/>
      <c r="BB838" s="565"/>
      <c r="BE838" s="565"/>
      <c r="BH838" s="565"/>
      <c r="BK838" s="565"/>
      <c r="BN838" s="565"/>
      <c r="BQ838" s="462"/>
      <c r="BT838" s="462">
        <f t="shared" si="435"/>
        <v>0.94</v>
      </c>
      <c r="BU838" s="447" t="s">
        <v>2134</v>
      </c>
      <c r="BW838" s="462">
        <f t="shared" si="445"/>
        <v>0.94</v>
      </c>
      <c r="BZ838" s="462">
        <f t="shared" si="446"/>
        <v>0.94</v>
      </c>
      <c r="CD838" s="418" t="str">
        <f t="shared" si="436"/>
        <v>CU1926001</v>
      </c>
      <c r="CE838" s="442" t="str">
        <f t="shared" si="437"/>
        <v>2020年10月</v>
      </c>
      <c r="CF838" s="418" t="str">
        <f t="shared" si="438"/>
        <v>奥森多医疗clife服务费暂估</v>
      </c>
      <c r="CG838" s="418" t="str">
        <f t="shared" si="439"/>
        <v>2020年10月奥森多医疗clife服务费暂估</v>
      </c>
    </row>
    <row r="839" spans="2:85" ht="17.25" customHeight="1">
      <c r="B839" s="541" t="str">
        <f t="shared" si="434"/>
        <v>CU1954</v>
      </c>
      <c r="C839" s="564" t="s">
        <v>755</v>
      </c>
      <c r="D839" s="541" t="s">
        <v>2282</v>
      </c>
      <c r="E839" s="543" t="s">
        <v>2288</v>
      </c>
      <c r="F839" s="540">
        <v>44105</v>
      </c>
      <c r="G839" s="501">
        <v>251.89</v>
      </c>
      <c r="K839" s="363"/>
      <c r="L839" s="565"/>
      <c r="M839" s="565"/>
      <c r="O839" s="565"/>
      <c r="Q839" s="363"/>
      <c r="R839" s="565"/>
      <c r="U839" s="565"/>
      <c r="X839" s="565"/>
      <c r="AA839" s="565"/>
      <c r="AD839" s="565"/>
      <c r="AG839" s="565"/>
      <c r="AJ839" s="565"/>
      <c r="AM839" s="565"/>
      <c r="AP839" s="565"/>
      <c r="AS839" s="424"/>
      <c r="AV839" s="565"/>
      <c r="AY839" s="565"/>
      <c r="BB839" s="565"/>
      <c r="BE839" s="565"/>
      <c r="BH839" s="565"/>
      <c r="BK839" s="565"/>
      <c r="BN839" s="565"/>
      <c r="BQ839" s="462"/>
      <c r="BT839" s="462">
        <f t="shared" si="435"/>
        <v>251.89</v>
      </c>
      <c r="BU839" s="447" t="s">
        <v>2134</v>
      </c>
      <c r="BW839" s="462">
        <f t="shared" si="445"/>
        <v>251.89</v>
      </c>
      <c r="BZ839" s="462">
        <f t="shared" si="446"/>
        <v>251.89</v>
      </c>
      <c r="CD839" s="418" t="str">
        <f t="shared" si="436"/>
        <v>CU1954001</v>
      </c>
      <c r="CE839" s="442" t="str">
        <f t="shared" si="437"/>
        <v>2020年10月</v>
      </c>
      <c r="CF839" s="418" t="str">
        <f t="shared" si="438"/>
        <v>辉正（上海clife服务费暂估</v>
      </c>
      <c r="CG839" s="418" t="str">
        <f t="shared" si="439"/>
        <v>2020年10月辉正（上海clife服务费暂估</v>
      </c>
    </row>
    <row r="840" spans="2:85" ht="17.25" customHeight="1">
      <c r="B840" s="541" t="str">
        <f t="shared" si="434"/>
        <v>CU2010</v>
      </c>
      <c r="C840" s="564" t="s">
        <v>755</v>
      </c>
      <c r="D840" s="541" t="s">
        <v>2355</v>
      </c>
      <c r="E840" s="543" t="s">
        <v>2352</v>
      </c>
      <c r="F840" s="540">
        <v>44105</v>
      </c>
      <c r="G840" s="501">
        <v>141829.98000000001</v>
      </c>
      <c r="K840" s="363"/>
      <c r="L840" s="565"/>
      <c r="M840" s="565"/>
      <c r="O840" s="565"/>
      <c r="Q840" s="363"/>
      <c r="R840" s="565"/>
      <c r="U840" s="565"/>
      <c r="X840" s="565"/>
      <c r="AA840" s="565"/>
      <c r="AD840" s="565"/>
      <c r="AG840" s="565"/>
      <c r="AJ840" s="565"/>
      <c r="AM840" s="565"/>
      <c r="AP840" s="565"/>
      <c r="AS840" s="424"/>
      <c r="AV840" s="565"/>
      <c r="AY840" s="565"/>
      <c r="BB840" s="565"/>
      <c r="BE840" s="565"/>
      <c r="BH840" s="565"/>
      <c r="BK840" s="565"/>
      <c r="BN840" s="565"/>
      <c r="BQ840" s="462"/>
      <c r="BT840" s="462">
        <f t="shared" si="435"/>
        <v>141829.98000000001</v>
      </c>
      <c r="BU840" s="447" t="s">
        <v>2134</v>
      </c>
      <c r="BW840" s="462">
        <f t="shared" si="445"/>
        <v>141829.98000000001</v>
      </c>
      <c r="BZ840" s="462">
        <f t="shared" si="446"/>
        <v>141829.98000000001</v>
      </c>
      <c r="CD840" s="418" t="str">
        <f t="shared" si="436"/>
        <v>CU2010001</v>
      </c>
      <c r="CE840" s="442" t="str">
        <f t="shared" si="437"/>
        <v>2020年10月</v>
      </c>
      <c r="CF840" s="418" t="str">
        <f t="shared" si="438"/>
        <v>迈康尼电子clife服务费暂估</v>
      </c>
      <c r="CG840" s="418" t="str">
        <f t="shared" si="439"/>
        <v>2020年10月迈康尼电子clife服务费暂估</v>
      </c>
    </row>
    <row r="841" spans="2:85" ht="17.25" customHeight="1">
      <c r="B841" s="541" t="str">
        <f t="shared" si="434"/>
        <v>CU0093</v>
      </c>
      <c r="C841" s="564" t="s">
        <v>755</v>
      </c>
      <c r="D841" s="541" t="s">
        <v>1832</v>
      </c>
      <c r="E841" s="543" t="s">
        <v>32</v>
      </c>
      <c r="F841" s="540">
        <v>44136</v>
      </c>
      <c r="G841" s="501">
        <v>640</v>
      </c>
      <c r="K841" s="363"/>
      <c r="L841" s="565"/>
      <c r="M841" s="565"/>
      <c r="O841" s="565"/>
      <c r="Q841" s="363"/>
      <c r="R841" s="565"/>
      <c r="U841" s="565"/>
      <c r="X841" s="565"/>
      <c r="AA841" s="565"/>
      <c r="AD841" s="565"/>
      <c r="AG841" s="565"/>
      <c r="AJ841" s="565"/>
      <c r="AM841" s="565"/>
      <c r="AP841" s="565"/>
      <c r="AS841" s="424"/>
      <c r="AV841" s="565"/>
      <c r="AY841" s="565"/>
      <c r="BB841" s="565"/>
      <c r="BE841" s="565"/>
      <c r="BH841" s="565"/>
      <c r="BK841" s="565"/>
      <c r="BN841" s="565"/>
      <c r="BQ841" s="462"/>
      <c r="BT841" s="462"/>
      <c r="BW841" s="462">
        <f>G841</f>
        <v>640</v>
      </c>
      <c r="BZ841" s="565">
        <f t="shared" si="446"/>
        <v>640</v>
      </c>
      <c r="CD841" s="418" t="str">
        <f t="shared" si="436"/>
        <v>CU0093001</v>
      </c>
      <c r="CE841" s="442" t="str">
        <f t="shared" si="437"/>
        <v>2020年11月</v>
      </c>
      <c r="CF841" s="418" t="str">
        <f t="shared" si="438"/>
        <v>日立保险代clife服务费暂估</v>
      </c>
      <c r="CG841" s="418" t="str">
        <f t="shared" si="439"/>
        <v>2020年11月日立保险代clife服务费暂估</v>
      </c>
    </row>
    <row r="842" spans="2:85" ht="17.25" customHeight="1">
      <c r="B842" s="541" t="str">
        <f t="shared" si="434"/>
        <v>CU0109</v>
      </c>
      <c r="C842" s="564" t="s">
        <v>755</v>
      </c>
      <c r="D842" s="541" t="s">
        <v>1642</v>
      </c>
      <c r="E842" s="543" t="s">
        <v>34</v>
      </c>
      <c r="F842" s="540">
        <v>44136</v>
      </c>
      <c r="G842" s="501">
        <v>11133.54</v>
      </c>
      <c r="K842" s="363"/>
      <c r="L842" s="565"/>
      <c r="M842" s="565"/>
      <c r="O842" s="565"/>
      <c r="Q842" s="363"/>
      <c r="R842" s="565"/>
      <c r="U842" s="565"/>
      <c r="X842" s="565"/>
      <c r="AA842" s="565"/>
      <c r="AD842" s="565"/>
      <c r="AG842" s="565"/>
      <c r="AJ842" s="565"/>
      <c r="AM842" s="565"/>
      <c r="AP842" s="565"/>
      <c r="AS842" s="424"/>
      <c r="AV842" s="565"/>
      <c r="AY842" s="565"/>
      <c r="BB842" s="565"/>
      <c r="BE842" s="565"/>
      <c r="BH842" s="565"/>
      <c r="BK842" s="565"/>
      <c r="BN842" s="565"/>
      <c r="BQ842" s="462"/>
      <c r="BT842" s="462"/>
      <c r="BW842" s="462">
        <f t="shared" ref="BW842:BW869" si="447">G842</f>
        <v>11133.54</v>
      </c>
      <c r="BZ842" s="565">
        <f t="shared" si="446"/>
        <v>11133.54</v>
      </c>
      <c r="CD842" s="418" t="str">
        <f t="shared" ref="CD842:CD867" si="448">B842&amp;$B$1</f>
        <v>CU0109001</v>
      </c>
      <c r="CE842" s="442" t="str">
        <f t="shared" ref="CE842:CE867" si="449">YEAR(F842)&amp;"年"&amp;MONTH(F842)&amp;"月"</f>
        <v>2020年11月</v>
      </c>
      <c r="CF842" s="418" t="str">
        <f t="shared" ref="CF842:CF867" si="450">LEFT(E842,5)&amp;$E$1</f>
        <v>普拉达时装clife服务费暂估</v>
      </c>
      <c r="CG842" s="418" t="str">
        <f t="shared" ref="CG842:CG867" si="451">CE842&amp;CF842</f>
        <v>2020年11月普拉达时装clife服务费暂估</v>
      </c>
    </row>
    <row r="843" spans="2:85" ht="17.25" customHeight="1">
      <c r="B843" s="541" t="str">
        <f t="shared" si="434"/>
        <v>CU0238</v>
      </c>
      <c r="C843" s="564" t="s">
        <v>755</v>
      </c>
      <c r="D843" s="541" t="s">
        <v>1987</v>
      </c>
      <c r="E843" s="543" t="s">
        <v>54</v>
      </c>
      <c r="F843" s="540">
        <v>44136</v>
      </c>
      <c r="G843" s="501">
        <v>513.80999999999995</v>
      </c>
      <c r="K843" s="363"/>
      <c r="L843" s="565"/>
      <c r="M843" s="565"/>
      <c r="O843" s="565"/>
      <c r="Q843" s="363"/>
      <c r="R843" s="565"/>
      <c r="U843" s="565"/>
      <c r="X843" s="565"/>
      <c r="AA843" s="565"/>
      <c r="AD843" s="565"/>
      <c r="AG843" s="565"/>
      <c r="AJ843" s="565"/>
      <c r="AM843" s="565"/>
      <c r="AP843" s="565"/>
      <c r="AS843" s="424"/>
      <c r="AV843" s="565"/>
      <c r="AY843" s="565"/>
      <c r="BB843" s="565"/>
      <c r="BE843" s="565"/>
      <c r="BH843" s="565"/>
      <c r="BK843" s="565"/>
      <c r="BN843" s="565"/>
      <c r="BQ843" s="462"/>
      <c r="BT843" s="462"/>
      <c r="BW843" s="462">
        <f t="shared" si="447"/>
        <v>513.80999999999995</v>
      </c>
      <c r="BZ843" s="565">
        <f t="shared" si="446"/>
        <v>513.80999999999995</v>
      </c>
      <c r="CD843" s="418" t="str">
        <f t="shared" si="448"/>
        <v>CU0238001</v>
      </c>
      <c r="CE843" s="442" t="str">
        <f t="shared" si="449"/>
        <v>2020年11月</v>
      </c>
      <c r="CF843" s="418" t="str">
        <f t="shared" si="450"/>
        <v>丘奇鞋业（clife服务费暂估</v>
      </c>
      <c r="CG843" s="418" t="str">
        <f t="shared" si="451"/>
        <v>2020年11月丘奇鞋业（clife服务费暂估</v>
      </c>
    </row>
    <row r="844" spans="2:85" ht="17.25" customHeight="1">
      <c r="B844" s="541" t="str">
        <f t="shared" si="434"/>
        <v>CU0531</v>
      </c>
      <c r="C844" s="564" t="s">
        <v>755</v>
      </c>
      <c r="D844" s="541" t="s">
        <v>1453</v>
      </c>
      <c r="E844" s="543" t="s">
        <v>2088</v>
      </c>
      <c r="F844" s="540">
        <v>44136</v>
      </c>
      <c r="G844" s="501">
        <v>96640.81</v>
      </c>
      <c r="K844" s="363"/>
      <c r="L844" s="565"/>
      <c r="M844" s="565"/>
      <c r="O844" s="565"/>
      <c r="Q844" s="363"/>
      <c r="R844" s="565"/>
      <c r="U844" s="565"/>
      <c r="X844" s="565"/>
      <c r="AA844" s="565"/>
      <c r="AD844" s="565"/>
      <c r="AG844" s="565"/>
      <c r="AJ844" s="565"/>
      <c r="AM844" s="565"/>
      <c r="AP844" s="565"/>
      <c r="AS844" s="424"/>
      <c r="AV844" s="565"/>
      <c r="AY844" s="565"/>
      <c r="BB844" s="565"/>
      <c r="BE844" s="565"/>
      <c r="BH844" s="565"/>
      <c r="BK844" s="565"/>
      <c r="BN844" s="565"/>
      <c r="BQ844" s="462"/>
      <c r="BT844" s="462"/>
      <c r="BW844" s="462">
        <f t="shared" si="447"/>
        <v>96640.81</v>
      </c>
      <c r="BZ844" s="565">
        <f t="shared" si="446"/>
        <v>96640.81</v>
      </c>
      <c r="CD844" s="418" t="str">
        <f t="shared" si="448"/>
        <v>CU0531001</v>
      </c>
      <c r="CE844" s="442" t="str">
        <f t="shared" si="449"/>
        <v>2020年11月</v>
      </c>
      <c r="CF844" s="418" t="str">
        <f t="shared" si="450"/>
        <v>恩思恩clife服务费暂估</v>
      </c>
      <c r="CG844" s="418" t="str">
        <f t="shared" si="451"/>
        <v>2020年11月恩思恩clife服务费暂估</v>
      </c>
    </row>
    <row r="845" spans="2:85" ht="17.25" customHeight="1">
      <c r="B845" s="541" t="str">
        <f t="shared" si="434"/>
        <v>CU0542</v>
      </c>
      <c r="C845" s="564" t="s">
        <v>755</v>
      </c>
      <c r="D845" s="541" t="s">
        <v>2281</v>
      </c>
      <c r="E845" s="543" t="s">
        <v>2284</v>
      </c>
      <c r="F845" s="540">
        <v>44136</v>
      </c>
      <c r="G845" s="501">
        <v>21484.95</v>
      </c>
      <c r="K845" s="363"/>
      <c r="L845" s="565"/>
      <c r="M845" s="565"/>
      <c r="O845" s="565"/>
      <c r="Q845" s="363"/>
      <c r="R845" s="565"/>
      <c r="U845" s="565"/>
      <c r="X845" s="565"/>
      <c r="AA845" s="565"/>
      <c r="AD845" s="565"/>
      <c r="AG845" s="565"/>
      <c r="AJ845" s="565"/>
      <c r="AM845" s="565"/>
      <c r="AP845" s="565"/>
      <c r="AS845" s="424"/>
      <c r="AV845" s="565"/>
      <c r="AY845" s="565"/>
      <c r="BB845" s="565"/>
      <c r="BE845" s="565"/>
      <c r="BH845" s="565"/>
      <c r="BK845" s="565"/>
      <c r="BN845" s="565"/>
      <c r="BQ845" s="462"/>
      <c r="BT845" s="462"/>
      <c r="BW845" s="462">
        <f t="shared" si="447"/>
        <v>21484.95</v>
      </c>
      <c r="BZ845" s="565">
        <f t="shared" si="446"/>
        <v>21484.95</v>
      </c>
      <c r="CD845" s="418" t="str">
        <f t="shared" si="448"/>
        <v>CU0542001</v>
      </c>
      <c r="CE845" s="442" t="str">
        <f t="shared" si="449"/>
        <v>2020年11月</v>
      </c>
      <c r="CF845" s="418" t="str">
        <f t="shared" si="450"/>
        <v>上海伏达半clife服务费暂估</v>
      </c>
      <c r="CG845" s="418" t="str">
        <f t="shared" si="451"/>
        <v>2020年11月上海伏达半clife服务费暂估</v>
      </c>
    </row>
    <row r="846" spans="2:85" ht="17.25" customHeight="1">
      <c r="B846" s="541" t="str">
        <f t="shared" si="434"/>
        <v>CU0558</v>
      </c>
      <c r="C846" s="564" t="s">
        <v>755</v>
      </c>
      <c r="D846" s="541" t="s">
        <v>1647</v>
      </c>
      <c r="E846" s="543" t="s">
        <v>2285</v>
      </c>
      <c r="F846" s="540">
        <v>44136</v>
      </c>
      <c r="G846" s="501">
        <v>12919.5</v>
      </c>
      <c r="K846" s="363"/>
      <c r="L846" s="565"/>
      <c r="M846" s="565"/>
      <c r="O846" s="565"/>
      <c r="Q846" s="363"/>
      <c r="R846" s="565"/>
      <c r="U846" s="565"/>
      <c r="X846" s="565"/>
      <c r="AA846" s="565"/>
      <c r="AD846" s="565"/>
      <c r="AG846" s="565"/>
      <c r="AJ846" s="565"/>
      <c r="AM846" s="565"/>
      <c r="AP846" s="565"/>
      <c r="AS846" s="424"/>
      <c r="AV846" s="565"/>
      <c r="AY846" s="565"/>
      <c r="BB846" s="565"/>
      <c r="BE846" s="565"/>
      <c r="BH846" s="565"/>
      <c r="BK846" s="565"/>
      <c r="BN846" s="565"/>
      <c r="BQ846" s="462"/>
      <c r="BT846" s="462"/>
      <c r="BW846" s="462">
        <f t="shared" si="447"/>
        <v>12919.5</v>
      </c>
      <c r="BZ846" s="565">
        <f t="shared" si="446"/>
        <v>12919.5</v>
      </c>
      <c r="CD846" s="418" t="str">
        <f t="shared" si="448"/>
        <v>CU0558001</v>
      </c>
      <c r="CE846" s="442" t="str">
        <f t="shared" si="449"/>
        <v>2020年11月</v>
      </c>
      <c r="CF846" s="418" t="str">
        <f t="shared" si="450"/>
        <v>贵阳聚盟科clife服务费暂估</v>
      </c>
      <c r="CG846" s="418" t="str">
        <f t="shared" si="451"/>
        <v>2020年11月贵阳聚盟科clife服务费暂估</v>
      </c>
    </row>
    <row r="847" spans="2:85" ht="17.25" customHeight="1">
      <c r="B847" s="541" t="str">
        <f t="shared" si="434"/>
        <v>CU0667</v>
      </c>
      <c r="C847" s="564" t="s">
        <v>755</v>
      </c>
      <c r="D847" s="541" t="s">
        <v>1454</v>
      </c>
      <c r="E847" s="543" t="s">
        <v>2350</v>
      </c>
      <c r="F847" s="540">
        <v>44136</v>
      </c>
      <c r="G847" s="501">
        <v>1426.63</v>
      </c>
      <c r="K847" s="363"/>
      <c r="L847" s="565"/>
      <c r="M847" s="565"/>
      <c r="O847" s="565"/>
      <c r="Q847" s="363"/>
      <c r="R847" s="565"/>
      <c r="U847" s="565"/>
      <c r="X847" s="565"/>
      <c r="AA847" s="565"/>
      <c r="AD847" s="565"/>
      <c r="AG847" s="565"/>
      <c r="AJ847" s="565"/>
      <c r="AM847" s="565"/>
      <c r="AP847" s="565"/>
      <c r="AS847" s="424"/>
      <c r="AV847" s="565"/>
      <c r="AY847" s="565"/>
      <c r="BB847" s="565"/>
      <c r="BE847" s="565"/>
      <c r="BH847" s="565"/>
      <c r="BK847" s="565"/>
      <c r="BN847" s="565"/>
      <c r="BQ847" s="462"/>
      <c r="BT847" s="462"/>
      <c r="BW847" s="462">
        <f t="shared" si="447"/>
        <v>1426.63</v>
      </c>
      <c r="BZ847" s="565">
        <f t="shared" si="446"/>
        <v>1426.63</v>
      </c>
      <c r="CD847" s="418" t="str">
        <f t="shared" si="448"/>
        <v>CU0667001</v>
      </c>
      <c r="CE847" s="442" t="str">
        <f t="shared" si="449"/>
        <v>2020年11月</v>
      </c>
      <c r="CF847" s="418" t="str">
        <f t="shared" si="450"/>
        <v>碧涌达科技clife服务费暂估</v>
      </c>
      <c r="CG847" s="418" t="str">
        <f t="shared" si="451"/>
        <v>2020年11月碧涌达科技clife服务费暂估</v>
      </c>
    </row>
    <row r="848" spans="2:85" ht="17.25" customHeight="1">
      <c r="B848" s="541" t="str">
        <f t="shared" si="434"/>
        <v>CU0734</v>
      </c>
      <c r="C848" s="564" t="s">
        <v>755</v>
      </c>
      <c r="D848" s="541" t="s">
        <v>1649</v>
      </c>
      <c r="E848" s="543" t="s">
        <v>1639</v>
      </c>
      <c r="F848" s="540">
        <v>44136</v>
      </c>
      <c r="G848" s="501">
        <v>155566.04</v>
      </c>
      <c r="K848" s="363"/>
      <c r="L848" s="565"/>
      <c r="M848" s="565"/>
      <c r="O848" s="565"/>
      <c r="Q848" s="363"/>
      <c r="R848" s="565"/>
      <c r="U848" s="565"/>
      <c r="X848" s="565"/>
      <c r="AA848" s="565"/>
      <c r="AD848" s="565"/>
      <c r="AG848" s="565"/>
      <c r="AJ848" s="565"/>
      <c r="AM848" s="565"/>
      <c r="AP848" s="565"/>
      <c r="AS848" s="424"/>
      <c r="AV848" s="565"/>
      <c r="AY848" s="565"/>
      <c r="BB848" s="565"/>
      <c r="BE848" s="565"/>
      <c r="BH848" s="565"/>
      <c r="BK848" s="565"/>
      <c r="BN848" s="565"/>
      <c r="BQ848" s="462"/>
      <c r="BT848" s="462"/>
      <c r="BW848" s="462">
        <f t="shared" si="447"/>
        <v>155566.04</v>
      </c>
      <c r="BZ848" s="565">
        <f t="shared" si="446"/>
        <v>155566.04</v>
      </c>
      <c r="CD848" s="418" t="str">
        <f t="shared" si="448"/>
        <v>CU0734001</v>
      </c>
      <c r="CE848" s="442" t="str">
        <f t="shared" si="449"/>
        <v>2020年11月</v>
      </c>
      <c r="CF848" s="418" t="str">
        <f t="shared" si="450"/>
        <v>蒂森克虏伯clife服务费暂估</v>
      </c>
      <c r="CG848" s="418" t="str">
        <f t="shared" si="451"/>
        <v>2020年11月蒂森克虏伯clife服务费暂估</v>
      </c>
    </row>
    <row r="849" spans="2:85" ht="17.25" customHeight="1">
      <c r="B849" s="541" t="str">
        <f t="shared" si="434"/>
        <v>CU0812</v>
      </c>
      <c r="C849" s="564" t="s">
        <v>755</v>
      </c>
      <c r="D849" s="541" t="s">
        <v>1455</v>
      </c>
      <c r="E849" s="543" t="s">
        <v>1534</v>
      </c>
      <c r="F849" s="540">
        <v>44136</v>
      </c>
      <c r="G849" s="501">
        <v>2194.0100000000002</v>
      </c>
      <c r="K849" s="363"/>
      <c r="L849" s="565"/>
      <c r="M849" s="565"/>
      <c r="O849" s="565"/>
      <c r="Q849" s="363"/>
      <c r="R849" s="565"/>
      <c r="U849" s="565"/>
      <c r="X849" s="565"/>
      <c r="AA849" s="565"/>
      <c r="AD849" s="565"/>
      <c r="AG849" s="565"/>
      <c r="AJ849" s="565"/>
      <c r="AM849" s="565"/>
      <c r="AP849" s="565"/>
      <c r="AS849" s="424"/>
      <c r="AV849" s="565"/>
      <c r="AY849" s="565"/>
      <c r="BB849" s="565"/>
      <c r="BE849" s="565"/>
      <c r="BH849" s="565"/>
      <c r="BK849" s="565"/>
      <c r="BN849" s="565"/>
      <c r="BQ849" s="462"/>
      <c r="BT849" s="462"/>
      <c r="BW849" s="462">
        <f t="shared" si="447"/>
        <v>2194.0100000000002</v>
      </c>
      <c r="BZ849" s="565">
        <f t="shared" si="446"/>
        <v>2194.0100000000002</v>
      </c>
      <c r="CD849" s="418" t="str">
        <f t="shared" si="448"/>
        <v>CU0812001</v>
      </c>
      <c r="CE849" s="442" t="str">
        <f t="shared" si="449"/>
        <v>2020年11月</v>
      </c>
      <c r="CF849" s="418" t="str">
        <f t="shared" si="450"/>
        <v>上海恩派社clife服务费暂估</v>
      </c>
      <c r="CG849" s="418" t="str">
        <f t="shared" si="451"/>
        <v>2020年11月上海恩派社clife服务费暂估</v>
      </c>
    </row>
    <row r="850" spans="2:85" ht="17.25" customHeight="1">
      <c r="B850" s="541" t="str">
        <f t="shared" si="434"/>
        <v>CU0823</v>
      </c>
      <c r="C850" s="564" t="s">
        <v>755</v>
      </c>
      <c r="D850" s="541" t="s">
        <v>1457</v>
      </c>
      <c r="E850" s="543" t="s">
        <v>581</v>
      </c>
      <c r="F850" s="540">
        <v>44136</v>
      </c>
      <c r="G850" s="501">
        <v>7951.46</v>
      </c>
      <c r="K850" s="363"/>
      <c r="L850" s="565"/>
      <c r="M850" s="565"/>
      <c r="O850" s="565"/>
      <c r="Q850" s="363"/>
      <c r="R850" s="565"/>
      <c r="U850" s="565"/>
      <c r="X850" s="565"/>
      <c r="AA850" s="565"/>
      <c r="AD850" s="565"/>
      <c r="AG850" s="565"/>
      <c r="AJ850" s="565"/>
      <c r="AM850" s="565"/>
      <c r="AP850" s="565"/>
      <c r="AS850" s="424"/>
      <c r="AV850" s="565"/>
      <c r="AY850" s="565"/>
      <c r="BB850" s="565"/>
      <c r="BE850" s="565"/>
      <c r="BH850" s="565"/>
      <c r="BK850" s="565"/>
      <c r="BN850" s="565"/>
      <c r="BQ850" s="462"/>
      <c r="BT850" s="462"/>
      <c r="BW850" s="462">
        <f t="shared" si="447"/>
        <v>7951.46</v>
      </c>
      <c r="BZ850" s="565">
        <f t="shared" si="446"/>
        <v>7951.46</v>
      </c>
      <c r="CD850" s="418" t="str">
        <f t="shared" si="448"/>
        <v>CU0823001</v>
      </c>
      <c r="CE850" s="442" t="str">
        <f t="shared" si="449"/>
        <v>2020年11月</v>
      </c>
      <c r="CF850" s="418" t="str">
        <f t="shared" si="450"/>
        <v>凯杰生物工clife服务费暂估</v>
      </c>
      <c r="CG850" s="418" t="str">
        <f t="shared" si="451"/>
        <v>2020年11月凯杰生物工clife服务费暂估</v>
      </c>
    </row>
    <row r="851" spans="2:85" ht="17.25" customHeight="1">
      <c r="B851" s="541" t="str">
        <f t="shared" si="434"/>
        <v>CU0848</v>
      </c>
      <c r="C851" s="564" t="s">
        <v>755</v>
      </c>
      <c r="D851" s="541" t="s">
        <v>1462</v>
      </c>
      <c r="E851" s="543" t="s">
        <v>1830</v>
      </c>
      <c r="F851" s="540">
        <v>44136</v>
      </c>
      <c r="G851" s="501">
        <v>3460.32</v>
      </c>
      <c r="K851" s="363"/>
      <c r="L851" s="565"/>
      <c r="M851" s="565"/>
      <c r="O851" s="565"/>
      <c r="Q851" s="363"/>
      <c r="R851" s="565"/>
      <c r="U851" s="565"/>
      <c r="X851" s="565"/>
      <c r="AA851" s="565"/>
      <c r="AD851" s="565"/>
      <c r="AG851" s="565"/>
      <c r="AJ851" s="565"/>
      <c r="AM851" s="565"/>
      <c r="AP851" s="565"/>
      <c r="AS851" s="424"/>
      <c r="AV851" s="565"/>
      <c r="AY851" s="565"/>
      <c r="BB851" s="565"/>
      <c r="BE851" s="565"/>
      <c r="BH851" s="565"/>
      <c r="BK851" s="565"/>
      <c r="BN851" s="565"/>
      <c r="BQ851" s="462"/>
      <c r="BT851" s="462"/>
      <c r="BW851" s="462">
        <f t="shared" si="447"/>
        <v>3460.32</v>
      </c>
      <c r="BZ851" s="565">
        <f t="shared" si="446"/>
        <v>3460.32</v>
      </c>
      <c r="CD851" s="418" t="str">
        <f t="shared" si="448"/>
        <v>CU0848001</v>
      </c>
      <c r="CE851" s="442" t="str">
        <f t="shared" si="449"/>
        <v>2020年11月</v>
      </c>
      <c r="CF851" s="418" t="str">
        <f t="shared" si="450"/>
        <v>爱德觅尔（clife服务费暂估</v>
      </c>
      <c r="CG851" s="418" t="str">
        <f t="shared" si="451"/>
        <v>2020年11月爱德觅尔（clife服务费暂估</v>
      </c>
    </row>
    <row r="852" spans="2:85" ht="17.25" customHeight="1">
      <c r="B852" s="541" t="str">
        <f t="shared" si="434"/>
        <v>CU0904</v>
      </c>
      <c r="C852" s="564" t="s">
        <v>755</v>
      </c>
      <c r="D852" s="541" t="s">
        <v>1460</v>
      </c>
      <c r="E852" s="543" t="s">
        <v>955</v>
      </c>
      <c r="F852" s="540">
        <v>44136</v>
      </c>
      <c r="G852" s="501">
        <v>6923.04</v>
      </c>
      <c r="K852" s="363"/>
      <c r="L852" s="565"/>
      <c r="M852" s="565"/>
      <c r="O852" s="565"/>
      <c r="Q852" s="363"/>
      <c r="R852" s="565"/>
      <c r="U852" s="565"/>
      <c r="X852" s="565"/>
      <c r="AA852" s="565"/>
      <c r="AD852" s="565"/>
      <c r="AG852" s="565"/>
      <c r="AJ852" s="565"/>
      <c r="AM852" s="565"/>
      <c r="AP852" s="565"/>
      <c r="AS852" s="424"/>
      <c r="AV852" s="565"/>
      <c r="AY852" s="565"/>
      <c r="BB852" s="565"/>
      <c r="BE852" s="565"/>
      <c r="BH852" s="565"/>
      <c r="BK852" s="565"/>
      <c r="BN852" s="565"/>
      <c r="BQ852" s="462"/>
      <c r="BT852" s="462"/>
      <c r="BW852" s="462">
        <f t="shared" si="447"/>
        <v>6923.04</v>
      </c>
      <c r="BZ852" s="565">
        <f t="shared" si="446"/>
        <v>6923.04</v>
      </c>
      <c r="CD852" s="418" t="str">
        <f t="shared" si="448"/>
        <v>CU0904001</v>
      </c>
      <c r="CE852" s="442" t="str">
        <f t="shared" si="449"/>
        <v>2020年11月</v>
      </c>
      <c r="CF852" s="418" t="str">
        <f t="shared" si="450"/>
        <v>紫光电子商clife服务费暂估</v>
      </c>
      <c r="CG852" s="418" t="str">
        <f t="shared" si="451"/>
        <v>2020年11月紫光电子商clife服务费暂估</v>
      </c>
    </row>
    <row r="853" spans="2:85" ht="17.25" customHeight="1">
      <c r="B853" s="541" t="str">
        <f t="shared" si="434"/>
        <v>CU0963</v>
      </c>
      <c r="C853" s="564" t="s">
        <v>755</v>
      </c>
      <c r="D853" s="541" t="s">
        <v>2397</v>
      </c>
      <c r="E853" s="543" t="s">
        <v>2396</v>
      </c>
      <c r="F853" s="540">
        <v>44136</v>
      </c>
      <c r="G853" s="501">
        <v>382037.5</v>
      </c>
      <c r="K853" s="363"/>
      <c r="L853" s="565"/>
      <c r="M853" s="565"/>
      <c r="O853" s="565"/>
      <c r="Q853" s="363"/>
      <c r="R853" s="565"/>
      <c r="U853" s="565"/>
      <c r="X853" s="565"/>
      <c r="AA853" s="565"/>
      <c r="AD853" s="565"/>
      <c r="AG853" s="565"/>
      <c r="AJ853" s="565"/>
      <c r="AM853" s="565"/>
      <c r="AP853" s="565"/>
      <c r="AS853" s="424"/>
      <c r="AV853" s="565"/>
      <c r="AY853" s="565"/>
      <c r="BB853" s="565"/>
      <c r="BE853" s="565"/>
      <c r="BH853" s="565"/>
      <c r="BK853" s="565"/>
      <c r="BN853" s="565"/>
      <c r="BQ853" s="462"/>
      <c r="BT853" s="462"/>
      <c r="BW853" s="462">
        <f t="shared" si="447"/>
        <v>382037.5</v>
      </c>
      <c r="BZ853" s="565">
        <f t="shared" si="446"/>
        <v>382037.5</v>
      </c>
      <c r="CD853" s="418" t="str">
        <f t="shared" si="448"/>
        <v>CU0963001</v>
      </c>
      <c r="CE853" s="442" t="str">
        <f t="shared" si="449"/>
        <v>2020年11月</v>
      </c>
      <c r="CF853" s="418" t="str">
        <f t="shared" si="450"/>
        <v>上海瑞慈门clife服务费暂估</v>
      </c>
      <c r="CG853" s="418" t="str">
        <f t="shared" si="451"/>
        <v>2020年11月上海瑞慈门clife服务费暂估</v>
      </c>
    </row>
    <row r="854" spans="2:85" ht="17.25" customHeight="1">
      <c r="B854" s="541" t="str">
        <f t="shared" si="434"/>
        <v>CU1016</v>
      </c>
      <c r="C854" s="564" t="s">
        <v>755</v>
      </c>
      <c r="D854" s="541" t="s">
        <v>1524</v>
      </c>
      <c r="E854" s="543" t="s">
        <v>1536</v>
      </c>
      <c r="F854" s="540">
        <v>44136</v>
      </c>
      <c r="G854" s="501">
        <v>11285.94</v>
      </c>
      <c r="K854" s="363"/>
      <c r="L854" s="565"/>
      <c r="M854" s="565"/>
      <c r="O854" s="565"/>
      <c r="Q854" s="363"/>
      <c r="R854" s="565"/>
      <c r="U854" s="565"/>
      <c r="X854" s="565"/>
      <c r="AA854" s="565"/>
      <c r="AD854" s="565"/>
      <c r="AG854" s="565"/>
      <c r="AJ854" s="565"/>
      <c r="AM854" s="565"/>
      <c r="AP854" s="565"/>
      <c r="AS854" s="424"/>
      <c r="AV854" s="565"/>
      <c r="AY854" s="565"/>
      <c r="BB854" s="565"/>
      <c r="BE854" s="565"/>
      <c r="BH854" s="565"/>
      <c r="BK854" s="565"/>
      <c r="BN854" s="565"/>
      <c r="BQ854" s="462"/>
      <c r="BT854" s="462"/>
      <c r="BW854" s="462">
        <f t="shared" si="447"/>
        <v>11285.94</v>
      </c>
      <c r="BZ854" s="565">
        <f t="shared" si="446"/>
        <v>11285.94</v>
      </c>
      <c r="CD854" s="418" t="str">
        <f t="shared" si="448"/>
        <v>CU1016001</v>
      </c>
      <c r="CE854" s="442" t="str">
        <f t="shared" si="449"/>
        <v>2020年11月</v>
      </c>
      <c r="CF854" s="418" t="str">
        <f t="shared" si="450"/>
        <v>乔治阿玛尼clife服务费暂估</v>
      </c>
      <c r="CG854" s="418" t="str">
        <f t="shared" si="451"/>
        <v>2020年11月乔治阿玛尼clife服务费暂估</v>
      </c>
    </row>
    <row r="855" spans="2:85" ht="17.25" customHeight="1">
      <c r="B855" s="541" t="str">
        <f t="shared" si="434"/>
        <v>CU1155</v>
      </c>
      <c r="C855" s="564" t="s">
        <v>755</v>
      </c>
      <c r="D855" s="541" t="s">
        <v>1698</v>
      </c>
      <c r="E855" s="543" t="s">
        <v>1681</v>
      </c>
      <c r="F855" s="540">
        <v>44136</v>
      </c>
      <c r="G855" s="501">
        <v>477.69</v>
      </c>
      <c r="K855" s="363"/>
      <c r="L855" s="565"/>
      <c r="M855" s="565"/>
      <c r="O855" s="565"/>
      <c r="Q855" s="363"/>
      <c r="R855" s="565"/>
      <c r="U855" s="565"/>
      <c r="X855" s="565"/>
      <c r="AA855" s="565"/>
      <c r="AD855" s="565"/>
      <c r="AG855" s="565"/>
      <c r="AJ855" s="565"/>
      <c r="AM855" s="565"/>
      <c r="AP855" s="565"/>
      <c r="AS855" s="424"/>
      <c r="AV855" s="565"/>
      <c r="AY855" s="565"/>
      <c r="BB855" s="565"/>
      <c r="BE855" s="565"/>
      <c r="BH855" s="565"/>
      <c r="BK855" s="565"/>
      <c r="BN855" s="565"/>
      <c r="BQ855" s="462"/>
      <c r="BT855" s="462"/>
      <c r="BW855" s="462">
        <f t="shared" si="447"/>
        <v>477.69</v>
      </c>
      <c r="BZ855" s="565">
        <f t="shared" si="446"/>
        <v>477.69</v>
      </c>
      <c r="CD855" s="418" t="str">
        <f t="shared" si="448"/>
        <v>CU1155001</v>
      </c>
      <c r="CE855" s="442" t="str">
        <f t="shared" si="449"/>
        <v>2020年11月</v>
      </c>
      <c r="CF855" s="418" t="str">
        <f t="shared" si="450"/>
        <v>艾蒙斯特朗clife服务费暂估</v>
      </c>
      <c r="CG855" s="418" t="str">
        <f t="shared" si="451"/>
        <v>2020年11月艾蒙斯特朗clife服务费暂估</v>
      </c>
    </row>
    <row r="856" spans="2:85" ht="17.25" customHeight="1">
      <c r="B856" s="541" t="str">
        <f t="shared" si="434"/>
        <v>CU1198</v>
      </c>
      <c r="C856" s="564" t="s">
        <v>755</v>
      </c>
      <c r="D856" s="541" t="s">
        <v>1538</v>
      </c>
      <c r="E856" s="543" t="s">
        <v>1537</v>
      </c>
      <c r="F856" s="540">
        <v>44136</v>
      </c>
      <c r="G856" s="501">
        <v>337414.14</v>
      </c>
      <c r="K856" s="363"/>
      <c r="L856" s="565"/>
      <c r="M856" s="565"/>
      <c r="O856" s="565"/>
      <c r="Q856" s="363"/>
      <c r="R856" s="565"/>
      <c r="U856" s="565"/>
      <c r="X856" s="565"/>
      <c r="AA856" s="565"/>
      <c r="AD856" s="565"/>
      <c r="AG856" s="565"/>
      <c r="AJ856" s="565"/>
      <c r="AM856" s="565"/>
      <c r="AP856" s="565"/>
      <c r="AS856" s="424"/>
      <c r="AV856" s="565"/>
      <c r="AY856" s="565"/>
      <c r="BB856" s="565"/>
      <c r="BE856" s="565"/>
      <c r="BH856" s="565"/>
      <c r="BK856" s="565"/>
      <c r="BN856" s="565"/>
      <c r="BQ856" s="462"/>
      <c r="BT856" s="462"/>
      <c r="BW856" s="462">
        <f t="shared" si="447"/>
        <v>337414.14</v>
      </c>
      <c r="BZ856" s="565">
        <f t="shared" si="446"/>
        <v>337414.14</v>
      </c>
      <c r="CD856" s="418" t="str">
        <f t="shared" si="448"/>
        <v>CU1198001</v>
      </c>
      <c r="CE856" s="442" t="str">
        <f t="shared" si="449"/>
        <v>2020年11月</v>
      </c>
      <c r="CF856" s="418" t="str">
        <f t="shared" si="450"/>
        <v>通用公正技clife服务费暂估</v>
      </c>
      <c r="CG856" s="418" t="str">
        <f t="shared" si="451"/>
        <v>2020年11月通用公正技clife服务费暂估</v>
      </c>
    </row>
    <row r="857" spans="2:85" ht="17.25" customHeight="1">
      <c r="B857" s="541" t="str">
        <f t="shared" si="434"/>
        <v>CU1204</v>
      </c>
      <c r="C857" s="564" t="s">
        <v>755</v>
      </c>
      <c r="D857" s="541" t="s">
        <v>1656</v>
      </c>
      <c r="E857" s="543" t="s">
        <v>1582</v>
      </c>
      <c r="F857" s="540">
        <v>44136</v>
      </c>
      <c r="G857" s="501">
        <v>160800</v>
      </c>
      <c r="K857" s="363"/>
      <c r="L857" s="565"/>
      <c r="M857" s="565"/>
      <c r="O857" s="565"/>
      <c r="Q857" s="363"/>
      <c r="R857" s="565"/>
      <c r="U857" s="565"/>
      <c r="X857" s="565"/>
      <c r="AA857" s="565"/>
      <c r="AD857" s="565"/>
      <c r="AG857" s="565"/>
      <c r="AJ857" s="565"/>
      <c r="AM857" s="565"/>
      <c r="AP857" s="565"/>
      <c r="AS857" s="424"/>
      <c r="AV857" s="565"/>
      <c r="AY857" s="565"/>
      <c r="BB857" s="565"/>
      <c r="BE857" s="565"/>
      <c r="BH857" s="565"/>
      <c r="BK857" s="565"/>
      <c r="BN857" s="565"/>
      <c r="BQ857" s="462"/>
      <c r="BT857" s="462"/>
      <c r="BW857" s="462">
        <f t="shared" si="447"/>
        <v>160800</v>
      </c>
      <c r="BZ857" s="565">
        <f t="shared" si="446"/>
        <v>160800</v>
      </c>
      <c r="CD857" s="418" t="str">
        <f t="shared" si="448"/>
        <v>CU1204001</v>
      </c>
      <c r="CE857" s="442" t="str">
        <f t="shared" si="449"/>
        <v>2020年11月</v>
      </c>
      <c r="CF857" s="418" t="str">
        <f t="shared" si="450"/>
        <v>固特异轮胎clife服务费暂估</v>
      </c>
      <c r="CG857" s="418" t="str">
        <f t="shared" si="451"/>
        <v>2020年11月固特异轮胎clife服务费暂估</v>
      </c>
    </row>
    <row r="858" spans="2:85" ht="17.25" customHeight="1">
      <c r="B858" s="541" t="str">
        <f t="shared" si="434"/>
        <v>CU1705</v>
      </c>
      <c r="C858" s="564" t="s">
        <v>755</v>
      </c>
      <c r="D858" s="541" t="s">
        <v>1848</v>
      </c>
      <c r="E858" s="543" t="s">
        <v>1845</v>
      </c>
      <c r="F858" s="540">
        <v>44136</v>
      </c>
      <c r="G858" s="501">
        <v>254589.99</v>
      </c>
      <c r="K858" s="363"/>
      <c r="L858" s="565"/>
      <c r="M858" s="565"/>
      <c r="O858" s="565"/>
      <c r="Q858" s="363"/>
      <c r="R858" s="565"/>
      <c r="U858" s="565"/>
      <c r="X858" s="565"/>
      <c r="AA858" s="565"/>
      <c r="AD858" s="565"/>
      <c r="AG858" s="565"/>
      <c r="AJ858" s="565"/>
      <c r="AM858" s="565"/>
      <c r="AP858" s="565"/>
      <c r="AS858" s="424"/>
      <c r="AV858" s="565"/>
      <c r="AY858" s="565"/>
      <c r="BB858" s="565"/>
      <c r="BE858" s="565"/>
      <c r="BH858" s="565"/>
      <c r="BK858" s="565"/>
      <c r="BN858" s="565"/>
      <c r="BQ858" s="462"/>
      <c r="BT858" s="462"/>
      <c r="BW858" s="462">
        <f t="shared" si="447"/>
        <v>254589.99</v>
      </c>
      <c r="BZ858" s="565">
        <f t="shared" si="446"/>
        <v>254589.99</v>
      </c>
      <c r="CD858" s="418" t="str">
        <f t="shared" si="448"/>
        <v>CU1705001</v>
      </c>
      <c r="CE858" s="442" t="str">
        <f t="shared" si="449"/>
        <v>2020年11月</v>
      </c>
      <c r="CF858" s="418" t="str">
        <f t="shared" si="450"/>
        <v>通标标准技clife服务费暂估</v>
      </c>
      <c r="CG858" s="418" t="str">
        <f t="shared" si="451"/>
        <v>2020年11月通标标准技clife服务费暂估</v>
      </c>
    </row>
    <row r="859" spans="2:85" ht="17.25" customHeight="1">
      <c r="B859" s="541" t="str">
        <f t="shared" si="434"/>
        <v>CU1738</v>
      </c>
      <c r="C859" s="564" t="s">
        <v>755</v>
      </c>
      <c r="D859" s="541" t="s">
        <v>2027</v>
      </c>
      <c r="E859" s="543" t="s">
        <v>2413</v>
      </c>
      <c r="F859" s="540">
        <v>44136</v>
      </c>
      <c r="G859" s="501">
        <v>201214.77</v>
      </c>
      <c r="K859" s="363"/>
      <c r="L859" s="565"/>
      <c r="M859" s="565"/>
      <c r="O859" s="565"/>
      <c r="Q859" s="363"/>
      <c r="R859" s="565"/>
      <c r="U859" s="565"/>
      <c r="X859" s="565"/>
      <c r="AA859" s="565"/>
      <c r="AD859" s="565"/>
      <c r="AG859" s="565"/>
      <c r="AJ859" s="565"/>
      <c r="AM859" s="565"/>
      <c r="AP859" s="565"/>
      <c r="AS859" s="424"/>
      <c r="AV859" s="565"/>
      <c r="AY859" s="565"/>
      <c r="BB859" s="565"/>
      <c r="BE859" s="565"/>
      <c r="BH859" s="565"/>
      <c r="BK859" s="565"/>
      <c r="BN859" s="565"/>
      <c r="BQ859" s="462"/>
      <c r="BT859" s="462"/>
      <c r="BW859" s="462">
        <f t="shared" si="447"/>
        <v>201214.77</v>
      </c>
      <c r="BZ859" s="565">
        <f t="shared" si="446"/>
        <v>201214.77</v>
      </c>
      <c r="CD859" s="418" t="str">
        <f t="shared" si="448"/>
        <v>CU1738001</v>
      </c>
      <c r="CE859" s="442" t="str">
        <f t="shared" si="449"/>
        <v>2020年11月</v>
      </c>
      <c r="CF859" s="418" t="str">
        <f t="shared" si="450"/>
        <v>上海酩悦轩clife服务费暂估</v>
      </c>
      <c r="CG859" s="418" t="str">
        <f t="shared" si="451"/>
        <v>2020年11月上海酩悦轩clife服务费暂估</v>
      </c>
    </row>
    <row r="860" spans="2:85" ht="17.25" customHeight="1">
      <c r="B860" s="541" t="str">
        <f t="shared" si="434"/>
        <v>CU1809</v>
      </c>
      <c r="C860" s="564" t="s">
        <v>755</v>
      </c>
      <c r="D860" s="541" t="s">
        <v>2196</v>
      </c>
      <c r="E860" s="543" t="s">
        <v>2212</v>
      </c>
      <c r="F860" s="540">
        <v>44136</v>
      </c>
      <c r="G860" s="501">
        <v>4982.42</v>
      </c>
      <c r="K860" s="363"/>
      <c r="L860" s="565"/>
      <c r="M860" s="565"/>
      <c r="O860" s="565"/>
      <c r="Q860" s="363"/>
      <c r="R860" s="565"/>
      <c r="U860" s="565"/>
      <c r="X860" s="565"/>
      <c r="AA860" s="565"/>
      <c r="AD860" s="565"/>
      <c r="AG860" s="565"/>
      <c r="AJ860" s="565"/>
      <c r="AM860" s="565"/>
      <c r="AP860" s="565"/>
      <c r="AS860" s="424"/>
      <c r="AV860" s="565"/>
      <c r="AY860" s="565"/>
      <c r="BB860" s="565"/>
      <c r="BE860" s="565"/>
      <c r="BH860" s="565"/>
      <c r="BK860" s="565"/>
      <c r="BN860" s="565"/>
      <c r="BQ860" s="462"/>
      <c r="BT860" s="462"/>
      <c r="BW860" s="462">
        <f t="shared" si="447"/>
        <v>4982.42</v>
      </c>
      <c r="BZ860" s="565">
        <f t="shared" si="446"/>
        <v>4982.42</v>
      </c>
      <c r="CD860" s="418" t="str">
        <f t="shared" si="448"/>
        <v>CU1809001</v>
      </c>
      <c r="CE860" s="442" t="str">
        <f t="shared" si="449"/>
        <v>2020年11月</v>
      </c>
      <c r="CF860" s="418" t="str">
        <f t="shared" si="450"/>
        <v>伟亚安医疗clife服务费暂估</v>
      </c>
      <c r="CG860" s="418" t="str">
        <f t="shared" si="451"/>
        <v>2020年11月伟亚安医疗clife服务费暂估</v>
      </c>
    </row>
    <row r="861" spans="2:85" ht="17.25" customHeight="1">
      <c r="B861" s="541" t="str">
        <f t="shared" si="434"/>
        <v>CU1815</v>
      </c>
      <c r="C861" s="564" t="s">
        <v>755</v>
      </c>
      <c r="D861" s="541" t="s">
        <v>2336</v>
      </c>
      <c r="E861" s="543" t="s">
        <v>2333</v>
      </c>
      <c r="F861" s="540">
        <v>44136</v>
      </c>
      <c r="G861" s="501">
        <v>18356.48</v>
      </c>
      <c r="K861" s="363"/>
      <c r="L861" s="565"/>
      <c r="M861" s="565"/>
      <c r="O861" s="565"/>
      <c r="Q861" s="363"/>
      <c r="R861" s="565"/>
      <c r="U861" s="565"/>
      <c r="X861" s="565"/>
      <c r="AA861" s="565"/>
      <c r="AD861" s="565"/>
      <c r="AG861" s="565"/>
      <c r="AJ861" s="565"/>
      <c r="AM861" s="565"/>
      <c r="AP861" s="565"/>
      <c r="AS861" s="424"/>
      <c r="AV861" s="565"/>
      <c r="AY861" s="565"/>
      <c r="BB861" s="565"/>
      <c r="BE861" s="565"/>
      <c r="BH861" s="565"/>
      <c r="BK861" s="565"/>
      <c r="BN861" s="565"/>
      <c r="BQ861" s="462"/>
      <c r="BT861" s="462"/>
      <c r="BW861" s="462">
        <f t="shared" si="447"/>
        <v>18356.48</v>
      </c>
      <c r="BZ861" s="565">
        <f t="shared" si="446"/>
        <v>18356.48</v>
      </c>
      <c r="CD861" s="418" t="str">
        <f t="shared" si="448"/>
        <v>CU1815001</v>
      </c>
      <c r="CE861" s="442" t="str">
        <f t="shared" si="449"/>
        <v>2020年11月</v>
      </c>
      <c r="CF861" s="418" t="str">
        <f t="shared" si="450"/>
        <v>道达尔clife服务费暂估</v>
      </c>
      <c r="CG861" s="418" t="str">
        <f t="shared" si="451"/>
        <v>2020年11月道达尔clife服务费暂估</v>
      </c>
    </row>
    <row r="862" spans="2:85" ht="17.25" customHeight="1">
      <c r="B862" s="541" t="str">
        <f t="shared" si="434"/>
        <v>CU1844</v>
      </c>
      <c r="C862" s="564" t="s">
        <v>755</v>
      </c>
      <c r="D862" s="541" t="s">
        <v>2209</v>
      </c>
      <c r="E862" s="543" t="s">
        <v>2213</v>
      </c>
      <c r="F862" s="540">
        <v>44136</v>
      </c>
      <c r="G862" s="501">
        <v>207359.8</v>
      </c>
      <c r="K862" s="363"/>
      <c r="L862" s="565"/>
      <c r="M862" s="565"/>
      <c r="O862" s="565"/>
      <c r="Q862" s="363"/>
      <c r="R862" s="565"/>
      <c r="U862" s="565"/>
      <c r="X862" s="565"/>
      <c r="AA862" s="565"/>
      <c r="AD862" s="565"/>
      <c r="AG862" s="565"/>
      <c r="AJ862" s="565"/>
      <c r="AM862" s="565"/>
      <c r="AP862" s="565"/>
      <c r="AS862" s="424"/>
      <c r="AV862" s="565"/>
      <c r="AY862" s="565"/>
      <c r="BB862" s="565"/>
      <c r="BE862" s="565"/>
      <c r="BH862" s="565"/>
      <c r="BK862" s="565"/>
      <c r="BN862" s="565"/>
      <c r="BQ862" s="462"/>
      <c r="BT862" s="462"/>
      <c r="BW862" s="462">
        <f t="shared" si="447"/>
        <v>207359.8</v>
      </c>
      <c r="BY862" s="565">
        <f>BW862</f>
        <v>207359.8</v>
      </c>
      <c r="BZ862" s="565">
        <f t="shared" si="446"/>
        <v>0</v>
      </c>
      <c r="CD862" s="418" t="str">
        <f t="shared" si="448"/>
        <v>CU1844001</v>
      </c>
      <c r="CE862" s="442" t="str">
        <f t="shared" si="449"/>
        <v>2020年11月</v>
      </c>
      <c r="CF862" s="418" t="str">
        <f t="shared" si="450"/>
        <v>上海仙豆智clife服务费暂估</v>
      </c>
      <c r="CG862" s="418" t="str">
        <f t="shared" si="451"/>
        <v>2020年11月上海仙豆智clife服务费暂估</v>
      </c>
    </row>
    <row r="863" spans="2:85" ht="17.25" customHeight="1">
      <c r="B863" s="541" t="str">
        <f t="shared" si="434"/>
        <v>CU1853</v>
      </c>
      <c r="C863" s="564" t="s">
        <v>755</v>
      </c>
      <c r="D863" s="541" t="s">
        <v>2096</v>
      </c>
      <c r="E863" s="543" t="s">
        <v>2100</v>
      </c>
      <c r="F863" s="540">
        <v>44136</v>
      </c>
      <c r="G863" s="501">
        <v>338507.78</v>
      </c>
      <c r="K863" s="363"/>
      <c r="L863" s="565"/>
      <c r="M863" s="565"/>
      <c r="O863" s="565"/>
      <c r="Q863" s="363"/>
      <c r="R863" s="565"/>
      <c r="U863" s="565"/>
      <c r="X863" s="565"/>
      <c r="AA863" s="565"/>
      <c r="AD863" s="565"/>
      <c r="AG863" s="565"/>
      <c r="AJ863" s="565"/>
      <c r="AM863" s="565"/>
      <c r="AP863" s="565"/>
      <c r="AS863" s="424"/>
      <c r="AV863" s="565"/>
      <c r="AY863" s="565"/>
      <c r="BB863" s="565"/>
      <c r="BE863" s="565"/>
      <c r="BH863" s="565"/>
      <c r="BK863" s="565"/>
      <c r="BN863" s="565"/>
      <c r="BQ863" s="462"/>
      <c r="BT863" s="462"/>
      <c r="BW863" s="462">
        <f t="shared" si="447"/>
        <v>338507.78</v>
      </c>
      <c r="BZ863" s="565">
        <f t="shared" si="446"/>
        <v>338507.78</v>
      </c>
      <c r="CD863" s="418" t="str">
        <f t="shared" si="448"/>
        <v>CU1853001</v>
      </c>
      <c r="CE863" s="442" t="str">
        <f t="shared" si="449"/>
        <v>2020年11月</v>
      </c>
      <c r="CF863" s="418" t="str">
        <f t="shared" si="450"/>
        <v>北京易车互clife服务费暂估</v>
      </c>
      <c r="CG863" s="418" t="str">
        <f t="shared" si="451"/>
        <v>2020年11月北京易车互clife服务费暂估</v>
      </c>
    </row>
    <row r="864" spans="2:85" ht="17.25" customHeight="1">
      <c r="B864" s="541" t="str">
        <f t="shared" si="434"/>
        <v>CU1926</v>
      </c>
      <c r="C864" s="564" t="s">
        <v>755</v>
      </c>
      <c r="D864" s="541" t="s">
        <v>2249</v>
      </c>
      <c r="E864" s="543" t="s">
        <v>2250</v>
      </c>
      <c r="F864" s="540">
        <v>44136</v>
      </c>
      <c r="G864" s="501">
        <v>721134.57</v>
      </c>
      <c r="K864" s="363"/>
      <c r="L864" s="565"/>
      <c r="M864" s="565"/>
      <c r="O864" s="565"/>
      <c r="Q864" s="363"/>
      <c r="R864" s="565"/>
      <c r="U864" s="565"/>
      <c r="X864" s="565"/>
      <c r="AA864" s="565"/>
      <c r="AD864" s="565"/>
      <c r="AG864" s="565"/>
      <c r="AJ864" s="565"/>
      <c r="AM864" s="565"/>
      <c r="AP864" s="565"/>
      <c r="AS864" s="424"/>
      <c r="AV864" s="565"/>
      <c r="AY864" s="565"/>
      <c r="BB864" s="565"/>
      <c r="BE864" s="565"/>
      <c r="BH864" s="565"/>
      <c r="BK864" s="565"/>
      <c r="BN864" s="565"/>
      <c r="BQ864" s="462"/>
      <c r="BT864" s="462"/>
      <c r="BW864" s="462">
        <f t="shared" si="447"/>
        <v>721134.57</v>
      </c>
      <c r="BZ864" s="565">
        <f t="shared" si="446"/>
        <v>721134.57</v>
      </c>
      <c r="CD864" s="418" t="str">
        <f t="shared" si="448"/>
        <v>CU1926001</v>
      </c>
      <c r="CE864" s="442" t="str">
        <f t="shared" si="449"/>
        <v>2020年11月</v>
      </c>
      <c r="CF864" s="418" t="str">
        <f t="shared" si="450"/>
        <v>奥森多医疗clife服务费暂估</v>
      </c>
      <c r="CG864" s="418" t="str">
        <f t="shared" si="451"/>
        <v>2020年11月奥森多医疗clife服务费暂估</v>
      </c>
    </row>
    <row r="865" spans="2:85" ht="17.25" customHeight="1">
      <c r="B865" s="541" t="str">
        <f t="shared" si="434"/>
        <v>CU1961</v>
      </c>
      <c r="C865" s="564" t="s">
        <v>755</v>
      </c>
      <c r="D865" s="541" t="s">
        <v>2283</v>
      </c>
      <c r="E865" s="543" t="s">
        <v>2289</v>
      </c>
      <c r="F865" s="540">
        <v>44136</v>
      </c>
      <c r="G865" s="501">
        <v>1611.37</v>
      </c>
      <c r="K865" s="363"/>
      <c r="L865" s="565"/>
      <c r="M865" s="565"/>
      <c r="O865" s="565"/>
      <c r="Q865" s="363"/>
      <c r="R865" s="565"/>
      <c r="U865" s="565"/>
      <c r="X865" s="565"/>
      <c r="AA865" s="565"/>
      <c r="AD865" s="565"/>
      <c r="AG865" s="565"/>
      <c r="AJ865" s="565"/>
      <c r="AM865" s="565"/>
      <c r="AP865" s="565"/>
      <c r="AS865" s="424"/>
      <c r="AV865" s="565"/>
      <c r="AY865" s="565"/>
      <c r="BB865" s="565"/>
      <c r="BE865" s="565"/>
      <c r="BH865" s="565"/>
      <c r="BK865" s="565"/>
      <c r="BN865" s="565"/>
      <c r="BQ865" s="462"/>
      <c r="BT865" s="462"/>
      <c r="BW865" s="462">
        <f t="shared" si="447"/>
        <v>1611.37</v>
      </c>
      <c r="BZ865" s="565">
        <f t="shared" si="446"/>
        <v>1611.37</v>
      </c>
      <c r="CD865" s="418" t="str">
        <f t="shared" si="448"/>
        <v>CU1961001</v>
      </c>
      <c r="CE865" s="442" t="str">
        <f t="shared" si="449"/>
        <v>2020年11月</v>
      </c>
      <c r="CF865" s="418" t="str">
        <f t="shared" si="450"/>
        <v>澳龙信息科clife服务费暂估</v>
      </c>
      <c r="CG865" s="418" t="str">
        <f t="shared" si="451"/>
        <v>2020年11月澳龙信息科clife服务费暂估</v>
      </c>
    </row>
    <row r="866" spans="2:85" ht="17.25" customHeight="1">
      <c r="B866" s="541" t="str">
        <f t="shared" si="434"/>
        <v>CU1983</v>
      </c>
      <c r="C866" s="564" t="s">
        <v>755</v>
      </c>
      <c r="D866" s="541" t="s">
        <v>2418</v>
      </c>
      <c r="E866" s="543" t="s">
        <v>2414</v>
      </c>
      <c r="F866" s="540">
        <v>44136</v>
      </c>
      <c r="G866" s="501">
        <v>93026.538000000015</v>
      </c>
      <c r="K866" s="363"/>
      <c r="L866" s="565"/>
      <c r="M866" s="565"/>
      <c r="O866" s="565"/>
      <c r="Q866" s="363"/>
      <c r="R866" s="565"/>
      <c r="U866" s="565"/>
      <c r="X866" s="565"/>
      <c r="AA866" s="565"/>
      <c r="AD866" s="565"/>
      <c r="AG866" s="565"/>
      <c r="AJ866" s="565"/>
      <c r="AM866" s="565"/>
      <c r="AP866" s="565"/>
      <c r="AS866" s="424"/>
      <c r="AV866" s="565"/>
      <c r="AY866" s="565"/>
      <c r="BB866" s="565"/>
      <c r="BE866" s="565"/>
      <c r="BH866" s="565"/>
      <c r="BK866" s="565"/>
      <c r="BN866" s="565"/>
      <c r="BQ866" s="462"/>
      <c r="BT866" s="462"/>
      <c r="BW866" s="462">
        <f t="shared" si="447"/>
        <v>93026.538000000015</v>
      </c>
      <c r="BZ866" s="565">
        <f t="shared" si="446"/>
        <v>93026.54</v>
      </c>
      <c r="CD866" s="418" t="str">
        <f t="shared" si="448"/>
        <v>CU1983001</v>
      </c>
      <c r="CE866" s="442" t="str">
        <f t="shared" si="449"/>
        <v>2020年11月</v>
      </c>
      <c r="CF866" s="418" t="str">
        <f t="shared" si="450"/>
        <v>欧立腾（北clife服务费暂估</v>
      </c>
      <c r="CG866" s="418" t="str">
        <f t="shared" si="451"/>
        <v>2020年11月欧立腾（北clife服务费暂估</v>
      </c>
    </row>
    <row r="867" spans="2:85" ht="17.25" customHeight="1">
      <c r="B867" s="541" t="str">
        <f t="shared" si="434"/>
        <v>CU1986</v>
      </c>
      <c r="C867" s="564" t="s">
        <v>755</v>
      </c>
      <c r="D867" s="541" t="s">
        <v>2419</v>
      </c>
      <c r="E867" s="543" t="s">
        <v>2415</v>
      </c>
      <c r="F867" s="540">
        <v>44136</v>
      </c>
      <c r="G867" s="501">
        <v>16247.789999999999</v>
      </c>
      <c r="K867" s="363"/>
      <c r="L867" s="565"/>
      <c r="M867" s="565"/>
      <c r="O867" s="565"/>
      <c r="Q867" s="363"/>
      <c r="R867" s="565"/>
      <c r="U867" s="565"/>
      <c r="X867" s="565"/>
      <c r="AA867" s="565"/>
      <c r="AD867" s="565"/>
      <c r="AG867" s="565"/>
      <c r="AJ867" s="565"/>
      <c r="AM867" s="565"/>
      <c r="AP867" s="565"/>
      <c r="AS867" s="424"/>
      <c r="AV867" s="565"/>
      <c r="AY867" s="565"/>
      <c r="BB867" s="565"/>
      <c r="BE867" s="565"/>
      <c r="BH867" s="565"/>
      <c r="BK867" s="565"/>
      <c r="BN867" s="565"/>
      <c r="BQ867" s="462"/>
      <c r="BT867" s="462"/>
      <c r="BW867" s="462">
        <f t="shared" si="447"/>
        <v>16247.789999999999</v>
      </c>
      <c r="BZ867" s="565">
        <f t="shared" si="446"/>
        <v>16247.79</v>
      </c>
      <c r="CD867" s="418" t="str">
        <f t="shared" si="448"/>
        <v>CU1986001</v>
      </c>
      <c r="CE867" s="442" t="str">
        <f t="shared" si="449"/>
        <v>2020年11月</v>
      </c>
      <c r="CF867" s="418" t="str">
        <f t="shared" si="450"/>
        <v>捷博轴承技clife服务费暂估</v>
      </c>
      <c r="CG867" s="418" t="str">
        <f t="shared" si="451"/>
        <v>2020年11月捷博轴承技clife服务费暂估</v>
      </c>
    </row>
    <row r="868" spans="2:85" ht="17.25" customHeight="1">
      <c r="B868" s="541" t="str">
        <f t="shared" si="424"/>
        <v>CU2087</v>
      </c>
      <c r="C868" s="564" t="s">
        <v>755</v>
      </c>
      <c r="D868" s="541" t="s">
        <v>2420</v>
      </c>
      <c r="E868" s="543" t="s">
        <v>2416</v>
      </c>
      <c r="F868" s="540">
        <v>44136</v>
      </c>
      <c r="G868" s="501">
        <v>8203.0319999999992</v>
      </c>
      <c r="K868" s="363"/>
      <c r="L868" s="565"/>
      <c r="M868" s="565"/>
      <c r="O868" s="565"/>
      <c r="Q868" s="363"/>
      <c r="R868" s="565"/>
      <c r="U868" s="565"/>
      <c r="X868" s="565"/>
      <c r="AA868" s="565"/>
      <c r="AD868" s="565"/>
      <c r="AG868" s="565"/>
      <c r="AJ868" s="565"/>
      <c r="AM868" s="565"/>
      <c r="AP868" s="565"/>
      <c r="AS868" s="424"/>
      <c r="AV868" s="565"/>
      <c r="AY868" s="565"/>
      <c r="BB868" s="565"/>
      <c r="BE868" s="565"/>
      <c r="BH868" s="565"/>
      <c r="BK868" s="565"/>
      <c r="BN868" s="565"/>
      <c r="BQ868" s="462"/>
      <c r="BT868" s="462"/>
      <c r="BW868" s="462">
        <f t="shared" si="447"/>
        <v>8203.0319999999992</v>
      </c>
      <c r="BZ868" s="565">
        <f t="shared" si="446"/>
        <v>8203.0300000000007</v>
      </c>
      <c r="CD868" s="418" t="str">
        <f t="shared" si="425"/>
        <v>CU2087001</v>
      </c>
      <c r="CE868" s="442" t="str">
        <f t="shared" si="426"/>
        <v>2020年11月</v>
      </c>
      <c r="CF868" s="418" t="str">
        <f t="shared" si="427"/>
        <v>上海尚标互clife服务费暂估</v>
      </c>
      <c r="CG868" s="418" t="str">
        <f t="shared" si="428"/>
        <v>2020年11月上海尚标互clife服务费暂估</v>
      </c>
    </row>
    <row r="869" spans="2:85" ht="17.25" customHeight="1">
      <c r="B869" s="541" t="str">
        <f t="shared" si="424"/>
        <v>CU9999</v>
      </c>
      <c r="C869" s="564" t="s">
        <v>755</v>
      </c>
      <c r="D869" s="541" t="s">
        <v>2421</v>
      </c>
      <c r="E869" s="543" t="s">
        <v>2417</v>
      </c>
      <c r="F869" s="540">
        <v>44136</v>
      </c>
      <c r="G869" s="501">
        <v>4312.83</v>
      </c>
      <c r="K869" s="363"/>
      <c r="L869" s="565"/>
      <c r="M869" s="565"/>
      <c r="O869" s="565"/>
      <c r="Q869" s="363"/>
      <c r="R869" s="565"/>
      <c r="U869" s="565"/>
      <c r="X869" s="565"/>
      <c r="AA869" s="565"/>
      <c r="AD869" s="565"/>
      <c r="AG869" s="565"/>
      <c r="AJ869" s="565"/>
      <c r="AM869" s="565"/>
      <c r="AP869" s="565"/>
      <c r="AS869" s="424"/>
      <c r="AV869" s="565"/>
      <c r="AY869" s="565"/>
      <c r="BB869" s="565"/>
      <c r="BE869" s="565"/>
      <c r="BH869" s="565"/>
      <c r="BK869" s="565"/>
      <c r="BN869" s="565"/>
      <c r="BQ869" s="462"/>
      <c r="BT869" s="462"/>
      <c r="BW869" s="462">
        <f t="shared" si="447"/>
        <v>4312.83</v>
      </c>
      <c r="BZ869" s="565">
        <f t="shared" si="446"/>
        <v>4312.83</v>
      </c>
      <c r="CD869" s="418" t="str">
        <f t="shared" si="425"/>
        <v>CU9999001</v>
      </c>
      <c r="CE869" s="442" t="str">
        <f t="shared" si="426"/>
        <v>2020年11月</v>
      </c>
      <c r="CF869" s="418" t="str">
        <f t="shared" si="427"/>
        <v>个人采购客clife服务费暂估</v>
      </c>
      <c r="CG869" s="418" t="str">
        <f t="shared" si="428"/>
        <v>2020年11月个人采购客clife服务费暂估</v>
      </c>
    </row>
    <row r="870" spans="2:85" ht="17.25" customHeight="1">
      <c r="B870" s="541" t="str">
        <f t="shared" si="424"/>
        <v/>
      </c>
      <c r="C870" s="564"/>
      <c r="D870" s="541"/>
      <c r="E870" s="543"/>
      <c r="F870" s="540"/>
      <c r="G870" s="501"/>
      <c r="K870" s="363"/>
      <c r="L870" s="565"/>
      <c r="M870" s="565"/>
      <c r="O870" s="565"/>
      <c r="Q870" s="363"/>
      <c r="R870" s="565"/>
      <c r="U870" s="565"/>
      <c r="X870" s="565"/>
      <c r="AA870" s="565"/>
      <c r="AD870" s="565"/>
      <c r="AG870" s="565"/>
      <c r="AJ870" s="565"/>
      <c r="AM870" s="565"/>
      <c r="AP870" s="565"/>
      <c r="AS870" s="424"/>
      <c r="AV870" s="565"/>
      <c r="AY870" s="565"/>
      <c r="BB870" s="565"/>
      <c r="BE870" s="565"/>
      <c r="BH870" s="565"/>
      <c r="BK870" s="565"/>
      <c r="BN870" s="565"/>
      <c r="BQ870" s="462"/>
      <c r="BT870" s="462"/>
      <c r="BW870" s="462"/>
      <c r="CD870" s="418" t="str">
        <f t="shared" si="425"/>
        <v>001</v>
      </c>
      <c r="CE870" s="442" t="str">
        <f t="shared" si="426"/>
        <v>1900年1月</v>
      </c>
      <c r="CF870" s="418" t="str">
        <f t="shared" si="427"/>
        <v>clife服务费暂估</v>
      </c>
      <c r="CG870" s="418" t="str">
        <f t="shared" si="428"/>
        <v>1900年1月clife服务费暂估</v>
      </c>
    </row>
    <row r="871" spans="2:85" ht="17.25" customHeight="1">
      <c r="B871" s="541" t="str">
        <f t="shared" si="424"/>
        <v/>
      </c>
      <c r="C871" s="564"/>
      <c r="D871" s="541"/>
      <c r="E871" s="543"/>
      <c r="F871" s="540"/>
      <c r="G871" s="501"/>
      <c r="K871" s="363"/>
      <c r="L871" s="565"/>
      <c r="M871" s="565"/>
      <c r="O871" s="565"/>
      <c r="Q871" s="363"/>
      <c r="R871" s="565"/>
      <c r="U871" s="565"/>
      <c r="X871" s="565"/>
      <c r="AA871" s="565"/>
      <c r="AD871" s="565"/>
      <c r="AG871" s="565"/>
      <c r="AJ871" s="565"/>
      <c r="AM871" s="565"/>
      <c r="AP871" s="565"/>
      <c r="AS871" s="424"/>
      <c r="AV871" s="565"/>
      <c r="AY871" s="565"/>
      <c r="BB871" s="565"/>
      <c r="BE871" s="565"/>
      <c r="BH871" s="565"/>
      <c r="BK871" s="565"/>
      <c r="BN871" s="565"/>
      <c r="BQ871" s="462"/>
      <c r="BT871" s="462"/>
      <c r="BW871" s="462"/>
      <c r="CD871" s="418" t="str">
        <f t="shared" si="425"/>
        <v>001</v>
      </c>
      <c r="CE871" s="442" t="str">
        <f t="shared" si="426"/>
        <v>1900年1月</v>
      </c>
      <c r="CF871" s="418" t="str">
        <f t="shared" si="427"/>
        <v>clife服务费暂估</v>
      </c>
      <c r="CG871" s="418" t="str">
        <f t="shared" si="428"/>
        <v>1900年1月clife服务费暂估</v>
      </c>
    </row>
    <row r="872" spans="2:85" ht="17.25" customHeight="1">
      <c r="B872" s="541" t="str">
        <f t="shared" si="424"/>
        <v/>
      </c>
      <c r="C872" s="564"/>
      <c r="D872" s="541"/>
      <c r="E872" s="543"/>
      <c r="F872" s="540"/>
      <c r="G872" s="501"/>
      <c r="K872" s="363"/>
      <c r="L872" s="565"/>
      <c r="M872" s="565"/>
      <c r="O872" s="565"/>
      <c r="Q872" s="363"/>
      <c r="R872" s="565"/>
      <c r="U872" s="565"/>
      <c r="X872" s="565"/>
      <c r="AA872" s="565"/>
      <c r="AD872" s="565"/>
      <c r="AG872" s="565"/>
      <c r="AJ872" s="565"/>
      <c r="AM872" s="565"/>
      <c r="AP872" s="565"/>
      <c r="AS872" s="424"/>
      <c r="AV872" s="565"/>
      <c r="AY872" s="565"/>
      <c r="BB872" s="565"/>
      <c r="BE872" s="565"/>
      <c r="BH872" s="565"/>
      <c r="BK872" s="565"/>
      <c r="BN872" s="565"/>
      <c r="BQ872" s="462"/>
      <c r="BT872" s="462"/>
      <c r="BW872" s="462"/>
      <c r="CD872" s="418" t="str">
        <f t="shared" si="425"/>
        <v>001</v>
      </c>
      <c r="CE872" s="442" t="str">
        <f t="shared" si="426"/>
        <v>1900年1月</v>
      </c>
      <c r="CF872" s="418" t="str">
        <f t="shared" si="427"/>
        <v>clife服务费暂估</v>
      </c>
      <c r="CG872" s="418" t="str">
        <f t="shared" si="428"/>
        <v>1900年1月clife服务费暂估</v>
      </c>
    </row>
    <row r="873" spans="2:85" ht="17.25" customHeight="1">
      <c r="B873" s="541" t="str">
        <f t="shared" si="424"/>
        <v/>
      </c>
      <c r="C873" s="564"/>
      <c r="D873" s="541"/>
      <c r="E873" s="543"/>
      <c r="F873" s="540"/>
      <c r="G873" s="501"/>
      <c r="K873" s="363"/>
      <c r="L873" s="565"/>
      <c r="M873" s="565"/>
      <c r="O873" s="565"/>
      <c r="Q873" s="363"/>
      <c r="R873" s="565"/>
      <c r="U873" s="565"/>
      <c r="X873" s="565"/>
      <c r="AA873" s="565"/>
      <c r="AD873" s="565"/>
      <c r="AG873" s="565"/>
      <c r="AJ873" s="565"/>
      <c r="AM873" s="565"/>
      <c r="AP873" s="565"/>
      <c r="AS873" s="424"/>
      <c r="AV873" s="565"/>
      <c r="AY873" s="565"/>
      <c r="BB873" s="565"/>
      <c r="BE873" s="565"/>
      <c r="BH873" s="565"/>
      <c r="BK873" s="565"/>
      <c r="BN873" s="565"/>
      <c r="BW873" s="462"/>
      <c r="CD873" s="418" t="str">
        <f t="shared" si="425"/>
        <v>001</v>
      </c>
      <c r="CE873" s="442" t="str">
        <f t="shared" si="426"/>
        <v>1900年1月</v>
      </c>
      <c r="CF873" s="418" t="str">
        <f t="shared" si="427"/>
        <v>clife服务费暂估</v>
      </c>
      <c r="CG873" s="418" t="str">
        <f t="shared" si="428"/>
        <v>1900年1月clife服务费暂估</v>
      </c>
    </row>
    <row r="874" spans="2:85" ht="17.25" customHeight="1">
      <c r="B874" s="541"/>
      <c r="C874" s="542"/>
      <c r="D874" s="541"/>
      <c r="E874" s="543"/>
      <c r="F874" s="540"/>
      <c r="G874" s="501"/>
      <c r="K874" s="363"/>
      <c r="L874" s="565"/>
      <c r="M874" s="565"/>
      <c r="O874" s="565"/>
      <c r="Q874" s="363"/>
      <c r="R874" s="565"/>
      <c r="U874" s="565"/>
      <c r="X874" s="565"/>
      <c r="AA874" s="565"/>
      <c r="AD874" s="565"/>
      <c r="AG874" s="565"/>
      <c r="AJ874" s="565"/>
      <c r="AM874" s="565"/>
      <c r="AP874" s="565"/>
      <c r="AS874" s="424"/>
      <c r="AV874" s="565"/>
      <c r="AY874" s="565"/>
      <c r="BB874" s="565"/>
      <c r="BE874" s="565"/>
      <c r="BH874" s="565"/>
      <c r="BK874" s="565"/>
      <c r="BN874" s="565"/>
      <c r="BW874" s="462"/>
      <c r="CD874" s="181"/>
      <c r="CE874" s="566"/>
      <c r="CF874" s="181"/>
      <c r="CG874" s="181"/>
    </row>
    <row r="875" spans="2:85" ht="17.25" customHeight="1">
      <c r="B875" s="541"/>
      <c r="C875" s="542"/>
      <c r="D875" s="541"/>
      <c r="E875" s="543"/>
      <c r="F875" s="540"/>
      <c r="G875" s="501"/>
      <c r="K875" s="363"/>
      <c r="L875" s="565"/>
      <c r="M875" s="565"/>
      <c r="O875" s="565"/>
      <c r="Q875" s="363"/>
      <c r="R875" s="565"/>
      <c r="U875" s="565"/>
      <c r="X875" s="565"/>
      <c r="AA875" s="565"/>
      <c r="AD875" s="565"/>
      <c r="AG875" s="565"/>
      <c r="AJ875" s="565"/>
      <c r="AM875" s="565"/>
      <c r="AP875" s="565"/>
      <c r="AS875" s="424"/>
      <c r="AV875" s="565"/>
      <c r="AY875" s="565"/>
      <c r="BB875" s="565"/>
      <c r="BE875" s="565"/>
      <c r="BH875" s="565"/>
      <c r="BK875" s="565"/>
      <c r="BN875" s="565"/>
      <c r="BW875" s="462"/>
      <c r="CD875" s="181"/>
      <c r="CE875" s="566"/>
      <c r="CF875" s="181"/>
      <c r="CG875" s="181"/>
    </row>
    <row r="876" spans="2:85" s="567" customFormat="1" ht="17.25" customHeight="1">
      <c r="C876" s="568"/>
      <c r="F876" s="569"/>
      <c r="G876" s="570">
        <f>SUBTOTAL(9,G3:G875)</f>
        <v>127132284.18437557</v>
      </c>
      <c r="H876" s="570">
        <f t="shared" ref="H876:BR876" si="452">SUBTOTAL(9,H3:H875)</f>
        <v>4934786.9466037732</v>
      </c>
      <c r="I876" s="570">
        <f t="shared" si="452"/>
        <v>83272135.570871711</v>
      </c>
      <c r="J876" s="570">
        <f t="shared" si="452"/>
        <v>0</v>
      </c>
      <c r="K876" s="570">
        <f t="shared" si="452"/>
        <v>2156319.14</v>
      </c>
      <c r="L876" s="570">
        <f t="shared" si="452"/>
        <v>81086433.968490571</v>
      </c>
      <c r="M876" s="570">
        <f t="shared" si="452"/>
        <v>0</v>
      </c>
      <c r="N876" s="570">
        <f t="shared" si="452"/>
        <v>6613348.4860377358</v>
      </c>
      <c r="O876" s="570">
        <f t="shared" si="452"/>
        <v>74473085.482452795</v>
      </c>
      <c r="P876" s="570">
        <f t="shared" si="452"/>
        <v>0</v>
      </c>
      <c r="Q876" s="570">
        <f t="shared" si="452"/>
        <v>2533935.8409433961</v>
      </c>
      <c r="R876" s="570">
        <f t="shared" si="452"/>
        <v>71939149.641509369</v>
      </c>
      <c r="S876" s="570">
        <f t="shared" si="452"/>
        <v>0</v>
      </c>
      <c r="T876" s="570">
        <f t="shared" si="452"/>
        <v>2873086.2437735847</v>
      </c>
      <c r="U876" s="570">
        <f t="shared" si="452"/>
        <v>69066063.397735804</v>
      </c>
      <c r="V876" s="570">
        <f t="shared" si="452"/>
        <v>0</v>
      </c>
      <c r="W876" s="570">
        <f t="shared" si="452"/>
        <v>1695507.9579245283</v>
      </c>
      <c r="X876" s="570">
        <f t="shared" si="452"/>
        <v>67689819.28773579</v>
      </c>
      <c r="Y876" s="570">
        <f t="shared" si="452"/>
        <v>0</v>
      </c>
      <c r="Z876" s="570">
        <f t="shared" si="452"/>
        <v>16533671.400000002</v>
      </c>
      <c r="AA876" s="570">
        <f t="shared" si="452"/>
        <v>51160161.191132016</v>
      </c>
      <c r="AB876" s="570">
        <f t="shared" si="452"/>
        <v>0</v>
      </c>
      <c r="AC876" s="570">
        <f t="shared" si="452"/>
        <v>2428717.2599999993</v>
      </c>
      <c r="AD876" s="570">
        <f t="shared" si="452"/>
        <v>48731493.827169776</v>
      </c>
      <c r="AE876" s="570">
        <f t="shared" si="452"/>
        <v>0</v>
      </c>
      <c r="AF876" s="570">
        <f t="shared" si="452"/>
        <v>3494501.4000000004</v>
      </c>
      <c r="AG876" s="570">
        <f t="shared" si="452"/>
        <v>45236958.617169775</v>
      </c>
      <c r="AH876" s="570">
        <f t="shared" si="452"/>
        <v>0</v>
      </c>
      <c r="AI876" s="570">
        <f t="shared" si="452"/>
        <v>2471535.1</v>
      </c>
      <c r="AJ876" s="570">
        <f t="shared" si="452"/>
        <v>42765925.537169777</v>
      </c>
      <c r="AK876" s="570">
        <f t="shared" si="452"/>
        <v>0</v>
      </c>
      <c r="AL876" s="570">
        <f t="shared" si="452"/>
        <v>3832682.44</v>
      </c>
      <c r="AM876" s="570">
        <f t="shared" si="452"/>
        <v>38962625.557169795</v>
      </c>
      <c r="AN876" s="570">
        <f t="shared" si="452"/>
        <v>0</v>
      </c>
      <c r="AO876" s="570">
        <f t="shared" si="452"/>
        <v>2393654.67</v>
      </c>
      <c r="AP876" s="570">
        <f t="shared" si="452"/>
        <v>36568970.887169801</v>
      </c>
      <c r="AQ876" s="570">
        <f t="shared" si="452"/>
        <v>0</v>
      </c>
      <c r="AR876" s="570">
        <f t="shared" si="452"/>
        <v>6423150.7200000007</v>
      </c>
      <c r="AS876" s="570">
        <f t="shared" si="452"/>
        <v>33390490.077069793</v>
      </c>
      <c r="AT876" s="570">
        <f t="shared" si="452"/>
        <v>0</v>
      </c>
      <c r="AU876" s="570">
        <f t="shared" si="452"/>
        <v>9484846.4199999981</v>
      </c>
      <c r="AV876" s="570">
        <f t="shared" si="452"/>
        <v>23905643.657069799</v>
      </c>
      <c r="AW876" s="570">
        <f t="shared" si="452"/>
        <v>0</v>
      </c>
      <c r="AX876" s="570">
        <f t="shared" si="452"/>
        <v>5288801.5399999982</v>
      </c>
      <c r="AY876" s="570">
        <f t="shared" si="452"/>
        <v>18616842.117069814</v>
      </c>
      <c r="AZ876" s="570">
        <f t="shared" si="452"/>
        <v>0</v>
      </c>
      <c r="BA876" s="570">
        <f t="shared" si="452"/>
        <v>5059296.2500188686</v>
      </c>
      <c r="BB876" s="570">
        <f t="shared" si="452"/>
        <v>17905881.827050954</v>
      </c>
      <c r="BC876" s="570">
        <f t="shared" si="452"/>
        <v>0</v>
      </c>
      <c r="BD876" s="570">
        <f t="shared" si="452"/>
        <v>3053557.2600000002</v>
      </c>
      <c r="BE876" s="570">
        <f t="shared" si="452"/>
        <v>20956307.777050942</v>
      </c>
      <c r="BF876" s="570">
        <f t="shared" si="452"/>
        <v>0</v>
      </c>
      <c r="BG876" s="570">
        <f t="shared" si="452"/>
        <v>4255108.46</v>
      </c>
      <c r="BH876" s="570">
        <f t="shared" si="452"/>
        <v>16701199.317050947</v>
      </c>
      <c r="BI876" s="570">
        <f t="shared" si="452"/>
        <v>0</v>
      </c>
      <c r="BJ876" s="570">
        <f t="shared" si="452"/>
        <v>5042725.47</v>
      </c>
      <c r="BK876" s="570">
        <f t="shared" si="452"/>
        <v>17857679.467550945</v>
      </c>
      <c r="BL876" s="570">
        <f t="shared" si="452"/>
        <v>0</v>
      </c>
      <c r="BM876" s="570">
        <f t="shared" si="452"/>
        <v>5541482.5700000003</v>
      </c>
      <c r="BN876" s="570">
        <f t="shared" si="452"/>
        <v>17928326.104050942</v>
      </c>
      <c r="BO876" s="570">
        <f t="shared" si="452"/>
        <v>0</v>
      </c>
      <c r="BP876" s="570">
        <f>SUBTOTAL(9,BP3:BP875)</f>
        <v>6193265.0700000003</v>
      </c>
      <c r="BQ876" s="570">
        <f>SUBTOTAL(9,BQ3:BQ875)</f>
        <v>18095448.51509434</v>
      </c>
      <c r="BR876" s="570">
        <f t="shared" si="452"/>
        <v>0</v>
      </c>
      <c r="BS876" s="570">
        <f>SUBTOTAL(9,BS3:BS875)</f>
        <v>4568301.0350943413</v>
      </c>
      <c r="BT876" s="570">
        <f>SUBTOTAL(9,BT3:BT875)</f>
        <v>16051746.529999999</v>
      </c>
      <c r="BU876" s="570">
        <f t="shared" ref="BU876:BX876" si="453">SUBTOTAL(9,BU3:BU875)</f>
        <v>0</v>
      </c>
      <c r="BV876" s="570">
        <f>SUBTOTAL(9,BV3:BV875)</f>
        <v>4575725.67</v>
      </c>
      <c r="BW876" s="570">
        <f>SUBTOTAL(9,BW3:BW875)</f>
        <v>14558437.610000003</v>
      </c>
      <c r="BX876" s="570">
        <f t="shared" si="453"/>
        <v>0</v>
      </c>
      <c r="BY876" s="570">
        <f>SUBTOTAL(9,BY3:BY875)</f>
        <v>1081907.26</v>
      </c>
      <c r="BZ876" s="570">
        <f>SUBTOTAL(9,BZ3:BZ875)</f>
        <v>13476530.35</v>
      </c>
      <c r="CA876" s="570"/>
    </row>
    <row r="877" spans="2:85" ht="17.25" customHeight="1">
      <c r="C877" s="542"/>
    </row>
    <row r="878" spans="2:85" ht="17.25" customHeight="1">
      <c r="C878" s="542"/>
    </row>
    <row r="879" spans="2:85" ht="17.25" customHeight="1">
      <c r="C879" s="542"/>
    </row>
    <row r="880" spans="2:85" ht="17.25" customHeight="1">
      <c r="C880" s="542"/>
    </row>
    <row r="881" spans="3:3" ht="17.25" customHeight="1">
      <c r="C881" s="542"/>
    </row>
    <row r="882" spans="3:3" ht="17.25" customHeight="1">
      <c r="C882" s="542"/>
    </row>
    <row r="883" spans="3:3" ht="17.25" customHeight="1">
      <c r="C883" s="542"/>
    </row>
    <row r="884" spans="3:3" ht="17.25" customHeight="1">
      <c r="C884" s="542"/>
    </row>
    <row r="885" spans="3:3" ht="17.25" customHeight="1">
      <c r="C885" s="542"/>
    </row>
    <row r="886" spans="3:3" ht="17.25" customHeight="1">
      <c r="C886" s="542"/>
    </row>
    <row r="887" spans="3:3" ht="17.25" customHeight="1">
      <c r="C887" s="542"/>
    </row>
    <row r="888" spans="3:3" ht="17.25" customHeight="1">
      <c r="C888" s="542"/>
    </row>
    <row r="889" spans="3:3" ht="17.25" customHeight="1">
      <c r="C889" s="542"/>
    </row>
    <row r="890" spans="3:3" ht="17.25" customHeight="1">
      <c r="C890" s="542"/>
    </row>
    <row r="891" spans="3:3" ht="17.25" customHeight="1">
      <c r="C891" s="542"/>
    </row>
    <row r="892" spans="3:3" ht="17.25" customHeight="1">
      <c r="C892" s="542"/>
    </row>
    <row r="893" spans="3:3" ht="17.25" customHeight="1">
      <c r="C893" s="542"/>
    </row>
    <row r="894" spans="3:3" ht="17.25" customHeight="1">
      <c r="C894" s="542"/>
    </row>
    <row r="895" spans="3:3" ht="17.25" customHeight="1">
      <c r="C895" s="542"/>
    </row>
    <row r="896" spans="3:3" ht="17.25" customHeight="1">
      <c r="C896" s="542"/>
    </row>
    <row r="897" spans="2:3" ht="17.25" customHeight="1">
      <c r="C897" s="542"/>
    </row>
    <row r="898" spans="2:3" ht="17.25" customHeight="1">
      <c r="C898" s="542"/>
    </row>
    <row r="899" spans="2:3" ht="17.25" customHeight="1">
      <c r="C899" s="542"/>
    </row>
    <row r="900" spans="2:3" ht="17.25" customHeight="1">
      <c r="C900" s="542"/>
    </row>
    <row r="901" spans="2:3" ht="17.25" customHeight="1">
      <c r="C901" s="542"/>
    </row>
    <row r="902" spans="2:3" ht="17.25" customHeight="1">
      <c r="C902" s="542"/>
    </row>
    <row r="903" spans="2:3" ht="17.25" customHeight="1">
      <c r="C903" s="542"/>
    </row>
    <row r="904" spans="2:3" ht="17.25" customHeight="1">
      <c r="C904" s="542"/>
    </row>
    <row r="905" spans="2:3" ht="17.25" customHeight="1">
      <c r="C905" s="542"/>
    </row>
    <row r="906" spans="2:3" ht="17.25" customHeight="1">
      <c r="C906" s="542"/>
    </row>
    <row r="907" spans="2:3" ht="17.25" customHeight="1">
      <c r="C907" s="542"/>
    </row>
    <row r="908" spans="2:3" ht="17.25" customHeight="1">
      <c r="C908" s="542"/>
    </row>
    <row r="909" spans="2:3" ht="17.25" customHeight="1">
      <c r="C909" s="542"/>
    </row>
    <row r="910" spans="2:3" ht="17.25" customHeight="1">
      <c r="C910" s="542"/>
    </row>
    <row r="911" spans="2:3" ht="17.25" customHeight="1">
      <c r="C911" s="542"/>
    </row>
    <row r="912" spans="2:3" ht="17.25" customHeight="1">
      <c r="B912" s="363">
        <v>1</v>
      </c>
      <c r="C912" s="542"/>
    </row>
    <row r="913" spans="3:3" ht="17.25" customHeight="1">
      <c r="C913" s="542"/>
    </row>
    <row r="914" spans="3:3" ht="17.25" customHeight="1">
      <c r="C914" s="542"/>
    </row>
  </sheetData>
  <autoFilter ref="B2:CA873">
    <filterColumn colId="0"/>
    <filterColumn colId="73"/>
  </autoFilter>
  <phoneticPr fontId="4" type="noConversion"/>
  <pageMargins left="0.7" right="0.7" top="0.75" bottom="0.75" header="0.3" footer="0.3"/>
  <pageSetup paperSize="9" orientation="portrait" horizontalDpi="4294967294" verticalDpi="300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>
  <sheetPr>
    <tabColor rgb="FFFFFF00"/>
  </sheetPr>
  <dimension ref="B1:CG105"/>
  <sheetViews>
    <sheetView workbookViewId="0">
      <pane xSplit="7" ySplit="2" topLeftCell="BV35" activePane="bottomRight" state="frozen"/>
      <selection pane="topRight" activeCell="H1" sqref="H1"/>
      <selection pane="bottomLeft" activeCell="A3" sqref="A3"/>
      <selection pane="bottomRight" activeCell="BW38" sqref="BW38:BW96"/>
    </sheetView>
  </sheetViews>
  <sheetFormatPr defaultRowHeight="15" customHeight="1"/>
  <cols>
    <col min="4" max="4" width="13.7109375" customWidth="1"/>
    <col min="5" max="5" width="37.140625" customWidth="1"/>
    <col min="6" max="6" width="11.5703125" bestFit="1" customWidth="1"/>
    <col min="7" max="7" width="15.140625" style="421" bestFit="1" customWidth="1"/>
    <col min="8" max="8" width="15" style="421" hidden="1" customWidth="1"/>
    <col min="9" max="10" width="15.28515625" style="421" hidden="1" customWidth="1"/>
    <col min="11" max="11" width="12.28515625" hidden="1" customWidth="1"/>
    <col min="12" max="12" width="15.140625" hidden="1" customWidth="1"/>
    <col min="13" max="13" width="0" hidden="1" customWidth="1"/>
    <col min="14" max="14" width="12.28515625" hidden="1" customWidth="1"/>
    <col min="15" max="15" width="15.140625" hidden="1" customWidth="1"/>
    <col min="16" max="16" width="0" hidden="1" customWidth="1"/>
    <col min="17" max="17" width="12.28515625" hidden="1" customWidth="1"/>
    <col min="18" max="18" width="15.140625" hidden="1" customWidth="1"/>
    <col min="19" max="19" width="0" hidden="1" customWidth="1"/>
    <col min="20" max="20" width="12.28515625" hidden="1" customWidth="1"/>
    <col min="21" max="21" width="15.140625" hidden="1" customWidth="1"/>
    <col min="22" max="22" width="0" hidden="1" customWidth="1"/>
    <col min="23" max="23" width="14" hidden="1" customWidth="1"/>
    <col min="24" max="24" width="15.140625" hidden="1" customWidth="1"/>
    <col min="25" max="25" width="0" hidden="1" customWidth="1"/>
    <col min="26" max="26" width="12.28515625" hidden="1" customWidth="1"/>
    <col min="27" max="27" width="13.28515625" hidden="1" customWidth="1"/>
    <col min="28" max="28" width="0" hidden="1" customWidth="1"/>
    <col min="29" max="30" width="13.28515625" hidden="1" customWidth="1"/>
    <col min="31" max="31" width="0" hidden="1" customWidth="1"/>
    <col min="32" max="32" width="11.140625" hidden="1" customWidth="1"/>
    <col min="33" max="33" width="13.28515625" hidden="1" customWidth="1"/>
    <col min="34" max="34" width="0" hidden="1" customWidth="1"/>
    <col min="35" max="35" width="12.28515625" hidden="1" customWidth="1"/>
    <col min="36" max="36" width="13.28515625" hidden="1" customWidth="1"/>
    <col min="37" max="37" width="0" hidden="1" customWidth="1"/>
    <col min="38" max="38" width="12.28515625" hidden="1" customWidth="1"/>
    <col min="39" max="39" width="15.140625" hidden="1" customWidth="1"/>
    <col min="40" max="41" width="0" hidden="1" customWidth="1"/>
    <col min="42" max="42" width="15.140625" hidden="1" customWidth="1"/>
    <col min="43" max="43" width="0" hidden="1" customWidth="1"/>
    <col min="44" max="44" width="12.42578125" hidden="1" customWidth="1"/>
    <col min="45" max="45" width="15.140625" hidden="1" customWidth="1"/>
    <col min="46" max="46" width="0" hidden="1" customWidth="1"/>
    <col min="47" max="47" width="13.28515625" hidden="1" customWidth="1"/>
    <col min="48" max="48" width="15.140625" hidden="1" customWidth="1"/>
    <col min="49" max="50" width="11.85546875" hidden="1" customWidth="1"/>
    <col min="51" max="51" width="18.5703125" hidden="1" customWidth="1"/>
    <col min="52" max="52" width="11.85546875" hidden="1" customWidth="1"/>
    <col min="53" max="53" width="0" hidden="1" customWidth="1"/>
    <col min="54" max="54" width="18.28515625" hidden="1" customWidth="1"/>
    <col min="55" max="55" width="0" hidden="1" customWidth="1"/>
    <col min="56" max="56" width="12.42578125" hidden="1" customWidth="1"/>
    <col min="57" max="57" width="19" hidden="1" customWidth="1"/>
    <col min="58" max="58" width="0" hidden="1" customWidth="1"/>
    <col min="59" max="59" width="12.28515625" hidden="1" customWidth="1"/>
    <col min="60" max="60" width="14.28515625" hidden="1" customWidth="1"/>
    <col min="61" max="62" width="0" hidden="1" customWidth="1"/>
    <col min="63" max="63" width="13.28515625" hidden="1" customWidth="1"/>
    <col min="64" max="64" width="0" hidden="1" customWidth="1"/>
    <col min="65" max="65" width="11.140625" hidden="1" customWidth="1"/>
    <col min="66" max="66" width="13.28515625" hidden="1" customWidth="1"/>
    <col min="67" max="67" width="0" hidden="1" customWidth="1"/>
    <col min="68" max="68" width="12.28515625" style="418" bestFit="1" customWidth="1"/>
    <col min="69" max="69" width="13.28515625" style="418" bestFit="1" customWidth="1"/>
    <col min="70" max="70" width="9.140625" style="418"/>
    <col min="71" max="71" width="12.28515625" style="418" bestFit="1" customWidth="1"/>
    <col min="72" max="72" width="13.28515625" style="418" bestFit="1" customWidth="1"/>
    <col min="73" max="73" width="9.140625" style="418"/>
    <col min="74" max="74" width="12.28515625" style="418" bestFit="1" customWidth="1"/>
    <col min="75" max="75" width="13.28515625" style="418" bestFit="1" customWidth="1"/>
    <col min="76" max="77" width="9.140625" style="418"/>
    <col min="78" max="78" width="13.28515625" style="418" bestFit="1" customWidth="1"/>
    <col min="79" max="79" width="9.140625" style="418"/>
  </cols>
  <sheetData>
    <row r="1" spans="2:85" ht="15" customHeight="1">
      <c r="B1" s="561" t="s">
        <v>2324</v>
      </c>
      <c r="C1" s="447"/>
      <c r="D1" s="447"/>
      <c r="E1" s="12" t="s">
        <v>2323</v>
      </c>
    </row>
    <row r="2" spans="2:85" s="486" customFormat="1" ht="15" customHeight="1">
      <c r="B2" s="479" t="s">
        <v>1367</v>
      </c>
      <c r="C2" s="480" t="s">
        <v>718</v>
      </c>
      <c r="D2" s="480" t="s">
        <v>719</v>
      </c>
      <c r="E2" s="480" t="s">
        <v>720</v>
      </c>
      <c r="F2" s="481" t="s">
        <v>721</v>
      </c>
      <c r="G2" s="482" t="s">
        <v>1380</v>
      </c>
      <c r="H2" s="482" t="s">
        <v>1357</v>
      </c>
      <c r="I2" s="482" t="s">
        <v>1358</v>
      </c>
      <c r="J2" s="482" t="s">
        <v>1366</v>
      </c>
      <c r="K2" s="482" t="s">
        <v>1364</v>
      </c>
      <c r="L2" s="482" t="s">
        <v>1365</v>
      </c>
      <c r="M2" s="483" t="s">
        <v>1366</v>
      </c>
      <c r="N2" s="482" t="s">
        <v>1447</v>
      </c>
      <c r="O2" s="482" t="s">
        <v>1448</v>
      </c>
      <c r="P2" s="483" t="s">
        <v>1366</v>
      </c>
      <c r="Q2" s="482" t="s">
        <v>1511</v>
      </c>
      <c r="R2" s="482" t="s">
        <v>1512</v>
      </c>
      <c r="S2" s="483" t="s">
        <v>1366</v>
      </c>
      <c r="T2" s="482" t="s">
        <v>1618</v>
      </c>
      <c r="U2" s="482" t="s">
        <v>1617</v>
      </c>
      <c r="V2" s="484" t="s">
        <v>1366</v>
      </c>
      <c r="W2" s="485" t="s">
        <v>1619</v>
      </c>
      <c r="X2" s="484" t="s">
        <v>1620</v>
      </c>
      <c r="Y2" s="484" t="s">
        <v>1366</v>
      </c>
      <c r="Z2" s="485" t="s">
        <v>1658</v>
      </c>
      <c r="AA2" s="484" t="s">
        <v>1659</v>
      </c>
      <c r="AB2" s="484" t="s">
        <v>1366</v>
      </c>
      <c r="AC2" s="485" t="s">
        <v>1686</v>
      </c>
      <c r="AD2" s="484" t="s">
        <v>1687</v>
      </c>
      <c r="AE2" s="484" t="s">
        <v>1366</v>
      </c>
      <c r="AF2" s="485" t="s">
        <v>1702</v>
      </c>
      <c r="AG2" s="484" t="s">
        <v>1703</v>
      </c>
      <c r="AH2" s="484" t="s">
        <v>1366</v>
      </c>
      <c r="AI2" s="485" t="s">
        <v>1164</v>
      </c>
      <c r="AJ2" s="484" t="s">
        <v>1701</v>
      </c>
      <c r="AK2" s="484" t="s">
        <v>1366</v>
      </c>
      <c r="AL2" s="485" t="s">
        <v>1700</v>
      </c>
      <c r="AM2" s="484" t="s">
        <v>1699</v>
      </c>
      <c r="AN2" s="484" t="s">
        <v>1366</v>
      </c>
      <c r="AO2" s="485" t="s">
        <v>551</v>
      </c>
      <c r="AP2" s="484" t="s">
        <v>1697</v>
      </c>
      <c r="AQ2" s="484" t="s">
        <v>1366</v>
      </c>
      <c r="AR2" s="485" t="s">
        <v>2036</v>
      </c>
      <c r="AS2" s="484" t="s">
        <v>2037</v>
      </c>
      <c r="AT2" s="484" t="s">
        <v>1366</v>
      </c>
      <c r="AU2" s="485" t="s">
        <v>2072</v>
      </c>
      <c r="AV2" s="484" t="s">
        <v>2073</v>
      </c>
      <c r="AW2" s="484" t="s">
        <v>1366</v>
      </c>
      <c r="AX2" s="484" t="s">
        <v>2085</v>
      </c>
      <c r="AY2" s="484" t="s">
        <v>2086</v>
      </c>
      <c r="AZ2" s="479" t="s">
        <v>2087</v>
      </c>
      <c r="BA2" s="484" t="s">
        <v>881</v>
      </c>
      <c r="BB2" s="484" t="s">
        <v>1512</v>
      </c>
      <c r="BC2" s="479" t="s">
        <v>1366</v>
      </c>
      <c r="BD2" s="484" t="s">
        <v>1560</v>
      </c>
      <c r="BE2" s="484" t="s">
        <v>1561</v>
      </c>
      <c r="BF2" s="479" t="s">
        <v>1366</v>
      </c>
      <c r="BG2" s="484" t="s">
        <v>1619</v>
      </c>
      <c r="BH2" s="484" t="s">
        <v>1620</v>
      </c>
      <c r="BI2" s="479" t="s">
        <v>1366</v>
      </c>
      <c r="BJ2" s="486" t="s">
        <v>2313</v>
      </c>
      <c r="BK2" s="486" t="s">
        <v>2314</v>
      </c>
      <c r="BL2" s="486" t="s">
        <v>2315</v>
      </c>
      <c r="BM2" s="486" t="s">
        <v>2316</v>
      </c>
      <c r="BN2" s="486" t="s">
        <v>2317</v>
      </c>
      <c r="BO2" s="486" t="s">
        <v>2315</v>
      </c>
      <c r="BP2" s="486" t="s">
        <v>2346</v>
      </c>
      <c r="BQ2" s="486" t="s">
        <v>2348</v>
      </c>
      <c r="BR2" s="486" t="s">
        <v>2315</v>
      </c>
      <c r="BS2" s="486" t="s">
        <v>2372</v>
      </c>
      <c r="BT2" s="486" t="s">
        <v>2373</v>
      </c>
      <c r="BU2" s="486" t="s">
        <v>2315</v>
      </c>
      <c r="BV2" s="486" t="s">
        <v>2394</v>
      </c>
      <c r="BW2" s="486" t="s">
        <v>2395</v>
      </c>
      <c r="BX2" s="486" t="s">
        <v>2315</v>
      </c>
      <c r="BY2" s="486" t="s">
        <v>2409</v>
      </c>
      <c r="BZ2" s="486" t="s">
        <v>2410</v>
      </c>
      <c r="CA2" s="486" t="s">
        <v>2315</v>
      </c>
    </row>
    <row r="3" spans="2:85" ht="15" customHeight="1">
      <c r="B3" s="418" t="str">
        <f>LEFT(D3,6)</f>
        <v>CU0884</v>
      </c>
      <c r="C3" s="259" t="s">
        <v>804</v>
      </c>
      <c r="D3" s="317" t="s">
        <v>830</v>
      </c>
      <c r="E3" s="394" t="s">
        <v>832</v>
      </c>
      <c r="F3" s="261">
        <v>43132</v>
      </c>
      <c r="G3" s="446">
        <v>331788</v>
      </c>
      <c r="H3" s="425">
        <f>860800/1.06-H9-437577.81</f>
        <v>331788.0016981131</v>
      </c>
      <c r="I3" s="426">
        <f>G3-H3</f>
        <v>-1.6981131047941744E-3</v>
      </c>
      <c r="J3" s="421" t="s">
        <v>1369</v>
      </c>
      <c r="L3" s="206">
        <f>I3-K3</f>
        <v>-1.6981131047941744E-3</v>
      </c>
      <c r="M3" s="418" t="s">
        <v>1449</v>
      </c>
      <c r="O3" s="206">
        <f>L3-N3</f>
        <v>-1.6981131047941744E-3</v>
      </c>
      <c r="P3" s="418" t="s">
        <v>1515</v>
      </c>
      <c r="R3" s="206">
        <f>O3-Q3</f>
        <v>-1.6981131047941744E-3</v>
      </c>
      <c r="S3" s="418" t="s">
        <v>1563</v>
      </c>
      <c r="U3" s="206">
        <f>R3-T3</f>
        <v>-1.6981131047941744E-3</v>
      </c>
      <c r="V3" s="418" t="s">
        <v>1621</v>
      </c>
      <c r="X3" s="206">
        <f>U3-W3</f>
        <v>-1.6981131047941744E-3</v>
      </c>
      <c r="Y3" s="418" t="s">
        <v>1661</v>
      </c>
      <c r="AA3" s="206">
        <f>X3-Z3</f>
        <v>-1.6981131047941744E-3</v>
      </c>
      <c r="AD3" s="206">
        <f>AA3-AC3</f>
        <v>-1.6981131047941744E-3</v>
      </c>
      <c r="AG3" s="206">
        <f>AD3-AF3</f>
        <v>-1.6981131047941744E-3</v>
      </c>
      <c r="AJ3" s="206">
        <f>AG3-AI3</f>
        <v>-1.6981131047941744E-3</v>
      </c>
      <c r="AM3" s="206">
        <f>AJ3-AL3</f>
        <v>-1.6981131047941744E-3</v>
      </c>
      <c r="AP3" s="206">
        <f>AM3-AO3</f>
        <v>-1.6981131047941744E-3</v>
      </c>
      <c r="AS3" s="206">
        <f>AP3-AR3</f>
        <v>-1.6981131047941744E-3</v>
      </c>
      <c r="AV3" s="206">
        <f>AS3-AU3</f>
        <v>-1.6981131047941744E-3</v>
      </c>
      <c r="AY3" s="206">
        <f>AV3-AX3</f>
        <v>-1.6981131047941744E-3</v>
      </c>
      <c r="BB3" s="206">
        <f>AY3-BA3</f>
        <v>-1.6981131047941744E-3</v>
      </c>
      <c r="BC3" s="418" t="s">
        <v>2204</v>
      </c>
      <c r="BE3" s="206">
        <f>BB3-BD3</f>
        <v>-1.6981131047941744E-3</v>
      </c>
      <c r="BH3" s="206">
        <f>BE3-BG3</f>
        <v>-1.6981131047941744E-3</v>
      </c>
      <c r="BK3" s="206">
        <f>BH3-BJ3</f>
        <v>-1.6981131047941744E-3</v>
      </c>
      <c r="BN3" s="206">
        <f>BK3-BM3</f>
        <v>-1.6981131047941744E-3</v>
      </c>
      <c r="BQ3" s="206">
        <f>ROUND((BN3-BP3),2)</f>
        <v>0</v>
      </c>
      <c r="BT3" s="206">
        <f>ROUND((BQ3-BS3),2)</f>
        <v>0</v>
      </c>
      <c r="BW3" s="206">
        <f>ROUND((BT3-BV3),2)</f>
        <v>0</v>
      </c>
      <c r="BZ3" s="206">
        <f>ROUND((BW3-BY3),2)</f>
        <v>0</v>
      </c>
      <c r="CC3" s="418"/>
      <c r="CD3" s="418" t="str">
        <f>B3&amp;$B$1</f>
        <v>CU0884001</v>
      </c>
      <c r="CE3" s="442" t="str">
        <f>YEAR(F3)&amp;"年"&amp;MONTH(F3)&amp;"月"</f>
        <v>2018年2月</v>
      </c>
      <c r="CF3" s="418" t="str">
        <f>LEFT(E3,5)&amp;$E$1</f>
        <v>恩德斯豪斯clife服务费暂估</v>
      </c>
      <c r="CG3" s="418" t="str">
        <f t="shared" ref="CG3" si="0">CE3&amp;CF3</f>
        <v>2018年2月恩德斯豪斯clife服务费暂估</v>
      </c>
    </row>
    <row r="4" spans="2:85" ht="15" customHeight="1">
      <c r="B4" s="418" t="str">
        <f t="shared" ref="B4:B67" si="1">LEFT(D4,6)</f>
        <v>CU0892</v>
      </c>
      <c r="C4" s="259" t="s">
        <v>804</v>
      </c>
      <c r="D4" s="317" t="s">
        <v>831</v>
      </c>
      <c r="E4" s="394" t="s">
        <v>833</v>
      </c>
      <c r="F4" s="261">
        <v>43132</v>
      </c>
      <c r="G4" s="420">
        <v>2575.0499999999956</v>
      </c>
      <c r="I4" s="426">
        <f t="shared" ref="I4:I39" si="2">G4-H4</f>
        <v>2575.0499999999956</v>
      </c>
      <c r="J4" s="421" t="s">
        <v>1369</v>
      </c>
      <c r="L4" s="206">
        <f t="shared" ref="L4:L25" si="3">I4-K4</f>
        <v>2575.0499999999956</v>
      </c>
      <c r="M4" s="418" t="s">
        <v>1449</v>
      </c>
      <c r="O4" s="206">
        <f t="shared" ref="O4:O67" si="4">L4-N4</f>
        <v>2575.0499999999956</v>
      </c>
      <c r="P4" s="418" t="s">
        <v>1514</v>
      </c>
      <c r="R4" s="206">
        <f t="shared" ref="R4:R67" si="5">O4-Q4</f>
        <v>2575.0499999999956</v>
      </c>
      <c r="S4" s="418" t="s">
        <v>1563</v>
      </c>
      <c r="U4" s="206">
        <f t="shared" ref="U4:U67" si="6">R4-T4</f>
        <v>2575.0499999999956</v>
      </c>
      <c r="V4" s="418" t="s">
        <v>1621</v>
      </c>
      <c r="W4" s="206">
        <f>U4</f>
        <v>2575.0499999999956</v>
      </c>
      <c r="X4" s="206">
        <f t="shared" ref="X4:X67" si="7">U4-W4</f>
        <v>0</v>
      </c>
      <c r="Y4" s="418" t="s">
        <v>1661</v>
      </c>
      <c r="AA4" s="206">
        <f t="shared" ref="AA4:AA67" si="8">X4-Z4</f>
        <v>0</v>
      </c>
      <c r="AD4" s="206">
        <f t="shared" ref="AD4:AD67" si="9">AA4-AC4</f>
        <v>0</v>
      </c>
      <c r="AG4" s="206">
        <f t="shared" ref="AG4:AG67" si="10">AD4-AF4</f>
        <v>0</v>
      </c>
      <c r="AJ4" s="206">
        <f t="shared" ref="AJ4:AJ57" si="11">AG4-AI4</f>
        <v>0</v>
      </c>
      <c r="AM4" s="206">
        <f t="shared" ref="AM4:AM34" si="12">AJ4-AL4</f>
        <v>0</v>
      </c>
      <c r="AP4" s="206">
        <f t="shared" ref="AP4:AP34" si="13">AM4-AO4</f>
        <v>0</v>
      </c>
      <c r="AS4" s="206">
        <f t="shared" ref="AS4:AS67" si="14">AP4-AR4</f>
        <v>0</v>
      </c>
      <c r="AV4" s="206">
        <f t="shared" ref="AV4:AV67" si="15">AS4-AU4</f>
        <v>0</v>
      </c>
      <c r="AY4" s="206">
        <f t="shared" ref="AY4:AY67" si="16">AV4-AX4</f>
        <v>0</v>
      </c>
      <c r="BB4" s="206">
        <f t="shared" ref="BB4:BB67" si="17">AY4-BA4</f>
        <v>0</v>
      </c>
      <c r="BC4" s="418" t="s">
        <v>2204</v>
      </c>
      <c r="BE4" s="206">
        <f t="shared" ref="BE4:BE67" si="18">BB4-BD4</f>
        <v>0</v>
      </c>
      <c r="BH4" s="206">
        <f t="shared" ref="BH4:BH35" si="19">BE4-BG4</f>
        <v>0</v>
      </c>
      <c r="BK4" s="206">
        <f t="shared" ref="BK4:BK67" si="20">BH4-BJ4</f>
        <v>0</v>
      </c>
      <c r="BN4" s="206">
        <f t="shared" ref="BN4:BN67" si="21">BK4-BM4</f>
        <v>0</v>
      </c>
      <c r="BQ4" s="206">
        <f t="shared" ref="BQ4:BQ67" si="22">ROUND((BN4-BP4),2)</f>
        <v>0</v>
      </c>
      <c r="BT4" s="206">
        <f t="shared" ref="BT4:BT67" si="23">ROUND((BQ4-BS4),2)</f>
        <v>0</v>
      </c>
      <c r="BW4" s="206">
        <f t="shared" ref="BW4:BW67" si="24">ROUND((BT4-BV4),2)</f>
        <v>0</v>
      </c>
      <c r="BZ4" s="206">
        <f t="shared" ref="BZ4:BZ67" si="25">ROUND((BW4-BY4),2)</f>
        <v>0</v>
      </c>
      <c r="CD4" s="418" t="str">
        <f t="shared" ref="CD4:CD67" si="26">B4&amp;$B$1</f>
        <v>CU0892001</v>
      </c>
      <c r="CE4" s="442" t="str">
        <f t="shared" ref="CE4:CE67" si="27">YEAR(F4)&amp;"年"&amp;MONTH(F4)&amp;"月"</f>
        <v>2018年2月</v>
      </c>
      <c r="CF4" s="418" t="str">
        <f t="shared" ref="CF4:CF67" si="28">LEFT(E4,5)&amp;$E$1</f>
        <v>苏州凯爱健clife服务费暂估</v>
      </c>
      <c r="CG4" s="418" t="str">
        <f t="shared" ref="CG4:CG67" si="29">CE4&amp;CF4</f>
        <v>2018年2月苏州凯爱健clife服务费暂估</v>
      </c>
    </row>
    <row r="5" spans="2:85" ht="15" customHeight="1">
      <c r="B5" s="418" t="str">
        <f t="shared" si="1"/>
        <v>CU0892</v>
      </c>
      <c r="C5" s="259" t="s">
        <v>804</v>
      </c>
      <c r="D5" s="394" t="s">
        <v>831</v>
      </c>
      <c r="E5" s="306" t="s">
        <v>833</v>
      </c>
      <c r="F5" s="261">
        <v>43160</v>
      </c>
      <c r="G5" s="420">
        <v>5125.4399999999996</v>
      </c>
      <c r="I5" s="426">
        <f t="shared" si="2"/>
        <v>5125.4399999999996</v>
      </c>
      <c r="J5" s="421" t="s">
        <v>1369</v>
      </c>
      <c r="L5" s="206">
        <f t="shared" si="3"/>
        <v>5125.4399999999996</v>
      </c>
      <c r="M5" s="418" t="s">
        <v>1449</v>
      </c>
      <c r="O5" s="206">
        <f t="shared" si="4"/>
        <v>5125.4399999999996</v>
      </c>
      <c r="P5" s="418" t="s">
        <v>1514</v>
      </c>
      <c r="R5" s="206">
        <f t="shared" si="5"/>
        <v>5125.4399999999996</v>
      </c>
      <c r="S5" s="418" t="s">
        <v>1563</v>
      </c>
      <c r="U5" s="206">
        <f t="shared" si="6"/>
        <v>5125.4399999999996</v>
      </c>
      <c r="V5" s="418" t="s">
        <v>1621</v>
      </c>
      <c r="W5" s="206">
        <f>U5</f>
        <v>5125.4399999999996</v>
      </c>
      <c r="X5" s="206">
        <f t="shared" si="7"/>
        <v>0</v>
      </c>
      <c r="Y5" s="418" t="s">
        <v>1661</v>
      </c>
      <c r="AA5" s="206">
        <f t="shared" si="8"/>
        <v>0</v>
      </c>
      <c r="AD5" s="206">
        <f t="shared" si="9"/>
        <v>0</v>
      </c>
      <c r="AG5" s="206">
        <f t="shared" si="10"/>
        <v>0</v>
      </c>
      <c r="AJ5" s="206">
        <f t="shared" si="11"/>
        <v>0</v>
      </c>
      <c r="AM5" s="206">
        <f t="shared" si="12"/>
        <v>0</v>
      </c>
      <c r="AP5" s="206">
        <f t="shared" si="13"/>
        <v>0</v>
      </c>
      <c r="AS5" s="206">
        <f t="shared" si="14"/>
        <v>0</v>
      </c>
      <c r="AV5" s="206">
        <f t="shared" si="15"/>
        <v>0</v>
      </c>
      <c r="AY5" s="206">
        <f t="shared" si="16"/>
        <v>0</v>
      </c>
      <c r="BB5" s="206">
        <f t="shared" si="17"/>
        <v>0</v>
      </c>
      <c r="BC5" s="418" t="s">
        <v>2204</v>
      </c>
      <c r="BE5" s="206">
        <f t="shared" si="18"/>
        <v>0</v>
      </c>
      <c r="BH5" s="206">
        <f t="shared" si="19"/>
        <v>0</v>
      </c>
      <c r="BK5" s="206">
        <f t="shared" si="20"/>
        <v>0</v>
      </c>
      <c r="BN5" s="206">
        <f t="shared" si="21"/>
        <v>0</v>
      </c>
      <c r="BQ5" s="206">
        <f t="shared" si="22"/>
        <v>0</v>
      </c>
      <c r="BT5" s="206">
        <f t="shared" si="23"/>
        <v>0</v>
      </c>
      <c r="BW5" s="206">
        <f t="shared" si="24"/>
        <v>0</v>
      </c>
      <c r="BZ5" s="206">
        <f t="shared" si="25"/>
        <v>0</v>
      </c>
      <c r="CD5" s="418" t="str">
        <f t="shared" si="26"/>
        <v>CU0892001</v>
      </c>
      <c r="CE5" s="442" t="str">
        <f t="shared" si="27"/>
        <v>2018年3月</v>
      </c>
      <c r="CF5" s="418" t="str">
        <f t="shared" si="28"/>
        <v>苏州凯爱健clife服务费暂估</v>
      </c>
      <c r="CG5" s="418" t="str">
        <f t="shared" si="29"/>
        <v>2018年3月苏州凯爱健clife服务费暂估</v>
      </c>
    </row>
    <row r="6" spans="2:85" ht="15" customHeight="1">
      <c r="B6" s="418" t="str">
        <f t="shared" si="1"/>
        <v>CU0936</v>
      </c>
      <c r="C6" s="259" t="s">
        <v>804</v>
      </c>
      <c r="D6" s="394" t="s">
        <v>928</v>
      </c>
      <c r="E6" s="306" t="s">
        <v>941</v>
      </c>
      <c r="F6" s="330">
        <v>43221</v>
      </c>
      <c r="G6" s="420">
        <v>2114.994528301886</v>
      </c>
      <c r="I6" s="426">
        <f t="shared" si="2"/>
        <v>2114.994528301886</v>
      </c>
      <c r="J6" s="421" t="s">
        <v>1369</v>
      </c>
      <c r="L6" s="206">
        <f t="shared" si="3"/>
        <v>2114.994528301886</v>
      </c>
      <c r="M6" s="418" t="s">
        <v>1449</v>
      </c>
      <c r="O6" s="206">
        <f t="shared" si="4"/>
        <v>2114.994528301886</v>
      </c>
      <c r="P6" s="418" t="s">
        <v>1514</v>
      </c>
      <c r="R6" s="206">
        <f t="shared" si="5"/>
        <v>2114.994528301886</v>
      </c>
      <c r="S6" s="418" t="s">
        <v>1563</v>
      </c>
      <c r="U6" s="206">
        <f t="shared" si="6"/>
        <v>2114.994528301886</v>
      </c>
      <c r="V6" s="418" t="s">
        <v>1621</v>
      </c>
      <c r="W6" s="206">
        <f>U6</f>
        <v>2114.994528301886</v>
      </c>
      <c r="X6" s="206">
        <f t="shared" si="7"/>
        <v>0</v>
      </c>
      <c r="Y6" s="418" t="s">
        <v>1661</v>
      </c>
      <c r="AA6" s="206">
        <f t="shared" si="8"/>
        <v>0</v>
      </c>
      <c r="AD6" s="206">
        <f t="shared" si="9"/>
        <v>0</v>
      </c>
      <c r="AG6" s="206">
        <f t="shared" si="10"/>
        <v>0</v>
      </c>
      <c r="AJ6" s="206">
        <f t="shared" si="11"/>
        <v>0</v>
      </c>
      <c r="AM6" s="206">
        <f t="shared" si="12"/>
        <v>0</v>
      </c>
      <c r="AP6" s="206">
        <f t="shared" si="13"/>
        <v>0</v>
      </c>
      <c r="AS6" s="206">
        <f t="shared" si="14"/>
        <v>0</v>
      </c>
      <c r="AV6" s="206">
        <f t="shared" si="15"/>
        <v>0</v>
      </c>
      <c r="AY6" s="206">
        <f t="shared" si="16"/>
        <v>0</v>
      </c>
      <c r="BB6" s="206">
        <f t="shared" si="17"/>
        <v>0</v>
      </c>
      <c r="BC6" s="418" t="s">
        <v>2204</v>
      </c>
      <c r="BE6" s="206">
        <f t="shared" si="18"/>
        <v>0</v>
      </c>
      <c r="BH6" s="206">
        <f t="shared" si="19"/>
        <v>0</v>
      </c>
      <c r="BK6" s="206">
        <f t="shared" si="20"/>
        <v>0</v>
      </c>
      <c r="BN6" s="206">
        <f t="shared" si="21"/>
        <v>0</v>
      </c>
      <c r="BQ6" s="206">
        <f t="shared" si="22"/>
        <v>0</v>
      </c>
      <c r="BT6" s="206">
        <f t="shared" si="23"/>
        <v>0</v>
      </c>
      <c r="BW6" s="206">
        <f t="shared" si="24"/>
        <v>0</v>
      </c>
      <c r="BZ6" s="206">
        <f t="shared" si="25"/>
        <v>0</v>
      </c>
      <c r="CD6" s="418" t="str">
        <f t="shared" si="26"/>
        <v>CU0936001</v>
      </c>
      <c r="CE6" s="442" t="str">
        <f t="shared" si="27"/>
        <v>2018年5月</v>
      </c>
      <c r="CF6" s="418" t="str">
        <f t="shared" si="28"/>
        <v>浩仲六弈（clife服务费暂估</v>
      </c>
      <c r="CG6" s="418" t="str">
        <f t="shared" si="29"/>
        <v>2018年5月浩仲六弈（clife服务费暂估</v>
      </c>
    </row>
    <row r="7" spans="2:85" ht="15" customHeight="1">
      <c r="B7" s="418" t="str">
        <f t="shared" si="1"/>
        <v>0103</v>
      </c>
      <c r="C7" s="259" t="s">
        <v>804</v>
      </c>
      <c r="D7" s="394" t="s">
        <v>1006</v>
      </c>
      <c r="E7" s="394" t="s">
        <v>1007</v>
      </c>
      <c r="F7" s="330">
        <v>43252</v>
      </c>
      <c r="G7" s="420">
        <v>114.15</v>
      </c>
      <c r="I7" s="426">
        <f t="shared" si="2"/>
        <v>114.15</v>
      </c>
      <c r="J7" s="421" t="s">
        <v>1369</v>
      </c>
      <c r="L7" s="206">
        <f t="shared" si="3"/>
        <v>114.15</v>
      </c>
      <c r="M7" s="418" t="s">
        <v>1449</v>
      </c>
      <c r="O7" s="206">
        <v>0</v>
      </c>
      <c r="P7" s="418" t="s">
        <v>1514</v>
      </c>
      <c r="R7" s="206">
        <f t="shared" si="5"/>
        <v>0</v>
      </c>
      <c r="S7" s="418" t="s">
        <v>1563</v>
      </c>
      <c r="U7" s="206">
        <f t="shared" si="6"/>
        <v>0</v>
      </c>
      <c r="V7" s="418" t="s">
        <v>1621</v>
      </c>
      <c r="X7" s="206">
        <f t="shared" si="7"/>
        <v>0</v>
      </c>
      <c r="Y7" s="418" t="s">
        <v>1661</v>
      </c>
      <c r="AA7" s="206">
        <f t="shared" si="8"/>
        <v>0</v>
      </c>
      <c r="AD7" s="206">
        <f t="shared" si="9"/>
        <v>0</v>
      </c>
      <c r="AG7" s="206">
        <f t="shared" si="10"/>
        <v>0</v>
      </c>
      <c r="AJ7" s="206">
        <f t="shared" si="11"/>
        <v>0</v>
      </c>
      <c r="AM7" s="206">
        <f t="shared" si="12"/>
        <v>0</v>
      </c>
      <c r="AP7" s="206">
        <f t="shared" si="13"/>
        <v>0</v>
      </c>
      <c r="AS7" s="206">
        <f t="shared" si="14"/>
        <v>0</v>
      </c>
      <c r="AV7" s="206">
        <f t="shared" si="15"/>
        <v>0</v>
      </c>
      <c r="AY7" s="206">
        <f t="shared" si="16"/>
        <v>0</v>
      </c>
      <c r="BB7" s="206">
        <f t="shared" si="17"/>
        <v>0</v>
      </c>
      <c r="BC7" s="418" t="s">
        <v>2204</v>
      </c>
      <c r="BE7" s="206">
        <f t="shared" si="18"/>
        <v>0</v>
      </c>
      <c r="BH7" s="206">
        <f t="shared" si="19"/>
        <v>0</v>
      </c>
      <c r="BK7" s="206">
        <f t="shared" si="20"/>
        <v>0</v>
      </c>
      <c r="BN7" s="206">
        <f t="shared" si="21"/>
        <v>0</v>
      </c>
      <c r="BQ7" s="206">
        <f t="shared" si="22"/>
        <v>0</v>
      </c>
      <c r="BT7" s="206">
        <f t="shared" si="23"/>
        <v>0</v>
      </c>
      <c r="BW7" s="206">
        <f t="shared" si="24"/>
        <v>0</v>
      </c>
      <c r="BZ7" s="206">
        <f t="shared" si="25"/>
        <v>0</v>
      </c>
      <c r="CD7" s="418" t="str">
        <f t="shared" si="26"/>
        <v>0103001</v>
      </c>
      <c r="CE7" s="442" t="str">
        <f t="shared" si="27"/>
        <v>2018年6月</v>
      </c>
      <c r="CF7" s="418" t="str">
        <f t="shared" si="28"/>
        <v>薪得付信息clife服务费暂估</v>
      </c>
      <c r="CG7" s="418" t="str">
        <f t="shared" si="29"/>
        <v>2018年6月薪得付信息clife服务费暂估</v>
      </c>
    </row>
    <row r="8" spans="2:85" ht="15" customHeight="1">
      <c r="B8" s="418" t="str">
        <f t="shared" si="1"/>
        <v>CU0822</v>
      </c>
      <c r="C8" s="259" t="s">
        <v>804</v>
      </c>
      <c r="D8" s="394" t="s">
        <v>997</v>
      </c>
      <c r="E8" s="394" t="s">
        <v>996</v>
      </c>
      <c r="F8" s="330">
        <v>43252</v>
      </c>
      <c r="G8" s="420">
        <v>27536.61</v>
      </c>
      <c r="I8" s="426">
        <f t="shared" si="2"/>
        <v>27536.61</v>
      </c>
      <c r="J8" s="421" t="s">
        <v>1369</v>
      </c>
      <c r="L8" s="206">
        <f t="shared" si="3"/>
        <v>27536.61</v>
      </c>
      <c r="M8" s="418" t="s">
        <v>1449</v>
      </c>
      <c r="O8" s="206">
        <f t="shared" si="4"/>
        <v>27536.61</v>
      </c>
      <c r="P8" s="418" t="s">
        <v>1515</v>
      </c>
      <c r="R8" s="206">
        <f t="shared" si="5"/>
        <v>27536.61</v>
      </c>
      <c r="S8" s="418" t="s">
        <v>1563</v>
      </c>
      <c r="U8" s="206">
        <f t="shared" si="6"/>
        <v>27536.61</v>
      </c>
      <c r="V8" s="418" t="s">
        <v>1621</v>
      </c>
      <c r="W8" s="206">
        <f>U8</f>
        <v>27536.61</v>
      </c>
      <c r="X8" s="206">
        <f t="shared" si="7"/>
        <v>0</v>
      </c>
      <c r="Y8" s="418" t="s">
        <v>1661</v>
      </c>
      <c r="AA8" s="206">
        <f t="shared" si="8"/>
        <v>0</v>
      </c>
      <c r="AD8" s="206">
        <f t="shared" si="9"/>
        <v>0</v>
      </c>
      <c r="AG8" s="206">
        <f t="shared" si="10"/>
        <v>0</v>
      </c>
      <c r="AJ8" s="206">
        <f t="shared" si="11"/>
        <v>0</v>
      </c>
      <c r="AM8" s="206">
        <f t="shared" si="12"/>
        <v>0</v>
      </c>
      <c r="AP8" s="206">
        <f t="shared" si="13"/>
        <v>0</v>
      </c>
      <c r="AS8" s="206">
        <f t="shared" si="14"/>
        <v>0</v>
      </c>
      <c r="AV8" s="206">
        <f t="shared" si="15"/>
        <v>0</v>
      </c>
      <c r="AY8" s="206">
        <f t="shared" si="16"/>
        <v>0</v>
      </c>
      <c r="BB8" s="206">
        <f t="shared" si="17"/>
        <v>0</v>
      </c>
      <c r="BC8" s="418" t="s">
        <v>2204</v>
      </c>
      <c r="BE8" s="206">
        <f t="shared" si="18"/>
        <v>0</v>
      </c>
      <c r="BH8" s="206">
        <f t="shared" si="19"/>
        <v>0</v>
      </c>
      <c r="BK8" s="206">
        <f t="shared" si="20"/>
        <v>0</v>
      </c>
      <c r="BN8" s="206">
        <f t="shared" si="21"/>
        <v>0</v>
      </c>
      <c r="BQ8" s="206">
        <f t="shared" si="22"/>
        <v>0</v>
      </c>
      <c r="BT8" s="206">
        <f t="shared" si="23"/>
        <v>0</v>
      </c>
      <c r="BW8" s="206">
        <f t="shared" si="24"/>
        <v>0</v>
      </c>
      <c r="BZ8" s="206">
        <f t="shared" si="25"/>
        <v>0</v>
      </c>
      <c r="CD8" s="418" t="str">
        <f t="shared" si="26"/>
        <v>CU0822001</v>
      </c>
      <c r="CE8" s="442" t="str">
        <f t="shared" si="27"/>
        <v>2018年6月</v>
      </c>
      <c r="CF8" s="418" t="str">
        <f t="shared" si="28"/>
        <v>新疆昆仑美clife服务费暂估</v>
      </c>
      <c r="CG8" s="418" t="str">
        <f t="shared" si="29"/>
        <v>2018年6月新疆昆仑美clife服务费暂估</v>
      </c>
    </row>
    <row r="9" spans="2:85" ht="15" customHeight="1">
      <c r="B9" s="418" t="str">
        <f t="shared" si="1"/>
        <v>CU0884</v>
      </c>
      <c r="C9" s="259" t="s">
        <v>804</v>
      </c>
      <c r="D9" s="394" t="s">
        <v>999</v>
      </c>
      <c r="E9" s="306" t="s">
        <v>998</v>
      </c>
      <c r="F9" s="330">
        <v>43252</v>
      </c>
      <c r="G9" s="420">
        <v>42709.66</v>
      </c>
      <c r="H9" s="425">
        <v>42709.66</v>
      </c>
      <c r="I9" s="426">
        <f>G9-H9</f>
        <v>0</v>
      </c>
      <c r="J9" s="421" t="s">
        <v>1369</v>
      </c>
      <c r="L9" s="206">
        <f t="shared" si="3"/>
        <v>0</v>
      </c>
      <c r="M9" s="418" t="s">
        <v>1449</v>
      </c>
      <c r="O9" s="206">
        <f t="shared" si="4"/>
        <v>0</v>
      </c>
      <c r="P9" s="418" t="s">
        <v>1515</v>
      </c>
      <c r="R9" s="206">
        <f t="shared" si="5"/>
        <v>0</v>
      </c>
      <c r="S9" s="418" t="s">
        <v>1563</v>
      </c>
      <c r="U9" s="206">
        <f t="shared" si="6"/>
        <v>0</v>
      </c>
      <c r="V9" s="418" t="s">
        <v>1621</v>
      </c>
      <c r="X9" s="206">
        <f t="shared" si="7"/>
        <v>0</v>
      </c>
      <c r="Y9" s="418" t="s">
        <v>1661</v>
      </c>
      <c r="AA9" s="206">
        <f t="shared" si="8"/>
        <v>0</v>
      </c>
      <c r="AD9" s="206">
        <f t="shared" si="9"/>
        <v>0</v>
      </c>
      <c r="AG9" s="206">
        <f t="shared" si="10"/>
        <v>0</v>
      </c>
      <c r="AJ9" s="206">
        <f t="shared" si="11"/>
        <v>0</v>
      </c>
      <c r="AM9" s="206">
        <f t="shared" si="12"/>
        <v>0</v>
      </c>
      <c r="AP9" s="206">
        <f t="shared" si="13"/>
        <v>0</v>
      </c>
      <c r="AS9" s="206">
        <f t="shared" si="14"/>
        <v>0</v>
      </c>
      <c r="AV9" s="206">
        <f t="shared" si="15"/>
        <v>0</v>
      </c>
      <c r="AY9" s="206">
        <f t="shared" si="16"/>
        <v>0</v>
      </c>
      <c r="BB9" s="206">
        <f t="shared" si="17"/>
        <v>0</v>
      </c>
      <c r="BC9" s="418" t="s">
        <v>2204</v>
      </c>
      <c r="BE9" s="206">
        <f t="shared" si="18"/>
        <v>0</v>
      </c>
      <c r="BH9" s="206">
        <f t="shared" si="19"/>
        <v>0</v>
      </c>
      <c r="BK9" s="206">
        <f t="shared" si="20"/>
        <v>0</v>
      </c>
      <c r="BN9" s="206">
        <f t="shared" si="21"/>
        <v>0</v>
      </c>
      <c r="BQ9" s="206">
        <f t="shared" si="22"/>
        <v>0</v>
      </c>
      <c r="BT9" s="206">
        <f t="shared" si="23"/>
        <v>0</v>
      </c>
      <c r="BW9" s="206">
        <f t="shared" si="24"/>
        <v>0</v>
      </c>
      <c r="BZ9" s="206">
        <f t="shared" si="25"/>
        <v>0</v>
      </c>
      <c r="CD9" s="418" t="str">
        <f t="shared" si="26"/>
        <v>CU0884001</v>
      </c>
      <c r="CE9" s="442" t="str">
        <f t="shared" si="27"/>
        <v>2018年6月</v>
      </c>
      <c r="CF9" s="418" t="str">
        <f t="shared" si="28"/>
        <v>恩德斯豪斯clife服务费暂估</v>
      </c>
      <c r="CG9" s="418" t="str">
        <f t="shared" si="29"/>
        <v>2018年6月恩德斯豪斯clife服务费暂估</v>
      </c>
    </row>
    <row r="10" spans="2:85" ht="15" customHeight="1">
      <c r="B10" s="418" t="str">
        <f t="shared" si="1"/>
        <v>CU0892</v>
      </c>
      <c r="C10" s="259" t="s">
        <v>804</v>
      </c>
      <c r="D10" s="394" t="s">
        <v>1001</v>
      </c>
      <c r="E10" s="67" t="s">
        <v>1000</v>
      </c>
      <c r="F10" s="330">
        <v>43252</v>
      </c>
      <c r="G10" s="420">
        <v>6488.0018867924555</v>
      </c>
      <c r="I10" s="426">
        <f t="shared" si="2"/>
        <v>6488.0018867924555</v>
      </c>
      <c r="J10" s="421" t="s">
        <v>1369</v>
      </c>
      <c r="L10" s="206">
        <f t="shared" si="3"/>
        <v>6488.0018867924555</v>
      </c>
      <c r="M10" s="418" t="s">
        <v>1449</v>
      </c>
      <c r="O10" s="206">
        <f t="shared" si="4"/>
        <v>6488.0018867924555</v>
      </c>
      <c r="P10" s="418" t="s">
        <v>1514</v>
      </c>
      <c r="R10" s="206">
        <f t="shared" si="5"/>
        <v>6488.0018867924555</v>
      </c>
      <c r="S10" s="418" t="s">
        <v>1563</v>
      </c>
      <c r="U10" s="206">
        <f t="shared" si="6"/>
        <v>6488.0018867924555</v>
      </c>
      <c r="V10" s="418" t="s">
        <v>1621</v>
      </c>
      <c r="W10" s="206">
        <f>U10</f>
        <v>6488.0018867924555</v>
      </c>
      <c r="X10" s="206">
        <f t="shared" si="7"/>
        <v>0</v>
      </c>
      <c r="Y10" s="418" t="s">
        <v>1661</v>
      </c>
      <c r="AA10" s="206">
        <f t="shared" si="8"/>
        <v>0</v>
      </c>
      <c r="AD10" s="206">
        <f t="shared" si="9"/>
        <v>0</v>
      </c>
      <c r="AG10" s="206">
        <f t="shared" si="10"/>
        <v>0</v>
      </c>
      <c r="AJ10" s="206">
        <f t="shared" si="11"/>
        <v>0</v>
      </c>
      <c r="AM10" s="206">
        <f t="shared" si="12"/>
        <v>0</v>
      </c>
      <c r="AP10" s="206">
        <f t="shared" si="13"/>
        <v>0</v>
      </c>
      <c r="AS10" s="206">
        <f t="shared" si="14"/>
        <v>0</v>
      </c>
      <c r="AV10" s="206">
        <f t="shared" si="15"/>
        <v>0</v>
      </c>
      <c r="AY10" s="206">
        <f t="shared" si="16"/>
        <v>0</v>
      </c>
      <c r="BB10" s="206">
        <f t="shared" si="17"/>
        <v>0</v>
      </c>
      <c r="BC10" s="418" t="s">
        <v>2204</v>
      </c>
      <c r="BE10" s="206">
        <f t="shared" si="18"/>
        <v>0</v>
      </c>
      <c r="BH10" s="206">
        <f t="shared" si="19"/>
        <v>0</v>
      </c>
      <c r="BK10" s="206">
        <f t="shared" si="20"/>
        <v>0</v>
      </c>
      <c r="BN10" s="206">
        <f t="shared" si="21"/>
        <v>0</v>
      </c>
      <c r="BQ10" s="206">
        <f t="shared" si="22"/>
        <v>0</v>
      </c>
      <c r="BT10" s="206">
        <f t="shared" si="23"/>
        <v>0</v>
      </c>
      <c r="BW10" s="206">
        <f t="shared" si="24"/>
        <v>0</v>
      </c>
      <c r="BZ10" s="206">
        <f t="shared" si="25"/>
        <v>0</v>
      </c>
      <c r="CD10" s="418" t="str">
        <f t="shared" si="26"/>
        <v>CU0892001</v>
      </c>
      <c r="CE10" s="442" t="str">
        <f t="shared" si="27"/>
        <v>2018年6月</v>
      </c>
      <c r="CF10" s="418" t="str">
        <f t="shared" si="28"/>
        <v>苏州凯爱健clife服务费暂估</v>
      </c>
      <c r="CG10" s="418" t="str">
        <f t="shared" si="29"/>
        <v>2018年6月苏州凯爱健clife服务费暂估</v>
      </c>
    </row>
    <row r="11" spans="2:85" ht="15" customHeight="1">
      <c r="B11" s="418" t="str">
        <f t="shared" si="1"/>
        <v>CU0903</v>
      </c>
      <c r="C11" s="259" t="s">
        <v>804</v>
      </c>
      <c r="D11" s="394" t="s">
        <v>1003</v>
      </c>
      <c r="E11" s="394" t="s">
        <v>1002</v>
      </c>
      <c r="F11" s="330">
        <v>43252</v>
      </c>
      <c r="G11" s="420">
        <v>7014.49</v>
      </c>
      <c r="I11" s="426">
        <f t="shared" si="2"/>
        <v>7014.49</v>
      </c>
      <c r="J11" s="421" t="s">
        <v>1369</v>
      </c>
      <c r="L11" s="206">
        <f t="shared" si="3"/>
        <v>7014.49</v>
      </c>
      <c r="M11" s="418" t="s">
        <v>1449</v>
      </c>
      <c r="O11" s="206">
        <f t="shared" si="4"/>
        <v>7014.49</v>
      </c>
      <c r="P11" s="418" t="s">
        <v>1514</v>
      </c>
      <c r="R11" s="206">
        <f t="shared" si="5"/>
        <v>7014.49</v>
      </c>
      <c r="S11" s="418" t="s">
        <v>1563</v>
      </c>
      <c r="U11" s="206">
        <f t="shared" si="6"/>
        <v>7014.49</v>
      </c>
      <c r="V11" s="418" t="s">
        <v>1621</v>
      </c>
      <c r="W11">
        <f>ROUND((7435.36/1.06),2)</f>
        <v>7014.49</v>
      </c>
      <c r="X11" s="206">
        <f t="shared" si="7"/>
        <v>0</v>
      </c>
      <c r="Y11" s="418" t="s">
        <v>1661</v>
      </c>
      <c r="AA11" s="206">
        <f t="shared" si="8"/>
        <v>0</v>
      </c>
      <c r="AD11" s="206">
        <f t="shared" si="9"/>
        <v>0</v>
      </c>
      <c r="AG11" s="206">
        <f t="shared" si="10"/>
        <v>0</v>
      </c>
      <c r="AJ11" s="206">
        <f t="shared" si="11"/>
        <v>0</v>
      </c>
      <c r="AM11" s="206">
        <f t="shared" si="12"/>
        <v>0</v>
      </c>
      <c r="AP11" s="206">
        <f t="shared" si="13"/>
        <v>0</v>
      </c>
      <c r="AS11" s="206">
        <f t="shared" si="14"/>
        <v>0</v>
      </c>
      <c r="AV11" s="206">
        <f t="shared" si="15"/>
        <v>0</v>
      </c>
      <c r="AY11" s="206">
        <f t="shared" si="16"/>
        <v>0</v>
      </c>
      <c r="BB11" s="206">
        <f t="shared" si="17"/>
        <v>0</v>
      </c>
      <c r="BC11" s="418" t="s">
        <v>2204</v>
      </c>
      <c r="BE11" s="206">
        <f t="shared" si="18"/>
        <v>0</v>
      </c>
      <c r="BH11" s="206">
        <f t="shared" si="19"/>
        <v>0</v>
      </c>
      <c r="BK11" s="206">
        <f t="shared" si="20"/>
        <v>0</v>
      </c>
      <c r="BN11" s="206">
        <f t="shared" si="21"/>
        <v>0</v>
      </c>
      <c r="BQ11" s="206">
        <f t="shared" si="22"/>
        <v>0</v>
      </c>
      <c r="BT11" s="206">
        <f t="shared" si="23"/>
        <v>0</v>
      </c>
      <c r="BW11" s="206">
        <f t="shared" si="24"/>
        <v>0</v>
      </c>
      <c r="BZ11" s="206">
        <f t="shared" si="25"/>
        <v>0</v>
      </c>
      <c r="CD11" s="418" t="str">
        <f t="shared" si="26"/>
        <v>CU0903001</v>
      </c>
      <c r="CE11" s="442" t="str">
        <f t="shared" si="27"/>
        <v>2018年6月</v>
      </c>
      <c r="CF11" s="418" t="str">
        <f t="shared" si="28"/>
        <v>上海阿特门clife服务费暂估</v>
      </c>
      <c r="CG11" s="418" t="str">
        <f t="shared" si="29"/>
        <v>2018年6月上海阿特门clife服务费暂估</v>
      </c>
    </row>
    <row r="12" spans="2:85" ht="15" customHeight="1">
      <c r="B12" s="418" t="str">
        <f t="shared" si="1"/>
        <v>CU0936</v>
      </c>
      <c r="C12" s="259" t="s">
        <v>804</v>
      </c>
      <c r="D12" s="394" t="s">
        <v>1005</v>
      </c>
      <c r="E12" s="306" t="s">
        <v>941</v>
      </c>
      <c r="F12" s="330">
        <v>43252</v>
      </c>
      <c r="G12" s="420">
        <v>208.94</v>
      </c>
      <c r="I12" s="426">
        <f t="shared" si="2"/>
        <v>208.94</v>
      </c>
      <c r="J12" s="421" t="s">
        <v>1369</v>
      </c>
      <c r="L12" s="206">
        <f t="shared" si="3"/>
        <v>208.94</v>
      </c>
      <c r="M12" s="418" t="s">
        <v>1449</v>
      </c>
      <c r="O12" s="206">
        <f t="shared" si="4"/>
        <v>208.94</v>
      </c>
      <c r="P12" s="418" t="s">
        <v>1514</v>
      </c>
      <c r="R12" s="206">
        <f t="shared" si="5"/>
        <v>208.94</v>
      </c>
      <c r="S12" s="418" t="s">
        <v>1563</v>
      </c>
      <c r="U12" s="206">
        <f t="shared" si="6"/>
        <v>208.94</v>
      </c>
      <c r="V12" s="418" t="s">
        <v>1621</v>
      </c>
      <c r="W12" s="206">
        <f>U12</f>
        <v>208.94</v>
      </c>
      <c r="X12" s="206">
        <f t="shared" si="7"/>
        <v>0</v>
      </c>
      <c r="Y12" s="418" t="s">
        <v>1661</v>
      </c>
      <c r="AA12" s="206">
        <f t="shared" si="8"/>
        <v>0</v>
      </c>
      <c r="AD12" s="206">
        <f t="shared" si="9"/>
        <v>0</v>
      </c>
      <c r="AG12" s="206">
        <f t="shared" si="10"/>
        <v>0</v>
      </c>
      <c r="AJ12" s="206">
        <f t="shared" si="11"/>
        <v>0</v>
      </c>
      <c r="AM12" s="206">
        <f t="shared" si="12"/>
        <v>0</v>
      </c>
      <c r="AP12" s="206">
        <f t="shared" si="13"/>
        <v>0</v>
      </c>
      <c r="AS12" s="206">
        <f t="shared" si="14"/>
        <v>0</v>
      </c>
      <c r="AV12" s="206">
        <f t="shared" si="15"/>
        <v>0</v>
      </c>
      <c r="AY12" s="206">
        <f t="shared" si="16"/>
        <v>0</v>
      </c>
      <c r="BB12" s="206">
        <f t="shared" si="17"/>
        <v>0</v>
      </c>
      <c r="BC12" s="418" t="s">
        <v>2204</v>
      </c>
      <c r="BE12" s="206">
        <f t="shared" si="18"/>
        <v>0</v>
      </c>
      <c r="BH12" s="206">
        <f t="shared" si="19"/>
        <v>0</v>
      </c>
      <c r="BK12" s="206">
        <f t="shared" si="20"/>
        <v>0</v>
      </c>
      <c r="BN12" s="206">
        <f t="shared" si="21"/>
        <v>0</v>
      </c>
      <c r="BQ12" s="206">
        <f t="shared" si="22"/>
        <v>0</v>
      </c>
      <c r="BT12" s="206">
        <f t="shared" si="23"/>
        <v>0</v>
      </c>
      <c r="BW12" s="206">
        <f t="shared" si="24"/>
        <v>0</v>
      </c>
      <c r="BZ12" s="206">
        <f t="shared" si="25"/>
        <v>0</v>
      </c>
      <c r="CD12" s="418" t="str">
        <f t="shared" si="26"/>
        <v>CU0936001</v>
      </c>
      <c r="CE12" s="442" t="str">
        <f t="shared" si="27"/>
        <v>2018年6月</v>
      </c>
      <c r="CF12" s="418" t="str">
        <f t="shared" si="28"/>
        <v>浩仲六弈（clife服务费暂估</v>
      </c>
      <c r="CG12" s="418" t="str">
        <f t="shared" si="29"/>
        <v>2018年6月浩仲六弈（clife服务费暂估</v>
      </c>
    </row>
    <row r="13" spans="2:85" s="447" customFormat="1" ht="15" customHeight="1">
      <c r="B13" s="418" t="str">
        <f t="shared" si="1"/>
        <v>CU0904</v>
      </c>
      <c r="C13" s="431" t="s">
        <v>950</v>
      </c>
      <c r="D13" s="353" t="s">
        <v>866</v>
      </c>
      <c r="E13" s="354" t="s">
        <v>955</v>
      </c>
      <c r="F13" s="439">
        <v>43252</v>
      </c>
      <c r="G13" s="422">
        <v>78800.05</v>
      </c>
      <c r="H13" s="421"/>
      <c r="I13" s="426">
        <f t="shared" si="2"/>
        <v>78800.05</v>
      </c>
      <c r="J13" s="421" t="s">
        <v>1369</v>
      </c>
      <c r="K13">
        <v>74000</v>
      </c>
      <c r="L13" s="206">
        <f t="shared" si="3"/>
        <v>4800.0500000000029</v>
      </c>
      <c r="M13" s="418" t="s">
        <v>1449</v>
      </c>
      <c r="N13"/>
      <c r="O13" s="206">
        <f t="shared" si="4"/>
        <v>4800.0500000000029</v>
      </c>
      <c r="P13" s="418" t="s">
        <v>1515</v>
      </c>
      <c r="Q13" s="206">
        <f>O13</f>
        <v>4800.0500000000029</v>
      </c>
      <c r="R13" s="206">
        <f t="shared" si="5"/>
        <v>0</v>
      </c>
      <c r="S13" s="418" t="s">
        <v>1563</v>
      </c>
      <c r="T13"/>
      <c r="U13" s="206">
        <f t="shared" si="6"/>
        <v>0</v>
      </c>
      <c r="V13" s="418" t="s">
        <v>1621</v>
      </c>
      <c r="W13"/>
      <c r="X13" s="206">
        <f t="shared" si="7"/>
        <v>0</v>
      </c>
      <c r="Y13" s="418" t="s">
        <v>1661</v>
      </c>
      <c r="Z13"/>
      <c r="AA13" s="206">
        <f t="shared" si="8"/>
        <v>0</v>
      </c>
      <c r="AB13"/>
      <c r="AC13"/>
      <c r="AD13" s="206">
        <f t="shared" si="9"/>
        <v>0</v>
      </c>
      <c r="AE13"/>
      <c r="AF13"/>
      <c r="AG13" s="206">
        <f t="shared" si="10"/>
        <v>0</v>
      </c>
      <c r="AH13"/>
      <c r="AI13"/>
      <c r="AJ13" s="206">
        <f t="shared" si="11"/>
        <v>0</v>
      </c>
      <c r="AK13"/>
      <c r="AL13"/>
      <c r="AM13" s="206">
        <f t="shared" si="12"/>
        <v>0</v>
      </c>
      <c r="AN13"/>
      <c r="AO13"/>
      <c r="AP13" s="206">
        <f t="shared" si="13"/>
        <v>0</v>
      </c>
      <c r="AQ13"/>
      <c r="AS13" s="491">
        <f t="shared" si="14"/>
        <v>0</v>
      </c>
      <c r="AV13" s="491">
        <f t="shared" si="15"/>
        <v>0</v>
      </c>
      <c r="AY13" s="491">
        <f t="shared" si="16"/>
        <v>0</v>
      </c>
      <c r="BB13" s="491">
        <f t="shared" si="17"/>
        <v>0</v>
      </c>
      <c r="BC13" s="447" t="s">
        <v>2204</v>
      </c>
      <c r="BE13" s="491">
        <f t="shared" si="18"/>
        <v>0</v>
      </c>
      <c r="BH13" s="206">
        <f t="shared" si="19"/>
        <v>0</v>
      </c>
      <c r="BK13" s="206">
        <f t="shared" si="20"/>
        <v>0</v>
      </c>
      <c r="BN13" s="206">
        <f t="shared" si="21"/>
        <v>0</v>
      </c>
      <c r="BQ13" s="206">
        <f t="shared" si="22"/>
        <v>0</v>
      </c>
      <c r="BT13" s="206">
        <f t="shared" si="23"/>
        <v>0</v>
      </c>
      <c r="BW13" s="206">
        <f t="shared" si="24"/>
        <v>0</v>
      </c>
      <c r="BZ13" s="206">
        <f t="shared" si="25"/>
        <v>0</v>
      </c>
      <c r="CD13" s="418" t="str">
        <f t="shared" si="26"/>
        <v>CU0904001</v>
      </c>
      <c r="CE13" s="442" t="str">
        <f t="shared" si="27"/>
        <v>2018年6月</v>
      </c>
      <c r="CF13" s="418" t="str">
        <f t="shared" si="28"/>
        <v>紫光电子商clife服务费暂估</v>
      </c>
      <c r="CG13" s="418" t="str">
        <f t="shared" si="29"/>
        <v>2018年6月紫光电子商clife服务费暂估</v>
      </c>
    </row>
    <row r="14" spans="2:85" ht="15" customHeight="1">
      <c r="B14" s="418" t="str">
        <f t="shared" si="1"/>
        <v>CU0340</v>
      </c>
      <c r="C14" s="259" t="s">
        <v>804</v>
      </c>
      <c r="D14" s="394" t="s">
        <v>75</v>
      </c>
      <c r="E14" s="394" t="s">
        <v>76</v>
      </c>
      <c r="F14" s="330">
        <v>43282</v>
      </c>
      <c r="G14" s="420">
        <v>51249.140000000007</v>
      </c>
      <c r="H14" s="425">
        <v>51249.14</v>
      </c>
      <c r="I14" s="426">
        <f t="shared" si="2"/>
        <v>0</v>
      </c>
      <c r="J14" s="421" t="s">
        <v>1369</v>
      </c>
      <c r="L14" s="206">
        <f t="shared" si="3"/>
        <v>0</v>
      </c>
      <c r="M14" s="418" t="s">
        <v>1449</v>
      </c>
      <c r="O14" s="206">
        <f t="shared" si="4"/>
        <v>0</v>
      </c>
      <c r="P14" s="418" t="s">
        <v>1515</v>
      </c>
      <c r="R14" s="206">
        <f t="shared" si="5"/>
        <v>0</v>
      </c>
      <c r="S14" s="418" t="s">
        <v>1563</v>
      </c>
      <c r="U14" s="206">
        <f t="shared" si="6"/>
        <v>0</v>
      </c>
      <c r="V14" s="418" t="s">
        <v>1621</v>
      </c>
      <c r="X14" s="206">
        <f t="shared" si="7"/>
        <v>0</v>
      </c>
      <c r="Y14" s="418" t="s">
        <v>1661</v>
      </c>
      <c r="AA14" s="206">
        <f t="shared" si="8"/>
        <v>0</v>
      </c>
      <c r="AD14" s="206">
        <f t="shared" si="9"/>
        <v>0</v>
      </c>
      <c r="AG14" s="206">
        <f t="shared" si="10"/>
        <v>0</v>
      </c>
      <c r="AJ14" s="206">
        <f t="shared" si="11"/>
        <v>0</v>
      </c>
      <c r="AM14" s="206">
        <f t="shared" si="12"/>
        <v>0</v>
      </c>
      <c r="AP14" s="206">
        <f t="shared" si="13"/>
        <v>0</v>
      </c>
      <c r="AS14" s="206">
        <f t="shared" si="14"/>
        <v>0</v>
      </c>
      <c r="AV14" s="206">
        <f t="shared" si="15"/>
        <v>0</v>
      </c>
      <c r="AY14" s="206">
        <f t="shared" si="16"/>
        <v>0</v>
      </c>
      <c r="BB14" s="206">
        <f t="shared" si="17"/>
        <v>0</v>
      </c>
      <c r="BC14" s="418" t="s">
        <v>2204</v>
      </c>
      <c r="BE14" s="206">
        <f t="shared" si="18"/>
        <v>0</v>
      </c>
      <c r="BH14" s="206">
        <f t="shared" si="19"/>
        <v>0</v>
      </c>
      <c r="BK14" s="206">
        <f t="shared" si="20"/>
        <v>0</v>
      </c>
      <c r="BN14" s="206">
        <f t="shared" si="21"/>
        <v>0</v>
      </c>
      <c r="BQ14" s="206">
        <f t="shared" si="22"/>
        <v>0</v>
      </c>
      <c r="BT14" s="206">
        <f t="shared" si="23"/>
        <v>0</v>
      </c>
      <c r="BW14" s="206">
        <f t="shared" si="24"/>
        <v>0</v>
      </c>
      <c r="BZ14" s="206">
        <f t="shared" si="25"/>
        <v>0</v>
      </c>
      <c r="CD14" s="418" t="str">
        <f t="shared" si="26"/>
        <v>CU0340001</v>
      </c>
      <c r="CE14" s="442" t="str">
        <f t="shared" si="27"/>
        <v>2018年7月</v>
      </c>
      <c r="CF14" s="418" t="str">
        <f t="shared" si="28"/>
        <v>盖璞（上海clife服务费暂估</v>
      </c>
      <c r="CG14" s="418" t="str">
        <f t="shared" si="29"/>
        <v>2018年7月盖璞（上海clife服务费暂估</v>
      </c>
    </row>
    <row r="15" spans="2:85" ht="15" customHeight="1">
      <c r="B15" s="418" t="str">
        <f t="shared" si="1"/>
        <v>CU0340</v>
      </c>
      <c r="C15" s="259" t="s">
        <v>804</v>
      </c>
      <c r="D15" s="394" t="s">
        <v>991</v>
      </c>
      <c r="E15" s="394" t="s">
        <v>990</v>
      </c>
      <c r="F15" s="330">
        <v>43282</v>
      </c>
      <c r="G15" s="420">
        <v>5928.57</v>
      </c>
      <c r="H15" s="425">
        <v>5928.57</v>
      </c>
      <c r="I15" s="426">
        <f t="shared" si="2"/>
        <v>0</v>
      </c>
      <c r="J15" s="421" t="s">
        <v>1369</v>
      </c>
      <c r="L15" s="206">
        <f t="shared" si="3"/>
        <v>0</v>
      </c>
      <c r="M15" s="418" t="s">
        <v>1449</v>
      </c>
      <c r="O15" s="206">
        <f t="shared" si="4"/>
        <v>0</v>
      </c>
      <c r="P15" s="418" t="s">
        <v>1515</v>
      </c>
      <c r="R15" s="206">
        <f t="shared" si="5"/>
        <v>0</v>
      </c>
      <c r="S15" s="418" t="s">
        <v>1563</v>
      </c>
      <c r="U15" s="206">
        <f t="shared" si="6"/>
        <v>0</v>
      </c>
      <c r="V15" s="418" t="s">
        <v>1621</v>
      </c>
      <c r="X15" s="206">
        <f t="shared" si="7"/>
        <v>0</v>
      </c>
      <c r="Y15" s="418" t="s">
        <v>1661</v>
      </c>
      <c r="AA15" s="206">
        <f t="shared" si="8"/>
        <v>0</v>
      </c>
      <c r="AD15" s="206">
        <f t="shared" si="9"/>
        <v>0</v>
      </c>
      <c r="AG15" s="206">
        <f t="shared" si="10"/>
        <v>0</v>
      </c>
      <c r="AJ15" s="206">
        <f t="shared" si="11"/>
        <v>0</v>
      </c>
      <c r="AM15" s="206">
        <f t="shared" si="12"/>
        <v>0</v>
      </c>
      <c r="AP15" s="206">
        <f t="shared" si="13"/>
        <v>0</v>
      </c>
      <c r="AS15" s="206">
        <f t="shared" si="14"/>
        <v>0</v>
      </c>
      <c r="AV15" s="206">
        <f t="shared" si="15"/>
        <v>0</v>
      </c>
      <c r="AY15" s="206">
        <f t="shared" si="16"/>
        <v>0</v>
      </c>
      <c r="BB15" s="206">
        <f t="shared" si="17"/>
        <v>0</v>
      </c>
      <c r="BC15" s="418" t="s">
        <v>2204</v>
      </c>
      <c r="BE15" s="206">
        <f t="shared" si="18"/>
        <v>0</v>
      </c>
      <c r="BH15" s="206">
        <f t="shared" si="19"/>
        <v>0</v>
      </c>
      <c r="BK15" s="206">
        <f t="shared" si="20"/>
        <v>0</v>
      </c>
      <c r="BN15" s="206">
        <f t="shared" si="21"/>
        <v>0</v>
      </c>
      <c r="BQ15" s="206">
        <f t="shared" si="22"/>
        <v>0</v>
      </c>
      <c r="BT15" s="206">
        <f t="shared" si="23"/>
        <v>0</v>
      </c>
      <c r="BW15" s="206">
        <f t="shared" si="24"/>
        <v>0</v>
      </c>
      <c r="BZ15" s="206">
        <f t="shared" si="25"/>
        <v>0</v>
      </c>
      <c r="CD15" s="418" t="str">
        <f t="shared" si="26"/>
        <v>CU0340001</v>
      </c>
      <c r="CE15" s="442" t="str">
        <f t="shared" si="27"/>
        <v>2018年7月</v>
      </c>
      <c r="CF15" s="418" t="str">
        <f t="shared" si="28"/>
        <v>盖璞（北京clife服务费暂估</v>
      </c>
      <c r="CG15" s="418" t="str">
        <f t="shared" si="29"/>
        <v>2018年7月盖璞（北京clife服务费暂估</v>
      </c>
    </row>
    <row r="16" spans="2:85" ht="15" customHeight="1">
      <c r="B16" s="418" t="str">
        <f t="shared" si="1"/>
        <v>CU0812</v>
      </c>
      <c r="C16" s="259" t="s">
        <v>804</v>
      </c>
      <c r="D16" s="345" t="s">
        <v>1049</v>
      </c>
      <c r="E16" s="345" t="s">
        <v>1050</v>
      </c>
      <c r="F16" s="330">
        <v>43282</v>
      </c>
      <c r="G16" s="420">
        <v>82.43999999999869</v>
      </c>
      <c r="I16" s="426">
        <f t="shared" si="2"/>
        <v>82.43999999999869</v>
      </c>
      <c r="J16" s="421" t="s">
        <v>1369</v>
      </c>
      <c r="L16" s="206">
        <f t="shared" si="3"/>
        <v>82.43999999999869</v>
      </c>
      <c r="M16" s="418" t="s">
        <v>1449</v>
      </c>
      <c r="O16" s="206">
        <f t="shared" si="4"/>
        <v>82.43999999999869</v>
      </c>
      <c r="P16" s="418" t="s">
        <v>1514</v>
      </c>
      <c r="R16" s="206">
        <f t="shared" si="5"/>
        <v>82.43999999999869</v>
      </c>
      <c r="S16" s="418" t="s">
        <v>1563</v>
      </c>
      <c r="U16" s="206">
        <f t="shared" si="6"/>
        <v>82.43999999999869</v>
      </c>
      <c r="V16" s="418" t="s">
        <v>1621</v>
      </c>
      <c r="W16">
        <f>ROUND((87.39/1.06),2)</f>
        <v>82.44</v>
      </c>
      <c r="X16" s="206">
        <f t="shared" si="7"/>
        <v>-1.3073986337985843E-12</v>
      </c>
      <c r="Y16" s="418" t="s">
        <v>1661</v>
      </c>
      <c r="AA16" s="206">
        <f t="shared" si="8"/>
        <v>-1.3073986337985843E-12</v>
      </c>
      <c r="AD16" s="206">
        <f t="shared" si="9"/>
        <v>-1.3073986337985843E-12</v>
      </c>
      <c r="AG16" s="206">
        <f t="shared" si="10"/>
        <v>-1.3073986337985843E-12</v>
      </c>
      <c r="AJ16" s="206">
        <f t="shared" si="11"/>
        <v>-1.3073986337985843E-12</v>
      </c>
      <c r="AM16" s="206">
        <f t="shared" si="12"/>
        <v>-1.3073986337985843E-12</v>
      </c>
      <c r="AP16" s="206">
        <f t="shared" si="13"/>
        <v>-1.3073986337985843E-12</v>
      </c>
      <c r="AS16" s="206">
        <f t="shared" si="14"/>
        <v>-1.3073986337985843E-12</v>
      </c>
      <c r="AV16" s="206">
        <f t="shared" si="15"/>
        <v>-1.3073986337985843E-12</v>
      </c>
      <c r="AY16" s="206">
        <f t="shared" si="16"/>
        <v>-1.3073986337985843E-12</v>
      </c>
      <c r="BB16" s="206">
        <f t="shared" si="17"/>
        <v>-1.3073986337985843E-12</v>
      </c>
      <c r="BC16" s="418" t="s">
        <v>2204</v>
      </c>
      <c r="BE16" s="206">
        <f t="shared" si="18"/>
        <v>-1.3073986337985843E-12</v>
      </c>
      <c r="BH16" s="206">
        <f t="shared" si="19"/>
        <v>-1.3073986337985843E-12</v>
      </c>
      <c r="BK16" s="206">
        <f t="shared" si="20"/>
        <v>-1.3073986337985843E-12</v>
      </c>
      <c r="BN16" s="206">
        <f t="shared" si="21"/>
        <v>-1.3073986337985843E-12</v>
      </c>
      <c r="BQ16" s="206">
        <f t="shared" si="22"/>
        <v>0</v>
      </c>
      <c r="BT16" s="206">
        <f t="shared" si="23"/>
        <v>0</v>
      </c>
      <c r="BW16" s="206">
        <f t="shared" si="24"/>
        <v>0</v>
      </c>
      <c r="BZ16" s="206">
        <f t="shared" si="25"/>
        <v>0</v>
      </c>
      <c r="CD16" s="418" t="str">
        <f t="shared" si="26"/>
        <v>CU0812001</v>
      </c>
      <c r="CE16" s="442" t="str">
        <f t="shared" si="27"/>
        <v>2018年7月</v>
      </c>
      <c r="CF16" s="418" t="str">
        <f t="shared" si="28"/>
        <v>恩派clife服务费暂估</v>
      </c>
      <c r="CG16" s="418" t="str">
        <f t="shared" si="29"/>
        <v>2018年7月恩派clife服务费暂估</v>
      </c>
    </row>
    <row r="17" spans="2:85" ht="15" customHeight="1">
      <c r="B17" s="418" t="str">
        <f t="shared" si="1"/>
        <v>CU0822</v>
      </c>
      <c r="C17" s="259" t="s">
        <v>804</v>
      </c>
      <c r="D17" s="394" t="s">
        <v>997</v>
      </c>
      <c r="E17" s="394" t="s">
        <v>996</v>
      </c>
      <c r="F17" s="330">
        <v>43282</v>
      </c>
      <c r="G17" s="420">
        <v>2632.83</v>
      </c>
      <c r="I17" s="426">
        <f t="shared" si="2"/>
        <v>2632.83</v>
      </c>
      <c r="J17" s="421" t="s">
        <v>1369</v>
      </c>
      <c r="L17" s="206">
        <f t="shared" si="3"/>
        <v>2632.83</v>
      </c>
      <c r="M17" s="418" t="s">
        <v>1449</v>
      </c>
      <c r="O17" s="206">
        <f t="shared" si="4"/>
        <v>2632.83</v>
      </c>
      <c r="P17" s="418" t="s">
        <v>1515</v>
      </c>
      <c r="R17" s="206">
        <f t="shared" si="5"/>
        <v>2632.83</v>
      </c>
      <c r="S17" s="418" t="s">
        <v>1563</v>
      </c>
      <c r="U17" s="206">
        <f t="shared" si="6"/>
        <v>2632.83</v>
      </c>
      <c r="V17" s="418" t="s">
        <v>1621</v>
      </c>
      <c r="W17">
        <f>ROUND((31979.61/1.06),2)-W8</f>
        <v>2632.8299999999981</v>
      </c>
      <c r="X17" s="206">
        <f t="shared" si="7"/>
        <v>0</v>
      </c>
      <c r="Y17" s="418" t="s">
        <v>1661</v>
      </c>
      <c r="AA17" s="206">
        <f t="shared" si="8"/>
        <v>0</v>
      </c>
      <c r="AD17" s="206">
        <f t="shared" si="9"/>
        <v>0</v>
      </c>
      <c r="AG17" s="206">
        <f t="shared" si="10"/>
        <v>0</v>
      </c>
      <c r="AJ17" s="206">
        <f t="shared" si="11"/>
        <v>0</v>
      </c>
      <c r="AM17" s="206">
        <f t="shared" si="12"/>
        <v>0</v>
      </c>
      <c r="AP17" s="206">
        <f t="shared" si="13"/>
        <v>0</v>
      </c>
      <c r="AS17" s="206">
        <f t="shared" si="14"/>
        <v>0</v>
      </c>
      <c r="AV17" s="206">
        <f t="shared" si="15"/>
        <v>0</v>
      </c>
      <c r="AY17" s="206">
        <f t="shared" si="16"/>
        <v>0</v>
      </c>
      <c r="BB17" s="206">
        <f t="shared" si="17"/>
        <v>0</v>
      </c>
      <c r="BC17" s="418" t="s">
        <v>2204</v>
      </c>
      <c r="BE17" s="206">
        <f t="shared" si="18"/>
        <v>0</v>
      </c>
      <c r="BH17" s="206">
        <f t="shared" si="19"/>
        <v>0</v>
      </c>
      <c r="BK17" s="206">
        <f t="shared" si="20"/>
        <v>0</v>
      </c>
      <c r="BN17" s="206">
        <f t="shared" si="21"/>
        <v>0</v>
      </c>
      <c r="BQ17" s="206">
        <f t="shared" si="22"/>
        <v>0</v>
      </c>
      <c r="BT17" s="206">
        <f t="shared" si="23"/>
        <v>0</v>
      </c>
      <c r="BW17" s="206">
        <f t="shared" si="24"/>
        <v>0</v>
      </c>
      <c r="BZ17" s="206">
        <f t="shared" si="25"/>
        <v>0</v>
      </c>
      <c r="CD17" s="418" t="str">
        <f t="shared" si="26"/>
        <v>CU0822001</v>
      </c>
      <c r="CE17" s="442" t="str">
        <f t="shared" si="27"/>
        <v>2018年7月</v>
      </c>
      <c r="CF17" s="418" t="str">
        <f t="shared" si="28"/>
        <v>新疆昆仑美clife服务费暂估</v>
      </c>
      <c r="CG17" s="418" t="str">
        <f t="shared" si="29"/>
        <v>2018年7月新疆昆仑美clife服务费暂估</v>
      </c>
    </row>
    <row r="18" spans="2:85" ht="15" customHeight="1">
      <c r="B18" s="418" t="str">
        <f t="shared" si="1"/>
        <v>CU0869</v>
      </c>
      <c r="C18" s="259" t="s">
        <v>804</v>
      </c>
      <c r="D18" s="345" t="s">
        <v>1052</v>
      </c>
      <c r="E18" s="345" t="s">
        <v>1051</v>
      </c>
      <c r="F18" s="330">
        <v>43282</v>
      </c>
      <c r="G18" s="420">
        <v>31958.880000000001</v>
      </c>
      <c r="I18" s="426">
        <f t="shared" si="2"/>
        <v>31958.880000000001</v>
      </c>
      <c r="J18" s="421" t="s">
        <v>1369</v>
      </c>
      <c r="L18" s="206">
        <f t="shared" si="3"/>
        <v>31958.880000000001</v>
      </c>
      <c r="M18" s="418" t="s">
        <v>1449</v>
      </c>
      <c r="O18" s="206">
        <f t="shared" si="4"/>
        <v>31958.880000000001</v>
      </c>
      <c r="P18" s="418" t="s">
        <v>1514</v>
      </c>
      <c r="R18" s="206">
        <f t="shared" si="5"/>
        <v>31958.880000000001</v>
      </c>
      <c r="S18" s="418" t="s">
        <v>1563</v>
      </c>
      <c r="U18" s="206">
        <f t="shared" si="6"/>
        <v>31958.880000000001</v>
      </c>
      <c r="V18" s="418" t="s">
        <v>1621</v>
      </c>
      <c r="W18">
        <f>ROUNDUP((33876.41/1.06),2)</f>
        <v>31958.879999999997</v>
      </c>
      <c r="X18" s="206">
        <f t="shared" si="7"/>
        <v>0</v>
      </c>
      <c r="Y18" s="418" t="s">
        <v>1661</v>
      </c>
      <c r="AA18" s="206">
        <f t="shared" si="8"/>
        <v>0</v>
      </c>
      <c r="AD18" s="206">
        <f t="shared" si="9"/>
        <v>0</v>
      </c>
      <c r="AG18" s="206">
        <f t="shared" si="10"/>
        <v>0</v>
      </c>
      <c r="AJ18" s="206">
        <f t="shared" si="11"/>
        <v>0</v>
      </c>
      <c r="AM18" s="206">
        <f t="shared" si="12"/>
        <v>0</v>
      </c>
      <c r="AP18" s="206">
        <f t="shared" si="13"/>
        <v>0</v>
      </c>
      <c r="AS18" s="206">
        <f t="shared" si="14"/>
        <v>0</v>
      </c>
      <c r="AV18" s="206">
        <f t="shared" si="15"/>
        <v>0</v>
      </c>
      <c r="AY18" s="206">
        <f t="shared" si="16"/>
        <v>0</v>
      </c>
      <c r="BB18" s="206">
        <f t="shared" si="17"/>
        <v>0</v>
      </c>
      <c r="BC18" s="418" t="s">
        <v>2204</v>
      </c>
      <c r="BE18" s="206">
        <f t="shared" si="18"/>
        <v>0</v>
      </c>
      <c r="BH18" s="206">
        <f t="shared" si="19"/>
        <v>0</v>
      </c>
      <c r="BK18" s="206">
        <f t="shared" si="20"/>
        <v>0</v>
      </c>
      <c r="BN18" s="206">
        <f t="shared" si="21"/>
        <v>0</v>
      </c>
      <c r="BQ18" s="206">
        <f t="shared" si="22"/>
        <v>0</v>
      </c>
      <c r="BT18" s="206">
        <f t="shared" si="23"/>
        <v>0</v>
      </c>
      <c r="BW18" s="206">
        <f t="shared" si="24"/>
        <v>0</v>
      </c>
      <c r="BZ18" s="206">
        <f t="shared" si="25"/>
        <v>0</v>
      </c>
      <c r="CD18" s="418" t="str">
        <f t="shared" si="26"/>
        <v>CU0869001</v>
      </c>
      <c r="CE18" s="442" t="str">
        <f t="shared" si="27"/>
        <v>2018年7月</v>
      </c>
      <c r="CF18" s="418" t="str">
        <f t="shared" si="28"/>
        <v>智睿企业咨clife服务费暂估</v>
      </c>
      <c r="CG18" s="418" t="str">
        <f t="shared" si="29"/>
        <v>2018年7月智睿企业咨clife服务费暂估</v>
      </c>
    </row>
    <row r="19" spans="2:85" ht="15" customHeight="1">
      <c r="B19" s="418" t="str">
        <f t="shared" si="1"/>
        <v>CU0720</v>
      </c>
      <c r="C19" s="259" t="s">
        <v>804</v>
      </c>
      <c r="D19" s="345" t="s">
        <v>1034</v>
      </c>
      <c r="E19" s="345" t="s">
        <v>1048</v>
      </c>
      <c r="F19" s="330">
        <v>43313</v>
      </c>
      <c r="G19" s="420">
        <v>3493.26</v>
      </c>
      <c r="I19" s="426">
        <f t="shared" si="2"/>
        <v>3493.26</v>
      </c>
      <c r="J19" s="421" t="s">
        <v>1369</v>
      </c>
      <c r="L19" s="206">
        <f t="shared" si="3"/>
        <v>3493.26</v>
      </c>
      <c r="M19" s="418" t="s">
        <v>1449</v>
      </c>
      <c r="O19" s="206">
        <f t="shared" si="4"/>
        <v>3493.26</v>
      </c>
      <c r="P19" s="418" t="s">
        <v>1515</v>
      </c>
      <c r="R19" s="206">
        <f t="shared" si="5"/>
        <v>3493.26</v>
      </c>
      <c r="S19" s="418" t="s">
        <v>1563</v>
      </c>
      <c r="U19" s="206">
        <f t="shared" si="6"/>
        <v>3493.26</v>
      </c>
      <c r="V19" s="418" t="s">
        <v>1621</v>
      </c>
      <c r="W19" s="206">
        <f>U19</f>
        <v>3493.26</v>
      </c>
      <c r="X19" s="206">
        <f t="shared" si="7"/>
        <v>0</v>
      </c>
      <c r="Y19" s="418" t="s">
        <v>1661</v>
      </c>
      <c r="AA19" s="206">
        <f t="shared" si="8"/>
        <v>0</v>
      </c>
      <c r="AD19" s="206">
        <f t="shared" si="9"/>
        <v>0</v>
      </c>
      <c r="AG19" s="206">
        <f t="shared" si="10"/>
        <v>0</v>
      </c>
      <c r="AJ19" s="206">
        <f t="shared" si="11"/>
        <v>0</v>
      </c>
      <c r="AM19" s="206">
        <f t="shared" si="12"/>
        <v>0</v>
      </c>
      <c r="AP19" s="206">
        <f t="shared" si="13"/>
        <v>0</v>
      </c>
      <c r="AS19" s="206">
        <f t="shared" si="14"/>
        <v>0</v>
      </c>
      <c r="AV19" s="206">
        <f t="shared" si="15"/>
        <v>0</v>
      </c>
      <c r="AY19" s="206">
        <f t="shared" si="16"/>
        <v>0</v>
      </c>
      <c r="BB19" s="206">
        <f t="shared" si="17"/>
        <v>0</v>
      </c>
      <c r="BC19" s="418" t="s">
        <v>2204</v>
      </c>
      <c r="BE19" s="206">
        <f t="shared" si="18"/>
        <v>0</v>
      </c>
      <c r="BH19" s="206">
        <f t="shared" si="19"/>
        <v>0</v>
      </c>
      <c r="BK19" s="206">
        <f t="shared" si="20"/>
        <v>0</v>
      </c>
      <c r="BN19" s="206">
        <f t="shared" si="21"/>
        <v>0</v>
      </c>
      <c r="BQ19" s="206">
        <f t="shared" si="22"/>
        <v>0</v>
      </c>
      <c r="BT19" s="206">
        <f t="shared" si="23"/>
        <v>0</v>
      </c>
      <c r="BW19" s="206">
        <f t="shared" si="24"/>
        <v>0</v>
      </c>
      <c r="BZ19" s="206">
        <f t="shared" si="25"/>
        <v>0</v>
      </c>
      <c r="CD19" s="418" t="str">
        <f t="shared" si="26"/>
        <v>CU0720001</v>
      </c>
      <c r="CE19" s="442" t="str">
        <f t="shared" si="27"/>
        <v>2018年8月</v>
      </c>
      <c r="CF19" s="418" t="str">
        <f t="shared" si="28"/>
        <v>上海卫展医clife服务费暂估</v>
      </c>
      <c r="CG19" s="418" t="str">
        <f t="shared" si="29"/>
        <v>2018年8月上海卫展医clife服务费暂估</v>
      </c>
    </row>
    <row r="20" spans="2:85" ht="15" customHeight="1">
      <c r="B20" s="418" t="str">
        <f t="shared" si="1"/>
        <v>CU0904</v>
      </c>
      <c r="C20" s="259" t="s">
        <v>950</v>
      </c>
      <c r="D20" s="353" t="s">
        <v>1321</v>
      </c>
      <c r="E20" s="354" t="s">
        <v>1107</v>
      </c>
      <c r="F20" s="330">
        <v>43313</v>
      </c>
      <c r="G20" s="420">
        <v>1037.17</v>
      </c>
      <c r="I20" s="426">
        <f t="shared" si="2"/>
        <v>1037.17</v>
      </c>
      <c r="J20" s="421" t="s">
        <v>1369</v>
      </c>
      <c r="L20" s="206">
        <f t="shared" si="3"/>
        <v>1037.17</v>
      </c>
      <c r="M20" s="418" t="s">
        <v>1449</v>
      </c>
      <c r="O20" s="206">
        <f t="shared" si="4"/>
        <v>1037.17</v>
      </c>
      <c r="P20" s="418" t="s">
        <v>1515</v>
      </c>
      <c r="Q20" s="206">
        <f>O20</f>
        <v>1037.17</v>
      </c>
      <c r="R20" s="206">
        <f t="shared" si="5"/>
        <v>0</v>
      </c>
      <c r="S20" s="418" t="s">
        <v>1563</v>
      </c>
      <c r="U20" s="206">
        <f t="shared" si="6"/>
        <v>0</v>
      </c>
      <c r="V20" s="418" t="s">
        <v>1621</v>
      </c>
      <c r="X20" s="206">
        <f t="shared" si="7"/>
        <v>0</v>
      </c>
      <c r="Y20" s="418" t="s">
        <v>1661</v>
      </c>
      <c r="AA20" s="206">
        <f t="shared" si="8"/>
        <v>0</v>
      </c>
      <c r="AD20" s="206">
        <f t="shared" si="9"/>
        <v>0</v>
      </c>
      <c r="AG20" s="206">
        <f t="shared" si="10"/>
        <v>0</v>
      </c>
      <c r="AJ20" s="206">
        <f t="shared" si="11"/>
        <v>0</v>
      </c>
      <c r="AM20" s="206">
        <f t="shared" si="12"/>
        <v>0</v>
      </c>
      <c r="AP20" s="206">
        <f t="shared" si="13"/>
        <v>0</v>
      </c>
      <c r="AS20" s="206">
        <f t="shared" si="14"/>
        <v>0</v>
      </c>
      <c r="AV20" s="206">
        <f t="shared" si="15"/>
        <v>0</v>
      </c>
      <c r="AY20" s="206">
        <f t="shared" si="16"/>
        <v>0</v>
      </c>
      <c r="BB20" s="206">
        <f t="shared" si="17"/>
        <v>0</v>
      </c>
      <c r="BC20" s="418" t="s">
        <v>2204</v>
      </c>
      <c r="BE20" s="206">
        <f t="shared" si="18"/>
        <v>0</v>
      </c>
      <c r="BH20" s="206">
        <f t="shared" si="19"/>
        <v>0</v>
      </c>
      <c r="BK20" s="206">
        <f t="shared" si="20"/>
        <v>0</v>
      </c>
      <c r="BN20" s="206">
        <f t="shared" si="21"/>
        <v>0</v>
      </c>
      <c r="BQ20" s="206">
        <f t="shared" si="22"/>
        <v>0</v>
      </c>
      <c r="BT20" s="206">
        <f t="shared" si="23"/>
        <v>0</v>
      </c>
      <c r="BW20" s="206">
        <f t="shared" si="24"/>
        <v>0</v>
      </c>
      <c r="BZ20" s="206">
        <f t="shared" si="25"/>
        <v>0</v>
      </c>
      <c r="CD20" s="418" t="str">
        <f t="shared" si="26"/>
        <v>CU0904001</v>
      </c>
      <c r="CE20" s="442" t="str">
        <f t="shared" si="27"/>
        <v>2018年8月</v>
      </c>
      <c r="CF20" s="418" t="str">
        <f t="shared" si="28"/>
        <v>紫光融资租clife服务费暂估</v>
      </c>
      <c r="CG20" s="418" t="str">
        <f t="shared" si="29"/>
        <v>2018年8月紫光融资租clife服务费暂估</v>
      </c>
    </row>
    <row r="21" spans="2:85" ht="15" customHeight="1">
      <c r="B21" s="418" t="str">
        <f t="shared" si="1"/>
        <v>CU0340</v>
      </c>
      <c r="C21" s="259" t="s">
        <v>804</v>
      </c>
      <c r="D21" s="359" t="s">
        <v>73</v>
      </c>
      <c r="E21" s="359" t="s">
        <v>74</v>
      </c>
      <c r="F21" s="330">
        <v>43344</v>
      </c>
      <c r="G21" s="420">
        <v>99493.440000000002</v>
      </c>
      <c r="H21" s="425">
        <v>99493.440000000002</v>
      </c>
      <c r="I21" s="426">
        <f t="shared" si="2"/>
        <v>0</v>
      </c>
      <c r="J21" s="421" t="s">
        <v>1369</v>
      </c>
      <c r="L21" s="206">
        <f t="shared" si="3"/>
        <v>0</v>
      </c>
      <c r="M21" s="418" t="s">
        <v>1449</v>
      </c>
      <c r="O21" s="206">
        <f t="shared" si="4"/>
        <v>0</v>
      </c>
      <c r="P21" s="418" t="s">
        <v>1515</v>
      </c>
      <c r="R21" s="206">
        <f t="shared" si="5"/>
        <v>0</v>
      </c>
      <c r="S21" s="418" t="s">
        <v>1563</v>
      </c>
      <c r="U21" s="206">
        <f t="shared" si="6"/>
        <v>0</v>
      </c>
      <c r="V21" s="418" t="s">
        <v>1621</v>
      </c>
      <c r="X21" s="206">
        <f t="shared" si="7"/>
        <v>0</v>
      </c>
      <c r="Y21" s="418" t="s">
        <v>1661</v>
      </c>
      <c r="AA21" s="206">
        <f t="shared" si="8"/>
        <v>0</v>
      </c>
      <c r="AD21" s="206">
        <f t="shared" si="9"/>
        <v>0</v>
      </c>
      <c r="AG21" s="206">
        <f t="shared" si="10"/>
        <v>0</v>
      </c>
      <c r="AJ21" s="206">
        <f t="shared" si="11"/>
        <v>0</v>
      </c>
      <c r="AM21" s="206">
        <f t="shared" si="12"/>
        <v>0</v>
      </c>
      <c r="AP21" s="206">
        <f t="shared" si="13"/>
        <v>0</v>
      </c>
      <c r="AS21" s="206">
        <f t="shared" si="14"/>
        <v>0</v>
      </c>
      <c r="AV21" s="206">
        <f t="shared" si="15"/>
        <v>0</v>
      </c>
      <c r="AY21" s="206">
        <f t="shared" si="16"/>
        <v>0</v>
      </c>
      <c r="BB21" s="206">
        <f t="shared" si="17"/>
        <v>0</v>
      </c>
      <c r="BC21" s="418" t="s">
        <v>2204</v>
      </c>
      <c r="BE21" s="206">
        <f t="shared" si="18"/>
        <v>0</v>
      </c>
      <c r="BH21" s="206">
        <f t="shared" si="19"/>
        <v>0</v>
      </c>
      <c r="BK21" s="206">
        <f t="shared" si="20"/>
        <v>0</v>
      </c>
      <c r="BN21" s="206">
        <f t="shared" si="21"/>
        <v>0</v>
      </c>
      <c r="BQ21" s="206">
        <f t="shared" si="22"/>
        <v>0</v>
      </c>
      <c r="BT21" s="206">
        <f t="shared" si="23"/>
        <v>0</v>
      </c>
      <c r="BW21" s="206">
        <f t="shared" si="24"/>
        <v>0</v>
      </c>
      <c r="BZ21" s="206">
        <f t="shared" si="25"/>
        <v>0</v>
      </c>
      <c r="CD21" s="418" t="str">
        <f t="shared" si="26"/>
        <v>CU0340001</v>
      </c>
      <c r="CE21" s="442" t="str">
        <f t="shared" si="27"/>
        <v>2018年9月</v>
      </c>
      <c r="CF21" s="418" t="str">
        <f t="shared" si="28"/>
        <v>盖璞集团clife服务费暂估</v>
      </c>
      <c r="CG21" s="418" t="str">
        <f t="shared" si="29"/>
        <v>2018年9月盖璞集团clife服务费暂估</v>
      </c>
    </row>
    <row r="22" spans="2:85" ht="15" customHeight="1">
      <c r="B22" s="418" t="str">
        <f t="shared" si="1"/>
        <v>CU0720</v>
      </c>
      <c r="C22" s="259" t="s">
        <v>804</v>
      </c>
      <c r="D22" s="359" t="s">
        <v>1034</v>
      </c>
      <c r="E22" s="359" t="s">
        <v>1159</v>
      </c>
      <c r="F22" s="330">
        <v>43344</v>
      </c>
      <c r="G22" s="420">
        <v>3139.33</v>
      </c>
      <c r="I22" s="426">
        <f t="shared" si="2"/>
        <v>3139.33</v>
      </c>
      <c r="J22" s="421" t="s">
        <v>1369</v>
      </c>
      <c r="L22" s="206">
        <f t="shared" si="3"/>
        <v>3139.33</v>
      </c>
      <c r="M22" s="418" t="s">
        <v>1449</v>
      </c>
      <c r="O22" s="206">
        <f t="shared" si="4"/>
        <v>3139.33</v>
      </c>
      <c r="P22" s="418" t="s">
        <v>1515</v>
      </c>
      <c r="R22" s="206">
        <f t="shared" si="5"/>
        <v>3139.33</v>
      </c>
      <c r="S22" s="418" t="s">
        <v>1563</v>
      </c>
      <c r="U22" s="206">
        <f t="shared" si="6"/>
        <v>3139.33</v>
      </c>
      <c r="V22" s="418" t="s">
        <v>1621</v>
      </c>
      <c r="W22" s="206">
        <f>U22</f>
        <v>3139.33</v>
      </c>
      <c r="X22" s="206">
        <f t="shared" si="7"/>
        <v>0</v>
      </c>
      <c r="Y22" s="418" t="s">
        <v>1661</v>
      </c>
      <c r="AA22" s="206">
        <f t="shared" si="8"/>
        <v>0</v>
      </c>
      <c r="AD22" s="206">
        <f t="shared" si="9"/>
        <v>0</v>
      </c>
      <c r="AG22" s="206">
        <f t="shared" si="10"/>
        <v>0</v>
      </c>
      <c r="AJ22" s="206">
        <f t="shared" si="11"/>
        <v>0</v>
      </c>
      <c r="AM22" s="206">
        <f t="shared" si="12"/>
        <v>0</v>
      </c>
      <c r="AP22" s="206">
        <f t="shared" si="13"/>
        <v>0</v>
      </c>
      <c r="AS22" s="206">
        <f t="shared" si="14"/>
        <v>0</v>
      </c>
      <c r="AV22" s="206">
        <f t="shared" si="15"/>
        <v>0</v>
      </c>
      <c r="AY22" s="206">
        <f t="shared" si="16"/>
        <v>0</v>
      </c>
      <c r="BB22" s="206">
        <f t="shared" si="17"/>
        <v>0</v>
      </c>
      <c r="BC22" s="418" t="s">
        <v>2204</v>
      </c>
      <c r="BE22" s="206">
        <f t="shared" si="18"/>
        <v>0</v>
      </c>
      <c r="BH22" s="206">
        <f t="shared" si="19"/>
        <v>0</v>
      </c>
      <c r="BK22" s="206">
        <f t="shared" si="20"/>
        <v>0</v>
      </c>
      <c r="BN22" s="206">
        <f t="shared" si="21"/>
        <v>0</v>
      </c>
      <c r="BQ22" s="206">
        <f t="shared" si="22"/>
        <v>0</v>
      </c>
      <c r="BT22" s="206">
        <f t="shared" si="23"/>
        <v>0</v>
      </c>
      <c r="BW22" s="206">
        <f t="shared" si="24"/>
        <v>0</v>
      </c>
      <c r="BZ22" s="206">
        <f t="shared" si="25"/>
        <v>0</v>
      </c>
      <c r="CD22" s="418" t="str">
        <f t="shared" si="26"/>
        <v>CU0720001</v>
      </c>
      <c r="CE22" s="442" t="str">
        <f t="shared" si="27"/>
        <v>2018年9月</v>
      </c>
      <c r="CF22" s="418" t="str">
        <f t="shared" si="28"/>
        <v>上海卫展医clife服务费暂估</v>
      </c>
      <c r="CG22" s="418" t="str">
        <f t="shared" si="29"/>
        <v>2018年9月上海卫展医clife服务费暂估</v>
      </c>
    </row>
    <row r="23" spans="2:85" ht="15" customHeight="1">
      <c r="B23" s="418" t="str">
        <f t="shared" si="1"/>
        <v>CU0892</v>
      </c>
      <c r="C23" s="259" t="s">
        <v>804</v>
      </c>
      <c r="D23" s="359" t="s">
        <v>831</v>
      </c>
      <c r="E23" s="359" t="s">
        <v>833</v>
      </c>
      <c r="F23" s="330">
        <v>43344</v>
      </c>
      <c r="G23" s="420">
        <v>268.87</v>
      </c>
      <c r="I23" s="426">
        <f t="shared" si="2"/>
        <v>268.87</v>
      </c>
      <c r="J23" s="421" t="s">
        <v>1369</v>
      </c>
      <c r="L23" s="206">
        <f t="shared" si="3"/>
        <v>268.87</v>
      </c>
      <c r="M23" s="418" t="s">
        <v>1449</v>
      </c>
      <c r="O23" s="206">
        <f t="shared" si="4"/>
        <v>268.87</v>
      </c>
      <c r="P23" s="418" t="s">
        <v>1514</v>
      </c>
      <c r="R23" s="206">
        <f t="shared" si="5"/>
        <v>268.87</v>
      </c>
      <c r="S23" s="418" t="s">
        <v>1563</v>
      </c>
      <c r="U23" s="206">
        <f t="shared" si="6"/>
        <v>268.87</v>
      </c>
      <c r="V23" s="418" t="s">
        <v>1621</v>
      </c>
      <c r="W23" s="132">
        <f>ROUND((15324.8/1.06),2)-W4-W5-W10</f>
        <v>268.86811320754987</v>
      </c>
      <c r="X23" s="206">
        <f t="shared" si="7"/>
        <v>1.8867924501364541E-3</v>
      </c>
      <c r="Y23" s="418" t="s">
        <v>1661</v>
      </c>
      <c r="AA23" s="206">
        <f t="shared" si="8"/>
        <v>1.8867924501364541E-3</v>
      </c>
      <c r="AD23" s="206">
        <f t="shared" si="9"/>
        <v>1.8867924501364541E-3</v>
      </c>
      <c r="AG23" s="206">
        <f t="shared" si="10"/>
        <v>1.8867924501364541E-3</v>
      </c>
      <c r="AJ23" s="206">
        <f t="shared" si="11"/>
        <v>1.8867924501364541E-3</v>
      </c>
      <c r="AM23" s="206">
        <f t="shared" si="12"/>
        <v>1.8867924501364541E-3</v>
      </c>
      <c r="AP23" s="206">
        <f t="shared" si="13"/>
        <v>1.8867924501364541E-3</v>
      </c>
      <c r="AS23" s="206">
        <f t="shared" si="14"/>
        <v>1.8867924501364541E-3</v>
      </c>
      <c r="AV23" s="206">
        <f t="shared" si="15"/>
        <v>1.8867924501364541E-3</v>
      </c>
      <c r="AY23" s="206">
        <f t="shared" si="16"/>
        <v>1.8867924501364541E-3</v>
      </c>
      <c r="BB23" s="206">
        <f t="shared" si="17"/>
        <v>1.8867924501364541E-3</v>
      </c>
      <c r="BC23" s="418" t="s">
        <v>2204</v>
      </c>
      <c r="BE23" s="206">
        <f t="shared" si="18"/>
        <v>1.8867924501364541E-3</v>
      </c>
      <c r="BH23" s="206">
        <f t="shared" si="19"/>
        <v>1.8867924501364541E-3</v>
      </c>
      <c r="BK23" s="206">
        <f t="shared" si="20"/>
        <v>1.8867924501364541E-3</v>
      </c>
      <c r="BN23" s="206">
        <f t="shared" si="21"/>
        <v>1.8867924501364541E-3</v>
      </c>
      <c r="BQ23" s="206">
        <f t="shared" si="22"/>
        <v>0</v>
      </c>
      <c r="BT23" s="206">
        <f t="shared" si="23"/>
        <v>0</v>
      </c>
      <c r="BW23" s="206">
        <f t="shared" si="24"/>
        <v>0</v>
      </c>
      <c r="BZ23" s="206">
        <f t="shared" si="25"/>
        <v>0</v>
      </c>
      <c r="CD23" s="418" t="str">
        <f t="shared" si="26"/>
        <v>CU0892001</v>
      </c>
      <c r="CE23" s="442" t="str">
        <f t="shared" si="27"/>
        <v>2018年9月</v>
      </c>
      <c r="CF23" s="418" t="str">
        <f t="shared" si="28"/>
        <v>苏州凯爱健clife服务费暂估</v>
      </c>
      <c r="CG23" s="418" t="str">
        <f t="shared" si="29"/>
        <v>2018年9月苏州凯爱健clife服务费暂估</v>
      </c>
    </row>
    <row r="24" spans="2:85" ht="15" customHeight="1">
      <c r="B24" s="418" t="str">
        <f t="shared" si="1"/>
        <v>CU0904</v>
      </c>
      <c r="C24" s="259" t="s">
        <v>804</v>
      </c>
      <c r="D24" s="359" t="s">
        <v>1118</v>
      </c>
      <c r="E24" s="359" t="s">
        <v>1161</v>
      </c>
      <c r="F24" s="330">
        <v>43344</v>
      </c>
      <c r="G24" s="420">
        <v>21247.38</v>
      </c>
      <c r="I24" s="426">
        <f t="shared" si="2"/>
        <v>21247.38</v>
      </c>
      <c r="J24" s="421" t="s">
        <v>1369</v>
      </c>
      <c r="L24" s="206">
        <f t="shared" si="3"/>
        <v>21247.38</v>
      </c>
      <c r="M24" s="418" t="s">
        <v>1449</v>
      </c>
      <c r="N24">
        <v>735.65</v>
      </c>
      <c r="O24" s="206">
        <f t="shared" si="4"/>
        <v>20511.73</v>
      </c>
      <c r="P24" s="418" t="s">
        <v>1515</v>
      </c>
      <c r="Q24" s="206">
        <f>27560/1.06-Q13-Q20</f>
        <v>20162.78</v>
      </c>
      <c r="R24" s="206">
        <f t="shared" si="5"/>
        <v>348.95000000000073</v>
      </c>
      <c r="S24" s="418" t="s">
        <v>1563</v>
      </c>
      <c r="U24" s="206">
        <f t="shared" si="6"/>
        <v>348.95000000000073</v>
      </c>
      <c r="V24" s="418" t="s">
        <v>1621</v>
      </c>
      <c r="X24" s="206">
        <f t="shared" si="7"/>
        <v>348.95000000000073</v>
      </c>
      <c r="Y24" s="418" t="s">
        <v>1661</v>
      </c>
      <c r="Z24">
        <v>300</v>
      </c>
      <c r="AA24" s="206">
        <v>0</v>
      </c>
      <c r="AD24" s="206">
        <f t="shared" si="9"/>
        <v>0</v>
      </c>
      <c r="AG24" s="206">
        <f t="shared" si="10"/>
        <v>0</v>
      </c>
      <c r="AJ24" s="206">
        <f t="shared" si="11"/>
        <v>0</v>
      </c>
      <c r="AM24" s="206">
        <f t="shared" si="12"/>
        <v>0</v>
      </c>
      <c r="AP24" s="206">
        <f t="shared" si="13"/>
        <v>0</v>
      </c>
      <c r="AS24" s="206">
        <f t="shared" si="14"/>
        <v>0</v>
      </c>
      <c r="AV24" s="206">
        <f t="shared" si="15"/>
        <v>0</v>
      </c>
      <c r="AY24" s="206">
        <f t="shared" si="16"/>
        <v>0</v>
      </c>
      <c r="BB24" s="206">
        <f t="shared" si="17"/>
        <v>0</v>
      </c>
      <c r="BC24" s="418" t="s">
        <v>2204</v>
      </c>
      <c r="BE24" s="206">
        <f t="shared" si="18"/>
        <v>0</v>
      </c>
      <c r="BH24" s="206">
        <f t="shared" si="19"/>
        <v>0</v>
      </c>
      <c r="BK24" s="206">
        <f t="shared" si="20"/>
        <v>0</v>
      </c>
      <c r="BN24" s="206">
        <f t="shared" si="21"/>
        <v>0</v>
      </c>
      <c r="BQ24" s="206">
        <f t="shared" si="22"/>
        <v>0</v>
      </c>
      <c r="BT24" s="206">
        <f t="shared" si="23"/>
        <v>0</v>
      </c>
      <c r="BW24" s="206">
        <f t="shared" si="24"/>
        <v>0</v>
      </c>
      <c r="BZ24" s="206">
        <f t="shared" si="25"/>
        <v>0</v>
      </c>
      <c r="CD24" s="418" t="str">
        <f t="shared" si="26"/>
        <v>CU0904001</v>
      </c>
      <c r="CE24" s="442" t="str">
        <f t="shared" si="27"/>
        <v>2018年9月</v>
      </c>
      <c r="CF24" s="418" t="str">
        <f t="shared" si="28"/>
        <v>紫光集团clife服务费暂估</v>
      </c>
      <c r="CG24" s="418" t="str">
        <f t="shared" si="29"/>
        <v>2018年9月紫光集团clife服务费暂估</v>
      </c>
    </row>
    <row r="25" spans="2:85" ht="15" customHeight="1">
      <c r="B25" s="418" t="str">
        <f t="shared" si="1"/>
        <v>CU0936</v>
      </c>
      <c r="C25" s="259" t="s">
        <v>804</v>
      </c>
      <c r="D25" s="359" t="s">
        <v>928</v>
      </c>
      <c r="E25" s="359" t="s">
        <v>941</v>
      </c>
      <c r="F25" s="330">
        <v>43344</v>
      </c>
      <c r="G25" s="420">
        <v>626.80999999999995</v>
      </c>
      <c r="I25" s="426">
        <f t="shared" si="2"/>
        <v>626.80999999999995</v>
      </c>
      <c r="J25" s="421" t="s">
        <v>1369</v>
      </c>
      <c r="L25" s="206">
        <f t="shared" si="3"/>
        <v>626.80999999999995</v>
      </c>
      <c r="M25" s="418" t="s">
        <v>1449</v>
      </c>
      <c r="O25" s="206">
        <f t="shared" si="4"/>
        <v>626.80999999999995</v>
      </c>
      <c r="P25" s="418" t="s">
        <v>1514</v>
      </c>
      <c r="R25" s="206">
        <f t="shared" si="5"/>
        <v>626.80999999999995</v>
      </c>
      <c r="S25" s="418" t="s">
        <v>1563</v>
      </c>
      <c r="U25" s="206">
        <f t="shared" si="6"/>
        <v>626.80999999999995</v>
      </c>
      <c r="V25" s="418" t="s">
        <v>1621</v>
      </c>
      <c r="W25" s="206">
        <f>ROUNDDOWN((3127.79/1.06),2)-W6-W12</f>
        <v>626.80547169811371</v>
      </c>
      <c r="X25" s="206">
        <f t="shared" si="7"/>
        <v>4.5283018862392055E-3</v>
      </c>
      <c r="Y25" s="418" t="s">
        <v>1661</v>
      </c>
      <c r="AA25" s="206">
        <f t="shared" si="8"/>
        <v>4.5283018862392055E-3</v>
      </c>
      <c r="AD25" s="206">
        <f t="shared" si="9"/>
        <v>4.5283018862392055E-3</v>
      </c>
      <c r="AG25" s="206">
        <f t="shared" si="10"/>
        <v>4.5283018862392055E-3</v>
      </c>
      <c r="AJ25" s="206">
        <f t="shared" si="11"/>
        <v>4.5283018862392055E-3</v>
      </c>
      <c r="AM25" s="206">
        <f t="shared" si="12"/>
        <v>4.5283018862392055E-3</v>
      </c>
      <c r="AP25" s="206">
        <f t="shared" si="13"/>
        <v>4.5283018862392055E-3</v>
      </c>
      <c r="AS25" s="206">
        <f t="shared" si="14"/>
        <v>4.5283018862392055E-3</v>
      </c>
      <c r="AV25" s="206">
        <f t="shared" si="15"/>
        <v>4.5283018862392055E-3</v>
      </c>
      <c r="AY25" s="206">
        <f t="shared" si="16"/>
        <v>4.5283018862392055E-3</v>
      </c>
      <c r="BB25" s="206">
        <f t="shared" si="17"/>
        <v>4.5283018862392055E-3</v>
      </c>
      <c r="BC25" s="418" t="s">
        <v>2204</v>
      </c>
      <c r="BE25" s="206">
        <f t="shared" si="18"/>
        <v>4.5283018862392055E-3</v>
      </c>
      <c r="BH25" s="206">
        <f t="shared" si="19"/>
        <v>4.5283018862392055E-3</v>
      </c>
      <c r="BK25" s="206">
        <f t="shared" si="20"/>
        <v>4.5283018862392055E-3</v>
      </c>
      <c r="BN25" s="206">
        <f t="shared" si="21"/>
        <v>4.5283018862392055E-3</v>
      </c>
      <c r="BQ25" s="206">
        <f t="shared" si="22"/>
        <v>0</v>
      </c>
      <c r="BT25" s="206">
        <f t="shared" si="23"/>
        <v>0</v>
      </c>
      <c r="BW25" s="206">
        <f t="shared" si="24"/>
        <v>0</v>
      </c>
      <c r="BZ25" s="206">
        <f t="shared" si="25"/>
        <v>0</v>
      </c>
      <c r="CD25" s="418" t="str">
        <f t="shared" si="26"/>
        <v>CU0936001</v>
      </c>
      <c r="CE25" s="442" t="str">
        <f t="shared" si="27"/>
        <v>2018年9月</v>
      </c>
      <c r="CF25" s="418" t="str">
        <f t="shared" si="28"/>
        <v>浩仲六弈（clife服务费暂估</v>
      </c>
      <c r="CG25" s="418" t="str">
        <f t="shared" si="29"/>
        <v>2018年9月浩仲六弈（clife服务费暂估</v>
      </c>
    </row>
    <row r="26" spans="2:85" ht="15" customHeight="1">
      <c r="B26" s="418" t="str">
        <f t="shared" si="1"/>
        <v>CU0340</v>
      </c>
      <c r="C26" s="259" t="s">
        <v>804</v>
      </c>
      <c r="D26" s="359" t="s">
        <v>73</v>
      </c>
      <c r="E26" s="359" t="s">
        <v>74</v>
      </c>
      <c r="F26" s="330">
        <v>43374</v>
      </c>
      <c r="G26" s="420">
        <v>50506.95</v>
      </c>
      <c r="H26" s="425">
        <v>50506.95</v>
      </c>
      <c r="I26" s="426">
        <f t="shared" si="2"/>
        <v>0</v>
      </c>
      <c r="J26" s="421" t="s">
        <v>1369</v>
      </c>
      <c r="L26" s="206">
        <f t="shared" ref="L26:L30" si="30">I26-K26</f>
        <v>0</v>
      </c>
      <c r="M26" s="418" t="s">
        <v>1449</v>
      </c>
      <c r="O26" s="206">
        <f t="shared" si="4"/>
        <v>0</v>
      </c>
      <c r="P26" s="418" t="s">
        <v>1515</v>
      </c>
      <c r="R26" s="206">
        <f t="shared" si="5"/>
        <v>0</v>
      </c>
      <c r="S26" s="418" t="s">
        <v>1563</v>
      </c>
      <c r="U26" s="206">
        <f t="shared" si="6"/>
        <v>0</v>
      </c>
      <c r="V26" s="418" t="s">
        <v>1621</v>
      </c>
      <c r="X26" s="206">
        <f t="shared" si="7"/>
        <v>0</v>
      </c>
      <c r="Y26" s="418" t="s">
        <v>1661</v>
      </c>
      <c r="AA26" s="206">
        <f t="shared" si="8"/>
        <v>0</v>
      </c>
      <c r="AD26" s="206">
        <f t="shared" si="9"/>
        <v>0</v>
      </c>
      <c r="AG26" s="206">
        <f t="shared" si="10"/>
        <v>0</v>
      </c>
      <c r="AJ26" s="206">
        <f t="shared" si="11"/>
        <v>0</v>
      </c>
      <c r="AM26" s="206">
        <f t="shared" si="12"/>
        <v>0</v>
      </c>
      <c r="AP26" s="206">
        <f t="shared" si="13"/>
        <v>0</v>
      </c>
      <c r="AS26" s="206">
        <f t="shared" si="14"/>
        <v>0</v>
      </c>
      <c r="AV26" s="206">
        <f t="shared" si="15"/>
        <v>0</v>
      </c>
      <c r="AY26" s="206">
        <f t="shared" si="16"/>
        <v>0</v>
      </c>
      <c r="BB26" s="206">
        <f t="shared" si="17"/>
        <v>0</v>
      </c>
      <c r="BC26" s="418" t="s">
        <v>2204</v>
      </c>
      <c r="BE26" s="206">
        <f t="shared" si="18"/>
        <v>0</v>
      </c>
      <c r="BH26" s="206">
        <f t="shared" si="19"/>
        <v>0</v>
      </c>
      <c r="BK26" s="206">
        <f t="shared" si="20"/>
        <v>0</v>
      </c>
      <c r="BN26" s="206">
        <f t="shared" si="21"/>
        <v>0</v>
      </c>
      <c r="BQ26" s="206">
        <f t="shared" si="22"/>
        <v>0</v>
      </c>
      <c r="BT26" s="206">
        <f t="shared" si="23"/>
        <v>0</v>
      </c>
      <c r="BW26" s="206">
        <f t="shared" si="24"/>
        <v>0</v>
      </c>
      <c r="BZ26" s="206">
        <f t="shared" si="25"/>
        <v>0</v>
      </c>
      <c r="CD26" s="418" t="str">
        <f t="shared" si="26"/>
        <v>CU0340001</v>
      </c>
      <c r="CE26" s="442" t="str">
        <f t="shared" si="27"/>
        <v>2018年10月</v>
      </c>
      <c r="CF26" s="418" t="str">
        <f t="shared" si="28"/>
        <v>盖璞集团clife服务费暂估</v>
      </c>
      <c r="CG26" s="418" t="str">
        <f t="shared" si="29"/>
        <v>2018年10月盖璞集团clife服务费暂估</v>
      </c>
    </row>
    <row r="27" spans="2:85" ht="15" customHeight="1">
      <c r="B27" s="418" t="str">
        <f t="shared" si="1"/>
        <v>CU0340</v>
      </c>
      <c r="C27" s="259" t="s">
        <v>804</v>
      </c>
      <c r="D27" s="394" t="s">
        <v>75</v>
      </c>
      <c r="E27" s="394" t="s">
        <v>76</v>
      </c>
      <c r="F27" s="330">
        <v>43405</v>
      </c>
      <c r="G27" s="420">
        <v>27567.360000000001</v>
      </c>
      <c r="H27" s="425">
        <v>27567.360000000001</v>
      </c>
      <c r="I27" s="426">
        <f t="shared" si="2"/>
        <v>0</v>
      </c>
      <c r="J27" s="421" t="s">
        <v>1369</v>
      </c>
      <c r="L27" s="206">
        <f t="shared" si="30"/>
        <v>0</v>
      </c>
      <c r="M27" s="418" t="s">
        <v>1449</v>
      </c>
      <c r="O27" s="206">
        <f t="shared" si="4"/>
        <v>0</v>
      </c>
      <c r="P27" s="418" t="s">
        <v>1515</v>
      </c>
      <c r="R27" s="206">
        <f t="shared" si="5"/>
        <v>0</v>
      </c>
      <c r="S27" s="418" t="s">
        <v>1563</v>
      </c>
      <c r="U27" s="206">
        <f t="shared" si="6"/>
        <v>0</v>
      </c>
      <c r="V27" s="418" t="s">
        <v>1621</v>
      </c>
      <c r="X27" s="206">
        <f t="shared" si="7"/>
        <v>0</v>
      </c>
      <c r="Y27" s="418" t="s">
        <v>1661</v>
      </c>
      <c r="AA27" s="206">
        <f t="shared" si="8"/>
        <v>0</v>
      </c>
      <c r="AD27" s="206">
        <f t="shared" si="9"/>
        <v>0</v>
      </c>
      <c r="AG27" s="206">
        <f t="shared" si="10"/>
        <v>0</v>
      </c>
      <c r="AJ27" s="206">
        <f t="shared" si="11"/>
        <v>0</v>
      </c>
      <c r="AM27" s="206">
        <f t="shared" si="12"/>
        <v>0</v>
      </c>
      <c r="AP27" s="206">
        <f t="shared" si="13"/>
        <v>0</v>
      </c>
      <c r="AS27" s="206">
        <f t="shared" si="14"/>
        <v>0</v>
      </c>
      <c r="AV27" s="206">
        <f t="shared" si="15"/>
        <v>0</v>
      </c>
      <c r="AY27" s="206">
        <f t="shared" si="16"/>
        <v>0</v>
      </c>
      <c r="BB27" s="206">
        <f t="shared" si="17"/>
        <v>0</v>
      </c>
      <c r="BC27" s="418" t="s">
        <v>2204</v>
      </c>
      <c r="BE27" s="206">
        <f t="shared" si="18"/>
        <v>0</v>
      </c>
      <c r="BH27" s="206">
        <f t="shared" si="19"/>
        <v>0</v>
      </c>
      <c r="BK27" s="206">
        <f t="shared" si="20"/>
        <v>0</v>
      </c>
      <c r="BN27" s="206">
        <f t="shared" si="21"/>
        <v>0</v>
      </c>
      <c r="BQ27" s="206">
        <f t="shared" si="22"/>
        <v>0</v>
      </c>
      <c r="BT27" s="206">
        <f t="shared" si="23"/>
        <v>0</v>
      </c>
      <c r="BW27" s="206">
        <f t="shared" si="24"/>
        <v>0</v>
      </c>
      <c r="BZ27" s="206">
        <f t="shared" si="25"/>
        <v>0</v>
      </c>
      <c r="CD27" s="418" t="str">
        <f t="shared" si="26"/>
        <v>CU0340001</v>
      </c>
      <c r="CE27" s="442" t="str">
        <f t="shared" si="27"/>
        <v>2018年11月</v>
      </c>
      <c r="CF27" s="418" t="str">
        <f t="shared" si="28"/>
        <v>盖璞（上海clife服务费暂估</v>
      </c>
      <c r="CG27" s="418" t="str">
        <f t="shared" si="29"/>
        <v>2018年11月盖璞（上海clife服务费暂估</v>
      </c>
    </row>
    <row r="28" spans="2:85" ht="15" customHeight="1">
      <c r="B28" s="418" t="str">
        <f t="shared" si="1"/>
        <v>CU0340</v>
      </c>
      <c r="C28" s="259" t="s">
        <v>804</v>
      </c>
      <c r="D28" s="394" t="s">
        <v>77</v>
      </c>
      <c r="E28" s="394" t="s">
        <v>78</v>
      </c>
      <c r="F28" s="330">
        <v>43405</v>
      </c>
      <c r="G28" s="420">
        <v>598.63</v>
      </c>
      <c r="H28" s="425">
        <v>598.63</v>
      </c>
      <c r="I28" s="426">
        <f t="shared" si="2"/>
        <v>0</v>
      </c>
      <c r="J28" s="421" t="s">
        <v>1369</v>
      </c>
      <c r="L28" s="206">
        <f t="shared" si="30"/>
        <v>0</v>
      </c>
      <c r="M28" s="418" t="s">
        <v>1449</v>
      </c>
      <c r="O28" s="206">
        <f t="shared" si="4"/>
        <v>0</v>
      </c>
      <c r="P28" s="418" t="s">
        <v>1515</v>
      </c>
      <c r="R28" s="206">
        <f t="shared" si="5"/>
        <v>0</v>
      </c>
      <c r="S28" s="418" t="s">
        <v>1563</v>
      </c>
      <c r="U28" s="206">
        <f t="shared" si="6"/>
        <v>0</v>
      </c>
      <c r="V28" s="418" t="s">
        <v>1621</v>
      </c>
      <c r="X28" s="206">
        <f t="shared" si="7"/>
        <v>0</v>
      </c>
      <c r="Y28" s="418" t="s">
        <v>1661</v>
      </c>
      <c r="AA28" s="206">
        <f t="shared" si="8"/>
        <v>0</v>
      </c>
      <c r="AD28" s="206">
        <f t="shared" si="9"/>
        <v>0</v>
      </c>
      <c r="AG28" s="206">
        <f t="shared" si="10"/>
        <v>0</v>
      </c>
      <c r="AJ28" s="206">
        <f t="shared" si="11"/>
        <v>0</v>
      </c>
      <c r="AM28" s="206">
        <f t="shared" si="12"/>
        <v>0</v>
      </c>
      <c r="AP28" s="206">
        <f t="shared" si="13"/>
        <v>0</v>
      </c>
      <c r="AS28" s="206">
        <f t="shared" si="14"/>
        <v>0</v>
      </c>
      <c r="AV28" s="206">
        <f t="shared" si="15"/>
        <v>0</v>
      </c>
      <c r="AY28" s="206">
        <f t="shared" si="16"/>
        <v>0</v>
      </c>
      <c r="BB28" s="206">
        <f t="shared" si="17"/>
        <v>0</v>
      </c>
      <c r="BC28" s="418" t="s">
        <v>2204</v>
      </c>
      <c r="BE28" s="206">
        <f t="shared" si="18"/>
        <v>0</v>
      </c>
      <c r="BH28" s="206">
        <f t="shared" si="19"/>
        <v>0</v>
      </c>
      <c r="BK28" s="206">
        <f t="shared" si="20"/>
        <v>0</v>
      </c>
      <c r="BN28" s="206">
        <f t="shared" si="21"/>
        <v>0</v>
      </c>
      <c r="BQ28" s="206">
        <f t="shared" si="22"/>
        <v>0</v>
      </c>
      <c r="BT28" s="206">
        <f t="shared" si="23"/>
        <v>0</v>
      </c>
      <c r="BW28" s="206">
        <f t="shared" si="24"/>
        <v>0</v>
      </c>
      <c r="BZ28" s="206">
        <f t="shared" si="25"/>
        <v>0</v>
      </c>
      <c r="CD28" s="418" t="str">
        <f t="shared" si="26"/>
        <v>CU0340001</v>
      </c>
      <c r="CE28" s="442" t="str">
        <f t="shared" si="27"/>
        <v>2018年11月</v>
      </c>
      <c r="CF28" s="418" t="str">
        <f t="shared" si="28"/>
        <v>盖璞（北京clife服务费暂估</v>
      </c>
      <c r="CG28" s="418" t="str">
        <f t="shared" si="29"/>
        <v>2018年11月盖璞（北京clife服务费暂估</v>
      </c>
    </row>
    <row r="29" spans="2:85" ht="15" customHeight="1">
      <c r="B29" s="418" t="str">
        <f t="shared" si="1"/>
        <v>CU0720</v>
      </c>
      <c r="C29" s="259" t="s">
        <v>804</v>
      </c>
      <c r="D29" s="394" t="s">
        <v>1034</v>
      </c>
      <c r="E29" s="394" t="s">
        <v>1159</v>
      </c>
      <c r="F29" s="330">
        <v>43405</v>
      </c>
      <c r="G29" s="420">
        <v>5955.65</v>
      </c>
      <c r="I29" s="426">
        <f t="shared" si="2"/>
        <v>5955.65</v>
      </c>
      <c r="J29" s="421" t="s">
        <v>1369</v>
      </c>
      <c r="L29" s="206">
        <f t="shared" si="30"/>
        <v>5955.65</v>
      </c>
      <c r="M29" s="418" t="s">
        <v>1449</v>
      </c>
      <c r="O29" s="206">
        <f t="shared" si="4"/>
        <v>5955.65</v>
      </c>
      <c r="P29" s="418" t="s">
        <v>1515</v>
      </c>
      <c r="R29" s="206">
        <f t="shared" si="5"/>
        <v>5955.65</v>
      </c>
      <c r="S29" s="418" t="s">
        <v>1563</v>
      </c>
      <c r="U29" s="206">
        <f t="shared" si="6"/>
        <v>5955.65</v>
      </c>
      <c r="V29" s="418" t="s">
        <v>1621</v>
      </c>
      <c r="W29" s="206">
        <f>U29</f>
        <v>5955.65</v>
      </c>
      <c r="X29" s="206">
        <f t="shared" si="7"/>
        <v>0</v>
      </c>
      <c r="Y29" s="418" t="s">
        <v>1661</v>
      </c>
      <c r="AA29" s="206">
        <f t="shared" si="8"/>
        <v>0</v>
      </c>
      <c r="AD29" s="206">
        <f t="shared" si="9"/>
        <v>0</v>
      </c>
      <c r="AG29" s="206">
        <f t="shared" si="10"/>
        <v>0</v>
      </c>
      <c r="AJ29" s="206">
        <f t="shared" si="11"/>
        <v>0</v>
      </c>
      <c r="AM29" s="206">
        <f t="shared" si="12"/>
        <v>0</v>
      </c>
      <c r="AP29" s="206">
        <f t="shared" si="13"/>
        <v>0</v>
      </c>
      <c r="AS29" s="206">
        <f t="shared" si="14"/>
        <v>0</v>
      </c>
      <c r="AV29" s="206">
        <f t="shared" si="15"/>
        <v>0</v>
      </c>
      <c r="AY29" s="206">
        <f t="shared" si="16"/>
        <v>0</v>
      </c>
      <c r="BB29" s="206">
        <f t="shared" si="17"/>
        <v>0</v>
      </c>
      <c r="BC29" s="418" t="s">
        <v>2204</v>
      </c>
      <c r="BE29" s="206">
        <f t="shared" si="18"/>
        <v>0</v>
      </c>
      <c r="BH29" s="206">
        <f t="shared" si="19"/>
        <v>0</v>
      </c>
      <c r="BK29" s="206">
        <f t="shared" si="20"/>
        <v>0</v>
      </c>
      <c r="BN29" s="206">
        <f t="shared" si="21"/>
        <v>0</v>
      </c>
      <c r="BQ29" s="206">
        <f t="shared" si="22"/>
        <v>0</v>
      </c>
      <c r="BT29" s="206">
        <f t="shared" si="23"/>
        <v>0</v>
      </c>
      <c r="BW29" s="206">
        <f t="shared" si="24"/>
        <v>0</v>
      </c>
      <c r="BZ29" s="206">
        <f t="shared" si="25"/>
        <v>0</v>
      </c>
      <c r="CD29" s="418" t="str">
        <f t="shared" si="26"/>
        <v>CU0720001</v>
      </c>
      <c r="CE29" s="442" t="str">
        <f t="shared" si="27"/>
        <v>2018年11月</v>
      </c>
      <c r="CF29" s="418" t="str">
        <f t="shared" si="28"/>
        <v>上海卫展医clife服务费暂估</v>
      </c>
      <c r="CG29" s="418" t="str">
        <f t="shared" si="29"/>
        <v>2018年11月上海卫展医clife服务费暂估</v>
      </c>
    </row>
    <row r="30" spans="2:85" ht="15" customHeight="1">
      <c r="B30" s="418" t="str">
        <f t="shared" si="1"/>
        <v>CU0904</v>
      </c>
      <c r="C30" s="259" t="s">
        <v>804</v>
      </c>
      <c r="D30" s="394" t="s">
        <v>868</v>
      </c>
      <c r="E30" s="394" t="s">
        <v>873</v>
      </c>
      <c r="F30" s="330">
        <v>43405</v>
      </c>
      <c r="G30" s="420">
        <v>1326.35</v>
      </c>
      <c r="I30" s="426">
        <f t="shared" si="2"/>
        <v>1326.35</v>
      </c>
      <c r="J30" s="421" t="s">
        <v>1369</v>
      </c>
      <c r="L30" s="206">
        <f t="shared" si="30"/>
        <v>1326.35</v>
      </c>
      <c r="M30" s="418" t="s">
        <v>1449</v>
      </c>
      <c r="N30">
        <f>2062-N24</f>
        <v>1326.35</v>
      </c>
      <c r="O30" s="206">
        <f t="shared" si="4"/>
        <v>0</v>
      </c>
      <c r="P30" s="418" t="s">
        <v>1515</v>
      </c>
      <c r="R30" s="206">
        <f t="shared" si="5"/>
        <v>0</v>
      </c>
      <c r="S30" s="418" t="s">
        <v>1563</v>
      </c>
      <c r="U30" s="206">
        <f t="shared" si="6"/>
        <v>0</v>
      </c>
      <c r="V30" s="418" t="s">
        <v>1621</v>
      </c>
      <c r="X30" s="206">
        <f t="shared" si="7"/>
        <v>0</v>
      </c>
      <c r="Y30" s="418" t="s">
        <v>1661</v>
      </c>
      <c r="AA30" s="206">
        <f t="shared" si="8"/>
        <v>0</v>
      </c>
      <c r="AD30" s="206">
        <f t="shared" si="9"/>
        <v>0</v>
      </c>
      <c r="AG30" s="206">
        <f t="shared" si="10"/>
        <v>0</v>
      </c>
      <c r="AJ30" s="206">
        <f t="shared" si="11"/>
        <v>0</v>
      </c>
      <c r="AM30" s="206">
        <f t="shared" si="12"/>
        <v>0</v>
      </c>
      <c r="AP30" s="206">
        <f t="shared" si="13"/>
        <v>0</v>
      </c>
      <c r="AS30" s="206">
        <f t="shared" si="14"/>
        <v>0</v>
      </c>
      <c r="AV30" s="206">
        <f t="shared" si="15"/>
        <v>0</v>
      </c>
      <c r="AY30" s="206">
        <f t="shared" si="16"/>
        <v>0</v>
      </c>
      <c r="BB30" s="206">
        <f t="shared" si="17"/>
        <v>0</v>
      </c>
      <c r="BC30" s="418" t="s">
        <v>2204</v>
      </c>
      <c r="BE30" s="206">
        <f t="shared" si="18"/>
        <v>0</v>
      </c>
      <c r="BH30" s="206">
        <f t="shared" si="19"/>
        <v>0</v>
      </c>
      <c r="BK30" s="206">
        <f t="shared" si="20"/>
        <v>0</v>
      </c>
      <c r="BN30" s="206">
        <f t="shared" si="21"/>
        <v>0</v>
      </c>
      <c r="BQ30" s="206">
        <f t="shared" si="22"/>
        <v>0</v>
      </c>
      <c r="BT30" s="206">
        <f t="shared" si="23"/>
        <v>0</v>
      </c>
      <c r="BW30" s="206">
        <f t="shared" si="24"/>
        <v>0</v>
      </c>
      <c r="BZ30" s="206">
        <f t="shared" si="25"/>
        <v>0</v>
      </c>
      <c r="CD30" s="418" t="str">
        <f t="shared" si="26"/>
        <v>CU0904001</v>
      </c>
      <c r="CE30" s="442" t="str">
        <f t="shared" si="27"/>
        <v>2018年11月</v>
      </c>
      <c r="CF30" s="418" t="str">
        <f t="shared" si="28"/>
        <v>紫光融资租clife服务费暂估</v>
      </c>
      <c r="CG30" s="418" t="str">
        <f t="shared" si="29"/>
        <v>2018年11月紫光融资租clife服务费暂估</v>
      </c>
    </row>
    <row r="31" spans="2:85" ht="15" customHeight="1">
      <c r="B31" s="418" t="str">
        <f t="shared" si="1"/>
        <v>CU0340</v>
      </c>
      <c r="C31" s="149" t="s">
        <v>1334</v>
      </c>
      <c r="D31" s="410" t="s">
        <v>75</v>
      </c>
      <c r="E31" s="410" t="s">
        <v>76</v>
      </c>
      <c r="F31" s="330">
        <v>43435</v>
      </c>
      <c r="G31" s="422">
        <v>153077.37</v>
      </c>
      <c r="H31" s="425">
        <v>11268.49</v>
      </c>
      <c r="I31" s="426">
        <f t="shared" si="2"/>
        <v>141808.88</v>
      </c>
      <c r="J31" s="421" t="s">
        <v>1369</v>
      </c>
      <c r="L31" s="206">
        <f t="shared" ref="L31:L67" si="31">I31-K31</f>
        <v>141808.88</v>
      </c>
      <c r="M31" s="418" t="s">
        <v>1449</v>
      </c>
      <c r="N31" s="132">
        <f>59863.32*0.97</f>
        <v>58067.420399999995</v>
      </c>
      <c r="O31" s="206">
        <f t="shared" si="4"/>
        <v>83741.459600000002</v>
      </c>
      <c r="P31" s="418" t="s">
        <v>1515</v>
      </c>
      <c r="R31" s="206">
        <f t="shared" si="5"/>
        <v>83741.459600000002</v>
      </c>
      <c r="S31" s="418" t="s">
        <v>1563</v>
      </c>
      <c r="U31" s="206">
        <f t="shared" si="6"/>
        <v>83741.459600000002</v>
      </c>
      <c r="V31" s="418" t="s">
        <v>1621</v>
      </c>
      <c r="W31">
        <f>ROUND((88765.95/1.06),2)</f>
        <v>83741.460000000006</v>
      </c>
      <c r="X31" s="206">
        <f t="shared" si="7"/>
        <v>-4.0000000444706529E-4</v>
      </c>
      <c r="Y31" s="418" t="s">
        <v>1661</v>
      </c>
      <c r="AA31" s="206">
        <f t="shared" si="8"/>
        <v>-4.0000000444706529E-4</v>
      </c>
      <c r="AD31" s="206">
        <f t="shared" si="9"/>
        <v>-4.0000000444706529E-4</v>
      </c>
      <c r="AG31" s="206">
        <f t="shared" si="10"/>
        <v>-4.0000000444706529E-4</v>
      </c>
      <c r="AJ31" s="206">
        <f t="shared" si="11"/>
        <v>-4.0000000444706529E-4</v>
      </c>
      <c r="AM31" s="206">
        <f t="shared" si="12"/>
        <v>-4.0000000444706529E-4</v>
      </c>
      <c r="AP31" s="206">
        <f t="shared" si="13"/>
        <v>-4.0000000444706529E-4</v>
      </c>
      <c r="AS31" s="206">
        <f t="shared" si="14"/>
        <v>-4.0000000444706529E-4</v>
      </c>
      <c r="AV31" s="206">
        <f t="shared" si="15"/>
        <v>-4.0000000444706529E-4</v>
      </c>
      <c r="AY31" s="206">
        <f t="shared" si="16"/>
        <v>-4.0000000444706529E-4</v>
      </c>
      <c r="BB31" s="206">
        <f t="shared" si="17"/>
        <v>-4.0000000444706529E-4</v>
      </c>
      <c r="BC31" s="418" t="s">
        <v>2204</v>
      </c>
      <c r="BE31" s="206">
        <f t="shared" si="18"/>
        <v>-4.0000000444706529E-4</v>
      </c>
      <c r="BH31" s="206">
        <f t="shared" si="19"/>
        <v>-4.0000000444706529E-4</v>
      </c>
      <c r="BK31" s="206">
        <f t="shared" si="20"/>
        <v>-4.0000000444706529E-4</v>
      </c>
      <c r="BN31" s="206">
        <f t="shared" si="21"/>
        <v>-4.0000000444706529E-4</v>
      </c>
      <c r="BQ31" s="206">
        <f t="shared" si="22"/>
        <v>0</v>
      </c>
      <c r="BT31" s="206">
        <f t="shared" si="23"/>
        <v>0</v>
      </c>
      <c r="BW31" s="206">
        <f t="shared" si="24"/>
        <v>0</v>
      </c>
      <c r="BZ31" s="206">
        <f t="shared" si="25"/>
        <v>0</v>
      </c>
      <c r="CD31" s="418" t="str">
        <f t="shared" si="26"/>
        <v>CU0340001</v>
      </c>
      <c r="CE31" s="442" t="str">
        <f t="shared" si="27"/>
        <v>2018年12月</v>
      </c>
      <c r="CF31" s="418" t="str">
        <f t="shared" si="28"/>
        <v>盖璞（上海clife服务费暂估</v>
      </c>
      <c r="CG31" s="418" t="str">
        <f t="shared" si="29"/>
        <v>2018年12月盖璞（上海clife服务费暂估</v>
      </c>
    </row>
    <row r="32" spans="2:85" ht="15" customHeight="1">
      <c r="B32" s="418" t="str">
        <f t="shared" si="1"/>
        <v>CU0340</v>
      </c>
      <c r="C32" s="149" t="s">
        <v>1334</v>
      </c>
      <c r="D32" s="410" t="s">
        <v>77</v>
      </c>
      <c r="E32" s="410" t="s">
        <v>78</v>
      </c>
      <c r="F32" s="330">
        <v>43435</v>
      </c>
      <c r="G32" s="422">
        <v>6387.42</v>
      </c>
      <c r="H32" s="425">
        <v>6387.42</v>
      </c>
      <c r="I32" s="426">
        <f t="shared" si="2"/>
        <v>0</v>
      </c>
      <c r="J32" s="421" t="s">
        <v>1369</v>
      </c>
      <c r="L32" s="206">
        <f t="shared" si="31"/>
        <v>0</v>
      </c>
      <c r="M32" s="418" t="s">
        <v>1449</v>
      </c>
      <c r="O32" s="206">
        <f t="shared" si="4"/>
        <v>0</v>
      </c>
      <c r="P32" s="418" t="s">
        <v>1515</v>
      </c>
      <c r="R32" s="206">
        <f t="shared" si="5"/>
        <v>0</v>
      </c>
      <c r="S32" s="418" t="s">
        <v>1563</v>
      </c>
      <c r="U32" s="206">
        <f t="shared" si="6"/>
        <v>0</v>
      </c>
      <c r="V32" s="418" t="s">
        <v>1621</v>
      </c>
      <c r="X32" s="206">
        <f t="shared" si="7"/>
        <v>0</v>
      </c>
      <c r="Y32" s="418" t="s">
        <v>1661</v>
      </c>
      <c r="AA32" s="206">
        <f t="shared" si="8"/>
        <v>0</v>
      </c>
      <c r="AD32" s="206">
        <f t="shared" si="9"/>
        <v>0</v>
      </c>
      <c r="AG32" s="206">
        <f t="shared" si="10"/>
        <v>0</v>
      </c>
      <c r="AJ32" s="206">
        <f t="shared" si="11"/>
        <v>0</v>
      </c>
      <c r="AM32" s="206">
        <f t="shared" si="12"/>
        <v>0</v>
      </c>
      <c r="AP32" s="206">
        <f t="shared" si="13"/>
        <v>0</v>
      </c>
      <c r="AS32" s="206">
        <f t="shared" si="14"/>
        <v>0</v>
      </c>
      <c r="AV32" s="206">
        <f t="shared" si="15"/>
        <v>0</v>
      </c>
      <c r="AY32" s="206">
        <f t="shared" si="16"/>
        <v>0</v>
      </c>
      <c r="BB32" s="206">
        <f t="shared" si="17"/>
        <v>0</v>
      </c>
      <c r="BC32" s="418" t="s">
        <v>2204</v>
      </c>
      <c r="BE32" s="206">
        <f t="shared" si="18"/>
        <v>0</v>
      </c>
      <c r="BH32" s="206">
        <f t="shared" si="19"/>
        <v>0</v>
      </c>
      <c r="BK32" s="206">
        <f t="shared" si="20"/>
        <v>0</v>
      </c>
      <c r="BN32" s="206">
        <f t="shared" si="21"/>
        <v>0</v>
      </c>
      <c r="BQ32" s="206">
        <f t="shared" si="22"/>
        <v>0</v>
      </c>
      <c r="BT32" s="206">
        <f t="shared" si="23"/>
        <v>0</v>
      </c>
      <c r="BW32" s="206">
        <f t="shared" si="24"/>
        <v>0</v>
      </c>
      <c r="BZ32" s="206">
        <f t="shared" si="25"/>
        <v>0</v>
      </c>
      <c r="CD32" s="418" t="str">
        <f t="shared" si="26"/>
        <v>CU0340001</v>
      </c>
      <c r="CE32" s="442" t="str">
        <f t="shared" si="27"/>
        <v>2018年12月</v>
      </c>
      <c r="CF32" s="418" t="str">
        <f t="shared" si="28"/>
        <v>盖璞（北京clife服务费暂估</v>
      </c>
      <c r="CG32" s="418" t="str">
        <f t="shared" si="29"/>
        <v>2018年12月盖璞（北京clife服务费暂估</v>
      </c>
    </row>
    <row r="33" spans="2:85" ht="15" customHeight="1">
      <c r="B33" s="418" t="str">
        <f t="shared" si="1"/>
        <v>CU0720</v>
      </c>
      <c r="C33" s="149" t="s">
        <v>1334</v>
      </c>
      <c r="D33" s="410" t="s">
        <v>1034</v>
      </c>
      <c r="E33" s="410" t="s">
        <v>1333</v>
      </c>
      <c r="F33" s="330">
        <v>43435</v>
      </c>
      <c r="G33" s="422">
        <v>2589.42</v>
      </c>
      <c r="I33" s="426">
        <f t="shared" si="2"/>
        <v>2589.42</v>
      </c>
      <c r="J33" s="421" t="s">
        <v>1369</v>
      </c>
      <c r="L33" s="206">
        <f t="shared" si="31"/>
        <v>2589.42</v>
      </c>
      <c r="M33" s="418" t="s">
        <v>1449</v>
      </c>
      <c r="O33" s="206">
        <f t="shared" si="4"/>
        <v>2589.42</v>
      </c>
      <c r="P33" s="418" t="s">
        <v>1515</v>
      </c>
      <c r="R33" s="206">
        <f t="shared" si="5"/>
        <v>2589.42</v>
      </c>
      <c r="S33" s="418" t="s">
        <v>1563</v>
      </c>
      <c r="U33" s="206">
        <f t="shared" si="6"/>
        <v>2589.42</v>
      </c>
      <c r="V33" s="418" t="s">
        <v>1621</v>
      </c>
      <c r="W33" s="206">
        <f>ROUND((16088.32/1.06),2)-W19-W22-W29</f>
        <v>2589.42</v>
      </c>
      <c r="X33" s="206">
        <f t="shared" si="7"/>
        <v>0</v>
      </c>
      <c r="Y33" s="418" t="s">
        <v>1661</v>
      </c>
      <c r="AA33" s="206">
        <f t="shared" si="8"/>
        <v>0</v>
      </c>
      <c r="AD33" s="206">
        <f t="shared" si="9"/>
        <v>0</v>
      </c>
      <c r="AG33" s="206">
        <f t="shared" si="10"/>
        <v>0</v>
      </c>
      <c r="AJ33" s="206">
        <f t="shared" si="11"/>
        <v>0</v>
      </c>
      <c r="AM33" s="206">
        <f t="shared" si="12"/>
        <v>0</v>
      </c>
      <c r="AP33" s="206">
        <f t="shared" si="13"/>
        <v>0</v>
      </c>
      <c r="AS33" s="206">
        <f t="shared" si="14"/>
        <v>0</v>
      </c>
      <c r="AV33" s="206">
        <f t="shared" si="15"/>
        <v>0</v>
      </c>
      <c r="AY33" s="206">
        <f t="shared" si="16"/>
        <v>0</v>
      </c>
      <c r="BB33" s="206">
        <f t="shared" si="17"/>
        <v>0</v>
      </c>
      <c r="BC33" s="418" t="s">
        <v>2204</v>
      </c>
      <c r="BE33" s="206">
        <f t="shared" si="18"/>
        <v>0</v>
      </c>
      <c r="BH33" s="206">
        <f t="shared" si="19"/>
        <v>0</v>
      </c>
      <c r="BK33" s="206">
        <f t="shared" si="20"/>
        <v>0</v>
      </c>
      <c r="BN33" s="206">
        <f t="shared" si="21"/>
        <v>0</v>
      </c>
      <c r="BQ33" s="206">
        <f t="shared" si="22"/>
        <v>0</v>
      </c>
      <c r="BT33" s="206">
        <f t="shared" si="23"/>
        <v>0</v>
      </c>
      <c r="BW33" s="206">
        <f t="shared" si="24"/>
        <v>0</v>
      </c>
      <c r="BZ33" s="206">
        <f t="shared" si="25"/>
        <v>0</v>
      </c>
      <c r="CD33" s="418" t="str">
        <f t="shared" si="26"/>
        <v>CU0720001</v>
      </c>
      <c r="CE33" s="442" t="str">
        <f t="shared" si="27"/>
        <v>2018年12月</v>
      </c>
      <c r="CF33" s="418" t="str">
        <f t="shared" si="28"/>
        <v>上海卫展医clife服务费暂估</v>
      </c>
      <c r="CG33" s="418" t="str">
        <f t="shared" si="29"/>
        <v>2018年12月上海卫展医clife服务费暂估</v>
      </c>
    </row>
    <row r="34" spans="2:85" ht="15" customHeight="1">
      <c r="B34" s="418" t="str">
        <f t="shared" si="1"/>
        <v>CU0884</v>
      </c>
      <c r="C34" s="149" t="s">
        <v>1334</v>
      </c>
      <c r="D34" s="410" t="s">
        <v>830</v>
      </c>
      <c r="E34" s="410" t="s">
        <v>832</v>
      </c>
      <c r="F34" s="330">
        <v>43435</v>
      </c>
      <c r="G34" s="422">
        <v>1493892.34</v>
      </c>
      <c r="H34" s="425">
        <v>437577.81</v>
      </c>
      <c r="I34" s="426">
        <f>G34-H34</f>
        <v>1056314.53</v>
      </c>
      <c r="J34" s="421" t="s">
        <v>1369</v>
      </c>
      <c r="L34" s="206">
        <f t="shared" si="31"/>
        <v>1056314.53</v>
      </c>
      <c r="M34" s="418" t="s">
        <v>1449</v>
      </c>
      <c r="N34" s="132">
        <f>272200/1.06</f>
        <v>256792.45283018867</v>
      </c>
      <c r="O34" s="206">
        <f t="shared" si="4"/>
        <v>799522.07716981135</v>
      </c>
      <c r="P34" s="418" t="s">
        <v>1515</v>
      </c>
      <c r="R34" s="206">
        <f t="shared" si="5"/>
        <v>799522.07716981135</v>
      </c>
      <c r="S34" s="418" t="s">
        <v>1563</v>
      </c>
      <c r="T34" s="132">
        <v>100000</v>
      </c>
      <c r="U34" s="206">
        <f t="shared" si="6"/>
        <v>699522.07716981135</v>
      </c>
      <c r="V34" s="418" t="s">
        <v>1621</v>
      </c>
      <c r="W34" s="110">
        <f>50000+ROUND(632900/1.06,2)</f>
        <v>647075.47</v>
      </c>
      <c r="X34" s="206">
        <f t="shared" si="7"/>
        <v>52446.607169811381</v>
      </c>
      <c r="Y34" s="418" t="s">
        <v>1661</v>
      </c>
      <c r="Z34">
        <v>52400</v>
      </c>
      <c r="AA34" s="206">
        <v>0</v>
      </c>
      <c r="AD34" s="206">
        <f t="shared" si="9"/>
        <v>0</v>
      </c>
      <c r="AG34" s="206">
        <f t="shared" si="10"/>
        <v>0</v>
      </c>
      <c r="AJ34" s="206">
        <f t="shared" si="11"/>
        <v>0</v>
      </c>
      <c r="AM34" s="206">
        <f t="shared" si="12"/>
        <v>0</v>
      </c>
      <c r="AP34" s="206">
        <f t="shared" si="13"/>
        <v>0</v>
      </c>
      <c r="AS34" s="206">
        <f t="shared" si="14"/>
        <v>0</v>
      </c>
      <c r="AV34" s="206">
        <f t="shared" si="15"/>
        <v>0</v>
      </c>
      <c r="AY34" s="206">
        <f t="shared" si="16"/>
        <v>0</v>
      </c>
      <c r="BB34" s="206">
        <f t="shared" si="17"/>
        <v>0</v>
      </c>
      <c r="BC34" s="418" t="s">
        <v>2204</v>
      </c>
      <c r="BE34" s="206">
        <f t="shared" si="18"/>
        <v>0</v>
      </c>
      <c r="BH34" s="206">
        <f t="shared" si="19"/>
        <v>0</v>
      </c>
      <c r="BK34" s="206">
        <f t="shared" si="20"/>
        <v>0</v>
      </c>
      <c r="BN34" s="206">
        <f t="shared" si="21"/>
        <v>0</v>
      </c>
      <c r="BQ34" s="206">
        <f t="shared" si="22"/>
        <v>0</v>
      </c>
      <c r="BT34" s="206">
        <f t="shared" si="23"/>
        <v>0</v>
      </c>
      <c r="BW34" s="206">
        <f t="shared" si="24"/>
        <v>0</v>
      </c>
      <c r="BZ34" s="206">
        <f t="shared" si="25"/>
        <v>0</v>
      </c>
      <c r="CD34" s="418" t="str">
        <f t="shared" si="26"/>
        <v>CU0884001</v>
      </c>
      <c r="CE34" s="442" t="str">
        <f t="shared" si="27"/>
        <v>2018年12月</v>
      </c>
      <c r="CF34" s="418" t="str">
        <f t="shared" si="28"/>
        <v>恩德斯豪斯clife服务费暂估</v>
      </c>
      <c r="CG34" s="418" t="str">
        <f t="shared" si="29"/>
        <v>2018年12月恩德斯豪斯clife服务费暂估</v>
      </c>
    </row>
    <row r="35" spans="2:85" s="418" customFormat="1" ht="15" customHeight="1">
      <c r="B35" s="418" t="str">
        <f t="shared" si="1"/>
        <v>CU0340</v>
      </c>
      <c r="C35" s="149" t="s">
        <v>950</v>
      </c>
      <c r="D35" s="359" t="s">
        <v>73</v>
      </c>
      <c r="E35" s="359" t="s">
        <v>74</v>
      </c>
      <c r="F35" s="330">
        <v>43485</v>
      </c>
      <c r="G35" s="422">
        <v>13210.9</v>
      </c>
      <c r="H35" s="427"/>
      <c r="I35" s="426">
        <f t="shared" si="2"/>
        <v>13210.9</v>
      </c>
      <c r="J35" s="421" t="s">
        <v>375</v>
      </c>
      <c r="L35" s="206">
        <f t="shared" si="31"/>
        <v>13210.9</v>
      </c>
      <c r="M35" s="418" t="s">
        <v>1450</v>
      </c>
      <c r="O35" s="206">
        <f t="shared" si="4"/>
        <v>13210.9</v>
      </c>
      <c r="P35" s="418" t="s">
        <v>1516</v>
      </c>
      <c r="R35" s="206">
        <f t="shared" si="5"/>
        <v>13210.9</v>
      </c>
      <c r="S35" s="418" t="s">
        <v>1562</v>
      </c>
      <c r="U35" s="206">
        <f t="shared" si="6"/>
        <v>13210.9</v>
      </c>
      <c r="V35" s="418" t="s">
        <v>1622</v>
      </c>
      <c r="W35" s="206">
        <f>U35</f>
        <v>13210.9</v>
      </c>
      <c r="X35" s="206">
        <f t="shared" si="7"/>
        <v>0</v>
      </c>
      <c r="Y35" s="418" t="s">
        <v>1668</v>
      </c>
      <c r="AA35" s="206">
        <f t="shared" si="8"/>
        <v>0</v>
      </c>
      <c r="AB35" s="418" t="s">
        <v>1704</v>
      </c>
      <c r="AD35" s="206">
        <f t="shared" si="9"/>
        <v>0</v>
      </c>
      <c r="AE35" s="418" t="s">
        <v>1750</v>
      </c>
      <c r="AG35" s="206">
        <f t="shared" si="10"/>
        <v>0</v>
      </c>
      <c r="AH35" s="418" t="s">
        <v>1821</v>
      </c>
      <c r="AJ35" s="206">
        <f t="shared" si="11"/>
        <v>0</v>
      </c>
      <c r="AK35" s="418" t="s">
        <v>1850</v>
      </c>
      <c r="AM35" s="206">
        <f>AJ35-AL35</f>
        <v>0</v>
      </c>
      <c r="AN35" s="418" t="s">
        <v>1929</v>
      </c>
      <c r="AP35" s="206">
        <f>AM35-AO35</f>
        <v>0</v>
      </c>
      <c r="AQ35" s="418" t="s">
        <v>2007</v>
      </c>
      <c r="AS35" s="206">
        <f t="shared" si="14"/>
        <v>0</v>
      </c>
      <c r="AV35" s="206">
        <f t="shared" si="15"/>
        <v>0</v>
      </c>
      <c r="AY35" s="206">
        <f t="shared" si="16"/>
        <v>0</v>
      </c>
      <c r="BB35" s="206">
        <f t="shared" si="17"/>
        <v>0</v>
      </c>
      <c r="BC35" s="418" t="s">
        <v>2204</v>
      </c>
      <c r="BE35" s="206">
        <f t="shared" si="18"/>
        <v>0</v>
      </c>
      <c r="BH35" s="206">
        <f t="shared" si="19"/>
        <v>0</v>
      </c>
      <c r="BK35" s="206">
        <f t="shared" si="20"/>
        <v>0</v>
      </c>
      <c r="BN35" s="206">
        <f t="shared" si="21"/>
        <v>0</v>
      </c>
      <c r="BQ35" s="206">
        <f t="shared" si="22"/>
        <v>0</v>
      </c>
      <c r="BT35" s="206">
        <f t="shared" si="23"/>
        <v>0</v>
      </c>
      <c r="BW35" s="206">
        <f t="shared" si="24"/>
        <v>0</v>
      </c>
      <c r="BZ35" s="206">
        <f t="shared" si="25"/>
        <v>0</v>
      </c>
      <c r="CD35" s="418" t="str">
        <f t="shared" si="26"/>
        <v>CU0340001</v>
      </c>
      <c r="CE35" s="442" t="str">
        <f t="shared" si="27"/>
        <v>2019年1月</v>
      </c>
      <c r="CF35" s="418" t="str">
        <f t="shared" si="28"/>
        <v>盖璞集团clife服务费暂估</v>
      </c>
      <c r="CG35" s="418" t="str">
        <f t="shared" si="29"/>
        <v>2019年1月盖璞集团clife服务费暂估</v>
      </c>
    </row>
    <row r="36" spans="2:85" s="418" customFormat="1" ht="15" customHeight="1">
      <c r="B36" s="418" t="str">
        <f t="shared" si="1"/>
        <v>CU0720</v>
      </c>
      <c r="C36" s="149" t="s">
        <v>950</v>
      </c>
      <c r="D36" s="306" t="s">
        <v>1925</v>
      </c>
      <c r="E36" s="345" t="s">
        <v>1048</v>
      </c>
      <c r="F36" s="330">
        <v>43485</v>
      </c>
      <c r="G36" s="422">
        <v>3243.98</v>
      </c>
      <c r="H36" s="427"/>
      <c r="I36" s="426">
        <f t="shared" si="2"/>
        <v>3243.98</v>
      </c>
      <c r="J36" s="421" t="s">
        <v>375</v>
      </c>
      <c r="L36" s="206">
        <f t="shared" si="31"/>
        <v>3243.98</v>
      </c>
      <c r="M36" s="418" t="s">
        <v>1450</v>
      </c>
      <c r="O36" s="206">
        <f t="shared" si="4"/>
        <v>3243.98</v>
      </c>
      <c r="P36" s="418" t="s">
        <v>1516</v>
      </c>
      <c r="R36" s="206">
        <f t="shared" si="5"/>
        <v>3243.98</v>
      </c>
      <c r="S36" s="418" t="s">
        <v>1562</v>
      </c>
      <c r="U36" s="206">
        <f t="shared" si="6"/>
        <v>3243.98</v>
      </c>
      <c r="V36" s="418" t="s">
        <v>1622</v>
      </c>
      <c r="X36" s="206">
        <f t="shared" si="7"/>
        <v>3243.98</v>
      </c>
      <c r="Y36" s="418" t="s">
        <v>1668</v>
      </c>
      <c r="AA36" s="206">
        <f t="shared" si="8"/>
        <v>3243.98</v>
      </c>
      <c r="AB36" s="418" t="s">
        <v>1704</v>
      </c>
      <c r="AD36" s="206">
        <f t="shared" si="9"/>
        <v>3243.98</v>
      </c>
      <c r="AE36" s="418" t="s">
        <v>1750</v>
      </c>
      <c r="AG36" s="206">
        <f t="shared" si="10"/>
        <v>3243.98</v>
      </c>
      <c r="AH36" s="418" t="s">
        <v>1821</v>
      </c>
      <c r="AJ36" s="206">
        <f t="shared" si="11"/>
        <v>3243.98</v>
      </c>
      <c r="AK36" s="418" t="s">
        <v>1850</v>
      </c>
      <c r="AM36" s="206">
        <f t="shared" ref="AM36:AM39" si="32">AJ36-AL36</f>
        <v>3243.98</v>
      </c>
      <c r="AN36" s="418" t="s">
        <v>1929</v>
      </c>
      <c r="AP36" s="206">
        <f t="shared" ref="AP36:AP39" si="33">AM36-AO36</f>
        <v>3243.98</v>
      </c>
      <c r="AQ36" s="418" t="s">
        <v>2007</v>
      </c>
      <c r="AS36" s="206">
        <f t="shared" si="14"/>
        <v>3243.98</v>
      </c>
      <c r="AV36" s="206">
        <f t="shared" si="15"/>
        <v>3243.98</v>
      </c>
      <c r="AW36" s="418" t="s">
        <v>2111</v>
      </c>
      <c r="AY36" s="206">
        <f t="shared" si="16"/>
        <v>3243.98</v>
      </c>
      <c r="AZ36" s="418" t="s">
        <v>2134</v>
      </c>
      <c r="BB36" s="206">
        <f t="shared" si="17"/>
        <v>3243.98</v>
      </c>
      <c r="BC36" s="418" t="s">
        <v>2204</v>
      </c>
      <c r="BE36" s="206">
        <f t="shared" si="18"/>
        <v>3243.98</v>
      </c>
      <c r="BF36" s="418" t="s">
        <v>2242</v>
      </c>
      <c r="BH36" s="206">
        <f>BE36-BG36</f>
        <v>3243.98</v>
      </c>
      <c r="BK36" s="206">
        <f t="shared" si="20"/>
        <v>3243.98</v>
      </c>
      <c r="BL36" s="418" t="s">
        <v>2343</v>
      </c>
      <c r="BN36" s="206">
        <f t="shared" si="21"/>
        <v>3243.98</v>
      </c>
      <c r="BO36" s="418" t="s">
        <v>2360</v>
      </c>
      <c r="BP36" s="206">
        <f>BN36</f>
        <v>3243.98</v>
      </c>
      <c r="BQ36" s="206">
        <f t="shared" si="22"/>
        <v>0</v>
      </c>
      <c r="BT36" s="206">
        <f t="shared" si="23"/>
        <v>0</v>
      </c>
      <c r="BW36" s="206">
        <f t="shared" si="24"/>
        <v>0</v>
      </c>
      <c r="BZ36" s="206">
        <f t="shared" si="25"/>
        <v>0</v>
      </c>
      <c r="CD36" s="418" t="str">
        <f t="shared" si="26"/>
        <v>CU0720001</v>
      </c>
      <c r="CE36" s="442" t="str">
        <f t="shared" si="27"/>
        <v>2019年1月</v>
      </c>
      <c r="CF36" s="418" t="str">
        <f t="shared" si="28"/>
        <v>上海卫展医clife服务费暂估</v>
      </c>
      <c r="CG36" s="418" t="str">
        <f t="shared" si="29"/>
        <v>2019年1月上海卫展医clife服务费暂估</v>
      </c>
    </row>
    <row r="37" spans="2:85" s="418" customFormat="1" ht="15" customHeight="1">
      <c r="B37" s="418" t="str">
        <f t="shared" si="1"/>
        <v>CU0884</v>
      </c>
      <c r="C37" s="149" t="s">
        <v>950</v>
      </c>
      <c r="D37" s="410" t="s">
        <v>1926</v>
      </c>
      <c r="E37" s="410" t="s">
        <v>832</v>
      </c>
      <c r="F37" s="330">
        <v>43485</v>
      </c>
      <c r="G37" s="422">
        <v>60625.54</v>
      </c>
      <c r="H37" s="427"/>
      <c r="I37" s="426">
        <f>G37-H37</f>
        <v>60625.54</v>
      </c>
      <c r="J37" s="421" t="s">
        <v>375</v>
      </c>
      <c r="L37" s="206">
        <f t="shared" si="31"/>
        <v>60625.54</v>
      </c>
      <c r="M37" s="418" t="s">
        <v>1450</v>
      </c>
      <c r="O37" s="206">
        <f t="shared" si="4"/>
        <v>60625.54</v>
      </c>
      <c r="P37" s="418" t="s">
        <v>1516</v>
      </c>
      <c r="R37" s="206">
        <f t="shared" si="5"/>
        <v>60625.54</v>
      </c>
      <c r="S37" s="418" t="s">
        <v>1562</v>
      </c>
      <c r="U37" s="206">
        <f t="shared" si="6"/>
        <v>60625.54</v>
      </c>
      <c r="V37" s="418" t="s">
        <v>1622</v>
      </c>
      <c r="X37" s="206">
        <f t="shared" si="7"/>
        <v>60625.54</v>
      </c>
      <c r="Y37" s="418" t="s">
        <v>1668</v>
      </c>
      <c r="AA37" s="206">
        <f t="shared" si="8"/>
        <v>60625.54</v>
      </c>
      <c r="AB37" s="418" t="s">
        <v>1704</v>
      </c>
      <c r="AD37" s="206">
        <f t="shared" si="9"/>
        <v>60625.54</v>
      </c>
      <c r="AE37" s="418" t="s">
        <v>1750</v>
      </c>
      <c r="AG37" s="206">
        <f t="shared" si="10"/>
        <v>60625.54</v>
      </c>
      <c r="AH37" s="418" t="s">
        <v>1821</v>
      </c>
      <c r="AJ37" s="206">
        <f t="shared" si="11"/>
        <v>60625.54</v>
      </c>
      <c r="AK37" s="418" t="s">
        <v>1850</v>
      </c>
      <c r="AL37" s="418">
        <f>ROUND(25372.25/1.06,2)</f>
        <v>23936.080000000002</v>
      </c>
      <c r="AM37" s="206">
        <f t="shared" si="32"/>
        <v>36689.46</v>
      </c>
      <c r="AN37" s="418" t="s">
        <v>1929</v>
      </c>
      <c r="AP37" s="206">
        <f t="shared" si="33"/>
        <v>36689.46</v>
      </c>
      <c r="AQ37" s="418" t="s">
        <v>2007</v>
      </c>
      <c r="AS37" s="206">
        <f t="shared" si="14"/>
        <v>36689.46</v>
      </c>
      <c r="AV37" s="206">
        <f t="shared" si="15"/>
        <v>36689.46</v>
      </c>
      <c r="AW37" s="418" t="s">
        <v>2111</v>
      </c>
      <c r="AY37" s="206">
        <f t="shared" si="16"/>
        <v>36689.46</v>
      </c>
      <c r="AZ37" s="418" t="s">
        <v>2134</v>
      </c>
      <c r="BB37" s="206">
        <f t="shared" si="17"/>
        <v>36689.46</v>
      </c>
      <c r="BC37" s="418" t="s">
        <v>2204</v>
      </c>
      <c r="BE37" s="206">
        <f t="shared" si="18"/>
        <v>36689.46</v>
      </c>
      <c r="BF37" s="418" t="s">
        <v>2242</v>
      </c>
      <c r="BG37" s="206">
        <f>BE37</f>
        <v>36689.46</v>
      </c>
      <c r="BH37" s="206">
        <f t="shared" ref="BH37:BH40" si="34">BE37-BG37</f>
        <v>0</v>
      </c>
      <c r="BK37" s="206">
        <f t="shared" si="20"/>
        <v>0</v>
      </c>
      <c r="BN37" s="206">
        <f t="shared" si="21"/>
        <v>0</v>
      </c>
      <c r="BQ37" s="206">
        <f t="shared" si="22"/>
        <v>0</v>
      </c>
      <c r="BT37" s="206">
        <f t="shared" si="23"/>
        <v>0</v>
      </c>
      <c r="BW37" s="206">
        <f t="shared" si="24"/>
        <v>0</v>
      </c>
      <c r="BZ37" s="206">
        <f t="shared" si="25"/>
        <v>0</v>
      </c>
      <c r="CD37" s="418" t="str">
        <f t="shared" si="26"/>
        <v>CU0884001</v>
      </c>
      <c r="CE37" s="442" t="str">
        <f t="shared" si="27"/>
        <v>2019年1月</v>
      </c>
      <c r="CF37" s="418" t="str">
        <f t="shared" si="28"/>
        <v>恩德斯豪斯clife服务费暂估</v>
      </c>
      <c r="CG37" s="418" t="str">
        <f t="shared" si="29"/>
        <v>2019年1月恩德斯豪斯clife服务费暂估</v>
      </c>
    </row>
    <row r="38" spans="2:85" s="418" customFormat="1" ht="15" customHeight="1">
      <c r="B38" s="418" t="str">
        <f t="shared" si="1"/>
        <v>CU0905</v>
      </c>
      <c r="C38" s="149" t="s">
        <v>950</v>
      </c>
      <c r="D38" s="409" t="s">
        <v>1927</v>
      </c>
      <c r="E38" s="409" t="s">
        <v>1371</v>
      </c>
      <c r="F38" s="330">
        <v>43485</v>
      </c>
      <c r="G38" s="422">
        <v>1320.76</v>
      </c>
      <c r="H38" s="427"/>
      <c r="I38" s="426">
        <f t="shared" si="2"/>
        <v>1320.76</v>
      </c>
      <c r="J38" s="421" t="s">
        <v>375</v>
      </c>
      <c r="L38" s="206">
        <f t="shared" si="31"/>
        <v>1320.76</v>
      </c>
      <c r="M38" s="418" t="s">
        <v>1450</v>
      </c>
      <c r="O38" s="206">
        <f t="shared" si="4"/>
        <v>1320.76</v>
      </c>
      <c r="P38" s="418" t="s">
        <v>1516</v>
      </c>
      <c r="R38" s="206">
        <f t="shared" si="5"/>
        <v>1320.76</v>
      </c>
      <c r="S38" s="418" t="s">
        <v>1562</v>
      </c>
      <c r="U38" s="206">
        <f t="shared" si="6"/>
        <v>1320.76</v>
      </c>
      <c r="V38" s="418" t="s">
        <v>1622</v>
      </c>
      <c r="X38" s="206">
        <f t="shared" si="7"/>
        <v>1320.76</v>
      </c>
      <c r="Y38" s="418" t="s">
        <v>1668</v>
      </c>
      <c r="AA38" s="206">
        <f t="shared" si="8"/>
        <v>1320.76</v>
      </c>
      <c r="AB38" s="418" t="s">
        <v>1704</v>
      </c>
      <c r="AD38" s="206">
        <f t="shared" si="9"/>
        <v>1320.76</v>
      </c>
      <c r="AE38" s="418" t="s">
        <v>1750</v>
      </c>
      <c r="AG38" s="206">
        <f t="shared" si="10"/>
        <v>1320.76</v>
      </c>
      <c r="AH38" s="418" t="s">
        <v>1821</v>
      </c>
      <c r="AJ38" s="206">
        <f t="shared" si="11"/>
        <v>1320.76</v>
      </c>
      <c r="AK38" s="418" t="s">
        <v>1850</v>
      </c>
      <c r="AM38" s="206">
        <f t="shared" si="32"/>
        <v>1320.76</v>
      </c>
      <c r="AN38" s="418" t="s">
        <v>1929</v>
      </c>
      <c r="AP38" s="206">
        <f t="shared" si="33"/>
        <v>1320.76</v>
      </c>
      <c r="AQ38" s="418" t="s">
        <v>2007</v>
      </c>
      <c r="AS38" s="206">
        <f t="shared" si="14"/>
        <v>1320.76</v>
      </c>
      <c r="AV38" s="206">
        <f t="shared" si="15"/>
        <v>1320.76</v>
      </c>
      <c r="AW38" s="418" t="s">
        <v>2111</v>
      </c>
      <c r="AY38" s="206">
        <f t="shared" si="16"/>
        <v>1320.76</v>
      </c>
      <c r="AZ38" s="418" t="s">
        <v>2134</v>
      </c>
      <c r="BB38" s="206">
        <f t="shared" si="17"/>
        <v>1320.76</v>
      </c>
      <c r="BC38" s="418" t="s">
        <v>2204</v>
      </c>
      <c r="BE38" s="206">
        <f t="shared" si="18"/>
        <v>1320.76</v>
      </c>
      <c r="BF38" s="418" t="s">
        <v>2242</v>
      </c>
      <c r="BH38" s="206">
        <f t="shared" si="34"/>
        <v>1320.76</v>
      </c>
      <c r="BK38" s="206">
        <f t="shared" si="20"/>
        <v>1320.76</v>
      </c>
      <c r="BL38" s="418" t="s">
        <v>2343</v>
      </c>
      <c r="BN38" s="206">
        <f t="shared" si="21"/>
        <v>1320.76</v>
      </c>
      <c r="BO38" s="418" t="s">
        <v>2360</v>
      </c>
      <c r="BQ38" s="206">
        <f t="shared" si="22"/>
        <v>1320.76</v>
      </c>
      <c r="BT38" s="206">
        <f t="shared" si="23"/>
        <v>1320.76</v>
      </c>
      <c r="BU38" s="418" t="s">
        <v>2408</v>
      </c>
      <c r="BW38" s="206">
        <f t="shared" si="24"/>
        <v>1320.76</v>
      </c>
      <c r="BZ38" s="206">
        <f t="shared" si="25"/>
        <v>1320.76</v>
      </c>
      <c r="CD38" s="418" t="str">
        <f t="shared" si="26"/>
        <v>CU0905001</v>
      </c>
      <c r="CE38" s="442" t="str">
        <f t="shared" si="27"/>
        <v>2019年1月</v>
      </c>
      <c r="CF38" s="418" t="str">
        <f t="shared" si="28"/>
        <v>荣联数讯（clife服务费暂估</v>
      </c>
      <c r="CG38" s="418" t="str">
        <f t="shared" si="29"/>
        <v>2019年1月荣联数讯（clife服务费暂估</v>
      </c>
    </row>
    <row r="39" spans="2:85" s="418" customFormat="1" ht="15" customHeight="1">
      <c r="B39" s="418" t="str">
        <f t="shared" si="1"/>
        <v>CU0936</v>
      </c>
      <c r="C39" s="149" t="s">
        <v>950</v>
      </c>
      <c r="D39" s="409" t="s">
        <v>1928</v>
      </c>
      <c r="E39" s="409" t="s">
        <v>1439</v>
      </c>
      <c r="F39" s="330">
        <v>43485</v>
      </c>
      <c r="G39" s="422">
        <v>210</v>
      </c>
      <c r="H39" s="427"/>
      <c r="I39" s="426">
        <f t="shared" si="2"/>
        <v>210</v>
      </c>
      <c r="J39" s="421" t="s">
        <v>375</v>
      </c>
      <c r="L39" s="206">
        <f t="shared" si="31"/>
        <v>210</v>
      </c>
      <c r="M39" s="418" t="s">
        <v>1450</v>
      </c>
      <c r="O39" s="206">
        <f t="shared" si="4"/>
        <v>210</v>
      </c>
      <c r="P39" s="418" t="s">
        <v>1516</v>
      </c>
      <c r="R39" s="206">
        <f t="shared" si="5"/>
        <v>210</v>
      </c>
      <c r="S39" s="418" t="s">
        <v>1562</v>
      </c>
      <c r="U39" s="206">
        <f t="shared" si="6"/>
        <v>210</v>
      </c>
      <c r="V39" s="418" t="s">
        <v>1622</v>
      </c>
      <c r="X39" s="206">
        <f t="shared" si="7"/>
        <v>210</v>
      </c>
      <c r="Y39" s="418" t="s">
        <v>1668</v>
      </c>
      <c r="AA39" s="206">
        <f t="shared" si="8"/>
        <v>210</v>
      </c>
      <c r="AB39" s="418" t="s">
        <v>1704</v>
      </c>
      <c r="AD39" s="206">
        <f t="shared" si="9"/>
        <v>210</v>
      </c>
      <c r="AE39" s="418" t="s">
        <v>1750</v>
      </c>
      <c r="AG39" s="206">
        <f t="shared" si="10"/>
        <v>210</v>
      </c>
      <c r="AH39" s="418" t="s">
        <v>1821</v>
      </c>
      <c r="AJ39" s="206">
        <f t="shared" si="11"/>
        <v>210</v>
      </c>
      <c r="AK39" s="418" t="s">
        <v>1850</v>
      </c>
      <c r="AM39" s="206">
        <f t="shared" si="32"/>
        <v>210</v>
      </c>
      <c r="AN39" s="418" t="s">
        <v>1929</v>
      </c>
      <c r="AP39" s="206">
        <f t="shared" si="33"/>
        <v>210</v>
      </c>
      <c r="AQ39" s="418" t="s">
        <v>2007</v>
      </c>
      <c r="AS39" s="206">
        <f t="shared" si="14"/>
        <v>210</v>
      </c>
      <c r="AU39" s="418">
        <v>35</v>
      </c>
      <c r="AV39" s="206">
        <f t="shared" si="15"/>
        <v>175</v>
      </c>
      <c r="AW39" s="418" t="s">
        <v>2111</v>
      </c>
      <c r="AY39" s="206">
        <f t="shared" si="16"/>
        <v>175</v>
      </c>
      <c r="AZ39" s="418" t="s">
        <v>2134</v>
      </c>
      <c r="BB39" s="206">
        <f t="shared" si="17"/>
        <v>175</v>
      </c>
      <c r="BC39" s="418" t="s">
        <v>2204</v>
      </c>
      <c r="BE39" s="206">
        <f t="shared" si="18"/>
        <v>175</v>
      </c>
      <c r="BF39" s="418" t="s">
        <v>2242</v>
      </c>
      <c r="BH39" s="206">
        <f t="shared" si="34"/>
        <v>175</v>
      </c>
      <c r="BK39" s="206">
        <f t="shared" si="20"/>
        <v>175</v>
      </c>
      <c r="BL39" s="418" t="s">
        <v>2343</v>
      </c>
      <c r="BN39" s="206">
        <f t="shared" si="21"/>
        <v>175</v>
      </c>
      <c r="BO39" s="418" t="s">
        <v>2360</v>
      </c>
      <c r="BQ39" s="206">
        <f t="shared" si="22"/>
        <v>175</v>
      </c>
      <c r="BT39" s="206">
        <f t="shared" si="23"/>
        <v>175</v>
      </c>
      <c r="BU39" s="418" t="s">
        <v>2219</v>
      </c>
      <c r="BW39" s="206">
        <f t="shared" si="24"/>
        <v>175</v>
      </c>
      <c r="BZ39" s="206">
        <f t="shared" si="25"/>
        <v>175</v>
      </c>
      <c r="CD39" s="418" t="str">
        <f t="shared" si="26"/>
        <v>CU0936001</v>
      </c>
      <c r="CE39" s="442" t="str">
        <f t="shared" si="27"/>
        <v>2019年1月</v>
      </c>
      <c r="CF39" s="418" t="str">
        <f t="shared" si="28"/>
        <v>浩仲六弈（clife服务费暂估</v>
      </c>
      <c r="CG39" s="418" t="str">
        <f t="shared" si="29"/>
        <v>2019年1月浩仲六弈（clife服务费暂估</v>
      </c>
    </row>
    <row r="40" spans="2:85" s="418" customFormat="1" ht="15" customHeight="1">
      <c r="B40" s="418" t="str">
        <f t="shared" si="1"/>
        <v>CU0720</v>
      </c>
      <c r="C40" s="149" t="s">
        <v>950</v>
      </c>
      <c r="D40" s="306" t="s">
        <v>1930</v>
      </c>
      <c r="E40" s="345" t="s">
        <v>1048</v>
      </c>
      <c r="F40" s="330">
        <v>43497</v>
      </c>
      <c r="G40" s="422">
        <v>3107.3</v>
      </c>
      <c r="H40" s="427"/>
      <c r="I40" s="427">
        <v>3107.3</v>
      </c>
      <c r="J40" s="421"/>
      <c r="L40" s="206">
        <v>3107.3</v>
      </c>
      <c r="M40" s="418" t="s">
        <v>1466</v>
      </c>
      <c r="O40" s="206">
        <f t="shared" si="4"/>
        <v>3107.3</v>
      </c>
      <c r="P40" s="418" t="s">
        <v>1517</v>
      </c>
      <c r="R40" s="206">
        <f t="shared" si="5"/>
        <v>3107.3</v>
      </c>
      <c r="S40" s="418" t="s">
        <v>1564</v>
      </c>
      <c r="U40" s="206">
        <f t="shared" si="6"/>
        <v>3107.3</v>
      </c>
      <c r="V40" s="418" t="s">
        <v>1623</v>
      </c>
      <c r="X40" s="206">
        <f t="shared" si="7"/>
        <v>3107.3</v>
      </c>
      <c r="Y40" s="418" t="s">
        <v>1669</v>
      </c>
      <c r="AA40" s="206">
        <f t="shared" si="8"/>
        <v>3107.3</v>
      </c>
      <c r="AB40" s="418" t="s">
        <v>1705</v>
      </c>
      <c r="AD40" s="206">
        <f t="shared" si="9"/>
        <v>3107.3</v>
      </c>
      <c r="AE40" s="418" t="s">
        <v>1751</v>
      </c>
      <c r="AG40" s="206">
        <f t="shared" si="10"/>
        <v>3107.3</v>
      </c>
      <c r="AH40" s="418" t="s">
        <v>1822</v>
      </c>
      <c r="AJ40" s="206">
        <f t="shared" si="11"/>
        <v>3107.3</v>
      </c>
      <c r="AK40" s="418" t="s">
        <v>1851</v>
      </c>
      <c r="AM40" s="206">
        <f t="shared" ref="AM40:AM46" si="35">AJ40-AL40</f>
        <v>3107.3</v>
      </c>
      <c r="AN40" s="418" t="s">
        <v>1931</v>
      </c>
      <c r="AP40" s="206">
        <f t="shared" ref="AP40:AP46" si="36">AM40-AO40</f>
        <v>3107.3</v>
      </c>
      <c r="AQ40" s="418" t="s">
        <v>1996</v>
      </c>
      <c r="AS40" s="206">
        <f t="shared" si="14"/>
        <v>3107.3</v>
      </c>
      <c r="AV40" s="206">
        <f t="shared" si="15"/>
        <v>3107.3</v>
      </c>
      <c r="AW40" s="418" t="s">
        <v>2111</v>
      </c>
      <c r="AY40" s="206">
        <f t="shared" si="16"/>
        <v>3107.3</v>
      </c>
      <c r="AZ40" s="418" t="s">
        <v>2134</v>
      </c>
      <c r="BB40" s="206">
        <f t="shared" si="17"/>
        <v>3107.3</v>
      </c>
      <c r="BC40" s="418" t="s">
        <v>2204</v>
      </c>
      <c r="BE40" s="206">
        <f t="shared" si="18"/>
        <v>3107.3</v>
      </c>
      <c r="BF40" s="418" t="s">
        <v>2242</v>
      </c>
      <c r="BH40" s="206">
        <f t="shared" si="34"/>
        <v>3107.3</v>
      </c>
      <c r="BK40" s="206">
        <f t="shared" si="20"/>
        <v>3107.3</v>
      </c>
      <c r="BL40" s="418" t="s">
        <v>2343</v>
      </c>
      <c r="BN40" s="206">
        <f t="shared" si="21"/>
        <v>3107.3</v>
      </c>
      <c r="BO40" s="418" t="s">
        <v>2360</v>
      </c>
      <c r="BP40" s="206">
        <f>BN40</f>
        <v>3107.3</v>
      </c>
      <c r="BQ40" s="206">
        <f t="shared" si="22"/>
        <v>0</v>
      </c>
      <c r="BT40" s="206">
        <f t="shared" si="23"/>
        <v>0</v>
      </c>
      <c r="BW40" s="206">
        <f t="shared" si="24"/>
        <v>0</v>
      </c>
      <c r="BZ40" s="206">
        <f t="shared" si="25"/>
        <v>0</v>
      </c>
      <c r="CD40" s="418" t="str">
        <f t="shared" si="26"/>
        <v>CU0720001</v>
      </c>
      <c r="CE40" s="442" t="str">
        <f t="shared" si="27"/>
        <v>2019年2月</v>
      </c>
      <c r="CF40" s="418" t="str">
        <f t="shared" si="28"/>
        <v>上海卫展医clife服务费暂估</v>
      </c>
      <c r="CG40" s="418" t="str">
        <f t="shared" si="29"/>
        <v>2019年2月上海卫展医clife服务费暂估</v>
      </c>
    </row>
    <row r="41" spans="2:85" s="418" customFormat="1" ht="15" customHeight="1">
      <c r="B41" s="418" t="str">
        <f t="shared" si="1"/>
        <v>CU0340</v>
      </c>
      <c r="C41" s="149" t="s">
        <v>950</v>
      </c>
      <c r="D41" s="359" t="s">
        <v>73</v>
      </c>
      <c r="E41" s="359" t="s">
        <v>74</v>
      </c>
      <c r="F41" s="330">
        <v>43497</v>
      </c>
      <c r="G41" s="422">
        <v>162402.71</v>
      </c>
      <c r="H41" s="427"/>
      <c r="I41" s="427">
        <v>162402.71</v>
      </c>
      <c r="J41" s="421"/>
      <c r="L41" s="206">
        <v>162402.71</v>
      </c>
      <c r="M41" s="418" t="s">
        <v>1466</v>
      </c>
      <c r="N41" s="132">
        <f>76442.65*0.97</f>
        <v>74149.37049999999</v>
      </c>
      <c r="O41" s="206">
        <f t="shared" si="4"/>
        <v>88253.339500000002</v>
      </c>
      <c r="P41" s="418" t="s">
        <v>1517</v>
      </c>
      <c r="R41" s="206">
        <f t="shared" si="5"/>
        <v>88253.339500000002</v>
      </c>
      <c r="S41" s="418" t="s">
        <v>1564</v>
      </c>
      <c r="U41" s="206">
        <f t="shared" si="6"/>
        <v>88253.339500000002</v>
      </c>
      <c r="V41" s="418" t="s">
        <v>1623</v>
      </c>
      <c r="W41" s="206">
        <f>ROUND((104103.43/1.06),2)-W35</f>
        <v>84999.88</v>
      </c>
      <c r="X41" s="206">
        <f t="shared" si="7"/>
        <v>3253.4594999999972</v>
      </c>
      <c r="Y41" s="418" t="s">
        <v>1669</v>
      </c>
      <c r="Z41" s="206">
        <f>X41</f>
        <v>3253.4594999999972</v>
      </c>
      <c r="AA41" s="206">
        <f t="shared" si="8"/>
        <v>0</v>
      </c>
      <c r="AB41" s="418" t="s">
        <v>1705</v>
      </c>
      <c r="AD41" s="206">
        <f t="shared" si="9"/>
        <v>0</v>
      </c>
      <c r="AE41" s="418" t="s">
        <v>1751</v>
      </c>
      <c r="AG41" s="206">
        <f t="shared" si="10"/>
        <v>0</v>
      </c>
      <c r="AH41" s="418" t="s">
        <v>1822</v>
      </c>
      <c r="AJ41" s="206">
        <f t="shared" si="11"/>
        <v>0</v>
      </c>
      <c r="AK41" s="418" t="s">
        <v>1851</v>
      </c>
      <c r="AM41" s="206">
        <f t="shared" si="35"/>
        <v>0</v>
      </c>
      <c r="AN41" s="418" t="s">
        <v>1931</v>
      </c>
      <c r="AP41" s="206">
        <f t="shared" si="36"/>
        <v>0</v>
      </c>
      <c r="AQ41" s="418" t="s">
        <v>1996</v>
      </c>
      <c r="AS41" s="206">
        <f t="shared" si="14"/>
        <v>0</v>
      </c>
      <c r="AV41" s="206">
        <f t="shared" si="15"/>
        <v>0</v>
      </c>
      <c r="AW41" s="418" t="s">
        <v>2111</v>
      </c>
      <c r="AY41" s="206">
        <f t="shared" si="16"/>
        <v>0</v>
      </c>
      <c r="BB41" s="206">
        <f t="shared" si="17"/>
        <v>0</v>
      </c>
      <c r="BC41" s="418" t="s">
        <v>2204</v>
      </c>
      <c r="BE41" s="206">
        <f t="shared" si="18"/>
        <v>0</v>
      </c>
      <c r="BH41" s="206">
        <f>BE41-BG41</f>
        <v>0</v>
      </c>
      <c r="BK41" s="206">
        <f t="shared" si="20"/>
        <v>0</v>
      </c>
      <c r="BN41" s="206">
        <f t="shared" si="21"/>
        <v>0</v>
      </c>
      <c r="BQ41" s="206">
        <f t="shared" si="22"/>
        <v>0</v>
      </c>
      <c r="BT41" s="206">
        <f t="shared" si="23"/>
        <v>0</v>
      </c>
      <c r="BW41" s="206">
        <f t="shared" si="24"/>
        <v>0</v>
      </c>
      <c r="BZ41" s="206">
        <f t="shared" si="25"/>
        <v>0</v>
      </c>
      <c r="CD41" s="418" t="str">
        <f t="shared" si="26"/>
        <v>CU0340001</v>
      </c>
      <c r="CE41" s="442" t="str">
        <f t="shared" si="27"/>
        <v>2019年2月</v>
      </c>
      <c r="CF41" s="418" t="str">
        <f t="shared" si="28"/>
        <v>盖璞集团clife服务费暂估</v>
      </c>
      <c r="CG41" s="418" t="str">
        <f t="shared" si="29"/>
        <v>2019年2月盖璞集团clife服务费暂估</v>
      </c>
    </row>
    <row r="42" spans="2:85" s="418" customFormat="1" ht="15" customHeight="1">
      <c r="B42" s="418" t="str">
        <f t="shared" si="1"/>
        <v>CU0884</v>
      </c>
      <c r="C42" s="149" t="s">
        <v>950</v>
      </c>
      <c r="D42" s="409" t="s">
        <v>1529</v>
      </c>
      <c r="E42" s="409" t="s">
        <v>1528</v>
      </c>
      <c r="F42" s="330">
        <v>43525</v>
      </c>
      <c r="G42" s="422">
        <v>26071.97</v>
      </c>
      <c r="H42" s="427"/>
      <c r="I42" s="427"/>
      <c r="J42" s="421"/>
      <c r="L42" s="206">
        <f t="shared" si="31"/>
        <v>0</v>
      </c>
      <c r="O42" s="206">
        <v>26071.97</v>
      </c>
      <c r="P42" s="418" t="s">
        <v>1531</v>
      </c>
      <c r="R42" s="206">
        <f t="shared" si="5"/>
        <v>26071.97</v>
      </c>
      <c r="S42" s="418" t="s">
        <v>1565</v>
      </c>
      <c r="U42" s="206">
        <f t="shared" si="6"/>
        <v>26071.97</v>
      </c>
      <c r="V42" s="418" t="s">
        <v>1624</v>
      </c>
      <c r="X42" s="206">
        <f t="shared" si="7"/>
        <v>26071.97</v>
      </c>
      <c r="Y42" s="418" t="s">
        <v>1670</v>
      </c>
      <c r="AA42" s="206">
        <f t="shared" si="8"/>
        <v>26071.97</v>
      </c>
      <c r="AB42" s="418" t="s">
        <v>1706</v>
      </c>
      <c r="AD42" s="206">
        <f t="shared" si="9"/>
        <v>26071.97</v>
      </c>
      <c r="AE42" s="418" t="s">
        <v>1744</v>
      </c>
      <c r="AG42" s="206">
        <f t="shared" si="10"/>
        <v>26071.97</v>
      </c>
      <c r="AH42" s="418" t="s">
        <v>1823</v>
      </c>
      <c r="AJ42" s="206">
        <f t="shared" si="11"/>
        <v>26071.97</v>
      </c>
      <c r="AK42" s="418" t="s">
        <v>1852</v>
      </c>
      <c r="AM42" s="206">
        <f t="shared" si="35"/>
        <v>26071.97</v>
      </c>
      <c r="AN42" s="418" t="s">
        <v>1932</v>
      </c>
      <c r="AP42" s="206">
        <f t="shared" si="36"/>
        <v>26071.97</v>
      </c>
      <c r="AQ42" s="418" t="s">
        <v>1997</v>
      </c>
      <c r="AS42" s="206">
        <f t="shared" si="14"/>
        <v>26071.97</v>
      </c>
      <c r="AV42" s="206">
        <f t="shared" si="15"/>
        <v>26071.97</v>
      </c>
      <c r="AW42" s="418" t="s">
        <v>2111</v>
      </c>
      <c r="AY42" s="206">
        <f t="shared" si="16"/>
        <v>26071.97</v>
      </c>
      <c r="AZ42" s="418" t="s">
        <v>2134</v>
      </c>
      <c r="BB42" s="206">
        <f t="shared" si="17"/>
        <v>26071.97</v>
      </c>
      <c r="BC42" s="418" t="s">
        <v>2204</v>
      </c>
      <c r="BE42" s="206">
        <f t="shared" si="18"/>
        <v>26071.97</v>
      </c>
      <c r="BF42" s="418" t="s">
        <v>2242</v>
      </c>
      <c r="BG42" s="206">
        <f>BE42</f>
        <v>26071.97</v>
      </c>
      <c r="BH42" s="206">
        <f t="shared" ref="BH42:BH43" si="37">BE42-BG42</f>
        <v>0</v>
      </c>
      <c r="BK42" s="206">
        <f t="shared" si="20"/>
        <v>0</v>
      </c>
      <c r="BN42" s="206">
        <f t="shared" si="21"/>
        <v>0</v>
      </c>
      <c r="BQ42" s="206">
        <f t="shared" si="22"/>
        <v>0</v>
      </c>
      <c r="BT42" s="206">
        <f t="shared" si="23"/>
        <v>0</v>
      </c>
      <c r="BW42" s="206">
        <f t="shared" si="24"/>
        <v>0</v>
      </c>
      <c r="BZ42" s="206">
        <f t="shared" si="25"/>
        <v>0</v>
      </c>
      <c r="CD42" s="418" t="str">
        <f t="shared" si="26"/>
        <v>CU0884001</v>
      </c>
      <c r="CE42" s="442" t="str">
        <f t="shared" si="27"/>
        <v>2019年3月</v>
      </c>
      <c r="CF42" s="418" t="str">
        <f t="shared" si="28"/>
        <v>恩德斯豪斯clife服务费暂估</v>
      </c>
      <c r="CG42" s="418" t="str">
        <f t="shared" si="29"/>
        <v>2019年3月恩德斯豪斯clife服务费暂估</v>
      </c>
    </row>
    <row r="43" spans="2:85" s="418" customFormat="1" ht="15" customHeight="1">
      <c r="B43" s="418" t="str">
        <f t="shared" si="1"/>
        <v>CU0720</v>
      </c>
      <c r="C43" s="149" t="s">
        <v>950</v>
      </c>
      <c r="D43" s="409" t="s">
        <v>1530</v>
      </c>
      <c r="E43" s="409" t="s">
        <v>1333</v>
      </c>
      <c r="F43" s="330">
        <v>43525</v>
      </c>
      <c r="G43" s="422">
        <v>3043.23</v>
      </c>
      <c r="H43" s="427"/>
      <c r="I43" s="427"/>
      <c r="J43" s="421"/>
      <c r="L43" s="206">
        <f t="shared" si="31"/>
        <v>0</v>
      </c>
      <c r="O43" s="206">
        <v>3043.23</v>
      </c>
      <c r="P43" s="418" t="s">
        <v>1531</v>
      </c>
      <c r="R43" s="206">
        <f t="shared" si="5"/>
        <v>3043.23</v>
      </c>
      <c r="S43" s="418" t="s">
        <v>1565</v>
      </c>
      <c r="U43" s="206">
        <f t="shared" si="6"/>
        <v>3043.23</v>
      </c>
      <c r="V43" s="418" t="s">
        <v>1624</v>
      </c>
      <c r="X43" s="206">
        <f t="shared" si="7"/>
        <v>3043.23</v>
      </c>
      <c r="Y43" s="418" t="s">
        <v>1670</v>
      </c>
      <c r="AA43" s="206">
        <f t="shared" si="8"/>
        <v>3043.23</v>
      </c>
      <c r="AB43" s="418" t="s">
        <v>1706</v>
      </c>
      <c r="AD43" s="206">
        <f t="shared" si="9"/>
        <v>3043.23</v>
      </c>
      <c r="AE43" s="418" t="s">
        <v>1744</v>
      </c>
      <c r="AG43" s="206">
        <f t="shared" si="10"/>
        <v>3043.23</v>
      </c>
      <c r="AH43" s="418" t="s">
        <v>1823</v>
      </c>
      <c r="AJ43" s="206">
        <f t="shared" si="11"/>
        <v>3043.23</v>
      </c>
      <c r="AK43" s="418" t="s">
        <v>1852</v>
      </c>
      <c r="AM43" s="206">
        <f t="shared" si="35"/>
        <v>3043.23</v>
      </c>
      <c r="AN43" s="418" t="s">
        <v>1932</v>
      </c>
      <c r="AP43" s="206">
        <f t="shared" si="36"/>
        <v>3043.23</v>
      </c>
      <c r="AQ43" s="418" t="s">
        <v>1997</v>
      </c>
      <c r="AS43" s="206">
        <f t="shared" si="14"/>
        <v>3043.23</v>
      </c>
      <c r="AV43" s="206">
        <f t="shared" si="15"/>
        <v>3043.23</v>
      </c>
      <c r="AW43" s="418" t="s">
        <v>2111</v>
      </c>
      <c r="AY43" s="206">
        <f t="shared" si="16"/>
        <v>3043.23</v>
      </c>
      <c r="AZ43" s="418" t="s">
        <v>2134</v>
      </c>
      <c r="BB43" s="206">
        <f t="shared" si="17"/>
        <v>3043.23</v>
      </c>
      <c r="BC43" s="418" t="s">
        <v>2204</v>
      </c>
      <c r="BE43" s="206">
        <f t="shared" si="18"/>
        <v>3043.23</v>
      </c>
      <c r="BF43" s="418" t="s">
        <v>2242</v>
      </c>
      <c r="BH43" s="206">
        <f t="shared" si="37"/>
        <v>3043.23</v>
      </c>
      <c r="BI43" s="418" t="s">
        <v>2299</v>
      </c>
      <c r="BK43" s="206">
        <f t="shared" si="20"/>
        <v>3043.23</v>
      </c>
      <c r="BL43" s="418" t="s">
        <v>2343</v>
      </c>
      <c r="BN43" s="206">
        <f t="shared" si="21"/>
        <v>3043.23</v>
      </c>
      <c r="BO43" s="418" t="s">
        <v>2360</v>
      </c>
      <c r="BP43" s="206">
        <f>BN43</f>
        <v>3043.23</v>
      </c>
      <c r="BQ43" s="206">
        <f t="shared" si="22"/>
        <v>0</v>
      </c>
      <c r="BT43" s="206">
        <f t="shared" si="23"/>
        <v>0</v>
      </c>
      <c r="BW43" s="206">
        <f t="shared" si="24"/>
        <v>0</v>
      </c>
      <c r="BZ43" s="206">
        <f t="shared" si="25"/>
        <v>0</v>
      </c>
      <c r="CD43" s="418" t="str">
        <f t="shared" si="26"/>
        <v>CU0720001</v>
      </c>
      <c r="CE43" s="442" t="str">
        <f t="shared" si="27"/>
        <v>2019年3月</v>
      </c>
      <c r="CF43" s="418" t="str">
        <f t="shared" si="28"/>
        <v>上海卫展医clife服务费暂估</v>
      </c>
      <c r="CG43" s="418" t="str">
        <f t="shared" si="29"/>
        <v>2019年3月上海卫展医clife服务费暂估</v>
      </c>
    </row>
    <row r="44" spans="2:85" s="418" customFormat="1" ht="15" customHeight="1">
      <c r="B44" s="418" t="str">
        <f t="shared" si="1"/>
        <v>CU0340</v>
      </c>
      <c r="C44" s="149" t="s">
        <v>950</v>
      </c>
      <c r="D44" s="409" t="s">
        <v>1570</v>
      </c>
      <c r="E44" s="359" t="s">
        <v>74</v>
      </c>
      <c r="F44" s="330">
        <v>43556</v>
      </c>
      <c r="G44" s="445">
        <v>96580.5</v>
      </c>
      <c r="H44" s="427"/>
      <c r="I44" s="427"/>
      <c r="J44" s="421"/>
      <c r="L44" s="206">
        <f t="shared" si="31"/>
        <v>0</v>
      </c>
      <c r="O44" s="206">
        <v>96580.5</v>
      </c>
      <c r="R44" s="206">
        <f t="shared" si="5"/>
        <v>96580.5</v>
      </c>
      <c r="S44" s="418" t="s">
        <v>1606</v>
      </c>
      <c r="U44" s="206">
        <f t="shared" si="6"/>
        <v>96580.5</v>
      </c>
      <c r="V44" s="418" t="s">
        <v>1625</v>
      </c>
      <c r="W44" s="206"/>
      <c r="X44" s="206">
        <f t="shared" si="7"/>
        <v>96580.5</v>
      </c>
      <c r="Y44" s="418" t="s">
        <v>1671</v>
      </c>
      <c r="Z44" s="206">
        <f>4750-Z41</f>
        <v>1496.5405000000028</v>
      </c>
      <c r="AA44" s="206">
        <f t="shared" si="8"/>
        <v>95083.959499999997</v>
      </c>
      <c r="AB44" s="418" t="s">
        <v>1707</v>
      </c>
      <c r="AD44" s="206">
        <f t="shared" si="9"/>
        <v>95083.959499999997</v>
      </c>
      <c r="AE44" s="418" t="s">
        <v>1745</v>
      </c>
      <c r="AG44" s="206">
        <f t="shared" si="10"/>
        <v>95083.959499999997</v>
      </c>
      <c r="AH44" s="418" t="s">
        <v>1824</v>
      </c>
      <c r="AI44" s="206">
        <f>AG44</f>
        <v>95083.959499999997</v>
      </c>
      <c r="AJ44" s="206">
        <f t="shared" si="11"/>
        <v>0</v>
      </c>
      <c r="AK44" s="418" t="s">
        <v>1853</v>
      </c>
      <c r="AM44" s="206">
        <f t="shared" si="35"/>
        <v>0</v>
      </c>
      <c r="AN44" s="418" t="s">
        <v>1933</v>
      </c>
      <c r="AP44" s="206">
        <f t="shared" si="36"/>
        <v>0</v>
      </c>
      <c r="AQ44" s="418" t="s">
        <v>1998</v>
      </c>
      <c r="AS44" s="206">
        <f t="shared" si="14"/>
        <v>0</v>
      </c>
      <c r="AV44" s="206">
        <f t="shared" si="15"/>
        <v>0</v>
      </c>
      <c r="AW44" s="418" t="s">
        <v>2111</v>
      </c>
      <c r="AY44" s="206">
        <f t="shared" si="16"/>
        <v>0</v>
      </c>
      <c r="BB44" s="206">
        <f t="shared" si="17"/>
        <v>0</v>
      </c>
      <c r="BC44" s="418" t="s">
        <v>2204</v>
      </c>
      <c r="BE44" s="206">
        <f t="shared" si="18"/>
        <v>0</v>
      </c>
      <c r="BH44" s="206">
        <f>BE44-BG44</f>
        <v>0</v>
      </c>
      <c r="BK44" s="206">
        <f t="shared" si="20"/>
        <v>0</v>
      </c>
      <c r="BN44" s="206">
        <f t="shared" si="21"/>
        <v>0</v>
      </c>
      <c r="BQ44" s="206">
        <f t="shared" si="22"/>
        <v>0</v>
      </c>
      <c r="BT44" s="206">
        <f t="shared" si="23"/>
        <v>0</v>
      </c>
      <c r="BW44" s="206">
        <f t="shared" si="24"/>
        <v>0</v>
      </c>
      <c r="BZ44" s="206">
        <f t="shared" si="25"/>
        <v>0</v>
      </c>
      <c r="CD44" s="418" t="str">
        <f t="shared" si="26"/>
        <v>CU0340001</v>
      </c>
      <c r="CE44" s="442" t="str">
        <f t="shared" si="27"/>
        <v>2019年4月</v>
      </c>
      <c r="CF44" s="418" t="str">
        <f t="shared" si="28"/>
        <v>盖璞集团clife服务费暂估</v>
      </c>
      <c r="CG44" s="418" t="str">
        <f t="shared" si="29"/>
        <v>2019年4月盖璞集团clife服务费暂估</v>
      </c>
    </row>
    <row r="45" spans="2:85" s="418" customFormat="1" ht="15" customHeight="1">
      <c r="B45" s="418" t="str">
        <f t="shared" si="1"/>
        <v>CU0720</v>
      </c>
      <c r="C45" s="149" t="s">
        <v>950</v>
      </c>
      <c r="D45" s="409" t="s">
        <v>1576</v>
      </c>
      <c r="E45" s="409" t="s">
        <v>1333</v>
      </c>
      <c r="F45" s="330">
        <v>43556</v>
      </c>
      <c r="G45" s="445">
        <v>3107.3</v>
      </c>
      <c r="H45" s="427"/>
      <c r="I45" s="427"/>
      <c r="J45" s="421"/>
      <c r="L45" s="206">
        <f t="shared" si="31"/>
        <v>0</v>
      </c>
      <c r="O45" s="206">
        <v>3107.3</v>
      </c>
      <c r="R45" s="206">
        <f t="shared" si="5"/>
        <v>3107.3</v>
      </c>
      <c r="S45" s="418" t="s">
        <v>1606</v>
      </c>
      <c r="U45" s="206">
        <f t="shared" si="6"/>
        <v>3107.3</v>
      </c>
      <c r="V45" s="418" t="s">
        <v>1625</v>
      </c>
      <c r="X45" s="206">
        <f t="shared" si="7"/>
        <v>3107.3</v>
      </c>
      <c r="Y45" s="418" t="s">
        <v>1671</v>
      </c>
      <c r="AA45" s="206">
        <f t="shared" si="8"/>
        <v>3107.3</v>
      </c>
      <c r="AB45" s="418" t="s">
        <v>1707</v>
      </c>
      <c r="AD45" s="206">
        <f t="shared" si="9"/>
        <v>3107.3</v>
      </c>
      <c r="AE45" s="418" t="s">
        <v>1745</v>
      </c>
      <c r="AG45" s="206">
        <f t="shared" si="10"/>
        <v>3107.3</v>
      </c>
      <c r="AH45" s="418" t="s">
        <v>1824</v>
      </c>
      <c r="AJ45" s="206">
        <f t="shared" si="11"/>
        <v>3107.3</v>
      </c>
      <c r="AK45" s="418" t="s">
        <v>1853</v>
      </c>
      <c r="AM45" s="206">
        <f t="shared" si="35"/>
        <v>3107.3</v>
      </c>
      <c r="AN45" s="418" t="s">
        <v>1933</v>
      </c>
      <c r="AP45" s="206">
        <f t="shared" si="36"/>
        <v>3107.3</v>
      </c>
      <c r="AQ45" s="418" t="s">
        <v>1998</v>
      </c>
      <c r="AS45" s="206">
        <f t="shared" si="14"/>
        <v>3107.3</v>
      </c>
      <c r="AV45" s="206">
        <f t="shared" si="15"/>
        <v>3107.3</v>
      </c>
      <c r="AW45" s="418" t="s">
        <v>2111</v>
      </c>
      <c r="AY45" s="206">
        <f t="shared" si="16"/>
        <v>3107.3</v>
      </c>
      <c r="AZ45" s="418" t="s">
        <v>2134</v>
      </c>
      <c r="BB45" s="206">
        <f t="shared" si="17"/>
        <v>3107.3</v>
      </c>
      <c r="BC45" s="418" t="s">
        <v>2204</v>
      </c>
      <c r="BE45" s="206">
        <f t="shared" si="18"/>
        <v>3107.3</v>
      </c>
      <c r="BF45" s="418" t="s">
        <v>2242</v>
      </c>
      <c r="BH45" s="206">
        <f>BE45-BG45</f>
        <v>3107.3</v>
      </c>
      <c r="BI45" s="418" t="s">
        <v>2299</v>
      </c>
      <c r="BK45" s="206">
        <f t="shared" si="20"/>
        <v>3107.3</v>
      </c>
      <c r="BL45" s="418" t="s">
        <v>2343</v>
      </c>
      <c r="BN45" s="206">
        <f t="shared" si="21"/>
        <v>3107.3</v>
      </c>
      <c r="BO45" s="418" t="s">
        <v>2360</v>
      </c>
      <c r="BP45" s="206">
        <f>BN45</f>
        <v>3107.3</v>
      </c>
      <c r="BQ45" s="206">
        <f t="shared" si="22"/>
        <v>0</v>
      </c>
      <c r="BT45" s="206">
        <f t="shared" si="23"/>
        <v>0</v>
      </c>
      <c r="BW45" s="206">
        <f t="shared" si="24"/>
        <v>0</v>
      </c>
      <c r="BZ45" s="206">
        <f t="shared" si="25"/>
        <v>0</v>
      </c>
      <c r="CD45" s="418" t="str">
        <f t="shared" si="26"/>
        <v>CU0720001</v>
      </c>
      <c r="CE45" s="442" t="str">
        <f t="shared" si="27"/>
        <v>2019年4月</v>
      </c>
      <c r="CF45" s="418" t="str">
        <f t="shared" si="28"/>
        <v>上海卫展医clife服务费暂估</v>
      </c>
      <c r="CG45" s="418" t="str">
        <f t="shared" si="29"/>
        <v>2019年4月上海卫展医clife服务费暂估</v>
      </c>
    </row>
    <row r="46" spans="2:85" s="418" customFormat="1" ht="15" customHeight="1">
      <c r="B46" s="418" t="str">
        <f t="shared" si="1"/>
        <v>CU0340</v>
      </c>
      <c r="C46" s="149" t="s">
        <v>950</v>
      </c>
      <c r="D46" s="409" t="s">
        <v>1570</v>
      </c>
      <c r="E46" s="409" t="s">
        <v>76</v>
      </c>
      <c r="F46" s="330">
        <v>43586</v>
      </c>
      <c r="G46" s="422">
        <v>53255.85</v>
      </c>
      <c r="H46" s="427"/>
      <c r="I46" s="427"/>
      <c r="J46" s="421"/>
      <c r="L46" s="206">
        <f t="shared" si="31"/>
        <v>0</v>
      </c>
      <c r="O46" s="206">
        <f t="shared" si="4"/>
        <v>0</v>
      </c>
      <c r="R46" s="206">
        <v>53255.85</v>
      </c>
      <c r="U46" s="206">
        <f t="shared" si="6"/>
        <v>53255.85</v>
      </c>
      <c r="V46" s="418" t="s">
        <v>1634</v>
      </c>
      <c r="X46" s="206">
        <f t="shared" si="7"/>
        <v>53255.85</v>
      </c>
      <c r="Y46" s="418" t="s">
        <v>1672</v>
      </c>
      <c r="AA46" s="206">
        <f t="shared" si="8"/>
        <v>53255.85</v>
      </c>
      <c r="AB46" s="418" t="s">
        <v>1708</v>
      </c>
      <c r="AD46" s="206">
        <f t="shared" si="9"/>
        <v>53255.85</v>
      </c>
      <c r="AE46" s="418" t="s">
        <v>1746</v>
      </c>
      <c r="AG46" s="206">
        <f t="shared" si="10"/>
        <v>53255.85</v>
      </c>
      <c r="AH46" s="418" t="s">
        <v>1825</v>
      </c>
      <c r="AI46" s="206">
        <f>AG46</f>
        <v>53255.85</v>
      </c>
      <c r="AJ46" s="206">
        <f t="shared" si="11"/>
        <v>0</v>
      </c>
      <c r="AK46" s="418" t="s">
        <v>1854</v>
      </c>
      <c r="AM46" s="206">
        <f t="shared" si="35"/>
        <v>0</v>
      </c>
      <c r="AN46" s="418" t="s">
        <v>1934</v>
      </c>
      <c r="AP46" s="206">
        <f t="shared" si="36"/>
        <v>0</v>
      </c>
      <c r="AQ46" s="418" t="s">
        <v>1999</v>
      </c>
      <c r="AS46" s="206">
        <f t="shared" si="14"/>
        <v>0</v>
      </c>
      <c r="AV46" s="206">
        <f t="shared" si="15"/>
        <v>0</v>
      </c>
      <c r="AW46" s="418" t="s">
        <v>2111</v>
      </c>
      <c r="AY46" s="206">
        <f t="shared" si="16"/>
        <v>0</v>
      </c>
      <c r="BB46" s="206">
        <f t="shared" si="17"/>
        <v>0</v>
      </c>
      <c r="BC46" s="418" t="s">
        <v>2204</v>
      </c>
      <c r="BE46" s="206">
        <f t="shared" si="18"/>
        <v>0</v>
      </c>
      <c r="BH46" s="206">
        <f>BE46-BG46</f>
        <v>0</v>
      </c>
      <c r="BK46" s="206">
        <f t="shared" si="20"/>
        <v>0</v>
      </c>
      <c r="BN46" s="206">
        <f t="shared" si="21"/>
        <v>0</v>
      </c>
      <c r="BQ46" s="206">
        <f t="shared" si="22"/>
        <v>0</v>
      </c>
      <c r="BT46" s="206">
        <f t="shared" si="23"/>
        <v>0</v>
      </c>
      <c r="BW46" s="206">
        <f t="shared" si="24"/>
        <v>0</v>
      </c>
      <c r="BZ46" s="206">
        <f t="shared" si="25"/>
        <v>0</v>
      </c>
      <c r="CD46" s="418" t="str">
        <f t="shared" si="26"/>
        <v>CU0340001</v>
      </c>
      <c r="CE46" s="442" t="str">
        <f t="shared" si="27"/>
        <v>2019年5月</v>
      </c>
      <c r="CF46" s="418" t="str">
        <f t="shared" si="28"/>
        <v>盖璞（上海clife服务费暂估</v>
      </c>
      <c r="CG46" s="418" t="str">
        <f t="shared" si="29"/>
        <v>2019年5月盖璞（上海clife服务费暂估</v>
      </c>
    </row>
    <row r="47" spans="2:85" s="418" customFormat="1" ht="15" customHeight="1">
      <c r="B47" s="418" t="str">
        <f t="shared" si="1"/>
        <v>CU0720</v>
      </c>
      <c r="C47" s="149" t="s">
        <v>950</v>
      </c>
      <c r="D47" s="409" t="s">
        <v>1576</v>
      </c>
      <c r="E47" s="409" t="s">
        <v>1333</v>
      </c>
      <c r="F47" s="330">
        <v>43586</v>
      </c>
      <c r="G47" s="422">
        <v>4660.95</v>
      </c>
      <c r="H47" s="427"/>
      <c r="I47" s="427"/>
      <c r="J47" s="421"/>
      <c r="L47" s="206">
        <f t="shared" si="31"/>
        <v>0</v>
      </c>
      <c r="O47" s="206">
        <f t="shared" si="4"/>
        <v>0</v>
      </c>
      <c r="R47" s="206">
        <v>4660.95</v>
      </c>
      <c r="U47" s="206">
        <f t="shared" si="6"/>
        <v>4660.95</v>
      </c>
      <c r="V47" s="418" t="s">
        <v>1634</v>
      </c>
      <c r="X47" s="206">
        <f t="shared" si="7"/>
        <v>4660.95</v>
      </c>
      <c r="Y47" s="418" t="s">
        <v>1672</v>
      </c>
      <c r="AA47" s="206">
        <f t="shared" si="8"/>
        <v>4660.95</v>
      </c>
      <c r="AB47" s="418" t="s">
        <v>1708</v>
      </c>
      <c r="AD47" s="206">
        <f t="shared" si="9"/>
        <v>4660.95</v>
      </c>
      <c r="AE47" s="418" t="s">
        <v>1746</v>
      </c>
      <c r="AG47" s="206">
        <f t="shared" si="10"/>
        <v>4660.95</v>
      </c>
      <c r="AH47" s="418" t="s">
        <v>1825</v>
      </c>
      <c r="AJ47" s="206">
        <f t="shared" si="11"/>
        <v>4660.95</v>
      </c>
      <c r="AK47" s="418" t="s">
        <v>1854</v>
      </c>
      <c r="AM47" s="206">
        <f t="shared" ref="AM47:AM49" si="38">AJ47-AL47</f>
        <v>4660.95</v>
      </c>
      <c r="AN47" s="418" t="s">
        <v>1934</v>
      </c>
      <c r="AP47" s="206">
        <f t="shared" ref="AP47:AP49" si="39">AM47-AO47</f>
        <v>4660.95</v>
      </c>
      <c r="AQ47" s="418" t="s">
        <v>1999</v>
      </c>
      <c r="AS47" s="206">
        <f t="shared" si="14"/>
        <v>4660.95</v>
      </c>
      <c r="AV47" s="206">
        <f t="shared" si="15"/>
        <v>4660.95</v>
      </c>
      <c r="AW47" s="418" t="s">
        <v>2111</v>
      </c>
      <c r="AY47" s="206">
        <f t="shared" si="16"/>
        <v>4660.95</v>
      </c>
      <c r="AZ47" s="418" t="s">
        <v>2134</v>
      </c>
      <c r="BB47" s="206">
        <f t="shared" si="17"/>
        <v>4660.95</v>
      </c>
      <c r="BC47" s="418" t="s">
        <v>2204</v>
      </c>
      <c r="BE47" s="206">
        <f t="shared" si="18"/>
        <v>4660.95</v>
      </c>
      <c r="BF47" s="418" t="s">
        <v>2242</v>
      </c>
      <c r="BH47" s="206">
        <f t="shared" ref="BH47:BH48" si="40">BE47-BG47</f>
        <v>4660.95</v>
      </c>
      <c r="BI47" s="418" t="s">
        <v>2299</v>
      </c>
      <c r="BK47" s="206">
        <f t="shared" si="20"/>
        <v>4660.95</v>
      </c>
      <c r="BL47" s="418" t="s">
        <v>2343</v>
      </c>
      <c r="BN47" s="206">
        <f t="shared" si="21"/>
        <v>4660.95</v>
      </c>
      <c r="BO47" s="418" t="s">
        <v>2360</v>
      </c>
      <c r="BP47" s="206">
        <f>BN47</f>
        <v>4660.95</v>
      </c>
      <c r="BQ47" s="206">
        <f t="shared" si="22"/>
        <v>0</v>
      </c>
      <c r="BT47" s="206">
        <f t="shared" si="23"/>
        <v>0</v>
      </c>
      <c r="BW47" s="206">
        <f t="shared" si="24"/>
        <v>0</v>
      </c>
      <c r="BZ47" s="206">
        <f t="shared" si="25"/>
        <v>0</v>
      </c>
      <c r="CD47" s="418" t="str">
        <f t="shared" si="26"/>
        <v>CU0720001</v>
      </c>
      <c r="CE47" s="442" t="str">
        <f t="shared" si="27"/>
        <v>2019年5月</v>
      </c>
      <c r="CF47" s="418" t="str">
        <f t="shared" si="28"/>
        <v>上海卫展医clife服务费暂估</v>
      </c>
      <c r="CG47" s="418" t="str">
        <f t="shared" si="29"/>
        <v>2019年5月上海卫展医clife服务费暂估</v>
      </c>
    </row>
    <row r="48" spans="2:85" s="418" customFormat="1" ht="15" customHeight="1">
      <c r="B48" s="418" t="str">
        <f t="shared" si="1"/>
        <v>CU0884</v>
      </c>
      <c r="C48" s="149" t="s">
        <v>950</v>
      </c>
      <c r="D48" s="409" t="s">
        <v>1575</v>
      </c>
      <c r="E48" s="409" t="s">
        <v>1528</v>
      </c>
      <c r="F48" s="330">
        <v>43586</v>
      </c>
      <c r="G48" s="422">
        <v>5756.4</v>
      </c>
      <c r="H48" s="427"/>
      <c r="I48" s="427"/>
      <c r="J48" s="421"/>
      <c r="L48" s="206">
        <f t="shared" ref="L48:L66" si="41">I48-K48</f>
        <v>0</v>
      </c>
      <c r="O48" s="206">
        <f t="shared" ref="O48:O66" si="42">L48-N48</f>
        <v>0</v>
      </c>
      <c r="R48" s="206">
        <v>5756.4</v>
      </c>
      <c r="U48" s="206">
        <f t="shared" ref="U48:U66" si="43">R48-T48</f>
        <v>5756.4</v>
      </c>
      <c r="V48" s="418" t="s">
        <v>1634</v>
      </c>
      <c r="X48" s="206">
        <f t="shared" ref="X48:X66" si="44">U48-W48</f>
        <v>5756.4</v>
      </c>
      <c r="Y48" s="418" t="s">
        <v>1672</v>
      </c>
      <c r="AA48" s="206">
        <f t="shared" si="8"/>
        <v>5756.4</v>
      </c>
      <c r="AB48" s="418" t="s">
        <v>1708</v>
      </c>
      <c r="AD48" s="206">
        <f t="shared" si="9"/>
        <v>5756.4</v>
      </c>
      <c r="AE48" s="418" t="s">
        <v>1746</v>
      </c>
      <c r="AG48" s="206">
        <f t="shared" si="10"/>
        <v>5756.4</v>
      </c>
      <c r="AH48" s="418" t="s">
        <v>1825</v>
      </c>
      <c r="AJ48" s="206">
        <f t="shared" si="11"/>
        <v>5756.4</v>
      </c>
      <c r="AK48" s="418" t="s">
        <v>1854</v>
      </c>
      <c r="AM48" s="206">
        <f t="shared" si="38"/>
        <v>5756.4</v>
      </c>
      <c r="AN48" s="418" t="s">
        <v>1934</v>
      </c>
      <c r="AP48" s="206">
        <f t="shared" si="39"/>
        <v>5756.4</v>
      </c>
      <c r="AQ48" s="418" t="s">
        <v>1999</v>
      </c>
      <c r="AS48" s="206">
        <f t="shared" si="14"/>
        <v>5756.4</v>
      </c>
      <c r="AV48" s="206">
        <f t="shared" si="15"/>
        <v>5756.4</v>
      </c>
      <c r="AW48" s="418" t="s">
        <v>2111</v>
      </c>
      <c r="AY48" s="206">
        <f t="shared" si="16"/>
        <v>5756.4</v>
      </c>
      <c r="AZ48" s="418" t="s">
        <v>2134</v>
      </c>
      <c r="BB48" s="206">
        <f t="shared" si="17"/>
        <v>5756.4</v>
      </c>
      <c r="BC48" s="418" t="s">
        <v>2204</v>
      </c>
      <c r="BE48" s="206">
        <f t="shared" si="18"/>
        <v>5756.4</v>
      </c>
      <c r="BF48" s="418" t="s">
        <v>2242</v>
      </c>
      <c r="BG48" s="206">
        <f>BE48</f>
        <v>5756.4</v>
      </c>
      <c r="BH48" s="206">
        <f t="shared" si="40"/>
        <v>0</v>
      </c>
      <c r="BK48" s="206">
        <f t="shared" si="20"/>
        <v>0</v>
      </c>
      <c r="BN48" s="206">
        <f t="shared" si="21"/>
        <v>0</v>
      </c>
      <c r="BQ48" s="206">
        <f t="shared" si="22"/>
        <v>0</v>
      </c>
      <c r="BT48" s="206">
        <f t="shared" si="23"/>
        <v>0</v>
      </c>
      <c r="BW48" s="206">
        <f t="shared" si="24"/>
        <v>0</v>
      </c>
      <c r="BZ48" s="206">
        <f t="shared" si="25"/>
        <v>0</v>
      </c>
      <c r="CD48" s="418" t="str">
        <f t="shared" si="26"/>
        <v>CU0884001</v>
      </c>
      <c r="CE48" s="442" t="str">
        <f t="shared" si="27"/>
        <v>2019年5月</v>
      </c>
      <c r="CF48" s="418" t="str">
        <f t="shared" si="28"/>
        <v>恩德斯豪斯clife服务费暂估</v>
      </c>
      <c r="CG48" s="418" t="str">
        <f t="shared" si="29"/>
        <v>2019年5月恩德斯豪斯clife服务费暂估</v>
      </c>
    </row>
    <row r="49" spans="2:85" s="418" customFormat="1" ht="15" customHeight="1">
      <c r="B49" s="418" t="str">
        <f t="shared" si="1"/>
        <v>CU1352</v>
      </c>
      <c r="C49" s="149" t="s">
        <v>950</v>
      </c>
      <c r="D49" s="409" t="s">
        <v>1657</v>
      </c>
      <c r="E49" s="409" t="s">
        <v>1635</v>
      </c>
      <c r="F49" s="330">
        <v>43586</v>
      </c>
      <c r="G49" s="422">
        <v>946549.94</v>
      </c>
      <c r="H49" s="427"/>
      <c r="I49" s="427"/>
      <c r="J49" s="421"/>
      <c r="L49" s="206">
        <f t="shared" si="41"/>
        <v>0</v>
      </c>
      <c r="O49" s="206">
        <f t="shared" si="42"/>
        <v>0</v>
      </c>
      <c r="R49" s="206">
        <v>946549.94</v>
      </c>
      <c r="U49" s="206">
        <f t="shared" si="43"/>
        <v>946549.94</v>
      </c>
      <c r="V49" s="418" t="s">
        <v>1634</v>
      </c>
      <c r="W49" s="206">
        <f>U49</f>
        <v>946549.94</v>
      </c>
      <c r="X49" s="206">
        <f t="shared" si="44"/>
        <v>0</v>
      </c>
      <c r="Y49" s="418" t="s">
        <v>1672</v>
      </c>
      <c r="AA49" s="206">
        <f t="shared" si="8"/>
        <v>0</v>
      </c>
      <c r="AB49" s="418" t="s">
        <v>1708</v>
      </c>
      <c r="AD49" s="206">
        <f t="shared" si="9"/>
        <v>0</v>
      </c>
      <c r="AE49" s="418" t="s">
        <v>1746</v>
      </c>
      <c r="AG49" s="206">
        <f t="shared" si="10"/>
        <v>0</v>
      </c>
      <c r="AH49" s="418" t="s">
        <v>1825</v>
      </c>
      <c r="AJ49" s="206">
        <f t="shared" si="11"/>
        <v>0</v>
      </c>
      <c r="AK49" s="418" t="s">
        <v>1854</v>
      </c>
      <c r="AM49" s="206">
        <f t="shared" si="38"/>
        <v>0</v>
      </c>
      <c r="AN49" s="418" t="s">
        <v>1934</v>
      </c>
      <c r="AP49" s="206">
        <f t="shared" si="39"/>
        <v>0</v>
      </c>
      <c r="AQ49" s="418" t="s">
        <v>1999</v>
      </c>
      <c r="AS49" s="206">
        <f t="shared" si="14"/>
        <v>0</v>
      </c>
      <c r="AV49" s="206">
        <f t="shared" si="15"/>
        <v>0</v>
      </c>
      <c r="AW49" s="418" t="s">
        <v>2111</v>
      </c>
      <c r="AY49" s="206">
        <f t="shared" si="16"/>
        <v>0</v>
      </c>
      <c r="BB49" s="206">
        <f t="shared" si="17"/>
        <v>0</v>
      </c>
      <c r="BC49" s="418" t="s">
        <v>2204</v>
      </c>
      <c r="BE49" s="206">
        <f t="shared" si="18"/>
        <v>0</v>
      </c>
      <c r="BH49" s="206">
        <f>BE49-BG49</f>
        <v>0</v>
      </c>
      <c r="BK49" s="206">
        <f t="shared" si="20"/>
        <v>0</v>
      </c>
      <c r="BN49" s="206">
        <f t="shared" si="21"/>
        <v>0</v>
      </c>
      <c r="BQ49" s="206">
        <f t="shared" si="22"/>
        <v>0</v>
      </c>
      <c r="BT49" s="206">
        <f t="shared" si="23"/>
        <v>0</v>
      </c>
      <c r="BW49" s="206">
        <f t="shared" si="24"/>
        <v>0</v>
      </c>
      <c r="BZ49" s="206">
        <f t="shared" si="25"/>
        <v>0</v>
      </c>
      <c r="CD49" s="418" t="str">
        <f t="shared" si="26"/>
        <v>CU1352001</v>
      </c>
      <c r="CE49" s="442" t="str">
        <f t="shared" si="27"/>
        <v>2019年5月</v>
      </c>
      <c r="CF49" s="418" t="str">
        <f t="shared" si="28"/>
        <v>上海得力润clife服务费暂估</v>
      </c>
      <c r="CG49" s="418" t="str">
        <f t="shared" si="29"/>
        <v>2019年5月上海得力润clife服务费暂估</v>
      </c>
    </row>
    <row r="50" spans="2:85" s="515" customFormat="1" ht="15" customHeight="1">
      <c r="B50" s="418" t="str">
        <f t="shared" si="1"/>
        <v>CU0340</v>
      </c>
      <c r="C50" s="516" t="s">
        <v>950</v>
      </c>
      <c r="D50" s="517" t="s">
        <v>1734</v>
      </c>
      <c r="E50" s="517" t="s">
        <v>76</v>
      </c>
      <c r="F50" s="518">
        <v>43617</v>
      </c>
      <c r="G50" s="519">
        <v>60754.39</v>
      </c>
      <c r="H50" s="427"/>
      <c r="I50" s="427"/>
      <c r="J50" s="421"/>
      <c r="K50" s="418"/>
      <c r="L50" s="206">
        <f t="shared" si="41"/>
        <v>0</v>
      </c>
      <c r="M50" s="418"/>
      <c r="N50" s="418"/>
      <c r="O50" s="206">
        <f t="shared" si="42"/>
        <v>0</v>
      </c>
      <c r="P50" s="418"/>
      <c r="Q50" s="418"/>
      <c r="R50" s="206">
        <f t="shared" ref="R50:R66" si="45">O50-Q50</f>
        <v>0</v>
      </c>
      <c r="S50" s="418"/>
      <c r="T50" s="418"/>
      <c r="U50" s="206">
        <v>60754.39</v>
      </c>
      <c r="V50" s="418"/>
      <c r="W50" s="418"/>
      <c r="X50" s="206">
        <f t="shared" si="44"/>
        <v>60754.39</v>
      </c>
      <c r="Y50" s="418" t="s">
        <v>1673</v>
      </c>
      <c r="Z50" s="418"/>
      <c r="AA50" s="206">
        <f t="shared" si="8"/>
        <v>60754.39</v>
      </c>
      <c r="AB50" s="418" t="s">
        <v>1709</v>
      </c>
      <c r="AC50" s="418"/>
      <c r="AD50" s="206">
        <f t="shared" si="9"/>
        <v>60754.39</v>
      </c>
      <c r="AE50" s="418" t="s">
        <v>1747</v>
      </c>
      <c r="AF50" s="418"/>
      <c r="AG50" s="206">
        <f t="shared" si="10"/>
        <v>60754.39</v>
      </c>
      <c r="AH50" s="418" t="s">
        <v>1826</v>
      </c>
      <c r="AI50" s="206">
        <f>ROUND(211040/1.06,2)-AI44-AI46</f>
        <v>50754.530500000001</v>
      </c>
      <c r="AJ50" s="206">
        <f t="shared" si="11"/>
        <v>9999.8594999999987</v>
      </c>
      <c r="AK50" s="418" t="s">
        <v>1855</v>
      </c>
      <c r="AL50" s="206"/>
      <c r="AM50" s="206">
        <f t="shared" ref="AM50:AM52" si="46">AJ50-AL50</f>
        <v>9999.8594999999987</v>
      </c>
      <c r="AN50" s="418" t="s">
        <v>1935</v>
      </c>
      <c r="AO50" s="418"/>
      <c r="AP50" s="206">
        <f>AM50-AO50</f>
        <v>9999.8594999999987</v>
      </c>
      <c r="AQ50" s="418" t="s">
        <v>2000</v>
      </c>
      <c r="AS50" s="509">
        <f t="shared" si="14"/>
        <v>9999.8594999999987</v>
      </c>
      <c r="AV50" s="509">
        <f t="shared" si="15"/>
        <v>9999.8594999999987</v>
      </c>
      <c r="AW50" s="515" t="s">
        <v>2267</v>
      </c>
      <c r="AY50" s="509">
        <f t="shared" si="16"/>
        <v>9999.8594999999987</v>
      </c>
      <c r="AZ50" s="515" t="s">
        <v>2268</v>
      </c>
      <c r="BB50" s="509">
        <f t="shared" si="17"/>
        <v>9999.8594999999987</v>
      </c>
      <c r="BC50" s="515" t="s">
        <v>2269</v>
      </c>
      <c r="BD50" s="515">
        <f>117</f>
        <v>117</v>
      </c>
      <c r="BE50" s="509">
        <f t="shared" si="18"/>
        <v>9882.8594999999987</v>
      </c>
      <c r="BF50" s="515" t="s">
        <v>2270</v>
      </c>
      <c r="BH50" s="206">
        <f>BE50-BG50</f>
        <v>9882.8594999999987</v>
      </c>
      <c r="BI50" s="418" t="s">
        <v>2299</v>
      </c>
      <c r="BK50" s="206">
        <f t="shared" si="20"/>
        <v>9882.8594999999987</v>
      </c>
      <c r="BL50" s="418" t="s">
        <v>2343</v>
      </c>
      <c r="BN50" s="206">
        <f t="shared" si="21"/>
        <v>9882.8594999999987</v>
      </c>
      <c r="BO50" s="418" t="s">
        <v>2360</v>
      </c>
      <c r="BP50" s="509">
        <f>BN50</f>
        <v>9882.8594999999987</v>
      </c>
      <c r="BQ50" s="206">
        <f t="shared" si="22"/>
        <v>0</v>
      </c>
      <c r="BT50" s="206">
        <f t="shared" si="23"/>
        <v>0</v>
      </c>
      <c r="BW50" s="206">
        <f t="shared" si="24"/>
        <v>0</v>
      </c>
      <c r="BZ50" s="206">
        <f t="shared" si="25"/>
        <v>0</v>
      </c>
      <c r="CD50" s="418" t="str">
        <f t="shared" si="26"/>
        <v>CU0340001</v>
      </c>
      <c r="CE50" s="442" t="str">
        <f t="shared" si="27"/>
        <v>2019年6月</v>
      </c>
      <c r="CF50" s="418" t="str">
        <f t="shared" si="28"/>
        <v>盖璞（上海clife服务费暂估</v>
      </c>
      <c r="CG50" s="418" t="str">
        <f t="shared" si="29"/>
        <v>2019年6月盖璞（上海clife服务费暂估</v>
      </c>
    </row>
    <row r="51" spans="2:85" s="510" customFormat="1" ht="15" customHeight="1">
      <c r="B51" s="418" t="str">
        <f t="shared" si="1"/>
        <v>CU0340</v>
      </c>
      <c r="C51" s="511" t="s">
        <v>950</v>
      </c>
      <c r="D51" s="54" t="s">
        <v>1734</v>
      </c>
      <c r="E51" s="54" t="s">
        <v>76</v>
      </c>
      <c r="F51" s="512">
        <v>43647</v>
      </c>
      <c r="G51" s="513">
        <v>54621.599999999999</v>
      </c>
      <c r="H51" s="427"/>
      <c r="I51" s="427"/>
      <c r="J51" s="421"/>
      <c r="K51" s="418"/>
      <c r="L51" s="206">
        <f t="shared" si="41"/>
        <v>0</v>
      </c>
      <c r="M51" s="418"/>
      <c r="N51" s="418"/>
      <c r="O51" s="206">
        <f t="shared" si="42"/>
        <v>0</v>
      </c>
      <c r="P51" s="418"/>
      <c r="Q51" s="418"/>
      <c r="R51" s="206">
        <f t="shared" si="45"/>
        <v>0</v>
      </c>
      <c r="S51" s="418"/>
      <c r="T51" s="418"/>
      <c r="U51" s="206">
        <f t="shared" si="43"/>
        <v>0</v>
      </c>
      <c r="V51" s="418"/>
      <c r="W51" s="418"/>
      <c r="X51" s="206">
        <f>G51</f>
        <v>54621.599999999999</v>
      </c>
      <c r="Y51" s="418"/>
      <c r="Z51" s="418"/>
      <c r="AA51" s="206">
        <f t="shared" si="8"/>
        <v>54621.599999999999</v>
      </c>
      <c r="AB51" s="418" t="s">
        <v>1737</v>
      </c>
      <c r="AC51" s="418"/>
      <c r="AD51" s="206">
        <f t="shared" si="9"/>
        <v>54621.599999999999</v>
      </c>
      <c r="AE51" s="418" t="s">
        <v>1752</v>
      </c>
      <c r="AF51" s="418"/>
      <c r="AG51" s="206">
        <f t="shared" si="10"/>
        <v>54621.599999999999</v>
      </c>
      <c r="AH51" s="418" t="s">
        <v>1828</v>
      </c>
      <c r="AI51" s="418"/>
      <c r="AJ51" s="206">
        <f t="shared" si="11"/>
        <v>54621.599999999999</v>
      </c>
      <c r="AK51" s="418" t="s">
        <v>1856</v>
      </c>
      <c r="AL51" s="206"/>
      <c r="AM51" s="206">
        <f t="shared" si="46"/>
        <v>54621.599999999999</v>
      </c>
      <c r="AN51" s="418" t="s">
        <v>1936</v>
      </c>
      <c r="AO51" s="418"/>
      <c r="AP51" s="206">
        <f>AM51-AO51</f>
        <v>54621.599999999999</v>
      </c>
      <c r="AQ51" s="418" t="s">
        <v>2001</v>
      </c>
      <c r="AS51" s="514">
        <f t="shared" si="14"/>
        <v>54621.599999999999</v>
      </c>
      <c r="AV51" s="514">
        <f t="shared" si="15"/>
        <v>54621.599999999999</v>
      </c>
      <c r="AW51" s="510" t="s">
        <v>2111</v>
      </c>
      <c r="AY51" s="514">
        <f t="shared" si="16"/>
        <v>54621.599999999999</v>
      </c>
      <c r="AZ51" s="510" t="s">
        <v>2134</v>
      </c>
      <c r="BB51" s="514">
        <f t="shared" si="17"/>
        <v>54621.599999999999</v>
      </c>
      <c r="BC51" s="510" t="s">
        <v>2204</v>
      </c>
      <c r="BD51" s="510">
        <v>54621.599999999999</v>
      </c>
      <c r="BE51" s="514">
        <f t="shared" si="18"/>
        <v>0</v>
      </c>
      <c r="BF51" s="510" t="s">
        <v>2242</v>
      </c>
      <c r="BH51" s="510">
        <f t="shared" ref="BH51:BH76" si="47">BE51-BG51</f>
        <v>0</v>
      </c>
      <c r="BK51" s="206">
        <f t="shared" si="20"/>
        <v>0</v>
      </c>
      <c r="BN51" s="206">
        <f t="shared" si="21"/>
        <v>0</v>
      </c>
      <c r="BQ51" s="206">
        <f t="shared" si="22"/>
        <v>0</v>
      </c>
      <c r="BT51" s="206">
        <f t="shared" si="23"/>
        <v>0</v>
      </c>
      <c r="BW51" s="206">
        <f t="shared" si="24"/>
        <v>0</v>
      </c>
      <c r="BZ51" s="206">
        <f t="shared" si="25"/>
        <v>0</v>
      </c>
      <c r="CD51" s="418" t="str">
        <f t="shared" si="26"/>
        <v>CU0340001</v>
      </c>
      <c r="CE51" s="442" t="str">
        <f t="shared" si="27"/>
        <v>2019年7月</v>
      </c>
      <c r="CF51" s="418" t="str">
        <f t="shared" si="28"/>
        <v>盖璞（上海clife服务费暂估</v>
      </c>
      <c r="CG51" s="418" t="str">
        <f t="shared" si="29"/>
        <v>2019年7月盖璞（上海clife服务费暂估</v>
      </c>
    </row>
    <row r="52" spans="2:85" s="418" customFormat="1" ht="15" customHeight="1">
      <c r="B52" s="418" t="str">
        <f t="shared" si="1"/>
        <v>CU1352</v>
      </c>
      <c r="C52" s="149" t="s">
        <v>950</v>
      </c>
      <c r="D52" s="409" t="s">
        <v>1735</v>
      </c>
      <c r="E52" s="409" t="s">
        <v>1736</v>
      </c>
      <c r="F52" s="330">
        <v>43647</v>
      </c>
      <c r="G52" s="422">
        <v>985850</v>
      </c>
      <c r="H52" s="427"/>
      <c r="I52" s="427"/>
      <c r="J52" s="421"/>
      <c r="L52" s="206">
        <f t="shared" si="41"/>
        <v>0</v>
      </c>
      <c r="O52" s="206">
        <f t="shared" si="42"/>
        <v>0</v>
      </c>
      <c r="R52" s="206">
        <f t="shared" si="45"/>
        <v>0</v>
      </c>
      <c r="U52" s="206">
        <f t="shared" si="43"/>
        <v>0</v>
      </c>
      <c r="X52" s="206">
        <f>G52</f>
        <v>985850</v>
      </c>
      <c r="AA52" s="206">
        <f t="shared" si="8"/>
        <v>985850</v>
      </c>
      <c r="AB52" s="418" t="s">
        <v>1737</v>
      </c>
      <c r="AC52" s="206">
        <f>AA52</f>
        <v>985850</v>
      </c>
      <c r="AD52" s="206">
        <f t="shared" si="9"/>
        <v>0</v>
      </c>
      <c r="AE52" s="418" t="s">
        <v>1752</v>
      </c>
      <c r="AG52" s="206">
        <f t="shared" si="10"/>
        <v>0</v>
      </c>
      <c r="AH52" s="418" t="s">
        <v>1828</v>
      </c>
      <c r="AJ52" s="206">
        <f t="shared" si="11"/>
        <v>0</v>
      </c>
      <c r="AK52" s="418" t="s">
        <v>1856</v>
      </c>
      <c r="AM52" s="206">
        <f t="shared" si="46"/>
        <v>0</v>
      </c>
      <c r="AN52" s="418" t="s">
        <v>1936</v>
      </c>
      <c r="AP52" s="206">
        <f>AM52-AO52</f>
        <v>0</v>
      </c>
      <c r="AQ52" s="418" t="s">
        <v>2001</v>
      </c>
      <c r="AS52" s="206">
        <f t="shared" si="14"/>
        <v>0</v>
      </c>
      <c r="AV52" s="206">
        <f t="shared" si="15"/>
        <v>0</v>
      </c>
      <c r="AW52" s="418" t="s">
        <v>2111</v>
      </c>
      <c r="AY52" s="206">
        <f t="shared" si="16"/>
        <v>0</v>
      </c>
      <c r="BB52" s="206">
        <f t="shared" si="17"/>
        <v>0</v>
      </c>
      <c r="BC52" s="418" t="s">
        <v>2204</v>
      </c>
      <c r="BE52" s="206">
        <f t="shared" si="18"/>
        <v>0</v>
      </c>
      <c r="BH52" s="418">
        <f t="shared" si="47"/>
        <v>0</v>
      </c>
      <c r="BK52" s="206">
        <f t="shared" si="20"/>
        <v>0</v>
      </c>
      <c r="BN52" s="206">
        <f t="shared" si="21"/>
        <v>0</v>
      </c>
      <c r="BQ52" s="206">
        <f t="shared" si="22"/>
        <v>0</v>
      </c>
      <c r="BT52" s="206">
        <f t="shared" si="23"/>
        <v>0</v>
      </c>
      <c r="BW52" s="206">
        <f t="shared" si="24"/>
        <v>0</v>
      </c>
      <c r="BZ52" s="206">
        <f t="shared" si="25"/>
        <v>0</v>
      </c>
      <c r="CD52" s="418" t="str">
        <f t="shared" si="26"/>
        <v>CU1352001</v>
      </c>
      <c r="CE52" s="442" t="str">
        <f t="shared" si="27"/>
        <v>2019年7月</v>
      </c>
      <c r="CF52" s="418" t="str">
        <f t="shared" si="28"/>
        <v>上海得力润clife服务费暂估</v>
      </c>
      <c r="CG52" s="418" t="str">
        <f t="shared" si="29"/>
        <v>2019年7月上海得力润clife服务费暂估</v>
      </c>
    </row>
    <row r="53" spans="2:85" s="515" customFormat="1" ht="15" customHeight="1">
      <c r="B53" s="418" t="str">
        <f t="shared" si="1"/>
        <v>CU0340</v>
      </c>
      <c r="C53" s="516" t="s">
        <v>2271</v>
      </c>
      <c r="D53" s="517" t="s">
        <v>2272</v>
      </c>
      <c r="E53" s="517" t="s">
        <v>76</v>
      </c>
      <c r="F53" s="518">
        <v>43678</v>
      </c>
      <c r="G53" s="519">
        <v>57426.27</v>
      </c>
      <c r="H53" s="427"/>
      <c r="I53" s="427"/>
      <c r="J53" s="421"/>
      <c r="K53" s="418"/>
      <c r="L53" s="206">
        <f t="shared" ref="L53:L63" si="48">I53-K53</f>
        <v>0</v>
      </c>
      <c r="M53" s="418"/>
      <c r="N53" s="418"/>
      <c r="O53" s="206">
        <f t="shared" ref="O53:O63" si="49">L53-N53</f>
        <v>0</v>
      </c>
      <c r="P53" s="418"/>
      <c r="Q53" s="418"/>
      <c r="R53" s="206">
        <f t="shared" ref="R53:R63" si="50">O53-Q53</f>
        <v>0</v>
      </c>
      <c r="S53" s="418"/>
      <c r="T53" s="418"/>
      <c r="U53" s="206">
        <f t="shared" ref="U53:U63" si="51">R53-T53</f>
        <v>0</v>
      </c>
      <c r="V53" s="418"/>
      <c r="W53" s="418"/>
      <c r="X53" s="206">
        <v>57426.27</v>
      </c>
      <c r="Y53" s="418"/>
      <c r="Z53" s="418"/>
      <c r="AA53" s="206">
        <f t="shared" ref="AA53:AA63" si="52">X53-Z53</f>
        <v>57426.27</v>
      </c>
      <c r="AB53" s="418"/>
      <c r="AC53" s="418"/>
      <c r="AD53" s="206">
        <f t="shared" ref="AD53:AD63" si="53">AA53-AC53</f>
        <v>57426.27</v>
      </c>
      <c r="AE53" s="418" t="s">
        <v>1757</v>
      </c>
      <c r="AF53" s="418">
        <f>9025+900</f>
        <v>9925</v>
      </c>
      <c r="AG53" s="206">
        <f t="shared" si="10"/>
        <v>47501.27</v>
      </c>
      <c r="AH53" s="418" t="s">
        <v>1829</v>
      </c>
      <c r="AI53" s="418"/>
      <c r="AJ53" s="206">
        <f t="shared" si="11"/>
        <v>47501.27</v>
      </c>
      <c r="AK53" s="418" t="s">
        <v>1857</v>
      </c>
      <c r="AL53" s="418"/>
      <c r="AM53" s="206">
        <f>AJ53-AL53</f>
        <v>47501.27</v>
      </c>
      <c r="AN53" s="418" t="s">
        <v>1937</v>
      </c>
      <c r="AO53" s="418"/>
      <c r="AP53" s="206">
        <f>AM53-AO53</f>
        <v>47501.27</v>
      </c>
      <c r="AQ53" s="418" t="s">
        <v>2002</v>
      </c>
      <c r="AS53" s="509">
        <f t="shared" si="14"/>
        <v>47501.27</v>
      </c>
      <c r="AV53" s="509">
        <f t="shared" si="15"/>
        <v>47501.27</v>
      </c>
      <c r="AW53" s="515" t="s">
        <v>2267</v>
      </c>
      <c r="AY53" s="509">
        <f t="shared" si="16"/>
        <v>47501.27</v>
      </c>
      <c r="AZ53" s="515" t="s">
        <v>2268</v>
      </c>
      <c r="BB53" s="509">
        <f t="shared" si="17"/>
        <v>47501.27</v>
      </c>
      <c r="BC53" s="515" t="s">
        <v>2269</v>
      </c>
      <c r="BD53" s="515">
        <f>54631.27-BD51</f>
        <v>9.6699999999982538</v>
      </c>
      <c r="BE53" s="509">
        <f t="shared" si="18"/>
        <v>47491.6</v>
      </c>
      <c r="BF53" s="515" t="s">
        <v>2270</v>
      </c>
      <c r="BH53" s="206">
        <f t="shared" si="47"/>
        <v>47491.6</v>
      </c>
      <c r="BI53" s="418" t="s">
        <v>2299</v>
      </c>
      <c r="BK53" s="206">
        <f t="shared" si="20"/>
        <v>47491.6</v>
      </c>
      <c r="BL53" s="418" t="s">
        <v>2343</v>
      </c>
      <c r="BM53" s="515">
        <v>2050</v>
      </c>
      <c r="BN53" s="206">
        <f t="shared" si="21"/>
        <v>45441.599999999999</v>
      </c>
      <c r="BO53" s="418" t="s">
        <v>2360</v>
      </c>
      <c r="BP53" s="509">
        <f>BN53</f>
        <v>45441.599999999999</v>
      </c>
      <c r="BQ53" s="206">
        <f t="shared" si="22"/>
        <v>0</v>
      </c>
      <c r="BT53" s="206">
        <f t="shared" si="23"/>
        <v>0</v>
      </c>
      <c r="BW53" s="206">
        <f t="shared" si="24"/>
        <v>0</v>
      </c>
      <c r="BZ53" s="206">
        <f t="shared" si="25"/>
        <v>0</v>
      </c>
      <c r="CD53" s="418" t="str">
        <f t="shared" si="26"/>
        <v>CU0340001</v>
      </c>
      <c r="CE53" s="442" t="str">
        <f t="shared" si="27"/>
        <v>2019年8月</v>
      </c>
      <c r="CF53" s="418" t="str">
        <f t="shared" si="28"/>
        <v>盖璞（上海clife服务费暂估</v>
      </c>
      <c r="CG53" s="418" t="str">
        <f t="shared" si="29"/>
        <v>2019年8月盖璞（上海clife服务费暂估</v>
      </c>
    </row>
    <row r="54" spans="2:85" s="515" customFormat="1" ht="15" customHeight="1">
      <c r="B54" s="418" t="str">
        <f t="shared" si="1"/>
        <v>CU0720</v>
      </c>
      <c r="C54" s="516" t="s">
        <v>2271</v>
      </c>
      <c r="D54" s="517" t="s">
        <v>2273</v>
      </c>
      <c r="E54" s="517" t="s">
        <v>2274</v>
      </c>
      <c r="F54" s="518">
        <v>43678</v>
      </c>
      <c r="G54" s="519">
        <v>5178.83</v>
      </c>
      <c r="H54" s="427"/>
      <c r="I54" s="427"/>
      <c r="J54" s="421"/>
      <c r="K54" s="418"/>
      <c r="L54" s="206">
        <f t="shared" si="48"/>
        <v>0</v>
      </c>
      <c r="M54" s="418"/>
      <c r="N54" s="418"/>
      <c r="O54" s="206">
        <f t="shared" si="49"/>
        <v>0</v>
      </c>
      <c r="P54" s="418"/>
      <c r="Q54" s="418"/>
      <c r="R54" s="206">
        <f t="shared" si="50"/>
        <v>0</v>
      </c>
      <c r="S54" s="418"/>
      <c r="T54" s="418"/>
      <c r="U54" s="206">
        <f t="shared" si="51"/>
        <v>0</v>
      </c>
      <c r="V54" s="418"/>
      <c r="W54" s="418"/>
      <c r="X54" s="206">
        <v>5178.83</v>
      </c>
      <c r="Y54" s="418"/>
      <c r="Z54" s="418"/>
      <c r="AA54" s="206">
        <f t="shared" si="52"/>
        <v>5178.83</v>
      </c>
      <c r="AB54" s="418"/>
      <c r="AC54" s="418"/>
      <c r="AD54" s="206">
        <f t="shared" si="53"/>
        <v>5178.83</v>
      </c>
      <c r="AE54" s="418" t="s">
        <v>1757</v>
      </c>
      <c r="AF54" s="418"/>
      <c r="AG54" s="206">
        <f t="shared" si="10"/>
        <v>5178.83</v>
      </c>
      <c r="AH54" s="418" t="s">
        <v>1829</v>
      </c>
      <c r="AI54" s="418"/>
      <c r="AJ54" s="206">
        <f t="shared" si="11"/>
        <v>5178.83</v>
      </c>
      <c r="AK54" s="418" t="s">
        <v>1857</v>
      </c>
      <c r="AL54" s="418"/>
      <c r="AM54" s="206">
        <f t="shared" ref="AM54:AM55" si="54">AJ54-AL54</f>
        <v>5178.83</v>
      </c>
      <c r="AN54" s="418" t="s">
        <v>1937</v>
      </c>
      <c r="AO54" s="418"/>
      <c r="AP54" s="206">
        <f t="shared" ref="AP54:AP57" si="55">AM54-AO54</f>
        <v>5178.83</v>
      </c>
      <c r="AQ54" s="418" t="s">
        <v>2002</v>
      </c>
      <c r="AS54" s="509">
        <f t="shared" si="14"/>
        <v>5178.83</v>
      </c>
      <c r="AV54" s="509">
        <f t="shared" si="15"/>
        <v>5178.83</v>
      </c>
      <c r="AW54" s="515" t="s">
        <v>2267</v>
      </c>
      <c r="AY54" s="509">
        <f t="shared" si="16"/>
        <v>5178.83</v>
      </c>
      <c r="AZ54" s="515" t="s">
        <v>2268</v>
      </c>
      <c r="BB54" s="509">
        <f t="shared" si="17"/>
        <v>5178.83</v>
      </c>
      <c r="BC54" s="515" t="s">
        <v>2269</v>
      </c>
      <c r="BE54" s="509">
        <f t="shared" si="18"/>
        <v>5178.83</v>
      </c>
      <c r="BF54" s="515" t="s">
        <v>2270</v>
      </c>
      <c r="BH54" s="206">
        <f t="shared" si="47"/>
        <v>5178.83</v>
      </c>
      <c r="BI54" s="418" t="s">
        <v>2299</v>
      </c>
      <c r="BK54" s="206">
        <f t="shared" si="20"/>
        <v>5178.83</v>
      </c>
      <c r="BL54" s="418" t="s">
        <v>2343</v>
      </c>
      <c r="BN54" s="206">
        <f t="shared" si="21"/>
        <v>5178.83</v>
      </c>
      <c r="BO54" s="418" t="s">
        <v>2360</v>
      </c>
      <c r="BP54" s="206">
        <f>BN54</f>
        <v>5178.83</v>
      </c>
      <c r="BQ54" s="206">
        <f t="shared" si="22"/>
        <v>0</v>
      </c>
      <c r="BT54" s="206">
        <f t="shared" si="23"/>
        <v>0</v>
      </c>
      <c r="BW54" s="206">
        <f t="shared" si="24"/>
        <v>0</v>
      </c>
      <c r="BZ54" s="206">
        <f t="shared" si="25"/>
        <v>0</v>
      </c>
      <c r="CD54" s="418" t="str">
        <f t="shared" si="26"/>
        <v>CU0720001</v>
      </c>
      <c r="CE54" s="442" t="str">
        <f t="shared" si="27"/>
        <v>2019年8月</v>
      </c>
      <c r="CF54" s="418" t="str">
        <f t="shared" si="28"/>
        <v>上海卫展医clife服务费暂估</v>
      </c>
      <c r="CG54" s="418" t="str">
        <f t="shared" si="29"/>
        <v>2019年8月上海卫展医clife服务费暂估</v>
      </c>
    </row>
    <row r="55" spans="2:85" s="515" customFormat="1" ht="15" customHeight="1">
      <c r="B55" s="418" t="str">
        <f t="shared" si="1"/>
        <v>CU0979</v>
      </c>
      <c r="C55" s="516" t="s">
        <v>2271</v>
      </c>
      <c r="D55" s="517" t="s">
        <v>2275</v>
      </c>
      <c r="E55" s="517" t="s">
        <v>2276</v>
      </c>
      <c r="F55" s="518">
        <v>43678</v>
      </c>
      <c r="G55" s="519">
        <v>32483.84</v>
      </c>
      <c r="H55" s="427"/>
      <c r="I55" s="427"/>
      <c r="J55" s="421"/>
      <c r="K55" s="418"/>
      <c r="L55" s="206">
        <f t="shared" si="48"/>
        <v>0</v>
      </c>
      <c r="M55" s="418"/>
      <c r="N55" s="418"/>
      <c r="O55" s="206">
        <f t="shared" si="49"/>
        <v>0</v>
      </c>
      <c r="P55" s="418"/>
      <c r="Q55" s="418"/>
      <c r="R55" s="206">
        <f t="shared" si="50"/>
        <v>0</v>
      </c>
      <c r="S55" s="418"/>
      <c r="T55" s="418"/>
      <c r="U55" s="206">
        <f t="shared" si="51"/>
        <v>0</v>
      </c>
      <c r="V55" s="418"/>
      <c r="W55" s="418"/>
      <c r="X55" s="206">
        <v>32483.84</v>
      </c>
      <c r="Y55" s="418"/>
      <c r="Z55" s="418"/>
      <c r="AA55" s="206">
        <f t="shared" si="52"/>
        <v>32483.84</v>
      </c>
      <c r="AB55" s="418"/>
      <c r="AC55" s="418"/>
      <c r="AD55" s="206">
        <f t="shared" si="53"/>
        <v>32483.84</v>
      </c>
      <c r="AE55" s="418" t="s">
        <v>1757</v>
      </c>
      <c r="AF55" s="418"/>
      <c r="AG55" s="206">
        <f t="shared" si="10"/>
        <v>32483.84</v>
      </c>
      <c r="AH55" s="418" t="s">
        <v>1829</v>
      </c>
      <c r="AI55" s="418"/>
      <c r="AJ55" s="206">
        <f t="shared" si="11"/>
        <v>32483.84</v>
      </c>
      <c r="AK55" s="418" t="s">
        <v>1857</v>
      </c>
      <c r="AL55" s="418"/>
      <c r="AM55" s="206">
        <f t="shared" si="54"/>
        <v>32483.84</v>
      </c>
      <c r="AN55" s="418" t="s">
        <v>1937</v>
      </c>
      <c r="AO55" s="418"/>
      <c r="AP55" s="206">
        <f t="shared" si="55"/>
        <v>32483.84</v>
      </c>
      <c r="AQ55" s="418" t="s">
        <v>2002</v>
      </c>
      <c r="AS55" s="509">
        <f t="shared" si="14"/>
        <v>32483.84</v>
      </c>
      <c r="AV55" s="509">
        <f t="shared" si="15"/>
        <v>32483.84</v>
      </c>
      <c r="AW55" s="515" t="s">
        <v>2267</v>
      </c>
      <c r="AY55" s="509">
        <f t="shared" si="16"/>
        <v>32483.84</v>
      </c>
      <c r="AZ55" s="515" t="s">
        <v>2268</v>
      </c>
      <c r="BB55" s="509">
        <f t="shared" si="17"/>
        <v>32483.84</v>
      </c>
      <c r="BC55" s="515" t="s">
        <v>2269</v>
      </c>
      <c r="BE55" s="509">
        <f t="shared" si="18"/>
        <v>32483.84</v>
      </c>
      <c r="BF55" s="515" t="s">
        <v>2270</v>
      </c>
      <c r="BH55" s="206">
        <f t="shared" si="47"/>
        <v>32483.84</v>
      </c>
      <c r="BI55" s="418" t="s">
        <v>2299</v>
      </c>
      <c r="BK55" s="206">
        <f t="shared" si="20"/>
        <v>32483.84</v>
      </c>
      <c r="BL55" s="418" t="s">
        <v>2343</v>
      </c>
      <c r="BN55" s="206">
        <f t="shared" si="21"/>
        <v>32483.84</v>
      </c>
      <c r="BO55" s="418" t="s">
        <v>2360</v>
      </c>
      <c r="BQ55" s="206">
        <f t="shared" si="22"/>
        <v>32483.84</v>
      </c>
      <c r="BT55" s="206">
        <f t="shared" si="23"/>
        <v>32483.84</v>
      </c>
      <c r="BU55" s="418" t="s">
        <v>2219</v>
      </c>
      <c r="BW55" s="206">
        <f t="shared" si="24"/>
        <v>32483.84</v>
      </c>
      <c r="BZ55" s="206">
        <f t="shared" si="25"/>
        <v>32483.84</v>
      </c>
      <c r="CD55" s="418" t="str">
        <f t="shared" si="26"/>
        <v>CU0979001</v>
      </c>
      <c r="CE55" s="442" t="str">
        <f t="shared" si="27"/>
        <v>2019年8月</v>
      </c>
      <c r="CF55" s="418" t="str">
        <f t="shared" si="28"/>
        <v>斯必克（上clife服务费暂估</v>
      </c>
      <c r="CG55" s="418" t="str">
        <f t="shared" si="29"/>
        <v>2019年8月斯必克（上clife服务费暂估</v>
      </c>
    </row>
    <row r="56" spans="2:85" s="515" customFormat="1" ht="15" customHeight="1">
      <c r="B56" s="418" t="str">
        <f t="shared" si="1"/>
        <v>CU0340</v>
      </c>
      <c r="C56" s="516" t="s">
        <v>2271</v>
      </c>
      <c r="D56" s="517" t="s">
        <v>1570</v>
      </c>
      <c r="E56" s="517" t="s">
        <v>76</v>
      </c>
      <c r="F56" s="518">
        <v>43709</v>
      </c>
      <c r="G56" s="519">
        <v>5111.3100000000004</v>
      </c>
      <c r="H56" s="427"/>
      <c r="I56" s="427"/>
      <c r="J56" s="421"/>
      <c r="K56" s="418"/>
      <c r="L56" s="206">
        <f t="shared" si="48"/>
        <v>0</v>
      </c>
      <c r="M56" s="418"/>
      <c r="N56" s="418"/>
      <c r="O56" s="206">
        <f t="shared" si="49"/>
        <v>0</v>
      </c>
      <c r="P56" s="418"/>
      <c r="Q56" s="418"/>
      <c r="R56" s="206">
        <f t="shared" si="50"/>
        <v>0</v>
      </c>
      <c r="S56" s="418"/>
      <c r="T56" s="418"/>
      <c r="U56" s="206">
        <f t="shared" si="51"/>
        <v>0</v>
      </c>
      <c r="V56" s="418"/>
      <c r="W56" s="418"/>
      <c r="X56" s="206">
        <f t="shared" ref="X56:X63" si="56">U56-W56</f>
        <v>0</v>
      </c>
      <c r="Y56" s="418"/>
      <c r="Z56" s="418"/>
      <c r="AA56" s="206">
        <f>G56</f>
        <v>5111.3100000000004</v>
      </c>
      <c r="AB56" s="418"/>
      <c r="AC56" s="418"/>
      <c r="AD56" s="206">
        <f t="shared" si="53"/>
        <v>5111.3100000000004</v>
      </c>
      <c r="AE56" s="418"/>
      <c r="AF56" s="418"/>
      <c r="AG56" s="206">
        <f t="shared" si="10"/>
        <v>5111.3100000000004</v>
      </c>
      <c r="AH56" s="418" t="s">
        <v>1835</v>
      </c>
      <c r="AI56" s="418"/>
      <c r="AJ56" s="206">
        <f t="shared" si="11"/>
        <v>5111.3100000000004</v>
      </c>
      <c r="AK56" s="418" t="s">
        <v>1858</v>
      </c>
      <c r="AL56" s="418"/>
      <c r="AM56" s="206">
        <f t="shared" ref="AM56:AM60" si="57">AJ56-AL56</f>
        <v>5111.3100000000004</v>
      </c>
      <c r="AN56" s="418" t="s">
        <v>1938</v>
      </c>
      <c r="AO56" s="418"/>
      <c r="AP56" s="206">
        <f t="shared" si="55"/>
        <v>5111.3100000000004</v>
      </c>
      <c r="AQ56" s="418" t="s">
        <v>2003</v>
      </c>
      <c r="AS56" s="509">
        <f t="shared" si="14"/>
        <v>5111.3100000000004</v>
      </c>
      <c r="AV56" s="509">
        <f t="shared" si="15"/>
        <v>5111.3100000000004</v>
      </c>
      <c r="AW56" s="515" t="s">
        <v>2267</v>
      </c>
      <c r="AY56" s="509">
        <f t="shared" si="16"/>
        <v>5111.3100000000004</v>
      </c>
      <c r="AZ56" s="515" t="s">
        <v>2268</v>
      </c>
      <c r="BB56" s="509">
        <f t="shared" si="17"/>
        <v>5111.3100000000004</v>
      </c>
      <c r="BC56" s="515" t="s">
        <v>2269</v>
      </c>
      <c r="BE56" s="509">
        <f t="shared" si="18"/>
        <v>5111.3100000000004</v>
      </c>
      <c r="BF56" s="515" t="s">
        <v>2270</v>
      </c>
      <c r="BH56" s="206">
        <f t="shared" si="47"/>
        <v>5111.3100000000004</v>
      </c>
      <c r="BI56" s="418" t="s">
        <v>2299</v>
      </c>
      <c r="BK56" s="206">
        <f t="shared" si="20"/>
        <v>5111.3100000000004</v>
      </c>
      <c r="BL56" s="418" t="s">
        <v>2343</v>
      </c>
      <c r="BN56" s="206">
        <f t="shared" si="21"/>
        <v>5111.3100000000004</v>
      </c>
      <c r="BO56" s="418" t="s">
        <v>2360</v>
      </c>
      <c r="BP56" s="509">
        <f t="shared" ref="BP56:BP58" si="58">BN56</f>
        <v>5111.3100000000004</v>
      </c>
      <c r="BQ56" s="206">
        <f t="shared" si="22"/>
        <v>0</v>
      </c>
      <c r="BT56" s="206">
        <f t="shared" si="23"/>
        <v>0</v>
      </c>
      <c r="BW56" s="206">
        <f t="shared" si="24"/>
        <v>0</v>
      </c>
      <c r="BZ56" s="206">
        <f t="shared" si="25"/>
        <v>0</v>
      </c>
      <c r="CD56" s="418" t="str">
        <f t="shared" si="26"/>
        <v>CU0340001</v>
      </c>
      <c r="CE56" s="442" t="str">
        <f t="shared" si="27"/>
        <v>2019年9月</v>
      </c>
      <c r="CF56" s="418" t="str">
        <f t="shared" si="28"/>
        <v>盖璞（上海clife服务费暂估</v>
      </c>
      <c r="CG56" s="418" t="str">
        <f t="shared" si="29"/>
        <v>2019年9月盖璞（上海clife服务费暂估</v>
      </c>
    </row>
    <row r="57" spans="2:85" s="515" customFormat="1" ht="15" customHeight="1">
      <c r="B57" s="418" t="str">
        <f t="shared" si="1"/>
        <v>CU0340</v>
      </c>
      <c r="C57" s="516" t="s">
        <v>2271</v>
      </c>
      <c r="D57" s="517" t="s">
        <v>2272</v>
      </c>
      <c r="E57" s="517" t="s">
        <v>76</v>
      </c>
      <c r="F57" s="518">
        <v>43739</v>
      </c>
      <c r="G57" s="519">
        <v>104842.03</v>
      </c>
      <c r="H57" s="427"/>
      <c r="I57" s="427"/>
      <c r="J57" s="421"/>
      <c r="K57" s="418"/>
      <c r="L57" s="206">
        <f t="shared" si="48"/>
        <v>0</v>
      </c>
      <c r="M57" s="418"/>
      <c r="N57" s="418"/>
      <c r="O57" s="206">
        <f t="shared" si="49"/>
        <v>0</v>
      </c>
      <c r="P57" s="418"/>
      <c r="Q57" s="418"/>
      <c r="R57" s="206">
        <f t="shared" si="50"/>
        <v>0</v>
      </c>
      <c r="S57" s="418"/>
      <c r="T57" s="418"/>
      <c r="U57" s="206">
        <f t="shared" si="51"/>
        <v>0</v>
      </c>
      <c r="V57" s="418"/>
      <c r="W57" s="418"/>
      <c r="X57" s="206">
        <f t="shared" si="56"/>
        <v>0</v>
      </c>
      <c r="Y57" s="418"/>
      <c r="Z57" s="418"/>
      <c r="AA57" s="206">
        <f>G57</f>
        <v>104842.03</v>
      </c>
      <c r="AB57" s="418"/>
      <c r="AC57" s="418"/>
      <c r="AD57" s="206">
        <f t="shared" si="53"/>
        <v>104842.03</v>
      </c>
      <c r="AE57" s="418"/>
      <c r="AF57" s="418"/>
      <c r="AG57" s="206">
        <f t="shared" si="10"/>
        <v>104842.03</v>
      </c>
      <c r="AH57" s="418"/>
      <c r="AI57" s="418"/>
      <c r="AJ57" s="206">
        <f t="shared" si="11"/>
        <v>104842.03</v>
      </c>
      <c r="AK57" s="418" t="s">
        <v>1869</v>
      </c>
      <c r="AL57" s="418"/>
      <c r="AM57" s="206">
        <f t="shared" si="57"/>
        <v>104842.03</v>
      </c>
      <c r="AN57" s="418" t="s">
        <v>1939</v>
      </c>
      <c r="AO57" s="418"/>
      <c r="AP57" s="206">
        <f t="shared" si="55"/>
        <v>104842.03</v>
      </c>
      <c r="AQ57" s="418" t="s">
        <v>2004</v>
      </c>
      <c r="AS57" s="509">
        <f t="shared" si="14"/>
        <v>104842.03</v>
      </c>
      <c r="AV57" s="509">
        <f t="shared" si="15"/>
        <v>104842.03</v>
      </c>
      <c r="AW57" s="515" t="s">
        <v>2267</v>
      </c>
      <c r="AY57" s="509">
        <f t="shared" si="16"/>
        <v>104842.03</v>
      </c>
      <c r="AZ57" s="515" t="s">
        <v>2268</v>
      </c>
      <c r="BB57" s="509">
        <f t="shared" si="17"/>
        <v>104842.03</v>
      </c>
      <c r="BC57" s="515" t="s">
        <v>2269</v>
      </c>
      <c r="BE57" s="509">
        <f t="shared" si="18"/>
        <v>104842.03</v>
      </c>
      <c r="BF57" s="515" t="s">
        <v>2270</v>
      </c>
      <c r="BH57" s="206">
        <f t="shared" si="47"/>
        <v>104842.03</v>
      </c>
      <c r="BI57" s="418" t="s">
        <v>2299</v>
      </c>
      <c r="BK57" s="206">
        <f t="shared" si="20"/>
        <v>104842.03</v>
      </c>
      <c r="BL57" s="418" t="s">
        <v>2343</v>
      </c>
      <c r="BN57" s="206">
        <f t="shared" si="21"/>
        <v>104842.03</v>
      </c>
      <c r="BO57" s="418" t="s">
        <v>2360</v>
      </c>
      <c r="BP57" s="509">
        <f t="shared" si="58"/>
        <v>104842.03</v>
      </c>
      <c r="BQ57" s="206">
        <f t="shared" si="22"/>
        <v>0</v>
      </c>
      <c r="BT57" s="206">
        <f t="shared" si="23"/>
        <v>0</v>
      </c>
      <c r="BW57" s="206">
        <f t="shared" si="24"/>
        <v>0</v>
      </c>
      <c r="BZ57" s="206">
        <f t="shared" si="25"/>
        <v>0</v>
      </c>
      <c r="CD57" s="418" t="str">
        <f t="shared" si="26"/>
        <v>CU0340001</v>
      </c>
      <c r="CE57" s="442" t="str">
        <f t="shared" si="27"/>
        <v>2019年10月</v>
      </c>
      <c r="CF57" s="418" t="str">
        <f t="shared" si="28"/>
        <v>盖璞（上海clife服务费暂估</v>
      </c>
      <c r="CG57" s="418" t="str">
        <f t="shared" si="29"/>
        <v>2019年10月盖璞（上海clife服务费暂估</v>
      </c>
    </row>
    <row r="58" spans="2:85" s="515" customFormat="1" ht="15" customHeight="1">
      <c r="B58" s="418" t="str">
        <f t="shared" si="1"/>
        <v>CU0340</v>
      </c>
      <c r="C58" s="516" t="s">
        <v>2271</v>
      </c>
      <c r="D58" s="517" t="s">
        <v>1570</v>
      </c>
      <c r="E58" s="517" t="s">
        <v>76</v>
      </c>
      <c r="F58" s="518">
        <v>43770</v>
      </c>
      <c r="G58" s="519">
        <v>1087.1400000000001</v>
      </c>
      <c r="H58" s="427"/>
      <c r="I58" s="427"/>
      <c r="J58" s="421"/>
      <c r="K58" s="418"/>
      <c r="L58" s="206">
        <f t="shared" si="48"/>
        <v>0</v>
      </c>
      <c r="M58" s="418"/>
      <c r="N58" s="418"/>
      <c r="O58" s="206">
        <f t="shared" si="49"/>
        <v>0</v>
      </c>
      <c r="P58" s="418"/>
      <c r="Q58" s="418"/>
      <c r="R58" s="206">
        <f t="shared" si="50"/>
        <v>0</v>
      </c>
      <c r="S58" s="418"/>
      <c r="T58" s="418"/>
      <c r="U58" s="206">
        <f t="shared" si="51"/>
        <v>0</v>
      </c>
      <c r="V58" s="418"/>
      <c r="W58" s="418"/>
      <c r="X58" s="206">
        <f t="shared" si="56"/>
        <v>0</v>
      </c>
      <c r="Y58" s="418"/>
      <c r="Z58" s="418"/>
      <c r="AA58" s="206">
        <f t="shared" si="52"/>
        <v>0</v>
      </c>
      <c r="AB58" s="418"/>
      <c r="AC58" s="418"/>
      <c r="AD58" s="206">
        <f t="shared" si="53"/>
        <v>0</v>
      </c>
      <c r="AE58" s="418"/>
      <c r="AF58" s="418"/>
      <c r="AG58" s="206">
        <f t="shared" si="10"/>
        <v>0</v>
      </c>
      <c r="AH58" s="418"/>
      <c r="AI58" s="418"/>
      <c r="AJ58" s="206">
        <v>1087.1400000000001</v>
      </c>
      <c r="AK58" s="418" t="s">
        <v>1982</v>
      </c>
      <c r="AL58" s="418"/>
      <c r="AM58" s="206">
        <f t="shared" si="57"/>
        <v>1087.1400000000001</v>
      </c>
      <c r="AN58" s="418"/>
      <c r="AO58" s="418"/>
      <c r="AP58" s="206">
        <f>AM58-AO58</f>
        <v>1087.1400000000001</v>
      </c>
      <c r="AQ58" s="418" t="s">
        <v>2005</v>
      </c>
      <c r="AS58" s="509">
        <f t="shared" si="14"/>
        <v>1087.1400000000001</v>
      </c>
      <c r="AV58" s="509">
        <f t="shared" si="15"/>
        <v>1087.1400000000001</v>
      </c>
      <c r="AW58" s="515" t="s">
        <v>2267</v>
      </c>
      <c r="AY58" s="509">
        <f t="shared" si="16"/>
        <v>1087.1400000000001</v>
      </c>
      <c r="AZ58" s="515" t="s">
        <v>2268</v>
      </c>
      <c r="BB58" s="509">
        <f t="shared" si="17"/>
        <v>1087.1400000000001</v>
      </c>
      <c r="BC58" s="515" t="s">
        <v>2269</v>
      </c>
      <c r="BE58" s="509">
        <f t="shared" si="18"/>
        <v>1087.1400000000001</v>
      </c>
      <c r="BF58" s="515" t="s">
        <v>2270</v>
      </c>
      <c r="BH58" s="206">
        <f t="shared" si="47"/>
        <v>1087.1400000000001</v>
      </c>
      <c r="BI58" s="418" t="s">
        <v>2299</v>
      </c>
      <c r="BK58" s="206">
        <f t="shared" si="20"/>
        <v>1087.1400000000001</v>
      </c>
      <c r="BL58" s="418" t="s">
        <v>2343</v>
      </c>
      <c r="BN58" s="206">
        <f t="shared" si="21"/>
        <v>1087.1400000000001</v>
      </c>
      <c r="BO58" s="418" t="s">
        <v>2360</v>
      </c>
      <c r="BP58" s="509">
        <f t="shared" si="58"/>
        <v>1087.1400000000001</v>
      </c>
      <c r="BQ58" s="206">
        <f t="shared" si="22"/>
        <v>0</v>
      </c>
      <c r="BT58" s="206">
        <f t="shared" si="23"/>
        <v>0</v>
      </c>
      <c r="BW58" s="206">
        <f t="shared" si="24"/>
        <v>0</v>
      </c>
      <c r="BZ58" s="206">
        <f t="shared" si="25"/>
        <v>0</v>
      </c>
      <c r="CD58" s="418" t="str">
        <f t="shared" si="26"/>
        <v>CU0340001</v>
      </c>
      <c r="CE58" s="442" t="str">
        <f t="shared" si="27"/>
        <v>2019年11月</v>
      </c>
      <c r="CF58" s="418" t="str">
        <f t="shared" si="28"/>
        <v>盖璞（上海clife服务费暂估</v>
      </c>
      <c r="CG58" s="418" t="str">
        <f t="shared" si="29"/>
        <v>2019年11月盖璞（上海clife服务费暂估</v>
      </c>
    </row>
    <row r="59" spans="2:85" s="515" customFormat="1" ht="15" customHeight="1">
      <c r="B59" s="418" t="str">
        <f t="shared" si="1"/>
        <v>CU0720</v>
      </c>
      <c r="C59" s="516" t="s">
        <v>2271</v>
      </c>
      <c r="D59" s="517" t="s">
        <v>1576</v>
      </c>
      <c r="E59" s="517" t="s">
        <v>1333</v>
      </c>
      <c r="F59" s="518">
        <v>43770</v>
      </c>
      <c r="G59" s="519">
        <v>4709</v>
      </c>
      <c r="H59" s="427"/>
      <c r="I59" s="427"/>
      <c r="J59" s="427"/>
      <c r="K59" s="460"/>
      <c r="L59" s="464">
        <f t="shared" si="48"/>
        <v>0</v>
      </c>
      <c r="M59" s="460"/>
      <c r="N59" s="460"/>
      <c r="O59" s="464">
        <f t="shared" si="49"/>
        <v>0</v>
      </c>
      <c r="P59" s="460"/>
      <c r="Q59" s="460"/>
      <c r="R59" s="464">
        <f t="shared" si="50"/>
        <v>0</v>
      </c>
      <c r="S59" s="460"/>
      <c r="T59" s="460"/>
      <c r="U59" s="464">
        <f t="shared" si="51"/>
        <v>0</v>
      </c>
      <c r="V59" s="460"/>
      <c r="W59" s="460"/>
      <c r="X59" s="464">
        <f t="shared" si="56"/>
        <v>0</v>
      </c>
      <c r="Y59" s="460"/>
      <c r="Z59" s="460"/>
      <c r="AA59" s="464">
        <f t="shared" si="52"/>
        <v>0</v>
      </c>
      <c r="AB59" s="460"/>
      <c r="AC59" s="460"/>
      <c r="AD59" s="464">
        <f t="shared" si="53"/>
        <v>0</v>
      </c>
      <c r="AE59" s="460"/>
      <c r="AF59" s="460"/>
      <c r="AG59" s="464">
        <f t="shared" si="10"/>
        <v>0</v>
      </c>
      <c r="AH59" s="460"/>
      <c r="AI59" s="460"/>
      <c r="AJ59" s="464">
        <v>4709</v>
      </c>
      <c r="AK59" s="460" t="s">
        <v>2121</v>
      </c>
      <c r="AL59" s="460"/>
      <c r="AM59" s="464">
        <f t="shared" si="57"/>
        <v>4709</v>
      </c>
      <c r="AN59" s="460"/>
      <c r="AO59" s="460"/>
      <c r="AP59" s="464">
        <f t="shared" ref="AP59:AP60" si="59">AM59-AO59</f>
        <v>4709</v>
      </c>
      <c r="AQ59" s="460" t="s">
        <v>2122</v>
      </c>
      <c r="AS59" s="509">
        <f t="shared" si="14"/>
        <v>4709</v>
      </c>
      <c r="AV59" s="509">
        <f t="shared" si="15"/>
        <v>4709</v>
      </c>
      <c r="AW59" s="515" t="s">
        <v>2267</v>
      </c>
      <c r="AY59" s="509">
        <f t="shared" si="16"/>
        <v>4709</v>
      </c>
      <c r="AZ59" s="515" t="s">
        <v>2268</v>
      </c>
      <c r="BB59" s="509">
        <f t="shared" si="17"/>
        <v>4709</v>
      </c>
      <c r="BC59" s="515" t="s">
        <v>2269</v>
      </c>
      <c r="BE59" s="509">
        <f t="shared" si="18"/>
        <v>4709</v>
      </c>
      <c r="BF59" s="515" t="s">
        <v>2270</v>
      </c>
      <c r="BH59" s="206">
        <f t="shared" si="47"/>
        <v>4709</v>
      </c>
      <c r="BI59" s="418" t="s">
        <v>2299</v>
      </c>
      <c r="BK59" s="206">
        <f t="shared" si="20"/>
        <v>4709</v>
      </c>
      <c r="BL59" s="418" t="s">
        <v>2343</v>
      </c>
      <c r="BN59" s="206">
        <f t="shared" si="21"/>
        <v>4709</v>
      </c>
      <c r="BO59" s="418" t="s">
        <v>2360</v>
      </c>
      <c r="BP59" s="206">
        <f>BN59</f>
        <v>4709</v>
      </c>
      <c r="BQ59" s="206">
        <f t="shared" si="22"/>
        <v>0</v>
      </c>
      <c r="BT59" s="206">
        <f t="shared" si="23"/>
        <v>0</v>
      </c>
      <c r="BW59" s="206">
        <f t="shared" si="24"/>
        <v>0</v>
      </c>
      <c r="BZ59" s="206">
        <f t="shared" si="25"/>
        <v>0</v>
      </c>
      <c r="CD59" s="418" t="str">
        <f t="shared" si="26"/>
        <v>CU0720001</v>
      </c>
      <c r="CE59" s="442" t="str">
        <f t="shared" si="27"/>
        <v>2019年11月</v>
      </c>
      <c r="CF59" s="418" t="str">
        <f t="shared" si="28"/>
        <v>上海卫展医clife服务费暂估</v>
      </c>
      <c r="CG59" s="418" t="str">
        <f t="shared" si="29"/>
        <v>2019年11月上海卫展医clife服务费暂估</v>
      </c>
    </row>
    <row r="60" spans="2:85" s="460" customFormat="1" ht="15" customHeight="1">
      <c r="B60" s="418" t="str">
        <f t="shared" si="1"/>
        <v>CU1736</v>
      </c>
      <c r="C60" s="194" t="s">
        <v>2120</v>
      </c>
      <c r="D60" s="465" t="s">
        <v>1981</v>
      </c>
      <c r="E60" s="465" t="s">
        <v>1980</v>
      </c>
      <c r="F60" s="457">
        <v>43770</v>
      </c>
      <c r="G60" s="422">
        <v>24300.34</v>
      </c>
      <c r="H60" s="427"/>
      <c r="I60" s="427"/>
      <c r="J60" s="427"/>
      <c r="L60" s="464">
        <f t="shared" si="48"/>
        <v>0</v>
      </c>
      <c r="O60" s="464">
        <f t="shared" si="49"/>
        <v>0</v>
      </c>
      <c r="R60" s="464">
        <f t="shared" si="50"/>
        <v>0</v>
      </c>
      <c r="U60" s="464">
        <f t="shared" si="51"/>
        <v>0</v>
      </c>
      <c r="X60" s="464">
        <f t="shared" si="56"/>
        <v>0</v>
      </c>
      <c r="AA60" s="464">
        <f t="shared" si="52"/>
        <v>0</v>
      </c>
      <c r="AD60" s="464">
        <f t="shared" si="53"/>
        <v>0</v>
      </c>
      <c r="AG60" s="464">
        <f t="shared" si="10"/>
        <v>0</v>
      </c>
      <c r="AJ60" s="464">
        <v>24300.34</v>
      </c>
      <c r="AK60" s="460" t="s">
        <v>2121</v>
      </c>
      <c r="AM60" s="464">
        <f t="shared" si="57"/>
        <v>24300.34</v>
      </c>
      <c r="AP60" s="464">
        <f t="shared" si="59"/>
        <v>24300.34</v>
      </c>
      <c r="AQ60" s="460" t="s">
        <v>2122</v>
      </c>
      <c r="AR60" s="460">
        <v>24300.34</v>
      </c>
      <c r="AS60" s="464">
        <f t="shared" si="14"/>
        <v>0</v>
      </c>
      <c r="AV60" s="464">
        <f t="shared" si="15"/>
        <v>0</v>
      </c>
      <c r="AW60" s="460" t="s">
        <v>2123</v>
      </c>
      <c r="AY60" s="206">
        <f t="shared" si="16"/>
        <v>0</v>
      </c>
      <c r="BB60" s="206">
        <f t="shared" si="17"/>
        <v>0</v>
      </c>
      <c r="BC60" s="418" t="s">
        <v>2204</v>
      </c>
      <c r="BE60" s="206">
        <f t="shared" si="18"/>
        <v>0</v>
      </c>
      <c r="BH60" s="460">
        <f t="shared" si="47"/>
        <v>0</v>
      </c>
      <c r="BK60" s="206">
        <f t="shared" si="20"/>
        <v>0</v>
      </c>
      <c r="BN60" s="206">
        <f t="shared" si="21"/>
        <v>0</v>
      </c>
      <c r="BQ60" s="206">
        <f t="shared" si="22"/>
        <v>0</v>
      </c>
      <c r="BT60" s="206">
        <f t="shared" si="23"/>
        <v>0</v>
      </c>
      <c r="BW60" s="206">
        <f t="shared" si="24"/>
        <v>0</v>
      </c>
      <c r="BZ60" s="206">
        <f t="shared" si="25"/>
        <v>0</v>
      </c>
      <c r="CD60" s="418" t="str">
        <f t="shared" si="26"/>
        <v>CU1736001</v>
      </c>
      <c r="CE60" s="442" t="str">
        <f t="shared" si="27"/>
        <v>2019年11月</v>
      </c>
      <c r="CF60" s="418" t="str">
        <f t="shared" si="28"/>
        <v>杭州辉图生clife服务费暂估</v>
      </c>
      <c r="CG60" s="418" t="str">
        <f t="shared" si="29"/>
        <v>2019年11月杭州辉图生clife服务费暂估</v>
      </c>
    </row>
    <row r="61" spans="2:85" s="515" customFormat="1" ht="15" customHeight="1">
      <c r="B61" s="418" t="str">
        <f t="shared" si="1"/>
        <v>CU0340</v>
      </c>
      <c r="C61" s="516" t="s">
        <v>2271</v>
      </c>
      <c r="D61" s="520" t="s">
        <v>2272</v>
      </c>
      <c r="E61" s="521" t="s">
        <v>76</v>
      </c>
      <c r="F61" s="518">
        <v>43800</v>
      </c>
      <c r="G61" s="519">
        <v>176692.39</v>
      </c>
      <c r="H61" s="427"/>
      <c r="I61" s="427"/>
      <c r="J61" s="427"/>
      <c r="K61" s="460"/>
      <c r="L61" s="464"/>
      <c r="M61" s="460"/>
      <c r="N61" s="460"/>
      <c r="O61" s="464"/>
      <c r="P61" s="460"/>
      <c r="Q61" s="460"/>
      <c r="R61" s="464"/>
      <c r="S61" s="460"/>
      <c r="T61" s="460"/>
      <c r="U61" s="464"/>
      <c r="V61" s="460"/>
      <c r="W61" s="460"/>
      <c r="X61" s="464"/>
      <c r="Y61" s="460"/>
      <c r="Z61" s="460"/>
      <c r="AA61" s="464"/>
      <c r="AB61" s="460"/>
      <c r="AC61" s="460"/>
      <c r="AD61" s="464"/>
      <c r="AE61" s="460"/>
      <c r="AF61" s="460"/>
      <c r="AG61" s="464"/>
      <c r="AH61" s="460"/>
      <c r="AI61" s="460"/>
      <c r="AJ61" s="464">
        <v>176692.39</v>
      </c>
      <c r="AK61" s="460" t="s">
        <v>2121</v>
      </c>
      <c r="AL61" s="460"/>
      <c r="AM61" s="464">
        <f t="shared" ref="AM61:AM74" si="60">AJ61-AL61</f>
        <v>176692.39</v>
      </c>
      <c r="AN61" s="460"/>
      <c r="AO61" s="460"/>
      <c r="AP61" s="464">
        <f>AM61-AO61</f>
        <v>176692.39</v>
      </c>
      <c r="AQ61" s="460"/>
      <c r="AS61" s="509">
        <f t="shared" si="14"/>
        <v>176692.39</v>
      </c>
      <c r="AV61" s="509">
        <f t="shared" si="15"/>
        <v>176692.39</v>
      </c>
      <c r="AW61" s="515" t="s">
        <v>2267</v>
      </c>
      <c r="AY61" s="509">
        <f t="shared" si="16"/>
        <v>176692.39</v>
      </c>
      <c r="AZ61" s="515" t="s">
        <v>2268</v>
      </c>
      <c r="BB61" s="509">
        <f t="shared" si="17"/>
        <v>176692.39</v>
      </c>
      <c r="BC61" s="515" t="s">
        <v>2269</v>
      </c>
      <c r="BE61" s="509">
        <f t="shared" si="18"/>
        <v>176692.39</v>
      </c>
      <c r="BF61" s="515" t="s">
        <v>2270</v>
      </c>
      <c r="BH61" s="206">
        <f t="shared" si="47"/>
        <v>176692.39</v>
      </c>
      <c r="BI61" s="418" t="s">
        <v>2299</v>
      </c>
      <c r="BK61" s="206">
        <f t="shared" si="20"/>
        <v>176692.39</v>
      </c>
      <c r="BL61" s="418" t="s">
        <v>2343</v>
      </c>
      <c r="BN61" s="206">
        <f t="shared" si="21"/>
        <v>176692.39</v>
      </c>
      <c r="BO61" s="418" t="s">
        <v>2360</v>
      </c>
      <c r="BP61" s="509">
        <f>BN61</f>
        <v>176692.39</v>
      </c>
      <c r="BQ61" s="206">
        <f t="shared" si="22"/>
        <v>0</v>
      </c>
      <c r="BT61" s="206">
        <f t="shared" si="23"/>
        <v>0</v>
      </c>
      <c r="BW61" s="206">
        <f t="shared" si="24"/>
        <v>0</v>
      </c>
      <c r="BZ61" s="206">
        <f t="shared" si="25"/>
        <v>0</v>
      </c>
      <c r="CD61" s="418" t="str">
        <f t="shared" si="26"/>
        <v>CU0340001</v>
      </c>
      <c r="CE61" s="442" t="str">
        <f t="shared" si="27"/>
        <v>2019年12月</v>
      </c>
      <c r="CF61" s="418" t="str">
        <f t="shared" si="28"/>
        <v>盖璞（上海clife服务费暂估</v>
      </c>
      <c r="CG61" s="418" t="str">
        <f t="shared" si="29"/>
        <v>2019年12月盖璞（上海clife服务费暂估</v>
      </c>
    </row>
    <row r="62" spans="2:85" s="515" customFormat="1" ht="15" customHeight="1">
      <c r="B62" s="418" t="str">
        <f t="shared" si="1"/>
        <v>CU0720</v>
      </c>
      <c r="C62" s="516" t="s">
        <v>2271</v>
      </c>
      <c r="D62" s="520" t="s">
        <v>2273</v>
      </c>
      <c r="E62" s="521" t="s">
        <v>1333</v>
      </c>
      <c r="F62" s="518">
        <v>43800</v>
      </c>
      <c r="G62" s="519">
        <v>6871.29</v>
      </c>
      <c r="H62" s="427"/>
      <c r="I62" s="427"/>
      <c r="J62" s="427"/>
      <c r="K62" s="460"/>
      <c r="L62" s="464"/>
      <c r="M62" s="460"/>
      <c r="N62" s="460"/>
      <c r="O62" s="464"/>
      <c r="P62" s="460"/>
      <c r="Q62" s="460"/>
      <c r="R62" s="464"/>
      <c r="S62" s="460"/>
      <c r="T62" s="460"/>
      <c r="U62" s="464"/>
      <c r="V62" s="460"/>
      <c r="W62" s="460"/>
      <c r="X62" s="464"/>
      <c r="Y62" s="460"/>
      <c r="Z62" s="460"/>
      <c r="AA62" s="464"/>
      <c r="AB62" s="460"/>
      <c r="AC62" s="460"/>
      <c r="AD62" s="464"/>
      <c r="AE62" s="460"/>
      <c r="AF62" s="460"/>
      <c r="AG62" s="464"/>
      <c r="AH62" s="460"/>
      <c r="AI62" s="460"/>
      <c r="AJ62" s="464">
        <v>6871.29</v>
      </c>
      <c r="AK62" s="460" t="s">
        <v>2124</v>
      </c>
      <c r="AL62" s="460"/>
      <c r="AM62" s="464">
        <f t="shared" si="60"/>
        <v>6871.29</v>
      </c>
      <c r="AN62" s="460"/>
      <c r="AO62" s="460"/>
      <c r="AP62" s="464">
        <f t="shared" ref="AP62:AP74" si="61">AM62-AO62</f>
        <v>6871.29</v>
      </c>
      <c r="AQ62" s="460"/>
      <c r="AS62" s="509">
        <f t="shared" si="14"/>
        <v>6871.29</v>
      </c>
      <c r="AV62" s="509">
        <f t="shared" si="15"/>
        <v>6871.29</v>
      </c>
      <c r="AW62" s="515" t="s">
        <v>2267</v>
      </c>
      <c r="AY62" s="509">
        <f t="shared" si="16"/>
        <v>6871.29</v>
      </c>
      <c r="AZ62" s="515" t="s">
        <v>2268</v>
      </c>
      <c r="BB62" s="509">
        <f t="shared" si="17"/>
        <v>6871.29</v>
      </c>
      <c r="BC62" s="515" t="s">
        <v>2269</v>
      </c>
      <c r="BE62" s="509">
        <f t="shared" si="18"/>
        <v>6871.29</v>
      </c>
      <c r="BF62" s="515" t="s">
        <v>2270</v>
      </c>
      <c r="BH62" s="206">
        <f t="shared" si="47"/>
        <v>6871.29</v>
      </c>
      <c r="BI62" s="418" t="s">
        <v>2299</v>
      </c>
      <c r="BK62" s="206">
        <f t="shared" si="20"/>
        <v>6871.29</v>
      </c>
      <c r="BL62" s="418" t="s">
        <v>2343</v>
      </c>
      <c r="BN62" s="206">
        <f t="shared" si="21"/>
        <v>6871.29</v>
      </c>
      <c r="BO62" s="418" t="s">
        <v>2360</v>
      </c>
      <c r="BP62" s="206">
        <f>BN62</f>
        <v>6871.29</v>
      </c>
      <c r="BQ62" s="206">
        <f t="shared" si="22"/>
        <v>0</v>
      </c>
      <c r="BT62" s="206">
        <f t="shared" si="23"/>
        <v>0</v>
      </c>
      <c r="BW62" s="206">
        <f t="shared" si="24"/>
        <v>0</v>
      </c>
      <c r="BZ62" s="206">
        <f t="shared" si="25"/>
        <v>0</v>
      </c>
      <c r="CD62" s="418" t="str">
        <f t="shared" si="26"/>
        <v>CU0720001</v>
      </c>
      <c r="CE62" s="442" t="str">
        <f t="shared" si="27"/>
        <v>2019年12月</v>
      </c>
      <c r="CF62" s="418" t="str">
        <f t="shared" si="28"/>
        <v>上海卫展医clife服务费暂估</v>
      </c>
      <c r="CG62" s="418" t="str">
        <f t="shared" si="29"/>
        <v>2019年12月上海卫展医clife服务费暂估</v>
      </c>
    </row>
    <row r="63" spans="2:85" s="460" customFormat="1" ht="15" customHeight="1">
      <c r="B63" s="418" t="str">
        <f t="shared" si="1"/>
        <v>CU1075</v>
      </c>
      <c r="C63" s="194" t="s">
        <v>2113</v>
      </c>
      <c r="D63" s="466" t="s">
        <v>2126</v>
      </c>
      <c r="E63" s="467" t="s">
        <v>1581</v>
      </c>
      <c r="F63" s="457">
        <v>43800</v>
      </c>
      <c r="G63" s="422">
        <v>36285.279999999999</v>
      </c>
      <c r="H63" s="427"/>
      <c r="I63" s="427"/>
      <c r="J63" s="427"/>
      <c r="L63" s="464">
        <f t="shared" si="48"/>
        <v>0</v>
      </c>
      <c r="O63" s="464">
        <f t="shared" si="49"/>
        <v>0</v>
      </c>
      <c r="R63" s="464">
        <f t="shared" si="50"/>
        <v>0</v>
      </c>
      <c r="U63" s="464">
        <f t="shared" si="51"/>
        <v>0</v>
      </c>
      <c r="X63" s="464">
        <f t="shared" si="56"/>
        <v>0</v>
      </c>
      <c r="AA63" s="464">
        <f t="shared" si="52"/>
        <v>0</v>
      </c>
      <c r="AD63" s="464">
        <f t="shared" si="53"/>
        <v>0</v>
      </c>
      <c r="AG63" s="464">
        <f t="shared" si="10"/>
        <v>0</v>
      </c>
      <c r="AJ63" s="464">
        <v>36285.279999999999</v>
      </c>
      <c r="AK63" s="460" t="s">
        <v>2124</v>
      </c>
      <c r="AM63" s="464">
        <f t="shared" si="60"/>
        <v>36285.279999999999</v>
      </c>
      <c r="AP63" s="464">
        <f t="shared" si="61"/>
        <v>36285.279999999999</v>
      </c>
      <c r="AR63" s="460">
        <v>36285.279999999999</v>
      </c>
      <c r="AS63" s="464">
        <f t="shared" si="14"/>
        <v>0</v>
      </c>
      <c r="AV63" s="464">
        <f t="shared" si="15"/>
        <v>0</v>
      </c>
      <c r="AW63" s="460" t="s">
        <v>2125</v>
      </c>
      <c r="AY63" s="206">
        <f t="shared" si="16"/>
        <v>0</v>
      </c>
      <c r="BB63" s="206">
        <f t="shared" si="17"/>
        <v>0</v>
      </c>
      <c r="BC63" s="418" t="s">
        <v>2204</v>
      </c>
      <c r="BE63" s="206">
        <f t="shared" si="18"/>
        <v>0</v>
      </c>
      <c r="BH63" s="460">
        <f t="shared" si="47"/>
        <v>0</v>
      </c>
      <c r="BK63" s="206">
        <f t="shared" si="20"/>
        <v>0</v>
      </c>
      <c r="BN63" s="206">
        <f t="shared" si="21"/>
        <v>0</v>
      </c>
      <c r="BQ63" s="206">
        <f t="shared" si="22"/>
        <v>0</v>
      </c>
      <c r="BT63" s="206">
        <f t="shared" si="23"/>
        <v>0</v>
      </c>
      <c r="BW63" s="206">
        <f t="shared" si="24"/>
        <v>0</v>
      </c>
      <c r="BZ63" s="206">
        <f t="shared" si="25"/>
        <v>0</v>
      </c>
      <c r="CD63" s="418" t="str">
        <f t="shared" si="26"/>
        <v>CU1075001</v>
      </c>
      <c r="CE63" s="442" t="str">
        <f t="shared" si="27"/>
        <v>2019年12月</v>
      </c>
      <c r="CF63" s="418" t="str">
        <f t="shared" si="28"/>
        <v>上海盈努惠clife服务费暂估</v>
      </c>
      <c r="CG63" s="418" t="str">
        <f t="shared" si="29"/>
        <v>2019年12月上海盈努惠clife服务费暂估</v>
      </c>
    </row>
    <row r="64" spans="2:85" s="460" customFormat="1" ht="15" customHeight="1">
      <c r="B64" s="418" t="str">
        <f t="shared" si="1"/>
        <v>CU0340</v>
      </c>
      <c r="C64" s="194" t="s">
        <v>2113</v>
      </c>
      <c r="D64" s="468" t="s">
        <v>1570</v>
      </c>
      <c r="E64" s="469" t="s">
        <v>74</v>
      </c>
      <c r="F64" s="457">
        <v>43801</v>
      </c>
      <c r="G64" s="422">
        <v>64358.41</v>
      </c>
      <c r="H64" s="427"/>
      <c r="I64" s="427"/>
      <c r="J64" s="427"/>
      <c r="L64" s="464"/>
      <c r="O64" s="464"/>
      <c r="R64" s="464"/>
      <c r="U64" s="464"/>
      <c r="X64" s="464"/>
      <c r="AA64" s="464"/>
      <c r="AD64" s="464"/>
      <c r="AG64" s="464"/>
      <c r="AJ64" s="451">
        <v>64358.41</v>
      </c>
      <c r="AK64" s="470"/>
      <c r="AL64" s="470"/>
      <c r="AM64" s="464">
        <f t="shared" si="60"/>
        <v>64358.41</v>
      </c>
      <c r="AN64" s="470"/>
      <c r="AO64" s="470"/>
      <c r="AP64" s="464">
        <f t="shared" si="61"/>
        <v>64358.41</v>
      </c>
      <c r="AQ64" s="470"/>
      <c r="AR64" s="470"/>
      <c r="AS64" s="464">
        <f t="shared" si="14"/>
        <v>64358.41</v>
      </c>
      <c r="AU64" s="464">
        <f>64358.41</f>
        <v>64358.41</v>
      </c>
      <c r="AV64" s="464">
        <f t="shared" si="15"/>
        <v>0</v>
      </c>
      <c r="AW64" s="460" t="s">
        <v>2125</v>
      </c>
      <c r="AY64" s="206">
        <f t="shared" si="16"/>
        <v>0</v>
      </c>
      <c r="BB64" s="206">
        <f t="shared" si="17"/>
        <v>0</v>
      </c>
      <c r="BC64" s="418" t="s">
        <v>2204</v>
      </c>
      <c r="BE64" s="206">
        <f t="shared" si="18"/>
        <v>0</v>
      </c>
      <c r="BH64" s="460">
        <f t="shared" si="47"/>
        <v>0</v>
      </c>
      <c r="BK64" s="206">
        <f t="shared" si="20"/>
        <v>0</v>
      </c>
      <c r="BN64" s="206">
        <f t="shared" si="21"/>
        <v>0</v>
      </c>
      <c r="BQ64" s="206">
        <f t="shared" si="22"/>
        <v>0</v>
      </c>
      <c r="BT64" s="206">
        <f t="shared" si="23"/>
        <v>0</v>
      </c>
      <c r="BW64" s="206">
        <f t="shared" si="24"/>
        <v>0</v>
      </c>
      <c r="BZ64" s="206">
        <f t="shared" si="25"/>
        <v>0</v>
      </c>
      <c r="CD64" s="418" t="str">
        <f t="shared" si="26"/>
        <v>CU0340001</v>
      </c>
      <c r="CE64" s="442" t="str">
        <f t="shared" si="27"/>
        <v>2019年12月</v>
      </c>
      <c r="CF64" s="418" t="str">
        <f t="shared" si="28"/>
        <v>盖璞集团clife服务费暂估</v>
      </c>
      <c r="CG64" s="418" t="str">
        <f t="shared" si="29"/>
        <v>2019年12月盖璞集团clife服务费暂估</v>
      </c>
    </row>
    <row r="65" spans="2:85" s="515" customFormat="1" ht="15" customHeight="1">
      <c r="B65" s="418" t="str">
        <f t="shared" si="1"/>
        <v>CU0884</v>
      </c>
      <c r="C65" s="516" t="s">
        <v>2271</v>
      </c>
      <c r="D65" s="517" t="s">
        <v>1575</v>
      </c>
      <c r="E65" s="517" t="s">
        <v>1528</v>
      </c>
      <c r="F65" s="518">
        <v>43802</v>
      </c>
      <c r="G65" s="519">
        <v>50000</v>
      </c>
      <c r="H65" s="427"/>
      <c r="I65" s="427"/>
      <c r="J65" s="427"/>
      <c r="K65" s="460"/>
      <c r="L65" s="464"/>
      <c r="M65" s="460"/>
      <c r="N65" s="460"/>
      <c r="O65" s="464"/>
      <c r="P65" s="460"/>
      <c r="Q65" s="460"/>
      <c r="R65" s="464"/>
      <c r="S65" s="460"/>
      <c r="T65" s="460"/>
      <c r="U65" s="464"/>
      <c r="V65" s="460"/>
      <c r="W65" s="460"/>
      <c r="X65" s="464"/>
      <c r="Y65" s="460"/>
      <c r="Z65" s="460"/>
      <c r="AA65" s="464"/>
      <c r="AB65" s="460"/>
      <c r="AC65" s="460"/>
      <c r="AD65" s="464"/>
      <c r="AE65" s="460"/>
      <c r="AF65" s="460"/>
      <c r="AG65" s="464"/>
      <c r="AH65" s="460"/>
      <c r="AI65" s="460"/>
      <c r="AJ65" s="451">
        <v>50000</v>
      </c>
      <c r="AK65" s="470"/>
      <c r="AL65" s="470"/>
      <c r="AM65" s="464">
        <f t="shared" si="60"/>
        <v>50000</v>
      </c>
      <c r="AN65" s="470"/>
      <c r="AO65" s="470"/>
      <c r="AP65" s="464">
        <f t="shared" si="61"/>
        <v>50000</v>
      </c>
      <c r="AQ65" s="470"/>
      <c r="AR65" s="528"/>
      <c r="AS65" s="509">
        <f t="shared" si="14"/>
        <v>50000</v>
      </c>
      <c r="AV65" s="509">
        <f t="shared" si="15"/>
        <v>50000</v>
      </c>
      <c r="AW65" s="515" t="s">
        <v>2267</v>
      </c>
      <c r="AY65" s="509">
        <f t="shared" si="16"/>
        <v>50000</v>
      </c>
      <c r="AZ65" s="515" t="s">
        <v>2268</v>
      </c>
      <c r="BB65" s="509">
        <f t="shared" si="17"/>
        <v>50000</v>
      </c>
      <c r="BC65" s="515" t="s">
        <v>2269</v>
      </c>
      <c r="BE65" s="509">
        <f t="shared" si="18"/>
        <v>50000</v>
      </c>
      <c r="BF65" s="515" t="s">
        <v>2270</v>
      </c>
      <c r="BG65" s="509">
        <f>109481.13-BG37-BG42-BG48</f>
        <v>40963.30000000001</v>
      </c>
      <c r="BH65" s="206">
        <f t="shared" si="47"/>
        <v>9036.6999999999898</v>
      </c>
      <c r="BI65" s="418" t="s">
        <v>2299</v>
      </c>
      <c r="BK65" s="206">
        <f t="shared" si="20"/>
        <v>9036.6999999999898</v>
      </c>
      <c r="BL65" s="418" t="s">
        <v>2343</v>
      </c>
      <c r="BN65" s="206">
        <f t="shared" si="21"/>
        <v>9036.6999999999898</v>
      </c>
      <c r="BO65" s="418" t="s">
        <v>2360</v>
      </c>
      <c r="BQ65" s="206">
        <f t="shared" si="22"/>
        <v>9036.7000000000007</v>
      </c>
      <c r="BT65" s="206">
        <f t="shared" si="23"/>
        <v>9036.7000000000007</v>
      </c>
      <c r="BU65" s="418" t="s">
        <v>2219</v>
      </c>
      <c r="BW65" s="206">
        <f t="shared" si="24"/>
        <v>9036.7000000000007</v>
      </c>
      <c r="BZ65" s="206">
        <f t="shared" si="25"/>
        <v>9036.7000000000007</v>
      </c>
      <c r="CD65" s="418" t="str">
        <f t="shared" si="26"/>
        <v>CU0884001</v>
      </c>
      <c r="CE65" s="442" t="str">
        <f t="shared" si="27"/>
        <v>2019年12月</v>
      </c>
      <c r="CF65" s="418" t="str">
        <f t="shared" si="28"/>
        <v>恩德斯豪斯clife服务费暂估</v>
      </c>
      <c r="CG65" s="418" t="str">
        <f t="shared" si="29"/>
        <v>2019年12月恩德斯豪斯clife服务费暂估</v>
      </c>
    </row>
    <row r="66" spans="2:85" s="515" customFormat="1" ht="15" customHeight="1">
      <c r="B66" s="418" t="str">
        <f t="shared" si="1"/>
        <v>CU0340</v>
      </c>
      <c r="C66" s="516" t="s">
        <v>2271</v>
      </c>
      <c r="D66" s="522" t="s">
        <v>1570</v>
      </c>
      <c r="E66" s="523" t="s">
        <v>74</v>
      </c>
      <c r="F66" s="524">
        <v>43803</v>
      </c>
      <c r="G66" s="525">
        <v>1757.53</v>
      </c>
      <c r="H66" s="427"/>
      <c r="I66" s="427"/>
      <c r="J66" s="427"/>
      <c r="K66" s="460"/>
      <c r="L66" s="464">
        <f t="shared" si="41"/>
        <v>0</v>
      </c>
      <c r="M66" s="460"/>
      <c r="N66" s="460"/>
      <c r="O66" s="464">
        <f t="shared" si="42"/>
        <v>0</v>
      </c>
      <c r="P66" s="460"/>
      <c r="Q66" s="460"/>
      <c r="R66" s="464">
        <f t="shared" si="45"/>
        <v>0</v>
      </c>
      <c r="S66" s="460"/>
      <c r="T66" s="460"/>
      <c r="U66" s="464">
        <f t="shared" si="43"/>
        <v>0</v>
      </c>
      <c r="V66" s="460"/>
      <c r="W66" s="460"/>
      <c r="X66" s="464">
        <f t="shared" si="44"/>
        <v>0</v>
      </c>
      <c r="Y66" s="460"/>
      <c r="Z66" s="460"/>
      <c r="AA66" s="464">
        <f t="shared" si="8"/>
        <v>0</v>
      </c>
      <c r="AB66" s="460"/>
      <c r="AC66" s="460"/>
      <c r="AD66" s="464">
        <f t="shared" si="9"/>
        <v>0</v>
      </c>
      <c r="AE66" s="460"/>
      <c r="AF66" s="460"/>
      <c r="AG66" s="464">
        <f t="shared" si="10"/>
        <v>0</v>
      </c>
      <c r="AH66" s="460"/>
      <c r="AI66" s="460"/>
      <c r="AJ66" s="451">
        <v>1757.53</v>
      </c>
      <c r="AK66" s="470"/>
      <c r="AL66" s="470"/>
      <c r="AM66" s="464">
        <f t="shared" si="60"/>
        <v>1757.53</v>
      </c>
      <c r="AN66" s="470"/>
      <c r="AO66" s="470"/>
      <c r="AP66" s="464">
        <f t="shared" si="61"/>
        <v>1757.53</v>
      </c>
      <c r="AQ66" s="470"/>
      <c r="AR66" s="528"/>
      <c r="AS66" s="509">
        <f t="shared" si="14"/>
        <v>1757.53</v>
      </c>
      <c r="AV66" s="509">
        <f t="shared" si="15"/>
        <v>1757.53</v>
      </c>
      <c r="AW66" s="515" t="s">
        <v>2267</v>
      </c>
      <c r="AY66" s="509">
        <f t="shared" si="16"/>
        <v>1757.53</v>
      </c>
      <c r="AZ66" s="515" t="s">
        <v>2268</v>
      </c>
      <c r="BB66" s="509">
        <f t="shared" si="17"/>
        <v>1757.53</v>
      </c>
      <c r="BC66" s="515" t="s">
        <v>2269</v>
      </c>
      <c r="BE66" s="509">
        <f t="shared" si="18"/>
        <v>1757.53</v>
      </c>
      <c r="BF66" s="515" t="s">
        <v>2270</v>
      </c>
      <c r="BH66" s="206">
        <f t="shared" si="47"/>
        <v>1757.53</v>
      </c>
      <c r="BI66" s="418" t="s">
        <v>2299</v>
      </c>
      <c r="BK66" s="206">
        <f t="shared" si="20"/>
        <v>1757.53</v>
      </c>
      <c r="BL66" s="418" t="s">
        <v>2343</v>
      </c>
      <c r="BN66" s="206">
        <f t="shared" si="21"/>
        <v>1757.53</v>
      </c>
      <c r="BO66" s="418" t="s">
        <v>2360</v>
      </c>
      <c r="BP66" s="509">
        <f>BN66</f>
        <v>1757.53</v>
      </c>
      <c r="BQ66" s="206">
        <f t="shared" si="22"/>
        <v>0</v>
      </c>
      <c r="BT66" s="206">
        <f t="shared" si="23"/>
        <v>0</v>
      </c>
      <c r="BW66" s="206">
        <f t="shared" si="24"/>
        <v>0</v>
      </c>
      <c r="BZ66" s="206">
        <f t="shared" si="25"/>
        <v>0</v>
      </c>
      <c r="CD66" s="418" t="str">
        <f t="shared" si="26"/>
        <v>CU0340001</v>
      </c>
      <c r="CE66" s="442" t="str">
        <f t="shared" si="27"/>
        <v>2019年12月</v>
      </c>
      <c r="CF66" s="418" t="str">
        <f t="shared" si="28"/>
        <v>盖璞集团clife服务费暂估</v>
      </c>
      <c r="CG66" s="418" t="str">
        <f t="shared" si="29"/>
        <v>2019年12月盖璞集团clife服务费暂估</v>
      </c>
    </row>
    <row r="67" spans="2:85" s="515" customFormat="1" ht="15" customHeight="1">
      <c r="B67" s="418" t="str">
        <f t="shared" si="1"/>
        <v>CU0340</v>
      </c>
      <c r="C67" s="516" t="s">
        <v>2271</v>
      </c>
      <c r="D67" s="526" t="s">
        <v>1570</v>
      </c>
      <c r="E67" s="527" t="s">
        <v>74</v>
      </c>
      <c r="F67" s="518">
        <v>43804</v>
      </c>
      <c r="G67" s="519">
        <v>668.44</v>
      </c>
      <c r="H67" s="427"/>
      <c r="I67" s="427"/>
      <c r="J67" s="427"/>
      <c r="K67" s="460"/>
      <c r="L67" s="464">
        <f t="shared" si="31"/>
        <v>0</v>
      </c>
      <c r="M67" s="460"/>
      <c r="N67" s="460"/>
      <c r="O67" s="464">
        <f t="shared" si="4"/>
        <v>0</v>
      </c>
      <c r="P67" s="460"/>
      <c r="Q67" s="460"/>
      <c r="R67" s="464">
        <f t="shared" si="5"/>
        <v>0</v>
      </c>
      <c r="S67" s="460"/>
      <c r="T67" s="460"/>
      <c r="U67" s="464">
        <f t="shared" si="6"/>
        <v>0</v>
      </c>
      <c r="V67" s="460"/>
      <c r="W67" s="460"/>
      <c r="X67" s="464">
        <f t="shared" si="7"/>
        <v>0</v>
      </c>
      <c r="Y67" s="460"/>
      <c r="Z67" s="460"/>
      <c r="AA67" s="464">
        <f t="shared" si="8"/>
        <v>0</v>
      </c>
      <c r="AB67" s="460"/>
      <c r="AC67" s="460"/>
      <c r="AD67" s="464">
        <f t="shared" si="9"/>
        <v>0</v>
      </c>
      <c r="AE67" s="460"/>
      <c r="AF67" s="460"/>
      <c r="AG67" s="464">
        <f t="shared" si="10"/>
        <v>0</v>
      </c>
      <c r="AH67" s="460"/>
      <c r="AI67" s="460"/>
      <c r="AJ67" s="451">
        <v>668.44</v>
      </c>
      <c r="AK67" s="470"/>
      <c r="AL67" s="470"/>
      <c r="AM67" s="464">
        <f t="shared" si="60"/>
        <v>668.44</v>
      </c>
      <c r="AN67" s="470"/>
      <c r="AO67" s="470"/>
      <c r="AP67" s="464">
        <f t="shared" si="61"/>
        <v>668.44</v>
      </c>
      <c r="AQ67" s="470"/>
      <c r="AR67" s="528"/>
      <c r="AS67" s="509">
        <f t="shared" si="14"/>
        <v>668.44</v>
      </c>
      <c r="AV67" s="509">
        <f t="shared" si="15"/>
        <v>668.44</v>
      </c>
      <c r="AW67" s="515" t="s">
        <v>2267</v>
      </c>
      <c r="AY67" s="509">
        <f t="shared" si="16"/>
        <v>668.44</v>
      </c>
      <c r="AZ67" s="515" t="s">
        <v>2268</v>
      </c>
      <c r="BB67" s="509">
        <f t="shared" si="17"/>
        <v>668.44</v>
      </c>
      <c r="BC67" s="515" t="s">
        <v>2269</v>
      </c>
      <c r="BE67" s="509">
        <f t="shared" si="18"/>
        <v>668.44</v>
      </c>
      <c r="BF67" s="515" t="s">
        <v>2270</v>
      </c>
      <c r="BH67" s="206">
        <f t="shared" si="47"/>
        <v>668.44</v>
      </c>
      <c r="BI67" s="418" t="s">
        <v>2299</v>
      </c>
      <c r="BK67" s="206">
        <f t="shared" si="20"/>
        <v>668.44</v>
      </c>
      <c r="BL67" s="418" t="s">
        <v>2343</v>
      </c>
      <c r="BN67" s="206">
        <f t="shared" si="21"/>
        <v>668.44</v>
      </c>
      <c r="BO67" s="418" t="s">
        <v>2360</v>
      </c>
      <c r="BP67" s="509">
        <f>BN67</f>
        <v>668.44</v>
      </c>
      <c r="BQ67" s="206">
        <f t="shared" si="22"/>
        <v>0</v>
      </c>
      <c r="BT67" s="206">
        <f t="shared" si="23"/>
        <v>0</v>
      </c>
      <c r="BW67" s="206">
        <f t="shared" si="24"/>
        <v>0</v>
      </c>
      <c r="BZ67" s="206">
        <f t="shared" si="25"/>
        <v>0</v>
      </c>
      <c r="CD67" s="418" t="str">
        <f t="shared" si="26"/>
        <v>CU0340001</v>
      </c>
      <c r="CE67" s="442" t="str">
        <f t="shared" si="27"/>
        <v>2019年12月</v>
      </c>
      <c r="CF67" s="418" t="str">
        <f t="shared" si="28"/>
        <v>盖璞集团clife服务费暂估</v>
      </c>
      <c r="CG67" s="418" t="str">
        <f t="shared" si="29"/>
        <v>2019年12月盖璞集团clife服务费暂估</v>
      </c>
    </row>
    <row r="68" spans="2:85" s="460" customFormat="1" ht="15" customHeight="1">
      <c r="B68" s="418" t="str">
        <f t="shared" ref="B68:B89" si="62">LEFT(D68,6)</f>
        <v>CU0340</v>
      </c>
      <c r="C68" s="194" t="s">
        <v>2113</v>
      </c>
      <c r="D68" s="471" t="s">
        <v>1570</v>
      </c>
      <c r="E68" s="471" t="s">
        <v>76</v>
      </c>
      <c r="F68" s="457">
        <v>43831</v>
      </c>
      <c r="G68" s="422">
        <v>57680.95</v>
      </c>
      <c r="H68" s="427"/>
      <c r="I68" s="427"/>
      <c r="J68" s="427"/>
      <c r="L68" s="464"/>
      <c r="O68" s="464"/>
      <c r="R68" s="464"/>
      <c r="U68" s="464"/>
      <c r="X68" s="464"/>
      <c r="AA68" s="464"/>
      <c r="AD68" s="464"/>
      <c r="AF68" s="470"/>
      <c r="AG68" s="473"/>
      <c r="AH68" s="470"/>
      <c r="AI68" s="470"/>
      <c r="AJ68" s="451">
        <v>57680.95</v>
      </c>
      <c r="AK68" s="470"/>
      <c r="AL68" s="470"/>
      <c r="AM68" s="464">
        <f t="shared" si="60"/>
        <v>57680.95</v>
      </c>
      <c r="AN68" s="470"/>
      <c r="AO68" s="470"/>
      <c r="AP68" s="464">
        <f t="shared" si="61"/>
        <v>57680.95</v>
      </c>
      <c r="AQ68" s="470"/>
      <c r="AR68" s="470"/>
      <c r="AS68" s="464">
        <f t="shared" ref="AS68:AS74" si="63">AP68-AR68</f>
        <v>57680.95</v>
      </c>
      <c r="AT68" s="470" t="s">
        <v>2114</v>
      </c>
      <c r="AV68" s="464">
        <f t="shared" ref="AV68:AV77" si="64">AS68-AU68</f>
        <v>57680.95</v>
      </c>
      <c r="AW68" s="460" t="s">
        <v>2112</v>
      </c>
      <c r="AY68" s="206">
        <f t="shared" ref="AY68:AY77" si="65">AV68-AX68</f>
        <v>57680.95</v>
      </c>
      <c r="AZ68" s="447" t="s">
        <v>2131</v>
      </c>
      <c r="BB68" s="206">
        <f t="shared" ref="BB68:BB77" si="66">AY68-BA68</f>
        <v>57680.95</v>
      </c>
      <c r="BC68" s="447" t="s">
        <v>2205</v>
      </c>
      <c r="BE68" s="206">
        <f t="shared" ref="BE68:BE80" si="67">BB68-BD68</f>
        <v>57680.95</v>
      </c>
      <c r="BF68" s="447" t="s">
        <v>2243</v>
      </c>
      <c r="BH68" s="206">
        <f t="shared" si="47"/>
        <v>57680.95</v>
      </c>
      <c r="BI68" s="447" t="s">
        <v>2300</v>
      </c>
      <c r="BK68" s="206">
        <f t="shared" ref="BK68:BK82" si="68">BH68-BJ68</f>
        <v>57680.95</v>
      </c>
      <c r="BL68" s="447" t="s">
        <v>2342</v>
      </c>
      <c r="BN68" s="206">
        <f t="shared" ref="BN68:BN85" si="69">BK68-BM68</f>
        <v>57680.95</v>
      </c>
      <c r="BO68" s="447" t="s">
        <v>2361</v>
      </c>
      <c r="BP68" s="464">
        <f>BN68</f>
        <v>57680.95</v>
      </c>
      <c r="BQ68" s="206">
        <f t="shared" ref="BQ68:BQ86" si="70">ROUND((BN68-BP68),2)</f>
        <v>0</v>
      </c>
      <c r="BT68" s="206">
        <f t="shared" ref="BT68:BT89" si="71">ROUND((BQ68-BS68),2)</f>
        <v>0</v>
      </c>
      <c r="BW68" s="206">
        <f t="shared" ref="BW68:BW94" si="72">ROUND((BT68-BV68),2)</f>
        <v>0</v>
      </c>
      <c r="BZ68" s="206">
        <f t="shared" ref="BZ68:BZ96" si="73">ROUND((BW68-BY68),2)</f>
        <v>0</v>
      </c>
      <c r="CD68" s="418" t="str">
        <f t="shared" ref="CD68:CD82" si="74">B68&amp;$B$1</f>
        <v>CU0340001</v>
      </c>
      <c r="CE68" s="442" t="str">
        <f t="shared" ref="CE68:CE82" si="75">YEAR(F68)&amp;"年"&amp;MONTH(F68)&amp;"月"</f>
        <v>2020年1月</v>
      </c>
      <c r="CF68" s="418" t="str">
        <f t="shared" ref="CF68:CF82" si="76">LEFT(E68,5)&amp;$E$1</f>
        <v>盖璞（上海clife服务费暂估</v>
      </c>
      <c r="CG68" s="418" t="str">
        <f t="shared" ref="CG68:CG82" si="77">CE68&amp;CF68</f>
        <v>2020年1月盖璞（上海clife服务费暂估</v>
      </c>
    </row>
    <row r="69" spans="2:85" s="460" customFormat="1" ht="15" customHeight="1">
      <c r="B69" s="418" t="str">
        <f t="shared" si="62"/>
        <v>CU0720</v>
      </c>
      <c r="C69" s="194" t="s">
        <v>2113</v>
      </c>
      <c r="D69" s="471" t="s">
        <v>1576</v>
      </c>
      <c r="E69" s="471" t="s">
        <v>1333</v>
      </c>
      <c r="F69" s="457">
        <v>43832</v>
      </c>
      <c r="G69" s="422">
        <v>2071.5300000000002</v>
      </c>
      <c r="H69" s="427"/>
      <c r="I69" s="427"/>
      <c r="J69" s="427"/>
      <c r="L69" s="464"/>
      <c r="O69" s="464"/>
      <c r="R69" s="464"/>
      <c r="U69" s="464"/>
      <c r="X69" s="464"/>
      <c r="AA69" s="464"/>
      <c r="AD69" s="464"/>
      <c r="AF69" s="470"/>
      <c r="AG69" s="473"/>
      <c r="AH69" s="470"/>
      <c r="AI69" s="470"/>
      <c r="AJ69" s="451">
        <v>2071.5300000000002</v>
      </c>
      <c r="AK69" s="470"/>
      <c r="AL69" s="470"/>
      <c r="AM69" s="464">
        <f t="shared" si="60"/>
        <v>2071.5300000000002</v>
      </c>
      <c r="AN69" s="470"/>
      <c r="AO69" s="470"/>
      <c r="AP69" s="464">
        <f t="shared" si="61"/>
        <v>2071.5300000000002</v>
      </c>
      <c r="AQ69" s="470"/>
      <c r="AR69" s="470"/>
      <c r="AS69" s="464">
        <f t="shared" si="63"/>
        <v>2071.5300000000002</v>
      </c>
      <c r="AT69" s="470" t="s">
        <v>2114</v>
      </c>
      <c r="AV69" s="464">
        <f t="shared" si="64"/>
        <v>2071.5300000000002</v>
      </c>
      <c r="AW69" s="460" t="s">
        <v>2112</v>
      </c>
      <c r="AY69" s="206">
        <f t="shared" si="65"/>
        <v>2071.5300000000002</v>
      </c>
      <c r="AZ69" s="447" t="s">
        <v>2131</v>
      </c>
      <c r="BB69" s="206">
        <f t="shared" si="66"/>
        <v>2071.5300000000002</v>
      </c>
      <c r="BC69" s="447" t="s">
        <v>2205</v>
      </c>
      <c r="BE69" s="206">
        <f t="shared" si="67"/>
        <v>2071.5300000000002</v>
      </c>
      <c r="BF69" s="447" t="s">
        <v>2243</v>
      </c>
      <c r="BH69" s="206">
        <f t="shared" si="47"/>
        <v>2071.5300000000002</v>
      </c>
      <c r="BI69" s="447" t="s">
        <v>2300</v>
      </c>
      <c r="BK69" s="206">
        <f t="shared" si="68"/>
        <v>2071.5300000000002</v>
      </c>
      <c r="BL69" s="447" t="s">
        <v>2342</v>
      </c>
      <c r="BN69" s="206">
        <f t="shared" si="69"/>
        <v>2071.5300000000002</v>
      </c>
      <c r="BO69" s="447" t="s">
        <v>2361</v>
      </c>
      <c r="BP69" s="206">
        <f>BN69</f>
        <v>2071.5300000000002</v>
      </c>
      <c r="BQ69" s="206">
        <f t="shared" si="70"/>
        <v>0</v>
      </c>
      <c r="BT69" s="206">
        <f t="shared" si="71"/>
        <v>0</v>
      </c>
      <c r="BW69" s="206">
        <f t="shared" si="72"/>
        <v>0</v>
      </c>
      <c r="BZ69" s="206">
        <f t="shared" si="73"/>
        <v>0</v>
      </c>
      <c r="CD69" s="418" t="str">
        <f t="shared" si="74"/>
        <v>CU0720001</v>
      </c>
      <c r="CE69" s="442" t="str">
        <f t="shared" si="75"/>
        <v>2020年1月</v>
      </c>
      <c r="CF69" s="418" t="str">
        <f t="shared" si="76"/>
        <v>上海卫展医clife服务费暂估</v>
      </c>
      <c r="CG69" s="418" t="str">
        <f t="shared" si="77"/>
        <v>2020年1月上海卫展医clife服务费暂估</v>
      </c>
    </row>
    <row r="70" spans="2:85" s="460" customFormat="1" ht="15" customHeight="1">
      <c r="B70" s="418" t="str">
        <f t="shared" si="62"/>
        <v>CU1053</v>
      </c>
      <c r="C70" s="194" t="s">
        <v>2113</v>
      </c>
      <c r="D70" s="471" t="s">
        <v>2115</v>
      </c>
      <c r="E70" s="472" t="s">
        <v>2116</v>
      </c>
      <c r="F70" s="457">
        <v>43833</v>
      </c>
      <c r="G70" s="422">
        <v>327701.88</v>
      </c>
      <c r="H70" s="427"/>
      <c r="I70" s="427"/>
      <c r="J70" s="427"/>
      <c r="L70" s="464"/>
      <c r="O70" s="464"/>
      <c r="R70" s="464"/>
      <c r="U70" s="464"/>
      <c r="X70" s="464"/>
      <c r="AA70" s="464"/>
      <c r="AD70" s="464"/>
      <c r="AF70" s="470"/>
      <c r="AG70" s="473"/>
      <c r="AH70" s="470"/>
      <c r="AI70" s="470"/>
      <c r="AJ70" s="451">
        <v>327701.88</v>
      </c>
      <c r="AK70" s="470"/>
      <c r="AL70" s="470"/>
      <c r="AM70" s="464">
        <f t="shared" si="60"/>
        <v>327701.88</v>
      </c>
      <c r="AN70" s="470"/>
      <c r="AO70" s="470"/>
      <c r="AP70" s="464">
        <f t="shared" si="61"/>
        <v>327701.88</v>
      </c>
      <c r="AQ70" s="470"/>
      <c r="AR70" s="470"/>
      <c r="AS70" s="464">
        <f t="shared" si="63"/>
        <v>327701.88</v>
      </c>
      <c r="AT70" s="470" t="s">
        <v>2114</v>
      </c>
      <c r="AU70" s="460">
        <f>ROUND(347364/1.06,2)</f>
        <v>327701.89</v>
      </c>
      <c r="AV70" s="464">
        <v>0</v>
      </c>
      <c r="AY70" s="206">
        <f t="shared" si="65"/>
        <v>0</v>
      </c>
      <c r="BB70" s="206">
        <f t="shared" si="66"/>
        <v>0</v>
      </c>
      <c r="BC70" s="447" t="s">
        <v>2205</v>
      </c>
      <c r="BE70" s="206">
        <f t="shared" si="67"/>
        <v>0</v>
      </c>
      <c r="BH70" s="460">
        <f t="shared" si="47"/>
        <v>0</v>
      </c>
      <c r="BK70" s="206">
        <f t="shared" si="68"/>
        <v>0</v>
      </c>
      <c r="BN70" s="206">
        <f t="shared" si="69"/>
        <v>0</v>
      </c>
      <c r="BQ70" s="206">
        <f t="shared" si="70"/>
        <v>0</v>
      </c>
      <c r="BT70" s="206">
        <f t="shared" si="71"/>
        <v>0</v>
      </c>
      <c r="BW70" s="206">
        <f t="shared" si="72"/>
        <v>0</v>
      </c>
      <c r="BZ70" s="206">
        <f t="shared" si="73"/>
        <v>0</v>
      </c>
      <c r="CD70" s="418" t="str">
        <f t="shared" si="74"/>
        <v>CU1053001</v>
      </c>
      <c r="CE70" s="442" t="str">
        <f t="shared" si="75"/>
        <v>2020年1月</v>
      </c>
      <c r="CF70" s="418" t="str">
        <f t="shared" si="76"/>
        <v>相宜本草clife服务费暂估</v>
      </c>
      <c r="CG70" s="418" t="str">
        <f t="shared" si="77"/>
        <v>2020年1月相宜本草clife服务费暂估</v>
      </c>
    </row>
    <row r="71" spans="2:85" s="460" customFormat="1" ht="15" customHeight="1">
      <c r="B71" s="418" t="str">
        <f t="shared" si="62"/>
        <v>CU1724</v>
      </c>
      <c r="C71" s="194" t="s">
        <v>2113</v>
      </c>
      <c r="D71" s="471" t="s">
        <v>2117</v>
      </c>
      <c r="E71" s="472" t="s">
        <v>2118</v>
      </c>
      <c r="F71" s="457">
        <v>43834</v>
      </c>
      <c r="G71" s="422">
        <v>147302.66</v>
      </c>
      <c r="H71" s="427"/>
      <c r="I71" s="427"/>
      <c r="J71" s="427"/>
      <c r="L71" s="464"/>
      <c r="O71" s="464"/>
      <c r="R71" s="464"/>
      <c r="U71" s="464"/>
      <c r="X71" s="464"/>
      <c r="AA71" s="464"/>
      <c r="AD71" s="464"/>
      <c r="AF71" s="470"/>
      <c r="AG71" s="473"/>
      <c r="AH71" s="470"/>
      <c r="AI71" s="470"/>
      <c r="AJ71" s="451">
        <v>147302.66</v>
      </c>
      <c r="AK71" s="470"/>
      <c r="AL71" s="470"/>
      <c r="AM71" s="464">
        <f t="shared" si="60"/>
        <v>147302.66</v>
      </c>
      <c r="AN71" s="470"/>
      <c r="AO71" s="470"/>
      <c r="AP71" s="464">
        <f t="shared" si="61"/>
        <v>147302.66</v>
      </c>
      <c r="AQ71" s="470"/>
      <c r="AR71" s="470"/>
      <c r="AS71" s="464">
        <f t="shared" si="63"/>
        <v>147302.66</v>
      </c>
      <c r="AT71" s="470" t="s">
        <v>2114</v>
      </c>
      <c r="AU71" s="460">
        <f>53165.48+46229.23</f>
        <v>99394.71</v>
      </c>
      <c r="AV71" s="464">
        <f t="shared" si="64"/>
        <v>47907.95</v>
      </c>
      <c r="AW71" s="460" t="s">
        <v>2112</v>
      </c>
      <c r="AX71" s="460">
        <f>ROUND((497.7+1440+1920+400)/1.13,2)+ROUND((233+80)/1.09,2)+43852.91</f>
        <v>47907.950000000004</v>
      </c>
      <c r="AY71" s="206">
        <f t="shared" si="65"/>
        <v>0</v>
      </c>
      <c r="BB71" s="206">
        <f t="shared" si="66"/>
        <v>0</v>
      </c>
      <c r="BC71" s="447" t="s">
        <v>2205</v>
      </c>
      <c r="BE71" s="206">
        <f t="shared" si="67"/>
        <v>0</v>
      </c>
      <c r="BH71" s="460">
        <f t="shared" si="47"/>
        <v>0</v>
      </c>
      <c r="BK71" s="206">
        <f t="shared" si="68"/>
        <v>0</v>
      </c>
      <c r="BN71" s="206">
        <f t="shared" si="69"/>
        <v>0</v>
      </c>
      <c r="BQ71" s="206">
        <f t="shared" si="70"/>
        <v>0</v>
      </c>
      <c r="BT71" s="206">
        <f t="shared" si="71"/>
        <v>0</v>
      </c>
      <c r="BW71" s="206">
        <f t="shared" si="72"/>
        <v>0</v>
      </c>
      <c r="BZ71" s="206">
        <f t="shared" si="73"/>
        <v>0</v>
      </c>
      <c r="CD71" s="418" t="str">
        <f t="shared" si="74"/>
        <v>CU1724001</v>
      </c>
      <c r="CE71" s="442" t="str">
        <f t="shared" si="75"/>
        <v>2020年1月</v>
      </c>
      <c r="CF71" s="418" t="str">
        <f t="shared" si="76"/>
        <v>索菲玛clife服务费暂估</v>
      </c>
      <c r="CG71" s="418" t="str">
        <f t="shared" si="77"/>
        <v>2020年1月索菲玛clife服务费暂估</v>
      </c>
    </row>
    <row r="72" spans="2:85" s="460" customFormat="1" ht="15" customHeight="1">
      <c r="B72" s="418" t="str">
        <f t="shared" si="62"/>
        <v>CU0340</v>
      </c>
      <c r="C72" s="194" t="s">
        <v>2113</v>
      </c>
      <c r="D72" s="471" t="s">
        <v>1570</v>
      </c>
      <c r="E72" s="472" t="s">
        <v>74</v>
      </c>
      <c r="F72" s="457">
        <v>43862</v>
      </c>
      <c r="G72" s="422">
        <v>108630.95</v>
      </c>
      <c r="H72" s="427"/>
      <c r="I72" s="427"/>
      <c r="J72" s="427"/>
      <c r="L72" s="464"/>
      <c r="O72" s="464"/>
      <c r="R72" s="464"/>
      <c r="U72" s="464"/>
      <c r="X72" s="464"/>
      <c r="AA72" s="464"/>
      <c r="AD72" s="464"/>
      <c r="AG72" s="464"/>
      <c r="AJ72" s="451">
        <f>G72</f>
        <v>108630.95</v>
      </c>
      <c r="AK72" s="470"/>
      <c r="AL72" s="470"/>
      <c r="AM72" s="464">
        <f t="shared" si="60"/>
        <v>108630.95</v>
      </c>
      <c r="AN72" s="470"/>
      <c r="AO72" s="470"/>
      <c r="AP72" s="464">
        <f t="shared" si="61"/>
        <v>108630.95</v>
      </c>
      <c r="AQ72" s="470"/>
      <c r="AR72" s="470"/>
      <c r="AS72" s="464">
        <f t="shared" si="63"/>
        <v>108630.95</v>
      </c>
      <c r="AV72" s="464">
        <f t="shared" si="64"/>
        <v>108630.95</v>
      </c>
      <c r="AW72" s="460" t="s">
        <v>2119</v>
      </c>
      <c r="AY72" s="206">
        <f t="shared" si="65"/>
        <v>108630.95</v>
      </c>
      <c r="AZ72" s="447" t="s">
        <v>2135</v>
      </c>
      <c r="BB72" s="206">
        <f t="shared" si="66"/>
        <v>108630.95</v>
      </c>
      <c r="BC72" s="447" t="s">
        <v>2206</v>
      </c>
      <c r="BE72" s="206">
        <f t="shared" si="67"/>
        <v>108630.95</v>
      </c>
      <c r="BF72" s="447" t="s">
        <v>2244</v>
      </c>
      <c r="BH72" s="206">
        <f t="shared" si="47"/>
        <v>108630.95</v>
      </c>
      <c r="BI72" s="447" t="s">
        <v>2301</v>
      </c>
      <c r="BK72" s="206">
        <f t="shared" si="68"/>
        <v>108630.95</v>
      </c>
      <c r="BL72" s="447" t="s">
        <v>2342</v>
      </c>
      <c r="BN72" s="206">
        <f t="shared" si="69"/>
        <v>108630.95</v>
      </c>
      <c r="BO72" s="447" t="s">
        <v>2361</v>
      </c>
      <c r="BP72" s="464">
        <f>ROUND(466326.5/1.06,2)-BP50-BP53-BP56-BP57-BP58-BP61-BP66-BP67-BP68</f>
        <v>36766.410499999925</v>
      </c>
      <c r="BQ72" s="206">
        <f t="shared" si="70"/>
        <v>71864.539999999994</v>
      </c>
      <c r="BT72" s="206">
        <f t="shared" si="71"/>
        <v>71864.539999999994</v>
      </c>
      <c r="BU72" s="418" t="s">
        <v>2219</v>
      </c>
      <c r="BW72" s="206">
        <f t="shared" si="72"/>
        <v>71864.539999999994</v>
      </c>
      <c r="BZ72" s="206">
        <f t="shared" si="73"/>
        <v>71864.539999999994</v>
      </c>
      <c r="CD72" s="418" t="str">
        <f t="shared" si="74"/>
        <v>CU0340001</v>
      </c>
      <c r="CE72" s="442" t="str">
        <f t="shared" si="75"/>
        <v>2020年2月</v>
      </c>
      <c r="CF72" s="418" t="str">
        <f t="shared" si="76"/>
        <v>盖璞集团clife服务费暂估</v>
      </c>
      <c r="CG72" s="418" t="str">
        <f t="shared" si="77"/>
        <v>2020年2月盖璞集团clife服务费暂估</v>
      </c>
    </row>
    <row r="73" spans="2:85" s="460" customFormat="1" ht="15" customHeight="1">
      <c r="B73" s="418" t="str">
        <f t="shared" si="62"/>
        <v>CU0340</v>
      </c>
      <c r="C73" s="194" t="s">
        <v>950</v>
      </c>
      <c r="D73" s="471" t="s">
        <v>1570</v>
      </c>
      <c r="E73" s="472" t="s">
        <v>74</v>
      </c>
      <c r="F73" s="457">
        <v>43892</v>
      </c>
      <c r="G73" s="422">
        <v>52911.33</v>
      </c>
      <c r="H73" s="427"/>
      <c r="I73" s="427"/>
      <c r="J73" s="427"/>
      <c r="L73" s="464"/>
      <c r="O73" s="464"/>
      <c r="R73" s="464"/>
      <c r="U73" s="464"/>
      <c r="X73" s="464"/>
      <c r="AA73" s="464"/>
      <c r="AD73" s="464"/>
      <c r="AG73" s="464"/>
      <c r="AJ73" s="451">
        <f>G73</f>
        <v>52911.33</v>
      </c>
      <c r="AK73" s="470"/>
      <c r="AL73" s="470"/>
      <c r="AM73" s="464">
        <f t="shared" si="60"/>
        <v>52911.33</v>
      </c>
      <c r="AN73" s="470"/>
      <c r="AO73" s="470"/>
      <c r="AP73" s="464">
        <f t="shared" si="61"/>
        <v>52911.33</v>
      </c>
      <c r="AQ73" s="470"/>
      <c r="AR73" s="470"/>
      <c r="AS73" s="464">
        <f t="shared" si="63"/>
        <v>52911.33</v>
      </c>
      <c r="AV73" s="464">
        <f t="shared" si="64"/>
        <v>52911.33</v>
      </c>
      <c r="AY73" s="206">
        <f>AV73-AX73</f>
        <v>52911.33</v>
      </c>
      <c r="AZ73" s="447" t="s">
        <v>2184</v>
      </c>
      <c r="BB73" s="206">
        <f t="shared" si="66"/>
        <v>52911.33</v>
      </c>
      <c r="BC73" s="447" t="s">
        <v>2207</v>
      </c>
      <c r="BE73" s="206">
        <f t="shared" si="67"/>
        <v>52911.33</v>
      </c>
      <c r="BF73" s="447" t="s">
        <v>2245</v>
      </c>
      <c r="BH73" s="206">
        <f t="shared" si="47"/>
        <v>52911.33</v>
      </c>
      <c r="BI73" s="447" t="s">
        <v>2302</v>
      </c>
      <c r="BK73" s="206">
        <f t="shared" si="68"/>
        <v>52911.33</v>
      </c>
      <c r="BL73" s="447" t="s">
        <v>2342</v>
      </c>
      <c r="BN73" s="206">
        <f t="shared" si="69"/>
        <v>52911.33</v>
      </c>
      <c r="BO73" s="447" t="s">
        <v>2361</v>
      </c>
      <c r="BQ73" s="206">
        <f t="shared" si="70"/>
        <v>52911.33</v>
      </c>
      <c r="BT73" s="206">
        <f t="shared" si="71"/>
        <v>52911.33</v>
      </c>
      <c r="BU73" s="418" t="s">
        <v>2219</v>
      </c>
      <c r="BW73" s="206">
        <f t="shared" si="72"/>
        <v>52911.33</v>
      </c>
      <c r="BZ73" s="206">
        <f t="shared" si="73"/>
        <v>52911.33</v>
      </c>
      <c r="CD73" s="418" t="str">
        <f t="shared" si="74"/>
        <v>CU0340001</v>
      </c>
      <c r="CE73" s="442" t="str">
        <f t="shared" si="75"/>
        <v>2020年3月</v>
      </c>
      <c r="CF73" s="418" t="str">
        <f t="shared" si="76"/>
        <v>盖璞集团clife服务费暂估</v>
      </c>
      <c r="CG73" s="418" t="str">
        <f t="shared" si="77"/>
        <v>2020年3月盖璞集团clife服务费暂估</v>
      </c>
    </row>
    <row r="74" spans="2:85" s="460" customFormat="1" ht="15" customHeight="1">
      <c r="B74" s="418" t="str">
        <f t="shared" si="62"/>
        <v>CU1500</v>
      </c>
      <c r="C74" s="194" t="s">
        <v>950</v>
      </c>
      <c r="D74" s="434" t="s">
        <v>2139</v>
      </c>
      <c r="E74" s="472" t="s">
        <v>2140</v>
      </c>
      <c r="F74" s="457">
        <v>43893</v>
      </c>
      <c r="G74" s="422">
        <v>9844.02</v>
      </c>
      <c r="H74" s="427"/>
      <c r="I74" s="427"/>
      <c r="J74" s="427"/>
      <c r="L74" s="464"/>
      <c r="O74" s="464"/>
      <c r="R74" s="464"/>
      <c r="U74" s="464"/>
      <c r="X74" s="464"/>
      <c r="AA74" s="464"/>
      <c r="AD74" s="464"/>
      <c r="AG74" s="464"/>
      <c r="AJ74" s="451">
        <f>G74</f>
        <v>9844.02</v>
      </c>
      <c r="AK74" s="470"/>
      <c r="AL74" s="470"/>
      <c r="AM74" s="464">
        <f t="shared" si="60"/>
        <v>9844.02</v>
      </c>
      <c r="AN74" s="470"/>
      <c r="AO74" s="470"/>
      <c r="AP74" s="464">
        <f t="shared" si="61"/>
        <v>9844.02</v>
      </c>
      <c r="AQ74" s="470"/>
      <c r="AR74" s="470"/>
      <c r="AS74" s="464">
        <f t="shared" si="63"/>
        <v>9844.02</v>
      </c>
      <c r="AV74" s="464">
        <f t="shared" si="64"/>
        <v>9844.02</v>
      </c>
      <c r="AY74" s="206">
        <f t="shared" si="65"/>
        <v>9844.02</v>
      </c>
      <c r="AZ74" s="447" t="s">
        <v>2184</v>
      </c>
      <c r="BB74" s="206">
        <f t="shared" si="66"/>
        <v>9844.02</v>
      </c>
      <c r="BC74" s="447" t="s">
        <v>2207</v>
      </c>
      <c r="BE74" s="206">
        <f t="shared" si="67"/>
        <v>9844.02</v>
      </c>
      <c r="BF74" s="447" t="s">
        <v>2245</v>
      </c>
      <c r="BH74" s="206">
        <f t="shared" si="47"/>
        <v>9844.02</v>
      </c>
      <c r="BI74" s="447" t="s">
        <v>2302</v>
      </c>
      <c r="BK74" s="206">
        <f t="shared" si="68"/>
        <v>9844.02</v>
      </c>
      <c r="BL74" s="447" t="s">
        <v>2342</v>
      </c>
      <c r="BN74" s="206">
        <f t="shared" si="69"/>
        <v>9844.02</v>
      </c>
      <c r="BO74" s="447" t="s">
        <v>2361</v>
      </c>
      <c r="BQ74" s="206">
        <f t="shared" si="70"/>
        <v>9844.02</v>
      </c>
      <c r="BT74" s="206">
        <f t="shared" si="71"/>
        <v>9844.02</v>
      </c>
      <c r="BU74" s="418" t="s">
        <v>2219</v>
      </c>
      <c r="BW74" s="206">
        <f t="shared" si="72"/>
        <v>9844.02</v>
      </c>
      <c r="BZ74" s="206">
        <f t="shared" si="73"/>
        <v>9844.02</v>
      </c>
      <c r="CD74" s="418" t="str">
        <f t="shared" si="74"/>
        <v>CU1500001</v>
      </c>
      <c r="CE74" s="442" t="str">
        <f t="shared" si="75"/>
        <v>2020年3月</v>
      </c>
      <c r="CF74" s="418" t="str">
        <f t="shared" si="76"/>
        <v>森马clife服务费暂估</v>
      </c>
      <c r="CG74" s="418" t="str">
        <f t="shared" si="77"/>
        <v>2020年3月森马clife服务费暂估</v>
      </c>
    </row>
    <row r="75" spans="2:85" s="460" customFormat="1" ht="15" customHeight="1">
      <c r="B75" s="418" t="str">
        <f t="shared" si="62"/>
        <v>CU0340</v>
      </c>
      <c r="C75" s="194" t="s">
        <v>950</v>
      </c>
      <c r="D75" s="434" t="s">
        <v>1570</v>
      </c>
      <c r="E75" s="472" t="s">
        <v>2202</v>
      </c>
      <c r="F75" s="457">
        <v>43922</v>
      </c>
      <c r="G75" s="422">
        <v>53178.79</v>
      </c>
      <c r="H75" s="427"/>
      <c r="I75" s="427"/>
      <c r="J75" s="427"/>
      <c r="L75" s="464"/>
      <c r="O75" s="464"/>
      <c r="R75" s="464"/>
      <c r="U75" s="464"/>
      <c r="X75" s="464"/>
      <c r="AA75" s="464"/>
      <c r="AD75" s="464"/>
      <c r="AG75" s="464"/>
      <c r="AJ75" s="451"/>
      <c r="AK75" s="470"/>
      <c r="AL75" s="470"/>
      <c r="AM75" s="464"/>
      <c r="AN75" s="470"/>
      <c r="AO75" s="470"/>
      <c r="AP75" s="464"/>
      <c r="AQ75" s="470"/>
      <c r="AR75" s="470"/>
      <c r="AS75" s="464">
        <v>53178.79</v>
      </c>
      <c r="AV75" s="464">
        <f t="shared" si="64"/>
        <v>53178.79</v>
      </c>
      <c r="AY75" s="206">
        <f t="shared" si="65"/>
        <v>53178.79</v>
      </c>
      <c r="AZ75" s="447"/>
      <c r="BB75" s="206">
        <f t="shared" si="66"/>
        <v>53178.79</v>
      </c>
      <c r="BC75" s="447" t="s">
        <v>2208</v>
      </c>
      <c r="BE75" s="206">
        <f t="shared" si="67"/>
        <v>53178.79</v>
      </c>
      <c r="BF75" s="363" t="s">
        <v>2246</v>
      </c>
      <c r="BH75" s="206">
        <f t="shared" si="47"/>
        <v>53178.79</v>
      </c>
      <c r="BI75" s="447" t="s">
        <v>2303</v>
      </c>
      <c r="BK75" s="206">
        <f t="shared" si="68"/>
        <v>53178.79</v>
      </c>
      <c r="BL75" s="447" t="s">
        <v>2342</v>
      </c>
      <c r="BN75" s="206">
        <f t="shared" si="69"/>
        <v>53178.79</v>
      </c>
      <c r="BO75" s="447" t="s">
        <v>2361</v>
      </c>
      <c r="BQ75" s="206">
        <f t="shared" si="70"/>
        <v>53178.79</v>
      </c>
      <c r="BT75" s="206">
        <f t="shared" si="71"/>
        <v>53178.79</v>
      </c>
      <c r="BU75" s="418" t="s">
        <v>2219</v>
      </c>
      <c r="BW75" s="206">
        <f t="shared" si="72"/>
        <v>53178.79</v>
      </c>
      <c r="BZ75" s="206">
        <f t="shared" si="73"/>
        <v>53178.79</v>
      </c>
      <c r="CD75" s="418" t="str">
        <f t="shared" si="74"/>
        <v>CU0340001</v>
      </c>
      <c r="CE75" s="442" t="str">
        <f t="shared" si="75"/>
        <v>2020年4月</v>
      </c>
      <c r="CF75" s="418" t="str">
        <f t="shared" si="76"/>
        <v>盖璞集团clife服务费暂估</v>
      </c>
      <c r="CG75" s="418" t="str">
        <f t="shared" si="77"/>
        <v>2020年4月盖璞集团clife服务费暂估</v>
      </c>
    </row>
    <row r="76" spans="2:85" s="494" customFormat="1" ht="15" customHeight="1">
      <c r="B76" s="418" t="str">
        <f t="shared" si="62"/>
        <v>CU1352</v>
      </c>
      <c r="C76" s="495" t="s">
        <v>950</v>
      </c>
      <c r="D76" s="419" t="s">
        <v>2200</v>
      </c>
      <c r="E76" s="496" t="s">
        <v>1736</v>
      </c>
      <c r="F76" s="497">
        <v>43923</v>
      </c>
      <c r="G76" s="445">
        <v>3250</v>
      </c>
      <c r="H76" s="427"/>
      <c r="I76" s="427"/>
      <c r="J76" s="427"/>
      <c r="K76" s="460"/>
      <c r="L76" s="464"/>
      <c r="M76" s="460"/>
      <c r="N76" s="460"/>
      <c r="O76" s="464"/>
      <c r="P76" s="460"/>
      <c r="Q76" s="460"/>
      <c r="R76" s="464"/>
      <c r="S76" s="460"/>
      <c r="T76" s="460"/>
      <c r="U76" s="464"/>
      <c r="V76" s="460"/>
      <c r="W76" s="460"/>
      <c r="X76" s="464"/>
      <c r="Y76" s="460"/>
      <c r="Z76" s="460"/>
      <c r="AA76" s="464"/>
      <c r="AB76" s="460"/>
      <c r="AC76" s="460"/>
      <c r="AD76" s="464"/>
      <c r="AE76" s="460"/>
      <c r="AF76" s="460"/>
      <c r="AG76" s="464"/>
      <c r="AH76" s="460"/>
      <c r="AI76" s="460"/>
      <c r="AJ76" s="451"/>
      <c r="AK76" s="470"/>
      <c r="AL76" s="470"/>
      <c r="AM76" s="464"/>
      <c r="AN76" s="470"/>
      <c r="AO76" s="470"/>
      <c r="AP76" s="464"/>
      <c r="AQ76" s="470"/>
      <c r="AR76" s="498"/>
      <c r="AS76" s="499">
        <v>3250</v>
      </c>
      <c r="AV76" s="499">
        <f t="shared" si="64"/>
        <v>3250</v>
      </c>
      <c r="AY76" s="193">
        <f t="shared" si="65"/>
        <v>3250</v>
      </c>
      <c r="AZ76" s="20"/>
      <c r="BB76" s="193">
        <f t="shared" si="66"/>
        <v>3250</v>
      </c>
      <c r="BC76" s="20" t="s">
        <v>2208</v>
      </c>
      <c r="BD76" s="494">
        <v>3250</v>
      </c>
      <c r="BE76" s="193">
        <f t="shared" si="67"/>
        <v>0</v>
      </c>
      <c r="BF76" s="500" t="s">
        <v>2246</v>
      </c>
      <c r="BH76" s="494">
        <f t="shared" si="47"/>
        <v>0</v>
      </c>
      <c r="BK76" s="206">
        <f t="shared" si="68"/>
        <v>0</v>
      </c>
      <c r="BN76" s="206">
        <f t="shared" si="69"/>
        <v>0</v>
      </c>
      <c r="BQ76" s="206">
        <f t="shared" si="70"/>
        <v>0</v>
      </c>
      <c r="BT76" s="206">
        <f t="shared" si="71"/>
        <v>0</v>
      </c>
      <c r="BW76" s="206">
        <f t="shared" si="72"/>
        <v>0</v>
      </c>
      <c r="BZ76" s="206">
        <f t="shared" si="73"/>
        <v>0</v>
      </c>
      <c r="CD76" s="418" t="str">
        <f t="shared" si="74"/>
        <v>CU1352001</v>
      </c>
      <c r="CE76" s="442" t="str">
        <f t="shared" si="75"/>
        <v>2020年4月</v>
      </c>
      <c r="CF76" s="418" t="str">
        <f t="shared" si="76"/>
        <v>上海得力润clife服务费暂估</v>
      </c>
      <c r="CG76" s="418" t="str">
        <f t="shared" si="77"/>
        <v>2020年4月上海得力润clife服务费暂估</v>
      </c>
    </row>
    <row r="77" spans="2:85" s="460" customFormat="1" ht="15" customHeight="1">
      <c r="B77" s="418" t="str">
        <f t="shared" si="62"/>
        <v>CU1500</v>
      </c>
      <c r="C77" s="194" t="s">
        <v>950</v>
      </c>
      <c r="D77" s="434" t="s">
        <v>2201</v>
      </c>
      <c r="E77" s="472" t="s">
        <v>2203</v>
      </c>
      <c r="F77" s="457">
        <v>43924</v>
      </c>
      <c r="G77" s="422">
        <v>1933.65</v>
      </c>
      <c r="H77" s="427"/>
      <c r="I77" s="427"/>
      <c r="J77" s="427"/>
      <c r="L77" s="464"/>
      <c r="O77" s="464"/>
      <c r="R77" s="464"/>
      <c r="U77" s="464"/>
      <c r="X77" s="464"/>
      <c r="AA77" s="464"/>
      <c r="AD77" s="464"/>
      <c r="AG77" s="464"/>
      <c r="AJ77" s="451"/>
      <c r="AK77" s="470"/>
      <c r="AL77" s="470"/>
      <c r="AM77" s="464"/>
      <c r="AN77" s="470"/>
      <c r="AO77" s="470"/>
      <c r="AP77" s="464"/>
      <c r="AQ77" s="470"/>
      <c r="AR77" s="470"/>
      <c r="AS77" s="464">
        <v>1933.65</v>
      </c>
      <c r="AV77" s="464">
        <f t="shared" si="64"/>
        <v>1933.65</v>
      </c>
      <c r="AY77" s="206">
        <f t="shared" si="65"/>
        <v>1933.65</v>
      </c>
      <c r="AZ77" s="447"/>
      <c r="BB77" s="206">
        <f t="shared" si="66"/>
        <v>1933.65</v>
      </c>
      <c r="BC77" s="447" t="s">
        <v>2208</v>
      </c>
      <c r="BE77" s="206">
        <f t="shared" si="67"/>
        <v>1933.65</v>
      </c>
      <c r="BF77" s="363" t="s">
        <v>2246</v>
      </c>
      <c r="BH77" s="206">
        <f t="shared" ref="BH77:BH82" si="78">BE77-BG77</f>
        <v>1933.65</v>
      </c>
      <c r="BI77" s="447" t="s">
        <v>2303</v>
      </c>
      <c r="BK77" s="206">
        <f t="shared" si="68"/>
        <v>1933.65</v>
      </c>
      <c r="BL77" s="447" t="s">
        <v>2342</v>
      </c>
      <c r="BN77" s="206">
        <f t="shared" si="69"/>
        <v>1933.65</v>
      </c>
      <c r="BO77" s="447" t="s">
        <v>2361</v>
      </c>
      <c r="BQ77" s="206">
        <f t="shared" si="70"/>
        <v>1933.65</v>
      </c>
      <c r="BT77" s="206">
        <f t="shared" si="71"/>
        <v>1933.65</v>
      </c>
      <c r="BU77" s="418" t="s">
        <v>2219</v>
      </c>
      <c r="BW77" s="206">
        <f t="shared" si="72"/>
        <v>1933.65</v>
      </c>
      <c r="BZ77" s="206">
        <f t="shared" si="73"/>
        <v>1933.65</v>
      </c>
      <c r="CD77" s="418" t="str">
        <f t="shared" si="74"/>
        <v>CU1500001</v>
      </c>
      <c r="CE77" s="442" t="str">
        <f t="shared" si="75"/>
        <v>2020年4月</v>
      </c>
      <c r="CF77" s="418" t="str">
        <f t="shared" si="76"/>
        <v>上海森马服clife服务费暂估</v>
      </c>
      <c r="CG77" s="418" t="str">
        <f t="shared" si="77"/>
        <v>2020年4月上海森马服clife服务费暂估</v>
      </c>
    </row>
    <row r="78" spans="2:85" s="460" customFormat="1" ht="15" customHeight="1">
      <c r="B78" s="418" t="str">
        <f t="shared" si="62"/>
        <v>CU0720</v>
      </c>
      <c r="C78" s="194" t="s">
        <v>950</v>
      </c>
      <c r="D78" s="434" t="s">
        <v>2253</v>
      </c>
      <c r="E78" s="472" t="s">
        <v>1159</v>
      </c>
      <c r="F78" s="457">
        <v>43952</v>
      </c>
      <c r="G78" s="422">
        <v>7608.08</v>
      </c>
      <c r="H78" s="427"/>
      <c r="I78" s="427"/>
      <c r="J78" s="427"/>
      <c r="L78" s="464"/>
      <c r="O78" s="464"/>
      <c r="R78" s="464"/>
      <c r="U78" s="464"/>
      <c r="X78" s="464"/>
      <c r="AA78" s="464"/>
      <c r="AD78" s="464"/>
      <c r="AG78" s="464"/>
      <c r="AJ78" s="451"/>
      <c r="AK78" s="470"/>
      <c r="AL78" s="470"/>
      <c r="AM78" s="464"/>
      <c r="AN78" s="470"/>
      <c r="AO78" s="470"/>
      <c r="AP78" s="464"/>
      <c r="AQ78" s="470"/>
      <c r="AR78" s="470"/>
      <c r="AS78" s="464"/>
      <c r="AV78" s="464"/>
      <c r="AY78" s="206"/>
      <c r="AZ78" s="447"/>
      <c r="BB78" s="206">
        <f>G78</f>
        <v>7608.08</v>
      </c>
      <c r="BC78" s="447"/>
      <c r="BE78" s="206">
        <f t="shared" si="67"/>
        <v>7608.08</v>
      </c>
      <c r="BF78" s="363" t="s">
        <v>2260</v>
      </c>
      <c r="BH78" s="206">
        <f t="shared" si="78"/>
        <v>7608.08</v>
      </c>
      <c r="BI78" s="447" t="s">
        <v>2304</v>
      </c>
      <c r="BK78" s="206">
        <f t="shared" si="68"/>
        <v>7608.08</v>
      </c>
      <c r="BL78" s="447" t="s">
        <v>2342</v>
      </c>
      <c r="BN78" s="206">
        <f t="shared" si="69"/>
        <v>7608.08</v>
      </c>
      <c r="BO78" s="447" t="s">
        <v>2361</v>
      </c>
      <c r="BP78" s="464">
        <f>ROUND(42200/1.06,2)-BP36-BP40-BP43-BP45-BP47-BP54-BP59-BP62-BP69</f>
        <v>3817.9099999999958</v>
      </c>
      <c r="BQ78" s="206">
        <f t="shared" si="70"/>
        <v>3790.17</v>
      </c>
      <c r="BT78" s="206">
        <f t="shared" si="71"/>
        <v>3790.17</v>
      </c>
      <c r="BU78" s="418" t="s">
        <v>2219</v>
      </c>
      <c r="BW78" s="206">
        <f t="shared" si="72"/>
        <v>3790.17</v>
      </c>
      <c r="BZ78" s="206">
        <f t="shared" si="73"/>
        <v>3790.17</v>
      </c>
      <c r="CD78" s="418" t="str">
        <f t="shared" si="74"/>
        <v>CU0720001</v>
      </c>
      <c r="CE78" s="442" t="str">
        <f t="shared" si="75"/>
        <v>2020年5月</v>
      </c>
      <c r="CF78" s="418" t="str">
        <f t="shared" si="76"/>
        <v>上海卫展医clife服务费暂估</v>
      </c>
      <c r="CG78" s="418" t="str">
        <f t="shared" si="77"/>
        <v>2020年5月上海卫展医clife服务费暂估</v>
      </c>
    </row>
    <row r="79" spans="2:85" s="460" customFormat="1" ht="15" customHeight="1">
      <c r="B79" s="418" t="str">
        <f t="shared" si="62"/>
        <v>CU1053</v>
      </c>
      <c r="C79" s="194" t="s">
        <v>950</v>
      </c>
      <c r="D79" s="434" t="s">
        <v>2254</v>
      </c>
      <c r="E79" s="472" t="s">
        <v>2252</v>
      </c>
      <c r="F79" s="457">
        <v>43953</v>
      </c>
      <c r="G79" s="422">
        <v>124830.44</v>
      </c>
      <c r="H79" s="427"/>
      <c r="I79" s="427"/>
      <c r="J79" s="427"/>
      <c r="L79" s="464"/>
      <c r="O79" s="464"/>
      <c r="R79" s="464"/>
      <c r="U79" s="464"/>
      <c r="X79" s="464"/>
      <c r="AA79" s="464"/>
      <c r="AD79" s="464"/>
      <c r="AG79" s="464"/>
      <c r="AJ79" s="451"/>
      <c r="AK79" s="470"/>
      <c r="AL79" s="470"/>
      <c r="AM79" s="464"/>
      <c r="AN79" s="470"/>
      <c r="AO79" s="470"/>
      <c r="AP79" s="464"/>
      <c r="AQ79" s="470"/>
      <c r="AR79" s="470"/>
      <c r="AS79" s="464"/>
      <c r="AV79" s="464"/>
      <c r="AY79" s="206"/>
      <c r="AZ79" s="447"/>
      <c r="BB79" s="206">
        <f>G79</f>
        <v>124830.44</v>
      </c>
      <c r="BC79" s="447"/>
      <c r="BE79" s="206">
        <f t="shared" si="67"/>
        <v>124830.44</v>
      </c>
      <c r="BF79" s="363" t="s">
        <v>2260</v>
      </c>
      <c r="BG79" s="460">
        <v>124830.44</v>
      </c>
      <c r="BH79" s="206">
        <f t="shared" si="78"/>
        <v>0</v>
      </c>
      <c r="BK79" s="206">
        <f t="shared" si="68"/>
        <v>0</v>
      </c>
      <c r="BN79" s="206">
        <f t="shared" si="69"/>
        <v>0</v>
      </c>
      <c r="BQ79" s="206">
        <f t="shared" si="70"/>
        <v>0</v>
      </c>
      <c r="BT79" s="206">
        <f t="shared" si="71"/>
        <v>0</v>
      </c>
      <c r="BW79" s="206">
        <f t="shared" si="72"/>
        <v>0</v>
      </c>
      <c r="BZ79" s="206">
        <f t="shared" si="73"/>
        <v>0</v>
      </c>
      <c r="CD79" s="418" t="str">
        <f t="shared" si="74"/>
        <v>CU1053001</v>
      </c>
      <c r="CE79" s="442" t="str">
        <f t="shared" si="75"/>
        <v>2020年5月</v>
      </c>
      <c r="CF79" s="418" t="str">
        <f t="shared" si="76"/>
        <v>上海相宜本clife服务费暂估</v>
      </c>
      <c r="CG79" s="418" t="str">
        <f t="shared" si="77"/>
        <v>2020年5月上海相宜本clife服务费暂估</v>
      </c>
    </row>
    <row r="80" spans="2:85" s="460" customFormat="1" ht="15" customHeight="1">
      <c r="B80" s="418" t="str">
        <f t="shared" si="62"/>
        <v>CU1500</v>
      </c>
      <c r="C80" s="194" t="s">
        <v>950</v>
      </c>
      <c r="D80" s="434" t="s">
        <v>2247</v>
      </c>
      <c r="E80" s="472" t="s">
        <v>2203</v>
      </c>
      <c r="F80" s="457">
        <v>43954</v>
      </c>
      <c r="G80" s="422">
        <v>937.52</v>
      </c>
      <c r="H80" s="427"/>
      <c r="I80" s="427"/>
      <c r="J80" s="427"/>
      <c r="L80" s="464"/>
      <c r="O80" s="464"/>
      <c r="R80" s="464"/>
      <c r="U80" s="464"/>
      <c r="X80" s="464"/>
      <c r="AA80" s="464"/>
      <c r="AD80" s="464"/>
      <c r="AG80" s="464"/>
      <c r="AJ80" s="451"/>
      <c r="AK80" s="470"/>
      <c r="AL80" s="470"/>
      <c r="AM80" s="464"/>
      <c r="AN80" s="470"/>
      <c r="AO80" s="470"/>
      <c r="AP80" s="464"/>
      <c r="AQ80" s="470"/>
      <c r="AR80" s="470"/>
      <c r="AS80" s="464"/>
      <c r="AV80" s="464"/>
      <c r="AY80" s="206"/>
      <c r="AZ80" s="447"/>
      <c r="BB80" s="206">
        <f>G80</f>
        <v>937.52</v>
      </c>
      <c r="BC80" s="447"/>
      <c r="BE80" s="206">
        <f t="shared" si="67"/>
        <v>937.52</v>
      </c>
      <c r="BF80" s="363" t="s">
        <v>2260</v>
      </c>
      <c r="BH80" s="206">
        <f t="shared" si="78"/>
        <v>937.52</v>
      </c>
      <c r="BI80" s="447" t="s">
        <v>2304</v>
      </c>
      <c r="BK80" s="206">
        <f t="shared" si="68"/>
        <v>937.52</v>
      </c>
      <c r="BL80" s="447" t="s">
        <v>2342</v>
      </c>
      <c r="BN80" s="206">
        <f t="shared" si="69"/>
        <v>937.52</v>
      </c>
      <c r="BO80" s="447" t="s">
        <v>2361</v>
      </c>
      <c r="BQ80" s="206">
        <f t="shared" si="70"/>
        <v>937.52</v>
      </c>
      <c r="BT80" s="206">
        <f t="shared" si="71"/>
        <v>937.52</v>
      </c>
      <c r="BU80" s="418" t="s">
        <v>2219</v>
      </c>
      <c r="BW80" s="206">
        <f t="shared" si="72"/>
        <v>937.52</v>
      </c>
      <c r="BZ80" s="206">
        <f t="shared" si="73"/>
        <v>937.52</v>
      </c>
      <c r="CD80" s="418" t="str">
        <f t="shared" si="74"/>
        <v>CU1500001</v>
      </c>
      <c r="CE80" s="442" t="str">
        <f t="shared" si="75"/>
        <v>2020年5月</v>
      </c>
      <c r="CF80" s="418" t="str">
        <f t="shared" si="76"/>
        <v>上海森马服clife服务费暂估</v>
      </c>
      <c r="CG80" s="418" t="str">
        <f t="shared" si="77"/>
        <v>2020年5月上海森马服clife服务费暂估</v>
      </c>
    </row>
    <row r="81" spans="2:85" s="460" customFormat="1" ht="15" customHeight="1">
      <c r="B81" s="418" t="str">
        <f t="shared" si="62"/>
        <v>CU0340</v>
      </c>
      <c r="C81" s="194" t="s">
        <v>950</v>
      </c>
      <c r="D81" s="452" t="s">
        <v>2279</v>
      </c>
      <c r="E81" s="463" t="s">
        <v>2291</v>
      </c>
      <c r="F81" s="457">
        <v>43983</v>
      </c>
      <c r="G81" s="474">
        <v>51663.23</v>
      </c>
      <c r="H81" s="427"/>
      <c r="I81" s="427"/>
      <c r="J81" s="427"/>
      <c r="L81" s="464"/>
      <c r="O81" s="464"/>
      <c r="R81" s="464"/>
      <c r="U81" s="464"/>
      <c r="X81" s="464"/>
      <c r="AA81" s="464"/>
      <c r="AD81" s="464"/>
      <c r="AG81" s="464"/>
      <c r="AJ81" s="451"/>
      <c r="AK81" s="470"/>
      <c r="AL81" s="470"/>
      <c r="AM81" s="464"/>
      <c r="AN81" s="470"/>
      <c r="AO81" s="470"/>
      <c r="AP81" s="464"/>
      <c r="AQ81" s="470"/>
      <c r="AR81" s="470"/>
      <c r="AS81" s="464"/>
      <c r="AV81" s="464"/>
      <c r="AY81" s="206"/>
      <c r="AZ81" s="447"/>
      <c r="BB81" s="206"/>
      <c r="BC81" s="447"/>
      <c r="BE81" s="206">
        <f>G81</f>
        <v>51663.23</v>
      </c>
      <c r="BF81" s="363"/>
      <c r="BH81" s="206">
        <f t="shared" si="78"/>
        <v>51663.23</v>
      </c>
      <c r="BI81" s="447" t="s">
        <v>2305</v>
      </c>
      <c r="BK81" s="206">
        <f t="shared" si="68"/>
        <v>51663.23</v>
      </c>
      <c r="BL81" s="447" t="s">
        <v>2342</v>
      </c>
      <c r="BN81" s="206">
        <f t="shared" si="69"/>
        <v>51663.23</v>
      </c>
      <c r="BO81" s="447" t="s">
        <v>2361</v>
      </c>
      <c r="BQ81" s="206">
        <f t="shared" si="70"/>
        <v>51663.23</v>
      </c>
      <c r="BT81" s="206">
        <f t="shared" si="71"/>
        <v>51663.23</v>
      </c>
      <c r="BU81" s="418" t="s">
        <v>2219</v>
      </c>
      <c r="BW81" s="206">
        <f t="shared" si="72"/>
        <v>51663.23</v>
      </c>
      <c r="BZ81" s="206">
        <f t="shared" si="73"/>
        <v>51663.23</v>
      </c>
      <c r="CD81" s="418" t="str">
        <f t="shared" si="74"/>
        <v>CU0340001</v>
      </c>
      <c r="CE81" s="442" t="str">
        <f t="shared" si="75"/>
        <v>2020年6月</v>
      </c>
      <c r="CF81" s="418" t="str">
        <f t="shared" si="76"/>
        <v>盖璞集团clife服务费暂估</v>
      </c>
      <c r="CG81" s="418" t="str">
        <f t="shared" si="77"/>
        <v>2020年6月盖璞集团clife服务费暂估</v>
      </c>
    </row>
    <row r="82" spans="2:85" s="460" customFormat="1" ht="15" customHeight="1">
      <c r="B82" s="418" t="str">
        <f t="shared" si="62"/>
        <v>CU1500</v>
      </c>
      <c r="C82" s="194" t="s">
        <v>950</v>
      </c>
      <c r="D82" s="452" t="s">
        <v>2280</v>
      </c>
      <c r="E82" s="463" t="s">
        <v>2278</v>
      </c>
      <c r="F82" s="457">
        <v>43984</v>
      </c>
      <c r="G82" s="474">
        <v>41303.81</v>
      </c>
      <c r="H82" s="427"/>
      <c r="I82" s="427"/>
      <c r="J82" s="427"/>
      <c r="L82" s="464"/>
      <c r="O82" s="464"/>
      <c r="R82" s="464"/>
      <c r="U82" s="464"/>
      <c r="X82" s="464"/>
      <c r="AA82" s="464"/>
      <c r="AD82" s="464"/>
      <c r="AG82" s="464"/>
      <c r="AJ82" s="451"/>
      <c r="AK82" s="470"/>
      <c r="AL82" s="470"/>
      <c r="AM82" s="464"/>
      <c r="AN82" s="470"/>
      <c r="AO82" s="470"/>
      <c r="AP82" s="464"/>
      <c r="AQ82" s="470"/>
      <c r="AR82" s="470"/>
      <c r="AS82" s="464"/>
      <c r="AV82" s="464"/>
      <c r="AY82" s="206"/>
      <c r="AZ82" s="447"/>
      <c r="BB82" s="206"/>
      <c r="BC82" s="447"/>
      <c r="BE82" s="206">
        <f>G82</f>
        <v>41303.81</v>
      </c>
      <c r="BF82" s="363"/>
      <c r="BH82" s="206">
        <f t="shared" si="78"/>
        <v>41303.81</v>
      </c>
      <c r="BI82" s="447" t="s">
        <v>2305</v>
      </c>
      <c r="BK82" s="206">
        <f t="shared" si="68"/>
        <v>41303.81</v>
      </c>
      <c r="BL82" s="447" t="s">
        <v>2342</v>
      </c>
      <c r="BN82" s="206">
        <f t="shared" si="69"/>
        <v>41303.81</v>
      </c>
      <c r="BO82" s="447" t="s">
        <v>2361</v>
      </c>
      <c r="BQ82" s="206">
        <f t="shared" si="70"/>
        <v>41303.81</v>
      </c>
      <c r="BT82" s="206">
        <f t="shared" si="71"/>
        <v>41303.81</v>
      </c>
      <c r="BU82" s="418" t="s">
        <v>2219</v>
      </c>
      <c r="BW82" s="206">
        <f t="shared" si="72"/>
        <v>41303.81</v>
      </c>
      <c r="BZ82" s="206">
        <f t="shared" si="73"/>
        <v>41303.81</v>
      </c>
      <c r="CD82" s="418" t="str">
        <f t="shared" si="74"/>
        <v>CU1500001</v>
      </c>
      <c r="CE82" s="442" t="str">
        <f t="shared" si="75"/>
        <v>2020年6月</v>
      </c>
      <c r="CF82" s="418" t="str">
        <f t="shared" si="76"/>
        <v>上海森马服clife服务费暂估</v>
      </c>
      <c r="CG82" s="418" t="str">
        <f t="shared" si="77"/>
        <v>2020年6月上海森马服clife服务费暂估</v>
      </c>
    </row>
    <row r="83" spans="2:85" s="460" customFormat="1" ht="15" customHeight="1">
      <c r="B83" s="418" t="str">
        <f t="shared" si="62"/>
        <v>CU0340</v>
      </c>
      <c r="C83" s="194" t="s">
        <v>950</v>
      </c>
      <c r="D83" s="563" t="s">
        <v>1570</v>
      </c>
      <c r="E83" s="541" t="s">
        <v>74</v>
      </c>
      <c r="F83" s="537">
        <v>44013</v>
      </c>
      <c r="G83" s="501">
        <v>50905.43</v>
      </c>
      <c r="H83" s="427"/>
      <c r="I83" s="427"/>
      <c r="J83" s="427"/>
      <c r="L83" s="464"/>
      <c r="O83" s="464"/>
      <c r="R83" s="464"/>
      <c r="U83" s="464"/>
      <c r="X83" s="464"/>
      <c r="AA83" s="464"/>
      <c r="AD83" s="464"/>
      <c r="AG83" s="464"/>
      <c r="AJ83" s="451"/>
      <c r="AK83" s="470"/>
      <c r="AL83" s="470"/>
      <c r="AM83" s="464"/>
      <c r="AN83" s="470"/>
      <c r="AO83" s="470"/>
      <c r="AP83" s="464"/>
      <c r="AQ83" s="470"/>
      <c r="AR83" s="470"/>
      <c r="AS83" s="464"/>
      <c r="AV83" s="464"/>
      <c r="AY83" s="206"/>
      <c r="AZ83" s="447"/>
      <c r="BB83" s="206"/>
      <c r="BC83" s="447"/>
      <c r="BE83" s="206"/>
      <c r="BF83" s="363"/>
      <c r="BH83" s="206"/>
      <c r="BI83" s="447"/>
      <c r="BK83" s="206">
        <f>G83</f>
        <v>50905.43</v>
      </c>
      <c r="BL83" s="447" t="s">
        <v>2342</v>
      </c>
      <c r="BN83" s="206">
        <f t="shared" si="69"/>
        <v>50905.43</v>
      </c>
      <c r="BO83" s="447" t="s">
        <v>2361</v>
      </c>
      <c r="BQ83" s="206">
        <f t="shared" si="70"/>
        <v>50905.43</v>
      </c>
      <c r="BT83" s="206">
        <f t="shared" si="71"/>
        <v>50905.43</v>
      </c>
      <c r="BU83" s="418" t="s">
        <v>2219</v>
      </c>
      <c r="BW83" s="206">
        <f t="shared" si="72"/>
        <v>50905.43</v>
      </c>
      <c r="BZ83" s="206">
        <f t="shared" si="73"/>
        <v>50905.43</v>
      </c>
      <c r="CD83" s="418" t="str">
        <f t="shared" ref="CD83:CD85" si="79">B83&amp;$B$1</f>
        <v>CU0340001</v>
      </c>
      <c r="CE83" s="442" t="str">
        <f t="shared" ref="CE83:CE85" si="80">YEAR(F83)&amp;"年"&amp;MONTH(F83)&amp;"月"</f>
        <v>2020年7月</v>
      </c>
      <c r="CF83" s="418" t="str">
        <f t="shared" ref="CF83:CF85" si="81">LEFT(E83,5)&amp;$E$1</f>
        <v>盖璞集团clife服务费暂估</v>
      </c>
      <c r="CG83" s="418" t="str">
        <f t="shared" ref="CG83:CG85" si="82">CE83&amp;CF83</f>
        <v>2020年7月盖璞集团clife服务费暂估</v>
      </c>
    </row>
    <row r="84" spans="2:85" s="460" customFormat="1" ht="15" customHeight="1">
      <c r="B84" s="418" t="str">
        <f t="shared" si="62"/>
        <v>CU1500</v>
      </c>
      <c r="C84" s="194" t="s">
        <v>950</v>
      </c>
      <c r="D84" s="563" t="s">
        <v>2331</v>
      </c>
      <c r="E84" s="541" t="s">
        <v>2278</v>
      </c>
      <c r="F84" s="537">
        <v>44013</v>
      </c>
      <c r="G84" s="501">
        <v>5307.55</v>
      </c>
      <c r="H84" s="427"/>
      <c r="I84" s="427"/>
      <c r="J84" s="427"/>
      <c r="L84" s="464"/>
      <c r="O84" s="464"/>
      <c r="R84" s="464"/>
      <c r="U84" s="464"/>
      <c r="X84" s="464"/>
      <c r="AA84" s="464"/>
      <c r="AD84" s="464"/>
      <c r="AG84" s="464"/>
      <c r="AJ84" s="451"/>
      <c r="AK84" s="470"/>
      <c r="AL84" s="470"/>
      <c r="AM84" s="464"/>
      <c r="AN84" s="470"/>
      <c r="AO84" s="470"/>
      <c r="AP84" s="464"/>
      <c r="AQ84" s="470"/>
      <c r="AR84" s="470"/>
      <c r="AS84" s="464"/>
      <c r="AV84" s="464"/>
      <c r="AY84" s="206"/>
      <c r="AZ84" s="447"/>
      <c r="BB84" s="206"/>
      <c r="BC84" s="447"/>
      <c r="BE84" s="206"/>
      <c r="BF84" s="363"/>
      <c r="BH84" s="206"/>
      <c r="BI84" s="447"/>
      <c r="BK84" s="206">
        <f t="shared" ref="BK84:BK85" si="83">G84</f>
        <v>5307.55</v>
      </c>
      <c r="BL84" s="447" t="s">
        <v>2342</v>
      </c>
      <c r="BN84" s="206">
        <f t="shared" si="69"/>
        <v>5307.55</v>
      </c>
      <c r="BO84" s="447" t="s">
        <v>2361</v>
      </c>
      <c r="BQ84" s="206">
        <f t="shared" si="70"/>
        <v>5307.55</v>
      </c>
      <c r="BT84" s="206">
        <f t="shared" si="71"/>
        <v>5307.55</v>
      </c>
      <c r="BU84" s="418" t="s">
        <v>2219</v>
      </c>
      <c r="BW84" s="206">
        <f t="shared" si="72"/>
        <v>5307.55</v>
      </c>
      <c r="BZ84" s="206">
        <f t="shared" si="73"/>
        <v>5307.55</v>
      </c>
      <c r="CD84" s="418" t="str">
        <f t="shared" si="79"/>
        <v>CU1500001</v>
      </c>
      <c r="CE84" s="442" t="str">
        <f t="shared" si="80"/>
        <v>2020年7月</v>
      </c>
      <c r="CF84" s="418" t="str">
        <f t="shared" si="81"/>
        <v>上海森马服clife服务费暂估</v>
      </c>
      <c r="CG84" s="418" t="str">
        <f t="shared" si="82"/>
        <v>2020年7月上海森马服clife服务费暂估</v>
      </c>
    </row>
    <row r="85" spans="2:85" s="460" customFormat="1" ht="15" customHeight="1">
      <c r="B85" s="418" t="str">
        <f t="shared" si="62"/>
        <v>CU1736</v>
      </c>
      <c r="C85" s="194" t="s">
        <v>950</v>
      </c>
      <c r="D85" s="563" t="s">
        <v>1981</v>
      </c>
      <c r="E85" s="541" t="s">
        <v>1980</v>
      </c>
      <c r="F85" s="537">
        <v>44013</v>
      </c>
      <c r="G85" s="501">
        <v>65175.15</v>
      </c>
      <c r="H85" s="427"/>
      <c r="I85" s="427"/>
      <c r="J85" s="427"/>
      <c r="L85" s="464"/>
      <c r="O85" s="464"/>
      <c r="R85" s="464"/>
      <c r="U85" s="464"/>
      <c r="X85" s="464"/>
      <c r="AA85" s="464"/>
      <c r="AD85" s="464"/>
      <c r="AG85" s="464"/>
      <c r="AJ85" s="451"/>
      <c r="AK85" s="470"/>
      <c r="AL85" s="470"/>
      <c r="AM85" s="464"/>
      <c r="AN85" s="470"/>
      <c r="AO85" s="470"/>
      <c r="AP85" s="464"/>
      <c r="AQ85" s="470"/>
      <c r="AR85" s="470"/>
      <c r="AS85" s="464"/>
      <c r="AV85" s="464"/>
      <c r="AY85" s="206"/>
      <c r="AZ85" s="447"/>
      <c r="BB85" s="206"/>
      <c r="BC85" s="447"/>
      <c r="BE85" s="206"/>
      <c r="BF85" s="363"/>
      <c r="BH85" s="206"/>
      <c r="BI85" s="447"/>
      <c r="BK85" s="206">
        <f t="shared" si="83"/>
        <v>65175.15</v>
      </c>
      <c r="BL85" s="447" t="s">
        <v>2342</v>
      </c>
      <c r="BN85" s="206">
        <f t="shared" si="69"/>
        <v>65175.15</v>
      </c>
      <c r="BO85" s="447" t="s">
        <v>2361</v>
      </c>
      <c r="BP85" s="464">
        <f>BN85</f>
        <v>65175.15</v>
      </c>
      <c r="BQ85" s="206">
        <f t="shared" si="70"/>
        <v>0</v>
      </c>
      <c r="BS85" s="464">
        <f>BQ85</f>
        <v>0</v>
      </c>
      <c r="BT85" s="206">
        <f t="shared" si="71"/>
        <v>0</v>
      </c>
      <c r="BW85" s="206">
        <f t="shared" si="72"/>
        <v>0</v>
      </c>
      <c r="BZ85" s="206">
        <f t="shared" si="73"/>
        <v>0</v>
      </c>
      <c r="CD85" s="418" t="str">
        <f t="shared" si="79"/>
        <v>CU1736001</v>
      </c>
      <c r="CE85" s="442" t="str">
        <f t="shared" si="80"/>
        <v>2020年7月</v>
      </c>
      <c r="CF85" s="418" t="str">
        <f t="shared" si="81"/>
        <v>杭州辉图生clife服务费暂估</v>
      </c>
      <c r="CG85" s="418" t="str">
        <f t="shared" si="82"/>
        <v>2020年7月杭州辉图生clife服务费暂估</v>
      </c>
    </row>
    <row r="86" spans="2:85" s="460" customFormat="1" ht="15" customHeight="1">
      <c r="B86" s="418" t="str">
        <f t="shared" si="62"/>
        <v>CU0340</v>
      </c>
      <c r="C86" s="194" t="s">
        <v>950</v>
      </c>
      <c r="D86" s="563" t="s">
        <v>2349</v>
      </c>
      <c r="E86" s="541" t="s">
        <v>74</v>
      </c>
      <c r="F86" s="537">
        <v>44044</v>
      </c>
      <c r="G86" s="501">
        <v>3950.41</v>
      </c>
      <c r="H86" s="427"/>
      <c r="I86" s="427"/>
      <c r="J86" s="427"/>
      <c r="L86" s="464"/>
      <c r="O86" s="464"/>
      <c r="R86" s="464"/>
      <c r="U86" s="464"/>
      <c r="X86" s="464"/>
      <c r="AA86" s="464"/>
      <c r="AD86" s="464"/>
      <c r="AG86" s="464"/>
      <c r="AJ86" s="451"/>
      <c r="AK86" s="470"/>
      <c r="AL86" s="470"/>
      <c r="AM86" s="464"/>
      <c r="AN86" s="470"/>
      <c r="AO86" s="470"/>
      <c r="AP86" s="464"/>
      <c r="AQ86" s="470"/>
      <c r="AR86" s="470"/>
      <c r="AS86" s="464"/>
      <c r="AV86" s="464"/>
      <c r="AY86" s="206"/>
      <c r="AZ86" s="447"/>
      <c r="BB86" s="206"/>
      <c r="BC86" s="447"/>
      <c r="BE86" s="206"/>
      <c r="BF86" s="363"/>
      <c r="BH86" s="206"/>
      <c r="BI86" s="447"/>
      <c r="BK86" s="206"/>
      <c r="BN86" s="206">
        <v>3950.41</v>
      </c>
      <c r="BO86" s="447" t="s">
        <v>2362</v>
      </c>
      <c r="BQ86" s="206">
        <f t="shared" si="70"/>
        <v>3950.41</v>
      </c>
      <c r="BT86" s="206">
        <f t="shared" si="71"/>
        <v>3950.41</v>
      </c>
      <c r="BU86" s="418" t="s">
        <v>2219</v>
      </c>
      <c r="BW86" s="206">
        <f t="shared" si="72"/>
        <v>3950.41</v>
      </c>
      <c r="BZ86" s="206">
        <f t="shared" si="73"/>
        <v>3950.41</v>
      </c>
      <c r="CD86" s="418" t="str">
        <f t="shared" ref="CD86" si="84">B86&amp;$B$1</f>
        <v>CU0340001</v>
      </c>
      <c r="CE86" s="442" t="str">
        <f t="shared" ref="CE86" si="85">YEAR(F86)&amp;"年"&amp;MONTH(F86)&amp;"月"</f>
        <v>2020年8月</v>
      </c>
      <c r="CF86" s="418" t="str">
        <f t="shared" ref="CF86" si="86">LEFT(E86,5)&amp;$E$1</f>
        <v>盖璞集团clife服务费暂估</v>
      </c>
      <c r="CG86" s="418" t="str">
        <f t="shared" ref="CG86" si="87">CE86&amp;CF86</f>
        <v>2020年8月盖璞集团clife服务费暂估</v>
      </c>
    </row>
    <row r="87" spans="2:85" s="460" customFormat="1" ht="15" customHeight="1">
      <c r="B87" s="418" t="str">
        <f t="shared" si="62"/>
        <v>CU0340</v>
      </c>
      <c r="C87" s="194" t="s">
        <v>950</v>
      </c>
      <c r="D87" s="563" t="s">
        <v>1570</v>
      </c>
      <c r="E87" s="541" t="s">
        <v>74</v>
      </c>
      <c r="F87" s="537">
        <v>44075</v>
      </c>
      <c r="G87" s="501">
        <v>93379.25</v>
      </c>
      <c r="H87" s="427"/>
      <c r="I87" s="427"/>
      <c r="J87" s="427"/>
      <c r="L87" s="464"/>
      <c r="O87" s="464"/>
      <c r="R87" s="464"/>
      <c r="U87" s="464"/>
      <c r="X87" s="464"/>
      <c r="AA87" s="464"/>
      <c r="AD87" s="464"/>
      <c r="AG87" s="464"/>
      <c r="AJ87" s="451"/>
      <c r="AK87" s="470"/>
      <c r="AL87" s="470"/>
      <c r="AM87" s="464"/>
      <c r="AN87" s="470"/>
      <c r="AO87" s="470"/>
      <c r="AP87" s="464"/>
      <c r="AQ87" s="470"/>
      <c r="AR87" s="470"/>
      <c r="AS87" s="464"/>
      <c r="AV87" s="464"/>
      <c r="AY87" s="206"/>
      <c r="AZ87" s="447"/>
      <c r="BB87" s="206"/>
      <c r="BC87" s="447"/>
      <c r="BE87" s="206"/>
      <c r="BF87" s="363"/>
      <c r="BH87" s="206"/>
      <c r="BI87" s="447"/>
      <c r="BK87" s="206"/>
      <c r="BN87" s="206"/>
      <c r="BQ87" s="572">
        <f>G87</f>
        <v>93379.25</v>
      </c>
      <c r="BT87" s="464">
        <f t="shared" si="71"/>
        <v>93379.25</v>
      </c>
      <c r="BU87" s="418" t="s">
        <v>2219</v>
      </c>
      <c r="BW87" s="206">
        <f t="shared" si="72"/>
        <v>93379.25</v>
      </c>
      <c r="BZ87" s="206">
        <f t="shared" si="73"/>
        <v>93379.25</v>
      </c>
      <c r="CD87" s="418" t="str">
        <f t="shared" ref="CD87:CD89" si="88">B87&amp;$B$1</f>
        <v>CU0340001</v>
      </c>
      <c r="CE87" s="442" t="str">
        <f t="shared" ref="CE87:CE89" si="89">YEAR(F87)&amp;"年"&amp;MONTH(F87)&amp;"月"</f>
        <v>2020年9月</v>
      </c>
      <c r="CF87" s="418" t="str">
        <f t="shared" ref="CF87:CF89" si="90">LEFT(E87,5)&amp;$E$1</f>
        <v>盖璞集团clife服务费暂估</v>
      </c>
      <c r="CG87" s="418" t="str">
        <f t="shared" ref="CG87:CG89" si="91">CE87&amp;CF87</f>
        <v>2020年9月盖璞集团clife服务费暂估</v>
      </c>
    </row>
    <row r="88" spans="2:85" s="460" customFormat="1" ht="15" customHeight="1">
      <c r="B88" s="418" t="str">
        <f t="shared" si="62"/>
        <v>CU0720</v>
      </c>
      <c r="C88" s="194" t="s">
        <v>950</v>
      </c>
      <c r="D88" s="563" t="s">
        <v>1576</v>
      </c>
      <c r="E88" s="541" t="s">
        <v>1333</v>
      </c>
      <c r="F88" s="537">
        <v>44075</v>
      </c>
      <c r="G88" s="501">
        <v>12413.18</v>
      </c>
      <c r="H88" s="427"/>
      <c r="I88" s="427"/>
      <c r="J88" s="427"/>
      <c r="L88" s="464"/>
      <c r="O88" s="464"/>
      <c r="R88" s="464"/>
      <c r="U88" s="464"/>
      <c r="X88" s="464"/>
      <c r="AA88" s="464"/>
      <c r="AD88" s="464"/>
      <c r="AG88" s="464"/>
      <c r="AJ88" s="451"/>
      <c r="AK88" s="470"/>
      <c r="AL88" s="470"/>
      <c r="AM88" s="464"/>
      <c r="AN88" s="470"/>
      <c r="AO88" s="470"/>
      <c r="AP88" s="464"/>
      <c r="AQ88" s="470"/>
      <c r="AR88" s="470"/>
      <c r="AS88" s="464"/>
      <c r="AV88" s="464"/>
      <c r="AY88" s="206"/>
      <c r="AZ88" s="447"/>
      <c r="BB88" s="206"/>
      <c r="BC88" s="447"/>
      <c r="BE88" s="206"/>
      <c r="BF88" s="363"/>
      <c r="BH88" s="206"/>
      <c r="BI88" s="447"/>
      <c r="BK88" s="206"/>
      <c r="BN88" s="206"/>
      <c r="BQ88" s="572">
        <f t="shared" ref="BQ88:BQ89" si="92">G88</f>
        <v>12413.18</v>
      </c>
      <c r="BT88" s="464">
        <f t="shared" si="71"/>
        <v>12413.18</v>
      </c>
      <c r="BU88" s="418" t="s">
        <v>2219</v>
      </c>
      <c r="BW88" s="206">
        <f t="shared" si="72"/>
        <v>12413.18</v>
      </c>
      <c r="BZ88" s="206">
        <f t="shared" si="73"/>
        <v>12413.18</v>
      </c>
      <c r="CD88" s="418" t="str">
        <f t="shared" si="88"/>
        <v>CU0720001</v>
      </c>
      <c r="CE88" s="442" t="str">
        <f t="shared" si="89"/>
        <v>2020年9月</v>
      </c>
      <c r="CF88" s="418" t="str">
        <f t="shared" si="90"/>
        <v>上海卫展医clife服务费暂估</v>
      </c>
      <c r="CG88" s="418" t="str">
        <f t="shared" si="91"/>
        <v>2020年9月上海卫展医clife服务费暂估</v>
      </c>
    </row>
    <row r="89" spans="2:85" s="460" customFormat="1" ht="15" customHeight="1">
      <c r="B89" s="418" t="str">
        <f t="shared" si="62"/>
        <v>CU1500</v>
      </c>
      <c r="C89" s="194" t="s">
        <v>950</v>
      </c>
      <c r="D89" s="563" t="s">
        <v>2331</v>
      </c>
      <c r="E89" s="541" t="s">
        <v>2379</v>
      </c>
      <c r="F89" s="537">
        <v>44075</v>
      </c>
      <c r="G89" s="501">
        <v>6389.23</v>
      </c>
      <c r="H89" s="427"/>
      <c r="I89" s="427"/>
      <c r="J89" s="427"/>
      <c r="L89" s="464"/>
      <c r="O89" s="464"/>
      <c r="R89" s="464"/>
      <c r="U89" s="464"/>
      <c r="X89" s="464"/>
      <c r="AA89" s="464"/>
      <c r="AD89" s="464"/>
      <c r="AG89" s="464"/>
      <c r="AJ89" s="451"/>
      <c r="AK89" s="470"/>
      <c r="AL89" s="470"/>
      <c r="AM89" s="464"/>
      <c r="AN89" s="470"/>
      <c r="AO89" s="470"/>
      <c r="AP89" s="464"/>
      <c r="AQ89" s="470"/>
      <c r="AR89" s="470"/>
      <c r="AS89" s="464"/>
      <c r="AV89" s="464"/>
      <c r="AY89" s="206"/>
      <c r="AZ89" s="447"/>
      <c r="BB89" s="206"/>
      <c r="BC89" s="447"/>
      <c r="BE89" s="206"/>
      <c r="BF89" s="363"/>
      <c r="BH89" s="206"/>
      <c r="BI89" s="447"/>
      <c r="BK89" s="206"/>
      <c r="BN89" s="206"/>
      <c r="BQ89" s="572">
        <f t="shared" si="92"/>
        <v>6389.23</v>
      </c>
      <c r="BT89" s="464">
        <f t="shared" si="71"/>
        <v>6389.23</v>
      </c>
      <c r="BU89" s="418" t="s">
        <v>2219</v>
      </c>
      <c r="BW89" s="206">
        <f t="shared" si="72"/>
        <v>6389.23</v>
      </c>
      <c r="BZ89" s="206">
        <f t="shared" si="73"/>
        <v>6389.23</v>
      </c>
      <c r="CD89" s="418" t="str">
        <f t="shared" si="88"/>
        <v>CU1500001</v>
      </c>
      <c r="CE89" s="442" t="str">
        <f t="shared" si="89"/>
        <v>2020年9月</v>
      </c>
      <c r="CF89" s="418" t="str">
        <f t="shared" si="90"/>
        <v>浙江森马服clife服务费暂估</v>
      </c>
      <c r="CG89" s="418" t="str">
        <f t="shared" si="91"/>
        <v>2020年9月浙江森马服clife服务费暂估</v>
      </c>
    </row>
    <row r="90" spans="2:85" s="460" customFormat="1" ht="15" customHeight="1">
      <c r="B90" s="418" t="str">
        <f t="shared" ref="B90:B104" si="93">LEFT(D90,6)</f>
        <v>CU0340</v>
      </c>
      <c r="C90" s="194" t="s">
        <v>950</v>
      </c>
      <c r="D90" s="563" t="s">
        <v>1570</v>
      </c>
      <c r="E90" s="541" t="s">
        <v>74</v>
      </c>
      <c r="F90" s="537">
        <v>44105</v>
      </c>
      <c r="G90" s="501">
        <v>53353.27</v>
      </c>
      <c r="H90" s="427"/>
      <c r="I90" s="427"/>
      <c r="J90" s="427"/>
      <c r="L90" s="464"/>
      <c r="O90" s="464"/>
      <c r="R90" s="464"/>
      <c r="U90" s="464"/>
      <c r="X90" s="464"/>
      <c r="AA90" s="464"/>
      <c r="AD90" s="464"/>
      <c r="AG90" s="464"/>
      <c r="AJ90" s="451"/>
      <c r="AK90" s="470"/>
      <c r="AL90" s="470"/>
      <c r="AM90" s="464"/>
      <c r="AN90" s="470"/>
      <c r="AO90" s="470"/>
      <c r="AP90" s="464"/>
      <c r="AQ90" s="470"/>
      <c r="AR90" s="470"/>
      <c r="AS90" s="464"/>
      <c r="AV90" s="464"/>
      <c r="AY90" s="206"/>
      <c r="AZ90" s="447"/>
      <c r="BB90" s="206"/>
      <c r="BC90" s="447"/>
      <c r="BE90" s="206"/>
      <c r="BF90" s="363"/>
      <c r="BH90" s="206"/>
      <c r="BI90" s="447"/>
      <c r="BK90" s="206"/>
      <c r="BN90" s="206"/>
      <c r="BQ90" s="572"/>
      <c r="BT90" s="464">
        <f>G90</f>
        <v>53353.27</v>
      </c>
      <c r="BU90" s="418" t="s">
        <v>2219</v>
      </c>
      <c r="BW90" s="206">
        <f t="shared" si="72"/>
        <v>53353.27</v>
      </c>
      <c r="BZ90" s="206">
        <f t="shared" si="73"/>
        <v>53353.27</v>
      </c>
      <c r="CD90" s="418" t="str">
        <f t="shared" ref="CD90:CD95" si="94">B90&amp;$B$1</f>
        <v>CU0340001</v>
      </c>
      <c r="CE90" s="442" t="str">
        <f t="shared" ref="CE90:CE95" si="95">YEAR(F90)&amp;"年"&amp;MONTH(F90)&amp;"月"</f>
        <v>2020年10月</v>
      </c>
      <c r="CF90" s="418" t="str">
        <f t="shared" ref="CF90:CF95" si="96">LEFT(E90,5)&amp;$E$1</f>
        <v>盖璞集团clife服务费暂估</v>
      </c>
      <c r="CG90" s="418" t="str">
        <f t="shared" ref="CG90:CG95" si="97">CE90&amp;CF90</f>
        <v>2020年10月盖璞集团clife服务费暂估</v>
      </c>
    </row>
    <row r="91" spans="2:85" s="460" customFormat="1" ht="15" customHeight="1">
      <c r="B91" s="418" t="str">
        <f t="shared" si="93"/>
        <v>CU1053</v>
      </c>
      <c r="C91" s="194" t="s">
        <v>950</v>
      </c>
      <c r="D91" s="563" t="s">
        <v>2400</v>
      </c>
      <c r="E91" s="541" t="s">
        <v>2398</v>
      </c>
      <c r="F91" s="537">
        <v>44105</v>
      </c>
      <c r="G91" s="501">
        <v>80439.740000000005</v>
      </c>
      <c r="H91" s="427"/>
      <c r="I91" s="427"/>
      <c r="J91" s="427"/>
      <c r="L91" s="464"/>
      <c r="O91" s="464"/>
      <c r="R91" s="464"/>
      <c r="U91" s="464"/>
      <c r="X91" s="464"/>
      <c r="AA91" s="464"/>
      <c r="AD91" s="464"/>
      <c r="AG91" s="464"/>
      <c r="AJ91" s="451"/>
      <c r="AK91" s="470"/>
      <c r="AL91" s="470"/>
      <c r="AM91" s="464"/>
      <c r="AN91" s="470"/>
      <c r="AO91" s="470"/>
      <c r="AP91" s="464"/>
      <c r="AQ91" s="470"/>
      <c r="AR91" s="470"/>
      <c r="AS91" s="464"/>
      <c r="AV91" s="464"/>
      <c r="AY91" s="206"/>
      <c r="AZ91" s="447"/>
      <c r="BB91" s="206"/>
      <c r="BC91" s="447"/>
      <c r="BE91" s="206"/>
      <c r="BF91" s="363"/>
      <c r="BH91" s="206"/>
      <c r="BI91" s="447"/>
      <c r="BK91" s="206"/>
      <c r="BN91" s="206"/>
      <c r="BQ91" s="572"/>
      <c r="BT91" s="464">
        <f t="shared" ref="BT91:BT94" si="98">G91</f>
        <v>80439.740000000005</v>
      </c>
      <c r="BU91" s="418" t="s">
        <v>2219</v>
      </c>
      <c r="BV91" s="460">
        <f>ROUND(53238.1/1.06,2)</f>
        <v>50224.62</v>
      </c>
      <c r="BW91" s="206">
        <f t="shared" si="72"/>
        <v>30215.119999999999</v>
      </c>
      <c r="BZ91" s="206">
        <f t="shared" si="73"/>
        <v>30215.119999999999</v>
      </c>
      <c r="CD91" s="418" t="str">
        <f t="shared" si="94"/>
        <v>CU1053001</v>
      </c>
      <c r="CE91" s="442" t="str">
        <f t="shared" si="95"/>
        <v>2020年10月</v>
      </c>
      <c r="CF91" s="418" t="str">
        <f t="shared" si="96"/>
        <v>上海相宜本clife服务费暂估</v>
      </c>
      <c r="CG91" s="418" t="str">
        <f t="shared" si="97"/>
        <v>2020年10月上海相宜本clife服务费暂估</v>
      </c>
    </row>
    <row r="92" spans="2:85" s="460" customFormat="1" ht="15" customHeight="1">
      <c r="B92" s="418" t="str">
        <f t="shared" si="93"/>
        <v>CU1500</v>
      </c>
      <c r="C92" s="194" t="s">
        <v>950</v>
      </c>
      <c r="D92" s="563" t="s">
        <v>2331</v>
      </c>
      <c r="E92" s="541" t="s">
        <v>2379</v>
      </c>
      <c r="F92" s="537">
        <v>44105</v>
      </c>
      <c r="G92" s="501">
        <v>14435</v>
      </c>
      <c r="H92" s="427"/>
      <c r="I92" s="427"/>
      <c r="J92" s="427"/>
      <c r="L92" s="464"/>
      <c r="O92" s="464"/>
      <c r="R92" s="464"/>
      <c r="U92" s="464"/>
      <c r="X92" s="464"/>
      <c r="AA92" s="464"/>
      <c r="AD92" s="464"/>
      <c r="AG92" s="464"/>
      <c r="AJ92" s="451"/>
      <c r="AK92" s="470"/>
      <c r="AL92" s="470"/>
      <c r="AM92" s="464"/>
      <c r="AN92" s="470"/>
      <c r="AO92" s="470"/>
      <c r="AP92" s="464"/>
      <c r="AQ92" s="470"/>
      <c r="AR92" s="470"/>
      <c r="AS92" s="464"/>
      <c r="AV92" s="464"/>
      <c r="AY92" s="206"/>
      <c r="AZ92" s="447"/>
      <c r="BB92" s="206"/>
      <c r="BC92" s="447"/>
      <c r="BE92" s="206"/>
      <c r="BF92" s="363"/>
      <c r="BH92" s="206"/>
      <c r="BI92" s="447"/>
      <c r="BK92" s="206"/>
      <c r="BN92" s="206"/>
      <c r="BQ92" s="572"/>
      <c r="BT92" s="464">
        <f t="shared" si="98"/>
        <v>14435</v>
      </c>
      <c r="BU92" s="418" t="s">
        <v>2219</v>
      </c>
      <c r="BW92" s="206">
        <f t="shared" si="72"/>
        <v>14435</v>
      </c>
      <c r="BZ92" s="206">
        <f t="shared" si="73"/>
        <v>14435</v>
      </c>
      <c r="CD92" s="418" t="str">
        <f t="shared" si="94"/>
        <v>CU1500001</v>
      </c>
      <c r="CE92" s="442" t="str">
        <f t="shared" si="95"/>
        <v>2020年10月</v>
      </c>
      <c r="CF92" s="418" t="str">
        <f t="shared" si="96"/>
        <v>浙江森马服clife服务费暂估</v>
      </c>
      <c r="CG92" s="418" t="str">
        <f t="shared" si="97"/>
        <v>2020年10月浙江森马服clife服务费暂估</v>
      </c>
    </row>
    <row r="93" spans="2:85" s="460" customFormat="1" ht="15" customHeight="1">
      <c r="B93" s="418" t="str">
        <f t="shared" si="93"/>
        <v>CU1724</v>
      </c>
      <c r="C93" s="194" t="s">
        <v>950</v>
      </c>
      <c r="D93" s="563" t="s">
        <v>2401</v>
      </c>
      <c r="E93" s="541" t="s">
        <v>2399</v>
      </c>
      <c r="F93" s="537">
        <v>44105</v>
      </c>
      <c r="G93" s="501">
        <v>1771.81</v>
      </c>
      <c r="H93" s="427"/>
      <c r="I93" s="427"/>
      <c r="J93" s="427"/>
      <c r="L93" s="464"/>
      <c r="O93" s="464"/>
      <c r="R93" s="464"/>
      <c r="U93" s="464"/>
      <c r="X93" s="464"/>
      <c r="AA93" s="464"/>
      <c r="AD93" s="464"/>
      <c r="AG93" s="464"/>
      <c r="AJ93" s="451"/>
      <c r="AK93" s="470"/>
      <c r="AL93" s="470"/>
      <c r="AM93" s="464"/>
      <c r="AN93" s="470"/>
      <c r="AO93" s="470"/>
      <c r="AP93" s="464"/>
      <c r="AQ93" s="470"/>
      <c r="AR93" s="470"/>
      <c r="AS93" s="464"/>
      <c r="AV93" s="464"/>
      <c r="AY93" s="206"/>
      <c r="AZ93" s="447"/>
      <c r="BB93" s="206"/>
      <c r="BC93" s="447"/>
      <c r="BE93" s="206"/>
      <c r="BF93" s="363"/>
      <c r="BH93" s="206"/>
      <c r="BI93" s="447"/>
      <c r="BK93" s="206"/>
      <c r="BN93" s="206"/>
      <c r="BQ93" s="572"/>
      <c r="BT93" s="464">
        <f t="shared" si="98"/>
        <v>1771.81</v>
      </c>
      <c r="BU93" s="418" t="s">
        <v>2219</v>
      </c>
      <c r="BW93" s="206">
        <f t="shared" si="72"/>
        <v>1771.81</v>
      </c>
      <c r="BZ93" s="206">
        <f t="shared" si="73"/>
        <v>1771.81</v>
      </c>
      <c r="CD93" s="418" t="str">
        <f t="shared" si="94"/>
        <v>CU1724001</v>
      </c>
      <c r="CE93" s="442" t="str">
        <f t="shared" si="95"/>
        <v>2020年10月</v>
      </c>
      <c r="CF93" s="418" t="str">
        <f t="shared" si="96"/>
        <v>索菲玛clife服务费暂估</v>
      </c>
      <c r="CG93" s="418" t="str">
        <f t="shared" si="97"/>
        <v>2020年10月索菲玛clife服务费暂估</v>
      </c>
    </row>
    <row r="94" spans="2:85" s="460" customFormat="1" ht="15" customHeight="1">
      <c r="B94" s="418" t="str">
        <f t="shared" si="93"/>
        <v>CU1736</v>
      </c>
      <c r="C94" s="194" t="s">
        <v>950</v>
      </c>
      <c r="D94" s="563" t="s">
        <v>1981</v>
      </c>
      <c r="E94" s="541" t="s">
        <v>1980</v>
      </c>
      <c r="F94" s="537">
        <v>44105</v>
      </c>
      <c r="G94" s="501">
        <v>40836.82</v>
      </c>
      <c r="H94" s="427"/>
      <c r="I94" s="427"/>
      <c r="J94" s="427"/>
      <c r="L94" s="464"/>
      <c r="O94" s="464"/>
      <c r="R94" s="464"/>
      <c r="U94" s="464"/>
      <c r="X94" s="464"/>
      <c r="AA94" s="464"/>
      <c r="AD94" s="464"/>
      <c r="AG94" s="464"/>
      <c r="AJ94" s="451"/>
      <c r="AK94" s="470"/>
      <c r="AL94" s="470"/>
      <c r="AM94" s="464"/>
      <c r="AN94" s="470"/>
      <c r="AO94" s="470"/>
      <c r="AP94" s="464"/>
      <c r="AQ94" s="470"/>
      <c r="AR94" s="470"/>
      <c r="AS94" s="464"/>
      <c r="AV94" s="464"/>
      <c r="AY94" s="206"/>
      <c r="AZ94" s="447"/>
      <c r="BB94" s="206"/>
      <c r="BC94" s="447"/>
      <c r="BE94" s="206"/>
      <c r="BF94" s="363"/>
      <c r="BH94" s="206"/>
      <c r="BI94" s="447"/>
      <c r="BK94" s="206"/>
      <c r="BN94" s="206"/>
      <c r="BQ94" s="572"/>
      <c r="BT94" s="464">
        <f t="shared" si="98"/>
        <v>40836.82</v>
      </c>
      <c r="BU94" s="418" t="s">
        <v>2219</v>
      </c>
      <c r="BV94" s="464">
        <f>BT94</f>
        <v>40836.82</v>
      </c>
      <c r="BW94" s="206">
        <f t="shared" si="72"/>
        <v>0</v>
      </c>
      <c r="BZ94" s="206">
        <f t="shared" si="73"/>
        <v>0</v>
      </c>
      <c r="CD94" s="418" t="str">
        <f t="shared" si="94"/>
        <v>CU1736001</v>
      </c>
      <c r="CE94" s="442" t="str">
        <f t="shared" si="95"/>
        <v>2020年10月</v>
      </c>
      <c r="CF94" s="418" t="str">
        <f t="shared" si="96"/>
        <v>杭州辉图生clife服务费暂估</v>
      </c>
      <c r="CG94" s="418" t="str">
        <f t="shared" si="97"/>
        <v>2020年10月杭州辉图生clife服务费暂估</v>
      </c>
    </row>
    <row r="95" spans="2:85" s="460" customFormat="1" ht="15" customHeight="1">
      <c r="B95" s="418" t="str">
        <f t="shared" si="93"/>
        <v>CU0340</v>
      </c>
      <c r="C95" s="194" t="s">
        <v>950</v>
      </c>
      <c r="D95" s="563" t="s">
        <v>2411</v>
      </c>
      <c r="E95" s="541" t="s">
        <v>74</v>
      </c>
      <c r="F95" s="537">
        <v>44136</v>
      </c>
      <c r="G95" s="501">
        <v>3922.67</v>
      </c>
      <c r="H95" s="427"/>
      <c r="I95" s="427"/>
      <c r="J95" s="427"/>
      <c r="L95" s="464"/>
      <c r="O95" s="464"/>
      <c r="R95" s="464"/>
      <c r="U95" s="464"/>
      <c r="X95" s="464"/>
      <c r="AA95" s="464"/>
      <c r="AD95" s="464"/>
      <c r="AG95" s="464"/>
      <c r="AJ95" s="451"/>
      <c r="AK95" s="470"/>
      <c r="AL95" s="470"/>
      <c r="AM95" s="464"/>
      <c r="AN95" s="470"/>
      <c r="AO95" s="470"/>
      <c r="AP95" s="464"/>
      <c r="AQ95" s="470"/>
      <c r="AR95" s="470"/>
      <c r="AS95" s="464"/>
      <c r="AV95" s="464"/>
      <c r="AY95" s="206"/>
      <c r="AZ95" s="447"/>
      <c r="BB95" s="206"/>
      <c r="BC95" s="447"/>
      <c r="BE95" s="206"/>
      <c r="BF95" s="363"/>
      <c r="BH95" s="206"/>
      <c r="BI95" s="447"/>
      <c r="BK95" s="206"/>
      <c r="BN95" s="206"/>
      <c r="BQ95" s="572"/>
      <c r="BT95" s="464"/>
      <c r="BW95" s="572">
        <f>G95</f>
        <v>3922.67</v>
      </c>
      <c r="BZ95" s="464">
        <f t="shared" si="73"/>
        <v>3922.67</v>
      </c>
      <c r="CD95" s="418" t="str">
        <f t="shared" si="94"/>
        <v>CU0340001</v>
      </c>
      <c r="CE95" s="442" t="str">
        <f t="shared" si="95"/>
        <v>2020年11月</v>
      </c>
      <c r="CF95" s="418" t="str">
        <f t="shared" si="96"/>
        <v>盖璞集团clife服务费暂估</v>
      </c>
      <c r="CG95" s="418" t="str">
        <f t="shared" si="97"/>
        <v>2020年11月盖璞集团clife服务费暂估</v>
      </c>
    </row>
    <row r="96" spans="2:85" s="460" customFormat="1" ht="15" customHeight="1">
      <c r="B96" s="418" t="str">
        <f t="shared" si="93"/>
        <v>CU1736</v>
      </c>
      <c r="C96" s="194" t="s">
        <v>950</v>
      </c>
      <c r="D96" s="563" t="s">
        <v>2412</v>
      </c>
      <c r="E96" s="541" t="s">
        <v>1980</v>
      </c>
      <c r="F96" s="537">
        <v>44136</v>
      </c>
      <c r="G96" s="501">
        <v>40836.82</v>
      </c>
      <c r="H96" s="427"/>
      <c r="I96" s="427"/>
      <c r="J96" s="427"/>
      <c r="L96" s="464"/>
      <c r="O96" s="464"/>
      <c r="R96" s="464"/>
      <c r="U96" s="464"/>
      <c r="X96" s="464"/>
      <c r="AA96" s="464"/>
      <c r="AD96" s="464"/>
      <c r="AG96" s="464"/>
      <c r="AJ96" s="451"/>
      <c r="AK96" s="470"/>
      <c r="AL96" s="470"/>
      <c r="AM96" s="464"/>
      <c r="AN96" s="470"/>
      <c r="AO96" s="470"/>
      <c r="AP96" s="464"/>
      <c r="AQ96" s="470"/>
      <c r="AR96" s="470"/>
      <c r="AS96" s="464"/>
      <c r="AV96" s="464"/>
      <c r="AY96" s="206"/>
      <c r="AZ96" s="447"/>
      <c r="BB96" s="206"/>
      <c r="BC96" s="447"/>
      <c r="BE96" s="206"/>
      <c r="BF96" s="363"/>
      <c r="BH96" s="206"/>
      <c r="BI96" s="447"/>
      <c r="BK96" s="206"/>
      <c r="BN96" s="206"/>
      <c r="BQ96" s="572"/>
      <c r="BT96" s="464"/>
      <c r="BW96" s="572">
        <f>G96</f>
        <v>40836.82</v>
      </c>
      <c r="BZ96" s="464">
        <f t="shared" si="73"/>
        <v>40836.82</v>
      </c>
      <c r="CD96" s="418" t="str">
        <f t="shared" ref="CD96" si="99">B96&amp;$B$1</f>
        <v>CU1736001</v>
      </c>
      <c r="CE96" s="442" t="str">
        <f t="shared" ref="CE96" si="100">YEAR(F96)&amp;"年"&amp;MONTH(F96)&amp;"月"</f>
        <v>2020年11月</v>
      </c>
      <c r="CF96" s="418" t="str">
        <f t="shared" ref="CF96" si="101">LEFT(E96,5)&amp;$E$1</f>
        <v>杭州辉图生clife服务费暂估</v>
      </c>
      <c r="CG96" s="418" t="str">
        <f t="shared" ref="CG96" si="102">CE96&amp;CF96</f>
        <v>2020年11月杭州辉图生clife服务费暂估</v>
      </c>
    </row>
    <row r="97" spans="2:85" s="460" customFormat="1" ht="15" customHeight="1">
      <c r="B97" s="418" t="str">
        <f t="shared" si="93"/>
        <v/>
      </c>
      <c r="C97" s="562"/>
      <c r="D97" s="563"/>
      <c r="E97" s="541"/>
      <c r="F97" s="537"/>
      <c r="G97" s="501"/>
      <c r="H97" s="427"/>
      <c r="I97" s="427"/>
      <c r="J97" s="427"/>
      <c r="L97" s="464"/>
      <c r="O97" s="464"/>
      <c r="R97" s="464"/>
      <c r="U97" s="464"/>
      <c r="X97" s="464"/>
      <c r="AA97" s="464"/>
      <c r="AD97" s="464"/>
      <c r="AG97" s="464"/>
      <c r="AJ97" s="451"/>
      <c r="AK97" s="470"/>
      <c r="AL97" s="470"/>
      <c r="AM97" s="464"/>
      <c r="AN97" s="470"/>
      <c r="AO97" s="470"/>
      <c r="AP97" s="464"/>
      <c r="AQ97" s="470"/>
      <c r="AR97" s="470"/>
      <c r="AS97" s="464"/>
      <c r="AV97" s="464"/>
      <c r="AY97" s="206"/>
      <c r="AZ97" s="447"/>
      <c r="BB97" s="206"/>
      <c r="BC97" s="447"/>
      <c r="BE97" s="206"/>
      <c r="BF97" s="363"/>
      <c r="BH97" s="206"/>
      <c r="BI97" s="447"/>
      <c r="BK97" s="206"/>
      <c r="BN97" s="206"/>
      <c r="BQ97" s="572"/>
      <c r="BT97" s="464"/>
      <c r="CD97" s="418"/>
      <c r="CE97" s="442"/>
      <c r="CF97" s="418"/>
      <c r="CG97" s="418"/>
    </row>
    <row r="98" spans="2:85" s="460" customFormat="1" ht="15" customHeight="1">
      <c r="B98" s="418" t="str">
        <f t="shared" si="93"/>
        <v/>
      </c>
      <c r="C98" s="562"/>
      <c r="D98" s="563"/>
      <c r="E98" s="541"/>
      <c r="F98" s="537"/>
      <c r="G98" s="501"/>
      <c r="H98" s="427"/>
      <c r="I98" s="427"/>
      <c r="J98" s="427"/>
      <c r="L98" s="464"/>
      <c r="O98" s="464"/>
      <c r="R98" s="464"/>
      <c r="U98" s="464"/>
      <c r="X98" s="464"/>
      <c r="AA98" s="464"/>
      <c r="AD98" s="464"/>
      <c r="AG98" s="464"/>
      <c r="AJ98" s="451"/>
      <c r="AK98" s="470"/>
      <c r="AL98" s="470"/>
      <c r="AM98" s="464"/>
      <c r="AN98" s="470"/>
      <c r="AO98" s="470"/>
      <c r="AP98" s="464"/>
      <c r="AQ98" s="470"/>
      <c r="AR98" s="470"/>
      <c r="AS98" s="464"/>
      <c r="AV98" s="464"/>
      <c r="AY98" s="206"/>
      <c r="AZ98" s="447"/>
      <c r="BB98" s="206"/>
      <c r="BC98" s="447"/>
      <c r="BE98" s="206"/>
      <c r="BF98" s="363"/>
      <c r="BH98" s="206"/>
      <c r="BI98" s="447"/>
      <c r="BK98" s="206"/>
      <c r="BN98" s="206"/>
      <c r="BQ98" s="572"/>
      <c r="BT98" s="464"/>
      <c r="CD98" s="418"/>
      <c r="CE98" s="442"/>
      <c r="CF98" s="418"/>
      <c r="CG98" s="418"/>
    </row>
    <row r="99" spans="2:85" s="460" customFormat="1" ht="15" customHeight="1">
      <c r="B99" s="418" t="str">
        <f t="shared" si="93"/>
        <v/>
      </c>
      <c r="C99" s="562"/>
      <c r="D99" s="563"/>
      <c r="E99" s="541"/>
      <c r="F99" s="537"/>
      <c r="G99" s="501"/>
      <c r="H99" s="427"/>
      <c r="I99" s="427"/>
      <c r="J99" s="427"/>
      <c r="L99" s="464"/>
      <c r="O99" s="464"/>
      <c r="R99" s="464"/>
      <c r="U99" s="464"/>
      <c r="X99" s="464"/>
      <c r="AA99" s="464"/>
      <c r="AD99" s="464"/>
      <c r="AG99" s="464"/>
      <c r="AJ99" s="451"/>
      <c r="AK99" s="470"/>
      <c r="AL99" s="470"/>
      <c r="AM99" s="464"/>
      <c r="AN99" s="470"/>
      <c r="AO99" s="470"/>
      <c r="AP99" s="464"/>
      <c r="AQ99" s="470"/>
      <c r="AR99" s="470"/>
      <c r="AS99" s="464"/>
      <c r="AV99" s="464"/>
      <c r="AY99" s="206"/>
      <c r="AZ99" s="447"/>
      <c r="BB99" s="206"/>
      <c r="BC99" s="447"/>
      <c r="BE99" s="206"/>
      <c r="BF99" s="363"/>
      <c r="BH99" s="206"/>
      <c r="BI99" s="447"/>
      <c r="BK99" s="206"/>
      <c r="BN99" s="206"/>
      <c r="BQ99" s="572"/>
      <c r="BT99" s="464"/>
      <c r="CD99" s="418"/>
      <c r="CE99" s="442"/>
      <c r="CF99" s="418"/>
      <c r="CG99" s="418"/>
    </row>
    <row r="100" spans="2:85" s="460" customFormat="1" ht="15" customHeight="1">
      <c r="B100" s="418" t="str">
        <f t="shared" si="93"/>
        <v/>
      </c>
      <c r="C100" s="562"/>
      <c r="D100" s="563"/>
      <c r="E100" s="541"/>
      <c r="F100" s="537"/>
      <c r="G100" s="501"/>
      <c r="H100" s="427"/>
      <c r="I100" s="427"/>
      <c r="J100" s="427"/>
      <c r="L100" s="464"/>
      <c r="O100" s="464"/>
      <c r="R100" s="464"/>
      <c r="U100" s="464"/>
      <c r="X100" s="464"/>
      <c r="AA100" s="464"/>
      <c r="AD100" s="464"/>
      <c r="AG100" s="464"/>
      <c r="AJ100" s="451"/>
      <c r="AK100" s="470"/>
      <c r="AL100" s="470"/>
      <c r="AM100" s="464"/>
      <c r="AN100" s="470"/>
      <c r="AO100" s="470"/>
      <c r="AP100" s="464"/>
      <c r="AQ100" s="470"/>
      <c r="AR100" s="470"/>
      <c r="AS100" s="464"/>
      <c r="AV100" s="464"/>
      <c r="AY100" s="206"/>
      <c r="AZ100" s="447"/>
      <c r="BB100" s="206"/>
      <c r="BC100" s="447"/>
      <c r="BE100" s="206"/>
      <c r="BF100" s="363"/>
      <c r="BH100" s="206"/>
      <c r="BI100" s="447"/>
      <c r="BK100" s="206"/>
      <c r="BN100" s="206"/>
      <c r="CD100" s="418"/>
      <c r="CE100" s="442"/>
      <c r="CF100" s="418"/>
      <c r="CG100" s="418"/>
    </row>
    <row r="101" spans="2:85" s="460" customFormat="1" ht="15" customHeight="1">
      <c r="B101" s="418" t="str">
        <f t="shared" si="93"/>
        <v/>
      </c>
      <c r="C101" s="562"/>
      <c r="D101" s="563"/>
      <c r="E101" s="541"/>
      <c r="F101" s="537"/>
      <c r="G101" s="501"/>
      <c r="H101" s="427"/>
      <c r="I101" s="427"/>
      <c r="J101" s="427"/>
      <c r="L101" s="464"/>
      <c r="O101" s="464"/>
      <c r="R101" s="464"/>
      <c r="U101" s="464"/>
      <c r="X101" s="464"/>
      <c r="AA101" s="464"/>
      <c r="AD101" s="464"/>
      <c r="AG101" s="464"/>
      <c r="AJ101" s="451"/>
      <c r="AK101" s="470"/>
      <c r="AL101" s="470"/>
      <c r="AM101" s="464"/>
      <c r="AN101" s="470"/>
      <c r="AO101" s="470"/>
      <c r="AP101" s="464"/>
      <c r="AQ101" s="470"/>
      <c r="AR101" s="470"/>
      <c r="AS101" s="464"/>
      <c r="AV101" s="464"/>
      <c r="AY101" s="206"/>
      <c r="AZ101" s="447"/>
      <c r="BB101" s="206"/>
      <c r="BC101" s="447"/>
      <c r="BE101" s="206"/>
      <c r="BF101" s="363"/>
      <c r="BH101" s="206"/>
      <c r="BI101" s="447"/>
      <c r="BK101" s="206"/>
      <c r="BN101" s="206"/>
      <c r="CD101" s="418"/>
      <c r="CE101" s="442"/>
      <c r="CF101" s="418"/>
      <c r="CG101" s="418"/>
    </row>
    <row r="102" spans="2:85" s="460" customFormat="1" ht="15" customHeight="1">
      <c r="B102" s="418" t="str">
        <f t="shared" si="93"/>
        <v/>
      </c>
      <c r="C102" s="562"/>
      <c r="D102" s="563"/>
      <c r="E102" s="541"/>
      <c r="F102" s="537"/>
      <c r="G102" s="501"/>
      <c r="H102" s="427"/>
      <c r="I102" s="427"/>
      <c r="J102" s="427"/>
      <c r="L102" s="464"/>
      <c r="O102" s="464"/>
      <c r="R102" s="464"/>
      <c r="U102" s="464"/>
      <c r="X102" s="464"/>
      <c r="AA102" s="464"/>
      <c r="AD102" s="464"/>
      <c r="AG102" s="464"/>
      <c r="AJ102" s="451"/>
      <c r="AK102" s="470"/>
      <c r="AL102" s="470"/>
      <c r="AM102" s="464"/>
      <c r="AN102" s="470"/>
      <c r="AO102" s="470"/>
      <c r="AP102" s="464"/>
      <c r="AQ102" s="470"/>
      <c r="AR102" s="470"/>
      <c r="AS102" s="464"/>
      <c r="AV102" s="464"/>
      <c r="AY102" s="206"/>
      <c r="AZ102" s="447"/>
      <c r="BB102" s="206"/>
      <c r="BC102" s="447"/>
      <c r="BE102" s="206"/>
      <c r="BF102" s="363"/>
      <c r="BH102" s="206"/>
      <c r="BI102" s="447"/>
      <c r="BK102" s="206"/>
      <c r="BN102" s="206"/>
      <c r="CD102" s="418"/>
      <c r="CE102" s="442"/>
      <c r="CF102" s="418"/>
      <c r="CG102" s="418"/>
    </row>
    <row r="103" spans="2:85" s="460" customFormat="1" ht="15" customHeight="1">
      <c r="B103" s="418" t="str">
        <f t="shared" si="93"/>
        <v/>
      </c>
      <c r="C103" s="562"/>
      <c r="D103" s="563"/>
      <c r="E103" s="541"/>
      <c r="F103" s="537"/>
      <c r="G103" s="501"/>
      <c r="H103" s="427"/>
      <c r="I103" s="427"/>
      <c r="J103" s="427"/>
      <c r="L103" s="464"/>
      <c r="O103" s="464"/>
      <c r="R103" s="464"/>
      <c r="U103" s="464"/>
      <c r="X103" s="464"/>
      <c r="AA103" s="464"/>
      <c r="AD103" s="464"/>
      <c r="AG103" s="464"/>
      <c r="AJ103" s="451"/>
      <c r="AK103" s="470"/>
      <c r="AL103" s="470"/>
      <c r="AM103" s="464"/>
      <c r="AN103" s="470"/>
      <c r="AO103" s="470"/>
      <c r="AP103" s="464"/>
      <c r="AQ103" s="470"/>
      <c r="AR103" s="470"/>
      <c r="AS103" s="464"/>
      <c r="AV103" s="464"/>
      <c r="AY103" s="206"/>
      <c r="AZ103" s="447"/>
      <c r="BB103" s="206"/>
      <c r="BC103" s="447"/>
      <c r="BE103" s="206"/>
      <c r="BF103" s="363"/>
      <c r="BH103" s="206"/>
      <c r="BI103" s="447"/>
      <c r="BK103" s="206"/>
      <c r="BN103" s="206"/>
      <c r="CD103" s="418"/>
      <c r="CE103" s="442"/>
      <c r="CF103" s="418"/>
      <c r="CG103" s="418"/>
    </row>
    <row r="104" spans="2:85" s="460" customFormat="1" ht="15" customHeight="1">
      <c r="B104" s="418" t="str">
        <f t="shared" si="93"/>
        <v/>
      </c>
      <c r="C104" s="562"/>
      <c r="D104" s="563"/>
      <c r="E104" s="541"/>
      <c r="F104" s="537"/>
      <c r="G104" s="501"/>
      <c r="H104" s="427"/>
      <c r="I104" s="427"/>
      <c r="J104" s="427"/>
      <c r="L104" s="464"/>
      <c r="O104" s="464"/>
      <c r="R104" s="464"/>
      <c r="U104" s="464"/>
      <c r="X104" s="464"/>
      <c r="AA104" s="464"/>
      <c r="AD104" s="464"/>
      <c r="AG104" s="464"/>
      <c r="AJ104" s="451"/>
      <c r="AK104" s="470"/>
      <c r="AL104" s="470"/>
      <c r="AM104" s="464"/>
      <c r="AN104" s="470"/>
      <c r="AO104" s="470"/>
      <c r="AP104" s="464"/>
      <c r="AQ104" s="470"/>
      <c r="AR104" s="470"/>
      <c r="AS104" s="464"/>
      <c r="AV104" s="464"/>
      <c r="AY104" s="206"/>
      <c r="AZ104" s="447"/>
      <c r="BB104" s="206"/>
      <c r="BC104" s="447"/>
      <c r="BE104" s="206"/>
      <c r="BF104" s="363"/>
      <c r="BH104" s="206"/>
      <c r="BI104" s="447"/>
      <c r="BK104" s="206"/>
      <c r="BN104" s="206"/>
      <c r="CD104" s="418"/>
      <c r="CE104" s="442"/>
      <c r="CF104" s="418"/>
      <c r="CG104" s="418"/>
    </row>
    <row r="105" spans="2:85" s="404" customFormat="1" ht="15" customHeight="1">
      <c r="G105" s="423">
        <f>SUBTOTAL(9,G3:G104)</f>
        <v>6987645.5864150943</v>
      </c>
      <c r="H105" s="423">
        <f t="shared" ref="H105:BS105" si="103">SUBTOTAL(9,H3:H104)</f>
        <v>1065075.471698113</v>
      </c>
      <c r="I105" s="423">
        <f t="shared" si="103"/>
        <v>1646580.7147169812</v>
      </c>
      <c r="J105" s="423">
        <f t="shared" si="103"/>
        <v>0</v>
      </c>
      <c r="K105" s="423">
        <f t="shared" si="103"/>
        <v>74000</v>
      </c>
      <c r="L105" s="423">
        <f t="shared" si="103"/>
        <v>1572580.7147169812</v>
      </c>
      <c r="M105" s="423">
        <f t="shared" si="103"/>
        <v>0</v>
      </c>
      <c r="N105" s="423">
        <f t="shared" si="103"/>
        <v>391071.2437301887</v>
      </c>
      <c r="O105" s="423">
        <f t="shared" si="103"/>
        <v>1310198.3209867927</v>
      </c>
      <c r="P105" s="423">
        <f t="shared" si="103"/>
        <v>0</v>
      </c>
      <c r="Q105" s="423">
        <f t="shared" si="103"/>
        <v>26000</v>
      </c>
      <c r="R105" s="423">
        <f t="shared" si="103"/>
        <v>2294421.4609867926</v>
      </c>
      <c r="S105" s="423">
        <f t="shared" si="103"/>
        <v>0</v>
      </c>
      <c r="T105" s="423">
        <f t="shared" si="103"/>
        <v>100000</v>
      </c>
      <c r="U105" s="423">
        <f t="shared" si="103"/>
        <v>2255175.8509867927</v>
      </c>
      <c r="V105" s="423">
        <f t="shared" si="103"/>
        <v>0</v>
      </c>
      <c r="W105" s="423">
        <f t="shared" si="103"/>
        <v>1877388.66</v>
      </c>
      <c r="X105" s="423">
        <f t="shared" si="103"/>
        <v>1513347.7309867928</v>
      </c>
      <c r="Y105" s="423">
        <f t="shared" si="103"/>
        <v>0</v>
      </c>
      <c r="Z105" s="423">
        <f t="shared" si="103"/>
        <v>57450</v>
      </c>
      <c r="AA105" s="423">
        <f t="shared" si="103"/>
        <v>1565755.5138169816</v>
      </c>
      <c r="AB105" s="423">
        <f t="shared" si="103"/>
        <v>0</v>
      </c>
      <c r="AC105" s="423">
        <f t="shared" si="103"/>
        <v>985850</v>
      </c>
      <c r="AD105" s="423">
        <f t="shared" si="103"/>
        <v>579905.51381698123</v>
      </c>
      <c r="AE105" s="423">
        <f t="shared" si="103"/>
        <v>0</v>
      </c>
      <c r="AF105" s="423">
        <f t="shared" si="103"/>
        <v>9925</v>
      </c>
      <c r="AG105" s="423">
        <f t="shared" si="103"/>
        <v>569980.51381698123</v>
      </c>
      <c r="AH105" s="423">
        <f t="shared" si="103"/>
        <v>0</v>
      </c>
      <c r="AI105" s="423">
        <f t="shared" si="103"/>
        <v>199094.34</v>
      </c>
      <c r="AJ105" s="423">
        <f t="shared" si="103"/>
        <v>1443759.3138169814</v>
      </c>
      <c r="AK105" s="423">
        <f t="shared" si="103"/>
        <v>0</v>
      </c>
      <c r="AL105" s="423">
        <f t="shared" si="103"/>
        <v>23936.080000000002</v>
      </c>
      <c r="AM105" s="423">
        <f t="shared" si="103"/>
        <v>1419823.2338169813</v>
      </c>
      <c r="AN105" s="423">
        <f t="shared" si="103"/>
        <v>0</v>
      </c>
      <c r="AO105" s="423">
        <f t="shared" si="103"/>
        <v>0</v>
      </c>
      <c r="AP105" s="423">
        <f t="shared" si="103"/>
        <v>1419823.2338169813</v>
      </c>
      <c r="AQ105" s="423">
        <f t="shared" si="103"/>
        <v>0</v>
      </c>
      <c r="AR105" s="423">
        <f t="shared" si="103"/>
        <v>60585.619999999995</v>
      </c>
      <c r="AS105" s="423">
        <f t="shared" si="103"/>
        <v>1417600.0538169811</v>
      </c>
      <c r="AT105" s="423">
        <f t="shared" si="103"/>
        <v>0</v>
      </c>
      <c r="AU105" s="423">
        <f t="shared" si="103"/>
        <v>491490.01000000007</v>
      </c>
      <c r="AV105" s="423">
        <f t="shared" si="103"/>
        <v>926110.05381698115</v>
      </c>
      <c r="AW105" s="423">
        <f t="shared" si="103"/>
        <v>0</v>
      </c>
      <c r="AX105" s="423">
        <f t="shared" si="103"/>
        <v>47907.950000000004</v>
      </c>
      <c r="AY105" s="423">
        <f t="shared" si="103"/>
        <v>878202.10381698119</v>
      </c>
      <c r="AZ105" s="423">
        <f t="shared" si="103"/>
        <v>0</v>
      </c>
      <c r="BA105" s="423">
        <f t="shared" si="103"/>
        <v>0</v>
      </c>
      <c r="BB105" s="423">
        <f t="shared" si="103"/>
        <v>1011578.1438169812</v>
      </c>
      <c r="BC105" s="423">
        <f t="shared" si="103"/>
        <v>0</v>
      </c>
      <c r="BD105" s="423">
        <f t="shared" si="103"/>
        <v>57998.27</v>
      </c>
      <c r="BE105" s="423">
        <f t="shared" si="103"/>
        <v>1046546.9138169813</v>
      </c>
      <c r="BF105" s="423">
        <f t="shared" si="103"/>
        <v>0</v>
      </c>
      <c r="BG105" s="423">
        <f t="shared" si="103"/>
        <v>234311.57</v>
      </c>
      <c r="BH105" s="423">
        <f t="shared" si="103"/>
        <v>812235.34381698119</v>
      </c>
      <c r="BI105" s="423">
        <f t="shared" si="103"/>
        <v>0</v>
      </c>
      <c r="BJ105" s="423">
        <f t="shared" si="103"/>
        <v>0</v>
      </c>
      <c r="BK105" s="423">
        <f t="shared" si="103"/>
        <v>933623.47381698131</v>
      </c>
      <c r="BL105" s="423">
        <f t="shared" si="103"/>
        <v>0</v>
      </c>
      <c r="BM105" s="423">
        <f>SUBTOTAL(9,BM3:BM104)</f>
        <v>2050</v>
      </c>
      <c r="BN105" s="423">
        <f t="shared" si="103"/>
        <v>935523.88381698134</v>
      </c>
      <c r="BO105" s="423">
        <f t="shared" si="103"/>
        <v>0</v>
      </c>
      <c r="BP105" s="423">
        <f t="shared" si="103"/>
        <v>544917.13</v>
      </c>
      <c r="BQ105" s="423">
        <f>SUBTOTAL(9,BQ3:BQ104)</f>
        <v>502788.40999999992</v>
      </c>
      <c r="BR105" s="423">
        <f t="shared" si="103"/>
        <v>0</v>
      </c>
      <c r="BS105" s="423">
        <f t="shared" si="103"/>
        <v>0</v>
      </c>
      <c r="BT105" s="423">
        <f>SUBTOTAL(9,BT3:BT104)</f>
        <v>693625.04999999993</v>
      </c>
      <c r="BU105" s="423">
        <f t="shared" ref="BU105:CA105" si="104">SUBTOTAL(9,BU3:BU104)</f>
        <v>0</v>
      </c>
      <c r="BV105" s="423">
        <f>SUBTOTAL(9,BV3:BV104)</f>
        <v>91061.440000000002</v>
      </c>
      <c r="BW105" s="423">
        <f>SUBTOTAL(9,BW3:BW104)</f>
        <v>647323.1</v>
      </c>
      <c r="BX105" s="423">
        <f t="shared" si="104"/>
        <v>0</v>
      </c>
      <c r="BY105" s="423">
        <f t="shared" si="104"/>
        <v>0</v>
      </c>
      <c r="BZ105" s="423">
        <f>SUBTOTAL(9,BZ3:BZ104)</f>
        <v>647323.1</v>
      </c>
      <c r="CA105" s="423">
        <f t="shared" si="104"/>
        <v>0</v>
      </c>
    </row>
  </sheetData>
  <autoFilter ref="B2:CA104">
    <filterColumn colId="73"/>
  </autoFilter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AO40"/>
  <sheetViews>
    <sheetView workbookViewId="0">
      <selection activeCell="M40" sqref="M40"/>
    </sheetView>
  </sheetViews>
  <sheetFormatPr defaultRowHeight="12.75"/>
  <cols>
    <col min="2" max="2" width="12.42578125" customWidth="1"/>
    <col min="3" max="3" width="14.28515625" customWidth="1"/>
    <col min="4" max="4" width="37.7109375" customWidth="1"/>
    <col min="5" max="5" width="12.5703125" bestFit="1" customWidth="1"/>
    <col min="6" max="6" width="15.42578125" style="132" hidden="1" customWidth="1"/>
    <col min="7" max="7" width="13.42578125" style="14" hidden="1" customWidth="1"/>
    <col min="8" max="8" width="15.28515625" style="132" hidden="1" customWidth="1"/>
    <col min="9" max="9" width="14.5703125" style="132" hidden="1" customWidth="1"/>
    <col min="10" max="10" width="15.28515625" hidden="1" customWidth="1"/>
    <col min="11" max="11" width="18.85546875" hidden="1" customWidth="1"/>
    <col min="12" max="12" width="9.140625" hidden="1" customWidth="1"/>
    <col min="13" max="13" width="13" hidden="1" customWidth="1"/>
    <col min="14" max="14" width="15.140625" hidden="1" customWidth="1"/>
    <col min="15" max="15" width="9.140625" style="14" hidden="1" customWidth="1"/>
    <col min="16" max="16" width="13.28515625" hidden="1" customWidth="1"/>
    <col min="17" max="17" width="15.5703125" hidden="1" customWidth="1"/>
    <col min="18" max="18" width="0" hidden="1" customWidth="1"/>
    <col min="19" max="19" width="16.7109375" hidden="1" customWidth="1"/>
    <col min="20" max="20" width="15.140625" hidden="1" customWidth="1"/>
    <col min="21" max="22" width="0" hidden="1" customWidth="1"/>
    <col min="23" max="23" width="15.140625" hidden="1" customWidth="1"/>
    <col min="24" max="25" width="0" hidden="1" customWidth="1"/>
    <col min="26" max="26" width="14" hidden="1" customWidth="1"/>
    <col min="27" max="28" width="0" hidden="1" customWidth="1"/>
    <col min="29" max="29" width="15.140625" hidden="1" customWidth="1"/>
    <col min="30" max="31" width="0" hidden="1" customWidth="1"/>
    <col min="32" max="32" width="15.140625" hidden="1" customWidth="1"/>
    <col min="33" max="34" width="0" hidden="1" customWidth="1"/>
    <col min="35" max="35" width="15.140625" hidden="1" customWidth="1"/>
    <col min="36" max="36" width="0" hidden="1" customWidth="1"/>
    <col min="37" max="37" width="14" hidden="1" customWidth="1"/>
    <col min="38" max="38" width="13.28515625" hidden="1" customWidth="1"/>
    <col min="39" max="39" width="0" hidden="1" customWidth="1"/>
    <col min="40" max="40" width="13.28515625" hidden="1" customWidth="1"/>
    <col min="41" max="41" width="13.28515625" bestFit="1" customWidth="1"/>
  </cols>
  <sheetData>
    <row r="1" spans="2:41">
      <c r="Y1">
        <v>8</v>
      </c>
    </row>
    <row r="2" spans="2:41" s="275" customFormat="1" ht="33">
      <c r="B2" s="273" t="s">
        <v>687</v>
      </c>
      <c r="C2" s="273" t="s">
        <v>689</v>
      </c>
      <c r="D2" s="273" t="s">
        <v>688</v>
      </c>
      <c r="E2" s="273" t="s">
        <v>690</v>
      </c>
      <c r="F2" s="274" t="s">
        <v>725</v>
      </c>
      <c r="G2" s="276" t="s">
        <v>561</v>
      </c>
      <c r="H2" s="274" t="s">
        <v>712</v>
      </c>
      <c r="I2" s="274" t="s">
        <v>711</v>
      </c>
      <c r="J2" s="274" t="s">
        <v>726</v>
      </c>
      <c r="K2" s="274" t="s">
        <v>727</v>
      </c>
      <c r="L2" s="276" t="s">
        <v>811</v>
      </c>
      <c r="M2" s="274" t="s">
        <v>850</v>
      </c>
      <c r="N2" s="274" t="s">
        <v>851</v>
      </c>
      <c r="O2" s="276" t="s">
        <v>849</v>
      </c>
      <c r="P2" s="274" t="s">
        <v>885</v>
      </c>
      <c r="Q2" s="274" t="s">
        <v>886</v>
      </c>
      <c r="R2" s="274" t="s">
        <v>890</v>
      </c>
      <c r="S2" s="274" t="s">
        <v>910</v>
      </c>
      <c r="T2" s="274" t="s">
        <v>909</v>
      </c>
      <c r="U2" s="274" t="s">
        <v>890</v>
      </c>
      <c r="V2" s="273" t="s">
        <v>943</v>
      </c>
      <c r="W2" s="273" t="s">
        <v>944</v>
      </c>
      <c r="X2" s="274" t="s">
        <v>890</v>
      </c>
      <c r="Y2" s="273" t="s">
        <v>958</v>
      </c>
      <c r="Z2" s="273" t="s">
        <v>1028</v>
      </c>
      <c r="AA2" s="274" t="s">
        <v>890</v>
      </c>
      <c r="AB2" s="273" t="s">
        <v>1011</v>
      </c>
      <c r="AC2" s="273" t="s">
        <v>1066</v>
      </c>
      <c r="AD2" s="274" t="s">
        <v>890</v>
      </c>
      <c r="AE2" s="273" t="s">
        <v>1168</v>
      </c>
      <c r="AF2" s="273" t="s">
        <v>1169</v>
      </c>
      <c r="AG2" s="274" t="s">
        <v>890</v>
      </c>
      <c r="AH2" s="273" t="s">
        <v>1216</v>
      </c>
      <c r="AI2" s="273" t="s">
        <v>1217</v>
      </c>
      <c r="AJ2" s="274" t="s">
        <v>890</v>
      </c>
      <c r="AK2" s="273" t="s">
        <v>1263</v>
      </c>
      <c r="AL2" s="273" t="s">
        <v>1264</v>
      </c>
      <c r="AM2" s="274" t="s">
        <v>890</v>
      </c>
    </row>
    <row r="3" spans="2:41" ht="16.5">
      <c r="B3" s="259" t="s">
        <v>208</v>
      </c>
      <c r="C3" s="260" t="s">
        <v>684</v>
      </c>
      <c r="D3" s="260" t="s">
        <v>680</v>
      </c>
      <c r="E3" s="261">
        <v>43070</v>
      </c>
      <c r="F3" s="265">
        <v>600000</v>
      </c>
      <c r="G3" s="277" t="s">
        <v>691</v>
      </c>
      <c r="H3" s="265">
        <f>60000+55000</f>
        <v>115000</v>
      </c>
      <c r="I3" s="265">
        <f>F3-H3</f>
        <v>485000</v>
      </c>
      <c r="J3">
        <f>ROUND(238700/1.06,2)</f>
        <v>225188.68</v>
      </c>
      <c r="K3" s="206">
        <f>I3-J3</f>
        <v>259811.32</v>
      </c>
      <c r="L3" t="s">
        <v>816</v>
      </c>
      <c r="M3">
        <f>68000+55500</f>
        <v>123500</v>
      </c>
      <c r="N3" s="206">
        <f>K3-M3</f>
        <v>136311.32</v>
      </c>
      <c r="O3" s="14" t="s">
        <v>856</v>
      </c>
      <c r="P3">
        <f>40000+55000+34808.3</f>
        <v>129808.3</v>
      </c>
      <c r="Q3" s="206">
        <f>N3-P3</f>
        <v>6503.0200000000041</v>
      </c>
      <c r="R3" s="14" t="s">
        <v>844</v>
      </c>
      <c r="S3" s="305">
        <f>100000-(100000-Q3)</f>
        <v>6503.0200000000041</v>
      </c>
      <c r="T3" s="206">
        <f>Q3-S3</f>
        <v>0</v>
      </c>
    </row>
    <row r="4" spans="2:41" ht="16.5">
      <c r="B4" s="259" t="s">
        <v>681</v>
      </c>
      <c r="C4" s="135" t="s">
        <v>22</v>
      </c>
      <c r="D4" s="260" t="s">
        <v>685</v>
      </c>
      <c r="E4" s="261">
        <v>43070</v>
      </c>
      <c r="F4" s="265">
        <v>8000</v>
      </c>
      <c r="G4" s="277" t="s">
        <v>691</v>
      </c>
      <c r="H4" s="265"/>
      <c r="I4" s="265">
        <f>F4-H4</f>
        <v>8000</v>
      </c>
      <c r="K4" s="206">
        <f>I4-J4</f>
        <v>8000</v>
      </c>
      <c r="L4" t="s">
        <v>816</v>
      </c>
      <c r="N4" s="206">
        <f>K4-M4</f>
        <v>8000</v>
      </c>
      <c r="O4" s="14" t="s">
        <v>856</v>
      </c>
      <c r="P4">
        <v>8000</v>
      </c>
      <c r="Q4" s="206">
        <f>N4-P4</f>
        <v>0</v>
      </c>
      <c r="T4" s="206">
        <f>Q4-S4</f>
        <v>0</v>
      </c>
    </row>
    <row r="5" spans="2:41" ht="16.5">
      <c r="B5" s="259" t="s">
        <v>681</v>
      </c>
      <c r="C5" s="135" t="s">
        <v>24</v>
      </c>
      <c r="D5" s="260" t="s">
        <v>686</v>
      </c>
      <c r="E5" s="261">
        <v>43070</v>
      </c>
      <c r="F5" s="265">
        <v>63252</v>
      </c>
      <c r="G5" s="277" t="s">
        <v>691</v>
      </c>
      <c r="H5" s="265"/>
      <c r="I5" s="265">
        <f>F5-H5</f>
        <v>63252</v>
      </c>
      <c r="K5" s="206">
        <f>I5-J5</f>
        <v>63252</v>
      </c>
      <c r="L5" t="s">
        <v>816</v>
      </c>
      <c r="N5" s="206">
        <f>K5-M5</f>
        <v>63252</v>
      </c>
      <c r="O5" s="14" t="s">
        <v>856</v>
      </c>
      <c r="P5">
        <v>63252</v>
      </c>
      <c r="Q5" s="206">
        <f>N5-P5</f>
        <v>0</v>
      </c>
      <c r="T5" s="206">
        <f>Q5-S5</f>
        <v>0</v>
      </c>
    </row>
    <row r="6" spans="2:41">
      <c r="B6" s="271"/>
      <c r="C6" s="271"/>
      <c r="D6" s="271"/>
      <c r="E6" s="271"/>
      <c r="F6" s="272">
        <f>SUM(F3:F5)</f>
        <v>671252</v>
      </c>
      <c r="G6" s="278"/>
      <c r="H6" s="272"/>
      <c r="I6" s="272">
        <f>SUM(I3:I5)</f>
        <v>556252</v>
      </c>
      <c r="J6" s="272">
        <f>SUM(J3:J5)</f>
        <v>225188.68</v>
      </c>
      <c r="K6" s="272">
        <f>SUM(K3:K5)</f>
        <v>331063.32</v>
      </c>
      <c r="L6" s="271"/>
      <c r="M6" s="272">
        <f>SUM(M3:M5)</f>
        <v>123500</v>
      </c>
      <c r="N6" s="272">
        <f>SUM(N3:N5)</f>
        <v>207563.32</v>
      </c>
      <c r="O6" s="278"/>
      <c r="P6" s="272">
        <f>SUM(P3:P5)</f>
        <v>201060.3</v>
      </c>
      <c r="Q6" s="272">
        <f>SUM(Q3:Q5)</f>
        <v>6503.0200000000041</v>
      </c>
      <c r="R6" s="271"/>
      <c r="S6" s="272">
        <f>SUM(S3:S5)</f>
        <v>6503.0200000000041</v>
      </c>
      <c r="T6" s="272">
        <f>Q6-S6</f>
        <v>0</v>
      </c>
      <c r="U6" s="271"/>
    </row>
    <row r="7" spans="2:41">
      <c r="B7" s="181"/>
      <c r="C7" s="181"/>
      <c r="D7" s="181"/>
      <c r="E7" s="181"/>
      <c r="F7" s="267"/>
      <c r="G7" s="106"/>
      <c r="H7" s="267"/>
      <c r="I7" s="267">
        <f>F7-H7</f>
        <v>0</v>
      </c>
    </row>
    <row r="8" spans="2:41" s="275" customFormat="1" ht="33">
      <c r="B8" s="273" t="s">
        <v>718</v>
      </c>
      <c r="C8" s="273" t="s">
        <v>719</v>
      </c>
      <c r="D8" s="273" t="s">
        <v>720</v>
      </c>
      <c r="E8" s="273" t="s">
        <v>721</v>
      </c>
      <c r="F8" s="274" t="s">
        <v>722</v>
      </c>
      <c r="G8" s="276" t="s">
        <v>723</v>
      </c>
      <c r="H8" s="274" t="s">
        <v>724</v>
      </c>
      <c r="I8" s="274" t="s">
        <v>711</v>
      </c>
      <c r="J8" s="274" t="s">
        <v>726</v>
      </c>
      <c r="K8" s="274" t="s">
        <v>727</v>
      </c>
      <c r="L8" s="276" t="s">
        <v>811</v>
      </c>
      <c r="M8" s="274" t="s">
        <v>850</v>
      </c>
      <c r="N8" s="274" t="s">
        <v>851</v>
      </c>
      <c r="O8" s="276" t="s">
        <v>849</v>
      </c>
      <c r="P8" s="274" t="s">
        <v>885</v>
      </c>
      <c r="Q8" s="274" t="s">
        <v>886</v>
      </c>
      <c r="R8" s="274" t="s">
        <v>890</v>
      </c>
      <c r="S8" s="274" t="s">
        <v>910</v>
      </c>
      <c r="T8" s="274" t="s">
        <v>909</v>
      </c>
      <c r="U8" s="274" t="s">
        <v>890</v>
      </c>
      <c r="V8" s="273" t="s">
        <v>943</v>
      </c>
      <c r="W8" s="273" t="s">
        <v>944</v>
      </c>
      <c r="X8" s="274" t="s">
        <v>890</v>
      </c>
      <c r="Y8" s="273" t="s">
        <v>958</v>
      </c>
      <c r="Z8" s="273" t="s">
        <v>1028</v>
      </c>
      <c r="AA8" s="274" t="s">
        <v>890</v>
      </c>
      <c r="AB8" s="273" t="s">
        <v>1011</v>
      </c>
      <c r="AC8" s="273" t="s">
        <v>1066</v>
      </c>
      <c r="AD8" s="274" t="s">
        <v>890</v>
      </c>
      <c r="AE8" s="273" t="s">
        <v>1168</v>
      </c>
      <c r="AF8" s="273" t="s">
        <v>1169</v>
      </c>
      <c r="AG8" s="274" t="s">
        <v>890</v>
      </c>
      <c r="AH8" s="273" t="s">
        <v>1216</v>
      </c>
      <c r="AI8" s="273" t="s">
        <v>1217</v>
      </c>
      <c r="AJ8" s="274" t="s">
        <v>890</v>
      </c>
      <c r="AK8" s="273" t="s">
        <v>1263</v>
      </c>
      <c r="AL8" s="273" t="s">
        <v>1264</v>
      </c>
      <c r="AM8" s="274" t="s">
        <v>890</v>
      </c>
      <c r="AN8" s="273" t="s">
        <v>1300</v>
      </c>
      <c r="AO8" s="273" t="s">
        <v>1299</v>
      </c>
    </row>
    <row r="9" spans="2:41" ht="16.5" hidden="1">
      <c r="B9" s="89" t="s">
        <v>209</v>
      </c>
      <c r="C9" s="263" t="s">
        <v>693</v>
      </c>
      <c r="D9" s="263" t="s">
        <v>692</v>
      </c>
      <c r="E9" s="261">
        <v>43070</v>
      </c>
      <c r="F9" s="384">
        <v>10855.7</v>
      </c>
      <c r="G9" s="277" t="s">
        <v>367</v>
      </c>
      <c r="H9" s="384"/>
      <c r="I9" s="337">
        <f>F9-H9</f>
        <v>10855.7</v>
      </c>
      <c r="J9" s="381">
        <f>ROUND(8976/1.06,2)</f>
        <v>8467.92</v>
      </c>
      <c r="K9" s="292">
        <f>I9-J9</f>
        <v>2387.7800000000007</v>
      </c>
      <c r="L9" s="381" t="s">
        <v>812</v>
      </c>
      <c r="M9" s="381"/>
      <c r="N9" s="292">
        <f t="shared" ref="N9:N17" si="0">K9-M9</f>
        <v>2387.7800000000007</v>
      </c>
      <c r="O9" s="277" t="s">
        <v>856</v>
      </c>
      <c r="P9" s="381">
        <v>2387.7800000000002</v>
      </c>
      <c r="Q9" s="292">
        <f t="shared" ref="Q9:Q22" si="1">N9-P9</f>
        <v>0</v>
      </c>
      <c r="R9" s="381"/>
      <c r="S9" s="381"/>
      <c r="T9" s="292">
        <f>Q9-S9</f>
        <v>0</v>
      </c>
      <c r="U9" s="381"/>
      <c r="V9" s="381"/>
      <c r="W9" s="292">
        <f>T9-V9</f>
        <v>0</v>
      </c>
      <c r="X9" s="381"/>
      <c r="Y9" s="381"/>
      <c r="Z9" s="381"/>
      <c r="AA9" s="381"/>
      <c r="AB9" s="381"/>
      <c r="AC9" s="381"/>
      <c r="AD9" s="381"/>
      <c r="AE9" s="381"/>
      <c r="AF9" s="381"/>
      <c r="AG9" s="381"/>
      <c r="AH9" s="381"/>
      <c r="AI9" s="381"/>
      <c r="AJ9" s="381"/>
      <c r="AK9" s="381"/>
      <c r="AL9" s="292">
        <f t="shared" ref="AL9:AL31" si="2">AI9-AK9</f>
        <v>0</v>
      </c>
      <c r="AM9" s="381"/>
      <c r="AN9" s="381"/>
      <c r="AO9" s="381"/>
    </row>
    <row r="10" spans="2:41" ht="16.5" hidden="1">
      <c r="B10" s="89" t="s">
        <v>209</v>
      </c>
      <c r="C10" s="264" t="s">
        <v>33</v>
      </c>
      <c r="D10" s="263" t="s">
        <v>486</v>
      </c>
      <c r="E10" s="261">
        <v>43070</v>
      </c>
      <c r="F10" s="384">
        <v>30400</v>
      </c>
      <c r="G10" s="277" t="s">
        <v>367</v>
      </c>
      <c r="H10" s="384"/>
      <c r="I10" s="337">
        <f>F10-H10</f>
        <v>30400</v>
      </c>
      <c r="J10" s="381">
        <f>32224/1.06</f>
        <v>30400</v>
      </c>
      <c r="K10" s="292">
        <f>I10-J10</f>
        <v>0</v>
      </c>
      <c r="L10" s="381" t="s">
        <v>812</v>
      </c>
      <c r="M10" s="381"/>
      <c r="N10" s="292">
        <f t="shared" si="0"/>
        <v>0</v>
      </c>
      <c r="O10" s="277" t="s">
        <v>856</v>
      </c>
      <c r="P10" s="381"/>
      <c r="Q10" s="292">
        <f t="shared" si="1"/>
        <v>0</v>
      </c>
      <c r="R10" s="381"/>
      <c r="S10" s="381"/>
      <c r="T10" s="292">
        <f t="shared" ref="T10:T31" si="3">Q10-S10</f>
        <v>0</v>
      </c>
      <c r="U10" s="381"/>
      <c r="V10" s="381"/>
      <c r="W10" s="292">
        <f t="shared" ref="W10:W31" si="4">T10-V10</f>
        <v>0</v>
      </c>
      <c r="X10" s="381"/>
      <c r="Y10" s="381"/>
      <c r="Z10" s="381"/>
      <c r="AA10" s="381"/>
      <c r="AB10" s="381"/>
      <c r="AC10" s="381"/>
      <c r="AD10" s="381"/>
      <c r="AE10" s="381"/>
      <c r="AF10" s="381"/>
      <c r="AG10" s="381"/>
      <c r="AH10" s="381"/>
      <c r="AI10" s="381"/>
      <c r="AJ10" s="381"/>
      <c r="AK10" s="381"/>
      <c r="AL10" s="292">
        <f t="shared" si="2"/>
        <v>0</v>
      </c>
      <c r="AM10" s="381"/>
      <c r="AN10" s="381"/>
      <c r="AO10" s="381"/>
    </row>
    <row r="11" spans="2:41" ht="16.5" hidden="1">
      <c r="B11" s="89" t="s">
        <v>209</v>
      </c>
      <c r="C11" s="264" t="s">
        <v>49</v>
      </c>
      <c r="D11" s="263" t="s">
        <v>245</v>
      </c>
      <c r="E11" s="261">
        <v>43070</v>
      </c>
      <c r="F11" s="384">
        <v>200000</v>
      </c>
      <c r="G11" s="277" t="s">
        <v>367</v>
      </c>
      <c r="H11" s="384"/>
      <c r="I11" s="337">
        <f>F11-H11</f>
        <v>200000</v>
      </c>
      <c r="J11" s="381">
        <f>ROUND(200000/1.06,2)</f>
        <v>188679.25</v>
      </c>
      <c r="K11" s="292">
        <f t="shared" ref="K11:K31" si="5">I11-J11</f>
        <v>11320.75</v>
      </c>
      <c r="L11" s="381" t="s">
        <v>812</v>
      </c>
      <c r="M11" s="381"/>
      <c r="N11" s="292">
        <f t="shared" si="0"/>
        <v>11320.75</v>
      </c>
      <c r="O11" s="277" t="s">
        <v>856</v>
      </c>
      <c r="P11" s="381">
        <v>11320.75</v>
      </c>
      <c r="Q11" s="292">
        <f t="shared" si="1"/>
        <v>0</v>
      </c>
      <c r="R11" s="381"/>
      <c r="S11" s="381"/>
      <c r="T11" s="292">
        <f t="shared" si="3"/>
        <v>0</v>
      </c>
      <c r="U11" s="381"/>
      <c r="V11" s="381"/>
      <c r="W11" s="292">
        <f t="shared" si="4"/>
        <v>0</v>
      </c>
      <c r="X11" s="381"/>
      <c r="Y11" s="381"/>
      <c r="Z11" s="381"/>
      <c r="AA11" s="381"/>
      <c r="AB11" s="381"/>
      <c r="AC11" s="381"/>
      <c r="AD11" s="381"/>
      <c r="AE11" s="381"/>
      <c r="AF11" s="381"/>
      <c r="AG11" s="381"/>
      <c r="AH11" s="381"/>
      <c r="AI11" s="381"/>
      <c r="AJ11" s="381"/>
      <c r="AK11" s="381"/>
      <c r="AL11" s="292">
        <f t="shared" si="2"/>
        <v>0</v>
      </c>
      <c r="AM11" s="381"/>
      <c r="AN11" s="381"/>
      <c r="AO11" s="381"/>
    </row>
    <row r="12" spans="2:41" ht="16.5" hidden="1">
      <c r="B12" s="89" t="s">
        <v>209</v>
      </c>
      <c r="C12" s="260" t="s">
        <v>683</v>
      </c>
      <c r="D12" s="263" t="s">
        <v>682</v>
      </c>
      <c r="E12" s="261">
        <v>43070</v>
      </c>
      <c r="F12" s="384">
        <v>154500</v>
      </c>
      <c r="G12" s="277" t="s">
        <v>367</v>
      </c>
      <c r="H12" s="384">
        <f>ROUND(90730+88863/1.06,2)</f>
        <v>174563.02</v>
      </c>
      <c r="I12" s="384">
        <v>0</v>
      </c>
      <c r="J12" s="381"/>
      <c r="K12" s="292">
        <f t="shared" si="5"/>
        <v>0</v>
      </c>
      <c r="L12" s="381" t="s">
        <v>812</v>
      </c>
      <c r="M12" s="381"/>
      <c r="N12" s="292">
        <f t="shared" si="0"/>
        <v>0</v>
      </c>
      <c r="O12" s="277" t="s">
        <v>856</v>
      </c>
      <c r="P12" s="381"/>
      <c r="Q12" s="292">
        <f t="shared" si="1"/>
        <v>0</v>
      </c>
      <c r="R12" s="381"/>
      <c r="S12" s="381"/>
      <c r="T12" s="292">
        <f t="shared" si="3"/>
        <v>0</v>
      </c>
      <c r="U12" s="381"/>
      <c r="V12" s="381"/>
      <c r="W12" s="292">
        <f t="shared" si="4"/>
        <v>0</v>
      </c>
      <c r="X12" s="381"/>
      <c r="Y12" s="381"/>
      <c r="Z12" s="381"/>
      <c r="AA12" s="381"/>
      <c r="AB12" s="381"/>
      <c r="AC12" s="381"/>
      <c r="AD12" s="381"/>
      <c r="AE12" s="381"/>
      <c r="AF12" s="381"/>
      <c r="AG12" s="381"/>
      <c r="AH12" s="381"/>
      <c r="AI12" s="381"/>
      <c r="AJ12" s="381"/>
      <c r="AK12" s="381"/>
      <c r="AL12" s="292">
        <f t="shared" si="2"/>
        <v>0</v>
      </c>
      <c r="AM12" s="381"/>
      <c r="AN12" s="381"/>
      <c r="AO12" s="381"/>
    </row>
    <row r="13" spans="2:41" ht="16.5" hidden="1">
      <c r="B13" s="89" t="s">
        <v>209</v>
      </c>
      <c r="C13" s="263" t="s">
        <v>889</v>
      </c>
      <c r="D13" s="263" t="s">
        <v>694</v>
      </c>
      <c r="E13" s="268">
        <v>43070</v>
      </c>
      <c r="F13" s="297">
        <v>54667.45</v>
      </c>
      <c r="G13" s="277" t="s">
        <v>367</v>
      </c>
      <c r="H13" s="297"/>
      <c r="I13" s="337">
        <f>F13-H13</f>
        <v>54667.45</v>
      </c>
      <c r="J13" s="381"/>
      <c r="K13" s="292">
        <f t="shared" si="5"/>
        <v>54667.45</v>
      </c>
      <c r="L13" s="381" t="s">
        <v>812</v>
      </c>
      <c r="M13" s="381"/>
      <c r="N13" s="292">
        <f t="shared" si="0"/>
        <v>54667.45</v>
      </c>
      <c r="O13" s="277" t="s">
        <v>856</v>
      </c>
      <c r="P13" s="381">
        <v>54667.45</v>
      </c>
      <c r="Q13" s="292">
        <f t="shared" si="1"/>
        <v>0</v>
      </c>
      <c r="R13" s="381"/>
      <c r="S13" s="381"/>
      <c r="T13" s="292">
        <f t="shared" si="3"/>
        <v>0</v>
      </c>
      <c r="U13" s="381"/>
      <c r="V13" s="381"/>
      <c r="W13" s="292">
        <f t="shared" si="4"/>
        <v>0</v>
      </c>
      <c r="X13" s="381"/>
      <c r="Y13" s="381"/>
      <c r="Z13" s="381"/>
      <c r="AA13" s="381"/>
      <c r="AB13" s="381"/>
      <c r="AC13" s="381"/>
      <c r="AD13" s="381"/>
      <c r="AE13" s="381"/>
      <c r="AF13" s="381"/>
      <c r="AG13" s="381"/>
      <c r="AH13" s="381"/>
      <c r="AI13" s="381"/>
      <c r="AJ13" s="381"/>
      <c r="AK13" s="381"/>
      <c r="AL13" s="292">
        <f t="shared" si="2"/>
        <v>0</v>
      </c>
      <c r="AM13" s="381"/>
      <c r="AN13" s="381"/>
      <c r="AO13" s="381"/>
    </row>
    <row r="14" spans="2:41" ht="16.5" hidden="1">
      <c r="B14" s="89" t="s">
        <v>209</v>
      </c>
      <c r="C14" s="263" t="s">
        <v>75</v>
      </c>
      <c r="D14" s="263" t="s">
        <v>419</v>
      </c>
      <c r="E14" s="268">
        <v>43070</v>
      </c>
      <c r="F14" s="297">
        <v>400000</v>
      </c>
      <c r="G14" s="277" t="s">
        <v>367</v>
      </c>
      <c r="H14" s="297">
        <f>80000</f>
        <v>80000</v>
      </c>
      <c r="I14" s="337">
        <f>F14-H14</f>
        <v>320000</v>
      </c>
      <c r="J14" s="381">
        <f>ROUND(188650/1.06,2)</f>
        <v>177971.7</v>
      </c>
      <c r="K14" s="292">
        <f t="shared" si="5"/>
        <v>142028.29999999999</v>
      </c>
      <c r="L14" s="381" t="s">
        <v>812</v>
      </c>
      <c r="M14" s="381"/>
      <c r="N14" s="292">
        <f t="shared" si="0"/>
        <v>142028.29999999999</v>
      </c>
      <c r="O14" s="277" t="s">
        <v>856</v>
      </c>
      <c r="P14" s="381">
        <f>141264.4+763.9</f>
        <v>142028.29999999999</v>
      </c>
      <c r="Q14" s="292">
        <f t="shared" si="1"/>
        <v>0</v>
      </c>
      <c r="R14" s="381"/>
      <c r="S14" s="381"/>
      <c r="T14" s="292">
        <f t="shared" si="3"/>
        <v>0</v>
      </c>
      <c r="U14" s="381"/>
      <c r="V14" s="381"/>
      <c r="W14" s="292">
        <f t="shared" si="4"/>
        <v>0</v>
      </c>
      <c r="X14" s="381"/>
      <c r="Y14" s="381"/>
      <c r="Z14" s="381"/>
      <c r="AA14" s="381"/>
      <c r="AB14" s="381"/>
      <c r="AC14" s="381"/>
      <c r="AD14" s="381"/>
      <c r="AE14" s="381"/>
      <c r="AF14" s="381"/>
      <c r="AG14" s="381"/>
      <c r="AH14" s="381"/>
      <c r="AI14" s="381"/>
      <c r="AJ14" s="381"/>
      <c r="AK14" s="381"/>
      <c r="AL14" s="292">
        <f t="shared" si="2"/>
        <v>0</v>
      </c>
      <c r="AM14" s="381"/>
      <c r="AN14" s="381"/>
      <c r="AO14" s="381"/>
    </row>
    <row r="15" spans="2:41" ht="16.5" hidden="1">
      <c r="B15" s="89" t="s">
        <v>209</v>
      </c>
      <c r="C15" s="263" t="s">
        <v>18</v>
      </c>
      <c r="D15" s="263" t="s">
        <v>695</v>
      </c>
      <c r="E15" s="268">
        <v>43070</v>
      </c>
      <c r="F15" s="297">
        <v>129478.77</v>
      </c>
      <c r="G15" s="277" t="s">
        <v>367</v>
      </c>
      <c r="H15" s="297"/>
      <c r="I15" s="337">
        <f>F15-H15</f>
        <v>129478.77</v>
      </c>
      <c r="J15" s="381">
        <f>2554.2+10502.3</f>
        <v>13056.5</v>
      </c>
      <c r="K15" s="292">
        <f t="shared" si="5"/>
        <v>116422.27</v>
      </c>
      <c r="L15" s="381" t="s">
        <v>812</v>
      </c>
      <c r="M15" s="381"/>
      <c r="N15" s="292">
        <f t="shared" si="0"/>
        <v>116422.27</v>
      </c>
      <c r="O15" s="277" t="s">
        <v>856</v>
      </c>
      <c r="P15" s="381">
        <v>116422.27</v>
      </c>
      <c r="Q15" s="292">
        <f t="shared" si="1"/>
        <v>0</v>
      </c>
      <c r="R15" s="381"/>
      <c r="S15" s="381"/>
      <c r="T15" s="292">
        <f t="shared" si="3"/>
        <v>0</v>
      </c>
      <c r="U15" s="381"/>
      <c r="V15" s="381"/>
      <c r="W15" s="292">
        <f t="shared" si="4"/>
        <v>0</v>
      </c>
      <c r="X15" s="381"/>
      <c r="Y15" s="381"/>
      <c r="Z15" s="381"/>
      <c r="AA15" s="381"/>
      <c r="AB15" s="381"/>
      <c r="AC15" s="381"/>
      <c r="AD15" s="381"/>
      <c r="AE15" s="381"/>
      <c r="AF15" s="381"/>
      <c r="AG15" s="381"/>
      <c r="AH15" s="381"/>
      <c r="AI15" s="381"/>
      <c r="AJ15" s="381"/>
      <c r="AK15" s="381"/>
      <c r="AL15" s="292">
        <f t="shared" si="2"/>
        <v>0</v>
      </c>
      <c r="AM15" s="381"/>
      <c r="AN15" s="381"/>
      <c r="AO15" s="381"/>
    </row>
    <row r="16" spans="2:41" ht="16.5" hidden="1">
      <c r="B16" s="89" t="s">
        <v>209</v>
      </c>
      <c r="C16" s="263" t="s">
        <v>87</v>
      </c>
      <c r="D16" s="263" t="s">
        <v>696</v>
      </c>
      <c r="E16" s="268">
        <v>43070</v>
      </c>
      <c r="F16" s="297">
        <v>10000</v>
      </c>
      <c r="G16" s="277" t="s">
        <v>367</v>
      </c>
      <c r="H16" s="297">
        <f>(698.22/1.17)+(1028.8/1.17)+1332+(6973/1.06)+599</f>
        <v>9985.3873568779236</v>
      </c>
      <c r="I16" s="297">
        <v>0</v>
      </c>
      <c r="J16" s="149"/>
      <c r="K16" s="292">
        <f t="shared" si="5"/>
        <v>0</v>
      </c>
      <c r="L16" s="381" t="s">
        <v>812</v>
      </c>
      <c r="M16" s="381"/>
      <c r="N16" s="292">
        <f t="shared" si="0"/>
        <v>0</v>
      </c>
      <c r="O16" s="277" t="s">
        <v>856</v>
      </c>
      <c r="P16" s="381"/>
      <c r="Q16" s="292">
        <f t="shared" si="1"/>
        <v>0</v>
      </c>
      <c r="R16" s="381"/>
      <c r="S16" s="381"/>
      <c r="T16" s="292">
        <f t="shared" si="3"/>
        <v>0</v>
      </c>
      <c r="U16" s="381"/>
      <c r="V16" s="381"/>
      <c r="W16" s="292">
        <f t="shared" si="4"/>
        <v>0</v>
      </c>
      <c r="X16" s="381"/>
      <c r="Y16" s="381"/>
      <c r="Z16" s="381"/>
      <c r="AA16" s="381"/>
      <c r="AB16" s="381"/>
      <c r="AC16" s="381"/>
      <c r="AD16" s="381"/>
      <c r="AE16" s="381"/>
      <c r="AF16" s="381"/>
      <c r="AG16" s="381"/>
      <c r="AH16" s="381"/>
      <c r="AI16" s="381"/>
      <c r="AJ16" s="381"/>
      <c r="AK16" s="381"/>
      <c r="AL16" s="292">
        <f t="shared" si="2"/>
        <v>0</v>
      </c>
      <c r="AM16" s="381"/>
      <c r="AN16" s="381"/>
      <c r="AO16" s="381"/>
    </row>
    <row r="17" spans="2:41" ht="16.5" hidden="1">
      <c r="B17" s="89" t="s">
        <v>209</v>
      </c>
      <c r="C17" s="269" t="s">
        <v>697</v>
      </c>
      <c r="D17" s="263" t="s">
        <v>698</v>
      </c>
      <c r="E17" s="268">
        <v>43070</v>
      </c>
      <c r="F17" s="297">
        <v>70000</v>
      </c>
      <c r="G17" s="277" t="s">
        <v>367</v>
      </c>
      <c r="H17" s="297">
        <f>70000/1.06</f>
        <v>66037.735849056597</v>
      </c>
      <c r="I17" s="297">
        <v>0</v>
      </c>
      <c r="J17" s="149"/>
      <c r="K17" s="292">
        <f t="shared" si="5"/>
        <v>0</v>
      </c>
      <c r="L17" s="381" t="s">
        <v>812</v>
      </c>
      <c r="M17" s="381"/>
      <c r="N17" s="292">
        <f t="shared" si="0"/>
        <v>0</v>
      </c>
      <c r="O17" s="277" t="s">
        <v>856</v>
      </c>
      <c r="P17" s="381"/>
      <c r="Q17" s="292">
        <f t="shared" si="1"/>
        <v>0</v>
      </c>
      <c r="R17" s="381"/>
      <c r="S17" s="381"/>
      <c r="T17" s="292">
        <f t="shared" si="3"/>
        <v>0</v>
      </c>
      <c r="U17" s="381"/>
      <c r="V17" s="381"/>
      <c r="W17" s="292">
        <f t="shared" si="4"/>
        <v>0</v>
      </c>
      <c r="X17" s="381"/>
      <c r="Y17" s="381"/>
      <c r="Z17" s="381"/>
      <c r="AA17" s="381"/>
      <c r="AB17" s="381"/>
      <c r="AC17" s="381"/>
      <c r="AD17" s="381"/>
      <c r="AE17" s="381"/>
      <c r="AF17" s="381"/>
      <c r="AG17" s="381"/>
      <c r="AH17" s="381"/>
      <c r="AI17" s="381"/>
      <c r="AJ17" s="381"/>
      <c r="AK17" s="381"/>
      <c r="AL17" s="292">
        <f t="shared" si="2"/>
        <v>0</v>
      </c>
      <c r="AM17" s="381"/>
      <c r="AN17" s="381"/>
      <c r="AO17" s="381"/>
    </row>
    <row r="18" spans="2:41" ht="16.5" hidden="1">
      <c r="B18" s="89" t="s">
        <v>209</v>
      </c>
      <c r="C18" s="263" t="s">
        <v>133</v>
      </c>
      <c r="D18" s="263" t="s">
        <v>363</v>
      </c>
      <c r="E18" s="268">
        <v>43070</v>
      </c>
      <c r="F18" s="297">
        <v>165000</v>
      </c>
      <c r="G18" s="277" t="s">
        <v>367</v>
      </c>
      <c r="H18" s="297"/>
      <c r="I18" s="337">
        <f t="shared" ref="I18:I31" si="6">F18-H18</f>
        <v>165000</v>
      </c>
      <c r="J18" s="381"/>
      <c r="K18" s="292">
        <f t="shared" si="5"/>
        <v>165000</v>
      </c>
      <c r="L18" s="381" t="s">
        <v>812</v>
      </c>
      <c r="M18" s="381">
        <f>ROUND(132289/1.06,2)+5692.86</f>
        <v>130493.8</v>
      </c>
      <c r="N18" s="292">
        <f>K18-M18</f>
        <v>34506.199999999997</v>
      </c>
      <c r="O18" s="277" t="s">
        <v>856</v>
      </c>
      <c r="P18" s="381">
        <v>34506.199999999997</v>
      </c>
      <c r="Q18" s="292">
        <f t="shared" si="1"/>
        <v>0</v>
      </c>
      <c r="R18" s="381"/>
      <c r="S18" s="381"/>
      <c r="T18" s="292">
        <f t="shared" si="3"/>
        <v>0</v>
      </c>
      <c r="U18" s="381"/>
      <c r="V18" s="381"/>
      <c r="W18" s="292">
        <f t="shared" si="4"/>
        <v>0</v>
      </c>
      <c r="X18" s="381"/>
      <c r="Y18" s="381"/>
      <c r="Z18" s="381"/>
      <c r="AA18" s="381"/>
      <c r="AB18" s="381"/>
      <c r="AC18" s="381"/>
      <c r="AD18" s="381"/>
      <c r="AE18" s="381"/>
      <c r="AF18" s="381"/>
      <c r="AG18" s="381"/>
      <c r="AH18" s="381"/>
      <c r="AI18" s="381"/>
      <c r="AJ18" s="381"/>
      <c r="AK18" s="381"/>
      <c r="AL18" s="292">
        <f t="shared" si="2"/>
        <v>0</v>
      </c>
      <c r="AM18" s="381"/>
      <c r="AN18" s="381"/>
      <c r="AO18" s="381"/>
    </row>
    <row r="19" spans="2:41" ht="16.5" hidden="1">
      <c r="B19" s="89" t="s">
        <v>209</v>
      </c>
      <c r="C19" s="269" t="s">
        <v>700</v>
      </c>
      <c r="D19" s="263" t="s">
        <v>699</v>
      </c>
      <c r="E19" s="268">
        <v>43070</v>
      </c>
      <c r="F19" s="270">
        <v>1209.5999999999999</v>
      </c>
      <c r="G19" s="277" t="s">
        <v>367</v>
      </c>
      <c r="H19" s="270"/>
      <c r="I19" s="286">
        <f t="shared" si="6"/>
        <v>1209.5999999999999</v>
      </c>
      <c r="J19" s="381"/>
      <c r="K19" s="292">
        <f t="shared" si="5"/>
        <v>1209.5999999999999</v>
      </c>
      <c r="L19" s="381" t="s">
        <v>812</v>
      </c>
      <c r="M19" s="381"/>
      <c r="N19" s="292">
        <f t="shared" ref="N19:N31" si="7">K19-M19</f>
        <v>1209.5999999999999</v>
      </c>
      <c r="O19" s="277" t="s">
        <v>856</v>
      </c>
      <c r="P19" s="381">
        <v>1209.5999999999999</v>
      </c>
      <c r="Q19" s="292">
        <f t="shared" si="1"/>
        <v>0</v>
      </c>
      <c r="R19" s="381"/>
      <c r="S19" s="381"/>
      <c r="T19" s="292">
        <f t="shared" si="3"/>
        <v>0</v>
      </c>
      <c r="U19" s="381"/>
      <c r="V19" s="381"/>
      <c r="W19" s="292">
        <f t="shared" si="4"/>
        <v>0</v>
      </c>
      <c r="X19" s="381"/>
      <c r="Y19" s="381"/>
      <c r="Z19" s="381"/>
      <c r="AA19" s="381"/>
      <c r="AB19" s="381"/>
      <c r="AC19" s="381"/>
      <c r="AD19" s="381"/>
      <c r="AE19" s="381"/>
      <c r="AF19" s="381"/>
      <c r="AG19" s="381"/>
      <c r="AH19" s="381"/>
      <c r="AI19" s="381"/>
      <c r="AJ19" s="381"/>
      <c r="AK19" s="381"/>
      <c r="AL19" s="292">
        <f t="shared" si="2"/>
        <v>0</v>
      </c>
      <c r="AM19" s="381"/>
      <c r="AN19" s="381"/>
      <c r="AO19" s="381"/>
    </row>
    <row r="20" spans="2:41" ht="16.5" hidden="1">
      <c r="B20" s="89" t="s">
        <v>209</v>
      </c>
      <c r="C20" s="269" t="s">
        <v>701</v>
      </c>
      <c r="D20" s="263" t="s">
        <v>414</v>
      </c>
      <c r="E20" s="268">
        <v>43070</v>
      </c>
      <c r="F20" s="297">
        <v>9314.0300000000007</v>
      </c>
      <c r="G20" s="277" t="s">
        <v>367</v>
      </c>
      <c r="H20" s="297"/>
      <c r="I20" s="337">
        <f t="shared" si="6"/>
        <v>9314.0300000000007</v>
      </c>
      <c r="J20" s="381"/>
      <c r="K20" s="292">
        <f t="shared" si="5"/>
        <v>9314.0300000000007</v>
      </c>
      <c r="L20" s="381" t="s">
        <v>812</v>
      </c>
      <c r="M20" s="381"/>
      <c r="N20" s="292">
        <f t="shared" si="7"/>
        <v>9314.0300000000007</v>
      </c>
      <c r="O20" s="277" t="s">
        <v>856</v>
      </c>
      <c r="P20" s="381">
        <v>9314.0300000000007</v>
      </c>
      <c r="Q20" s="292">
        <f t="shared" si="1"/>
        <v>0</v>
      </c>
      <c r="R20" s="381"/>
      <c r="S20" s="381"/>
      <c r="T20" s="292">
        <f t="shared" si="3"/>
        <v>0</v>
      </c>
      <c r="U20" s="381"/>
      <c r="V20" s="381"/>
      <c r="W20" s="292">
        <f t="shared" si="4"/>
        <v>0</v>
      </c>
      <c r="X20" s="381"/>
      <c r="Y20" s="381"/>
      <c r="Z20" s="381"/>
      <c r="AA20" s="381"/>
      <c r="AB20" s="381"/>
      <c r="AC20" s="381"/>
      <c r="AD20" s="381"/>
      <c r="AE20" s="381"/>
      <c r="AF20" s="381"/>
      <c r="AG20" s="381"/>
      <c r="AH20" s="381"/>
      <c r="AI20" s="381"/>
      <c r="AJ20" s="381"/>
      <c r="AK20" s="381"/>
      <c r="AL20" s="292">
        <f t="shared" si="2"/>
        <v>0</v>
      </c>
      <c r="AM20" s="381"/>
      <c r="AN20" s="381"/>
      <c r="AO20" s="381"/>
    </row>
    <row r="21" spans="2:41" ht="16.5" hidden="1">
      <c r="B21" s="89" t="s">
        <v>209</v>
      </c>
      <c r="C21" s="269" t="s">
        <v>702</v>
      </c>
      <c r="D21" s="263" t="s">
        <v>713</v>
      </c>
      <c r="E21" s="268">
        <v>43070</v>
      </c>
      <c r="F21" s="270">
        <v>38325</v>
      </c>
      <c r="G21" s="277" t="s">
        <v>367</v>
      </c>
      <c r="H21" s="270"/>
      <c r="I21" s="286">
        <f t="shared" si="6"/>
        <v>38325</v>
      </c>
      <c r="J21" s="381"/>
      <c r="K21" s="292">
        <f t="shared" si="5"/>
        <v>38325</v>
      </c>
      <c r="L21" s="381" t="s">
        <v>812</v>
      </c>
      <c r="M21" s="381"/>
      <c r="N21" s="292">
        <f t="shared" si="7"/>
        <v>38325</v>
      </c>
      <c r="O21" s="277" t="s">
        <v>856</v>
      </c>
      <c r="P21" s="381">
        <v>38325</v>
      </c>
      <c r="Q21" s="292">
        <f t="shared" si="1"/>
        <v>0</v>
      </c>
      <c r="R21" s="381"/>
      <c r="S21" s="381"/>
      <c r="T21" s="292">
        <f t="shared" si="3"/>
        <v>0</v>
      </c>
      <c r="U21" s="381"/>
      <c r="V21" s="381"/>
      <c r="W21" s="292">
        <f t="shared" si="4"/>
        <v>0</v>
      </c>
      <c r="X21" s="381"/>
      <c r="Y21" s="381"/>
      <c r="Z21" s="381"/>
      <c r="AA21" s="381"/>
      <c r="AB21" s="381"/>
      <c r="AC21" s="381"/>
      <c r="AD21" s="381"/>
      <c r="AE21" s="381"/>
      <c r="AF21" s="381"/>
      <c r="AG21" s="381"/>
      <c r="AH21" s="381"/>
      <c r="AI21" s="381"/>
      <c r="AJ21" s="381"/>
      <c r="AK21" s="381"/>
      <c r="AL21" s="292">
        <f t="shared" si="2"/>
        <v>0</v>
      </c>
      <c r="AM21" s="381"/>
      <c r="AN21" s="381"/>
      <c r="AO21" s="381"/>
    </row>
    <row r="22" spans="2:41" ht="16.5" hidden="1">
      <c r="B22" s="89" t="s">
        <v>209</v>
      </c>
      <c r="C22" s="269" t="s">
        <v>704</v>
      </c>
      <c r="D22" s="263" t="s">
        <v>703</v>
      </c>
      <c r="E22" s="268">
        <v>43070</v>
      </c>
      <c r="F22" s="270">
        <v>35169.410000000003</v>
      </c>
      <c r="G22" s="277" t="s">
        <v>367</v>
      </c>
      <c r="H22" s="270"/>
      <c r="I22" s="286">
        <f t="shared" si="6"/>
        <v>35169.410000000003</v>
      </c>
      <c r="J22" s="381"/>
      <c r="K22" s="292">
        <f t="shared" si="5"/>
        <v>35169.410000000003</v>
      </c>
      <c r="L22" s="381" t="s">
        <v>812</v>
      </c>
      <c r="M22" s="381"/>
      <c r="N22" s="292">
        <f t="shared" si="7"/>
        <v>35169.410000000003</v>
      </c>
      <c r="O22" s="277" t="s">
        <v>856</v>
      </c>
      <c r="P22" s="381">
        <v>35169.410000000003</v>
      </c>
      <c r="Q22" s="292">
        <f t="shared" si="1"/>
        <v>0</v>
      </c>
      <c r="R22" s="381"/>
      <c r="S22" s="381"/>
      <c r="T22" s="292">
        <f t="shared" si="3"/>
        <v>0</v>
      </c>
      <c r="U22" s="381"/>
      <c r="V22" s="381"/>
      <c r="W22" s="292">
        <f t="shared" si="4"/>
        <v>0</v>
      </c>
      <c r="X22" s="381"/>
      <c r="Y22" s="381"/>
      <c r="Z22" s="381"/>
      <c r="AA22" s="381"/>
      <c r="AB22" s="381"/>
      <c r="AC22" s="381"/>
      <c r="AD22" s="381"/>
      <c r="AE22" s="381"/>
      <c r="AF22" s="381"/>
      <c r="AG22" s="381"/>
      <c r="AH22" s="381"/>
      <c r="AI22" s="381"/>
      <c r="AJ22" s="381"/>
      <c r="AK22" s="381"/>
      <c r="AL22" s="292">
        <f t="shared" si="2"/>
        <v>0</v>
      </c>
      <c r="AM22" s="381"/>
      <c r="AN22" s="381"/>
      <c r="AO22" s="381"/>
    </row>
    <row r="23" spans="2:41" ht="16.5" hidden="1">
      <c r="B23" s="89" t="s">
        <v>209</v>
      </c>
      <c r="C23" s="263" t="s">
        <v>187</v>
      </c>
      <c r="D23" s="263" t="s">
        <v>714</v>
      </c>
      <c r="E23" s="268">
        <v>43070</v>
      </c>
      <c r="F23" s="270">
        <v>6228.24</v>
      </c>
      <c r="G23" s="277" t="s">
        <v>367</v>
      </c>
      <c r="H23" s="270"/>
      <c r="I23" s="286">
        <f t="shared" si="6"/>
        <v>6228.24</v>
      </c>
      <c r="J23" s="381"/>
      <c r="K23" s="292">
        <f t="shared" si="5"/>
        <v>6228.24</v>
      </c>
      <c r="L23" s="381" t="s">
        <v>812</v>
      </c>
      <c r="M23" s="381"/>
      <c r="N23" s="292">
        <f t="shared" si="7"/>
        <v>6228.24</v>
      </c>
      <c r="O23" s="277" t="s">
        <v>856</v>
      </c>
      <c r="P23" s="381">
        <f>5700+199+329.24</f>
        <v>6228.24</v>
      </c>
      <c r="Q23" s="292">
        <f>N23-P23</f>
        <v>0</v>
      </c>
      <c r="R23" s="381"/>
      <c r="S23" s="381"/>
      <c r="T23" s="292">
        <f t="shared" si="3"/>
        <v>0</v>
      </c>
      <c r="U23" s="381"/>
      <c r="V23" s="381"/>
      <c r="W23" s="292">
        <f t="shared" si="4"/>
        <v>0</v>
      </c>
      <c r="X23" s="381"/>
      <c r="Y23" s="381"/>
      <c r="Z23" s="381"/>
      <c r="AA23" s="381"/>
      <c r="AB23" s="381"/>
      <c r="AC23" s="381"/>
      <c r="AD23" s="381"/>
      <c r="AE23" s="381"/>
      <c r="AF23" s="381"/>
      <c r="AG23" s="381"/>
      <c r="AH23" s="381"/>
      <c r="AI23" s="381"/>
      <c r="AJ23" s="381"/>
      <c r="AK23" s="381"/>
      <c r="AL23" s="292">
        <f t="shared" si="2"/>
        <v>0</v>
      </c>
      <c r="AM23" s="381"/>
      <c r="AN23" s="381"/>
      <c r="AO23" s="381"/>
    </row>
    <row r="24" spans="2:41" ht="16.5" hidden="1">
      <c r="B24" s="89" t="s">
        <v>209</v>
      </c>
      <c r="C24" s="263" t="s">
        <v>193</v>
      </c>
      <c r="D24" s="263" t="s">
        <v>715</v>
      </c>
      <c r="E24" s="268">
        <v>43070</v>
      </c>
      <c r="F24" s="297">
        <v>500000</v>
      </c>
      <c r="G24" s="277" t="s">
        <v>367</v>
      </c>
      <c r="H24" s="297"/>
      <c r="I24" s="337">
        <f t="shared" si="6"/>
        <v>500000</v>
      </c>
      <c r="J24" s="381">
        <f>ROUND(469350/1.06,2)</f>
        <v>442783.02</v>
      </c>
      <c r="K24" s="292">
        <f t="shared" si="5"/>
        <v>57216.979999999981</v>
      </c>
      <c r="L24" s="381" t="s">
        <v>812</v>
      </c>
      <c r="M24" s="381"/>
      <c r="N24" s="292">
        <f t="shared" si="7"/>
        <v>57216.979999999981</v>
      </c>
      <c r="O24" s="277" t="s">
        <v>856</v>
      </c>
      <c r="P24" s="381">
        <v>57216.98</v>
      </c>
      <c r="Q24" s="292">
        <f t="shared" ref="Q24:Q31" si="8">N24-P24</f>
        <v>0</v>
      </c>
      <c r="R24" s="381"/>
      <c r="S24" s="381"/>
      <c r="T24" s="292">
        <f t="shared" si="3"/>
        <v>0</v>
      </c>
      <c r="U24" s="381"/>
      <c r="V24" s="381"/>
      <c r="W24" s="292">
        <f t="shared" si="4"/>
        <v>0</v>
      </c>
      <c r="X24" s="381"/>
      <c r="Y24" s="381"/>
      <c r="Z24" s="381"/>
      <c r="AA24" s="381"/>
      <c r="AB24" s="381"/>
      <c r="AC24" s="381"/>
      <c r="AD24" s="381"/>
      <c r="AE24" s="381"/>
      <c r="AF24" s="381"/>
      <c r="AG24" s="381"/>
      <c r="AH24" s="381"/>
      <c r="AI24" s="381"/>
      <c r="AJ24" s="381"/>
      <c r="AK24" s="381"/>
      <c r="AL24" s="292">
        <f t="shared" si="2"/>
        <v>0</v>
      </c>
      <c r="AM24" s="381"/>
      <c r="AN24" s="381"/>
      <c r="AO24" s="381"/>
    </row>
    <row r="25" spans="2:41" ht="16.5" hidden="1">
      <c r="B25" s="89" t="s">
        <v>209</v>
      </c>
      <c r="C25" s="263" t="s">
        <v>199</v>
      </c>
      <c r="D25" s="263" t="s">
        <v>423</v>
      </c>
      <c r="E25" s="268">
        <v>43070</v>
      </c>
      <c r="F25" s="297">
        <v>11112.74</v>
      </c>
      <c r="G25" s="277" t="s">
        <v>367</v>
      </c>
      <c r="H25" s="297">
        <f>1950/1.06</f>
        <v>1839.6226415094338</v>
      </c>
      <c r="I25" s="337">
        <f t="shared" si="6"/>
        <v>9273.1173584905664</v>
      </c>
      <c r="J25" s="381"/>
      <c r="K25" s="292">
        <f t="shared" si="5"/>
        <v>9273.1173584905664</v>
      </c>
      <c r="L25" s="381" t="s">
        <v>812</v>
      </c>
      <c r="M25" s="381"/>
      <c r="N25" s="292">
        <f t="shared" si="7"/>
        <v>9273.1173584905664</v>
      </c>
      <c r="O25" s="277" t="s">
        <v>856</v>
      </c>
      <c r="P25" s="381">
        <v>9273.1200000000008</v>
      </c>
      <c r="Q25" s="292">
        <f t="shared" si="8"/>
        <v>-2.6415094343974488E-3</v>
      </c>
      <c r="R25" s="381"/>
      <c r="S25" s="381"/>
      <c r="T25" s="292">
        <f t="shared" si="3"/>
        <v>-2.6415094343974488E-3</v>
      </c>
      <c r="U25" s="381"/>
      <c r="V25" s="381"/>
      <c r="W25" s="292">
        <f t="shared" si="4"/>
        <v>-2.6415094343974488E-3</v>
      </c>
      <c r="X25" s="381"/>
      <c r="Y25" s="381"/>
      <c r="Z25" s="381"/>
      <c r="AA25" s="381"/>
      <c r="AB25" s="381"/>
      <c r="AC25" s="381"/>
      <c r="AD25" s="381"/>
      <c r="AE25" s="381"/>
      <c r="AF25" s="381"/>
      <c r="AG25" s="381"/>
      <c r="AH25" s="381"/>
      <c r="AI25" s="381"/>
      <c r="AJ25" s="381"/>
      <c r="AK25" s="381"/>
      <c r="AL25" s="292">
        <f t="shared" si="2"/>
        <v>0</v>
      </c>
      <c r="AM25" s="381"/>
      <c r="AN25" s="381"/>
      <c r="AO25" s="381"/>
    </row>
    <row r="26" spans="2:41" ht="16.5" hidden="1">
      <c r="B26" s="89" t="s">
        <v>209</v>
      </c>
      <c r="C26" s="263" t="s">
        <v>238</v>
      </c>
      <c r="D26" s="263" t="s">
        <v>418</v>
      </c>
      <c r="E26" s="261">
        <v>43070</v>
      </c>
      <c r="F26" s="384">
        <v>104267</v>
      </c>
      <c r="G26" s="277" t="s">
        <v>367</v>
      </c>
      <c r="H26" s="384"/>
      <c r="I26" s="337">
        <f t="shared" si="6"/>
        <v>104267</v>
      </c>
      <c r="J26" s="381"/>
      <c r="K26" s="292">
        <f t="shared" si="5"/>
        <v>104267</v>
      </c>
      <c r="L26" s="381" t="s">
        <v>812</v>
      </c>
      <c r="M26" s="381"/>
      <c r="N26" s="292">
        <f t="shared" si="7"/>
        <v>104267</v>
      </c>
      <c r="O26" s="277" t="s">
        <v>856</v>
      </c>
      <c r="P26" s="381">
        <f>(63250/1.06)+(541.92/1.06)+2132.5+12040</f>
        <v>74353.556603773584</v>
      </c>
      <c r="Q26" s="292">
        <f t="shared" si="8"/>
        <v>29913.443396226416</v>
      </c>
      <c r="R26" s="381" t="s">
        <v>840</v>
      </c>
      <c r="S26" s="381"/>
      <c r="T26" s="292">
        <f t="shared" si="3"/>
        <v>29913.443396226416</v>
      </c>
      <c r="U26" s="381" t="s">
        <v>913</v>
      </c>
      <c r="V26" s="323">
        <v>900</v>
      </c>
      <c r="W26" s="292">
        <f t="shared" si="4"/>
        <v>29013.443396226416</v>
      </c>
      <c r="X26" s="381" t="s">
        <v>962</v>
      </c>
      <c r="Y26" s="381"/>
      <c r="Z26" s="292">
        <f>W26-Y26</f>
        <v>29013.443396226416</v>
      </c>
      <c r="AA26" s="381" t="s">
        <v>1029</v>
      </c>
      <c r="AB26" s="381"/>
      <c r="AC26" s="292">
        <f>Z26-AB26</f>
        <v>29013.443396226416</v>
      </c>
      <c r="AD26" s="381" t="s">
        <v>856</v>
      </c>
      <c r="AE26" s="381"/>
      <c r="AF26" s="292">
        <f>AC26-AE26</f>
        <v>29013.443396226416</v>
      </c>
      <c r="AG26" s="381" t="s">
        <v>1170</v>
      </c>
      <c r="AH26" s="381"/>
      <c r="AI26" s="292">
        <f>AF26-AH26</f>
        <v>29013.443396226416</v>
      </c>
      <c r="AJ26" s="381" t="s">
        <v>1218</v>
      </c>
      <c r="AK26" s="381"/>
      <c r="AL26" s="292">
        <f t="shared" si="2"/>
        <v>29013.443396226416</v>
      </c>
      <c r="AM26" s="381"/>
      <c r="AN26" s="381">
        <v>29013.439999999999</v>
      </c>
      <c r="AO26" s="292">
        <f>AL26-AN26</f>
        <v>3.3962264169531409E-3</v>
      </c>
    </row>
    <row r="27" spans="2:41" ht="16.5" hidden="1">
      <c r="B27" s="89" t="s">
        <v>209</v>
      </c>
      <c r="C27" s="263" t="s">
        <v>580</v>
      </c>
      <c r="D27" s="263" t="s">
        <v>705</v>
      </c>
      <c r="E27" s="261">
        <v>43070</v>
      </c>
      <c r="F27" s="262">
        <v>10952.76</v>
      </c>
      <c r="G27" s="277" t="s">
        <v>367</v>
      </c>
      <c r="H27" s="262"/>
      <c r="I27" s="286">
        <f t="shared" si="6"/>
        <v>10952.76</v>
      </c>
      <c r="J27" s="381"/>
      <c r="K27" s="292">
        <f t="shared" si="5"/>
        <v>10952.76</v>
      </c>
      <c r="L27" s="381" t="s">
        <v>812</v>
      </c>
      <c r="M27" s="381"/>
      <c r="N27" s="292">
        <f t="shared" si="7"/>
        <v>10952.76</v>
      </c>
      <c r="O27" s="277" t="s">
        <v>856</v>
      </c>
      <c r="P27" s="381">
        <v>10952.76</v>
      </c>
      <c r="Q27" s="292">
        <f t="shared" si="8"/>
        <v>0</v>
      </c>
      <c r="R27" s="381"/>
      <c r="S27" s="381"/>
      <c r="T27" s="292">
        <f t="shared" si="3"/>
        <v>0</v>
      </c>
      <c r="U27" s="381"/>
      <c r="V27" s="381"/>
      <c r="W27" s="292">
        <f t="shared" si="4"/>
        <v>0</v>
      </c>
      <c r="X27" s="381"/>
      <c r="Y27" s="381"/>
      <c r="Z27" s="381"/>
      <c r="AA27" s="381"/>
      <c r="AB27" s="381"/>
      <c r="AC27" s="381"/>
      <c r="AD27" s="381"/>
      <c r="AE27" s="381"/>
      <c r="AF27" s="381"/>
      <c r="AG27" s="381"/>
      <c r="AH27" s="381"/>
      <c r="AI27" s="292">
        <f t="shared" ref="AI27:AI31" si="9">AF27-AH27</f>
        <v>0</v>
      </c>
      <c r="AJ27" s="381" t="s">
        <v>1218</v>
      </c>
      <c r="AK27" s="381"/>
      <c r="AL27" s="292">
        <f t="shared" si="2"/>
        <v>0</v>
      </c>
      <c r="AM27" s="381"/>
      <c r="AN27" s="381"/>
      <c r="AO27" s="381"/>
    </row>
    <row r="28" spans="2:41" ht="16.5" hidden="1">
      <c r="B28" s="89" t="s">
        <v>209</v>
      </c>
      <c r="C28" s="263" t="s">
        <v>582</v>
      </c>
      <c r="D28" s="263" t="s">
        <v>706</v>
      </c>
      <c r="E28" s="261">
        <v>43070</v>
      </c>
      <c r="F28" s="262">
        <v>16479.38</v>
      </c>
      <c r="G28" s="277" t="s">
        <v>367</v>
      </c>
      <c r="H28" s="262"/>
      <c r="I28" s="286">
        <f t="shared" si="6"/>
        <v>16479.38</v>
      </c>
      <c r="J28" s="381"/>
      <c r="K28" s="292">
        <f t="shared" si="5"/>
        <v>16479.38</v>
      </c>
      <c r="L28" s="381" t="s">
        <v>812</v>
      </c>
      <c r="M28" s="381"/>
      <c r="N28" s="292">
        <f t="shared" si="7"/>
        <v>16479.38</v>
      </c>
      <c r="O28" s="277" t="s">
        <v>856</v>
      </c>
      <c r="P28" s="381">
        <v>16479.38</v>
      </c>
      <c r="Q28" s="292">
        <f t="shared" si="8"/>
        <v>0</v>
      </c>
      <c r="R28" s="381"/>
      <c r="S28" s="381"/>
      <c r="T28" s="292">
        <f t="shared" si="3"/>
        <v>0</v>
      </c>
      <c r="U28" s="381"/>
      <c r="V28" s="381"/>
      <c r="W28" s="292">
        <f t="shared" si="4"/>
        <v>0</v>
      </c>
      <c r="X28" s="381"/>
      <c r="Y28" s="381"/>
      <c r="Z28" s="381"/>
      <c r="AA28" s="381"/>
      <c r="AB28" s="381"/>
      <c r="AC28" s="381"/>
      <c r="AD28" s="381"/>
      <c r="AE28" s="381"/>
      <c r="AF28" s="381"/>
      <c r="AG28" s="381"/>
      <c r="AH28" s="381"/>
      <c r="AI28" s="292">
        <f t="shared" si="9"/>
        <v>0</v>
      </c>
      <c r="AJ28" s="381" t="s">
        <v>1218</v>
      </c>
      <c r="AK28" s="381"/>
      <c r="AL28" s="292">
        <f t="shared" si="2"/>
        <v>0</v>
      </c>
      <c r="AM28" s="381"/>
      <c r="AN28" s="381"/>
      <c r="AO28" s="381"/>
    </row>
    <row r="29" spans="2:41" ht="16.5" hidden="1">
      <c r="B29" s="89" t="s">
        <v>209</v>
      </c>
      <c r="C29" s="266" t="s">
        <v>707</v>
      </c>
      <c r="D29" s="263" t="s">
        <v>716</v>
      </c>
      <c r="E29" s="261">
        <v>43070</v>
      </c>
      <c r="F29" s="384">
        <v>3000</v>
      </c>
      <c r="G29" s="277" t="s">
        <v>367</v>
      </c>
      <c r="H29" s="384">
        <v>3000</v>
      </c>
      <c r="I29" s="384">
        <f t="shared" si="6"/>
        <v>0</v>
      </c>
      <c r="J29" s="381"/>
      <c r="K29" s="292">
        <f t="shared" si="5"/>
        <v>0</v>
      </c>
      <c r="L29" s="381" t="s">
        <v>812</v>
      </c>
      <c r="M29" s="381"/>
      <c r="N29" s="292">
        <f t="shared" si="7"/>
        <v>0</v>
      </c>
      <c r="O29" s="277" t="s">
        <v>856</v>
      </c>
      <c r="P29" s="381"/>
      <c r="Q29" s="292">
        <f t="shared" si="8"/>
        <v>0</v>
      </c>
      <c r="R29" s="381"/>
      <c r="S29" s="381"/>
      <c r="T29" s="292">
        <f t="shared" si="3"/>
        <v>0</v>
      </c>
      <c r="U29" s="381"/>
      <c r="V29" s="381"/>
      <c r="W29" s="292">
        <f t="shared" si="4"/>
        <v>0</v>
      </c>
      <c r="X29" s="381"/>
      <c r="Y29" s="381"/>
      <c r="Z29" s="381"/>
      <c r="AA29" s="381"/>
      <c r="AB29" s="381"/>
      <c r="AC29" s="381"/>
      <c r="AD29" s="381"/>
      <c r="AE29" s="381"/>
      <c r="AF29" s="381"/>
      <c r="AG29" s="381"/>
      <c r="AH29" s="381"/>
      <c r="AI29" s="292">
        <f t="shared" si="9"/>
        <v>0</v>
      </c>
      <c r="AJ29" s="381" t="s">
        <v>1218</v>
      </c>
      <c r="AK29" s="381"/>
      <c r="AL29" s="292">
        <f t="shared" si="2"/>
        <v>0</v>
      </c>
      <c r="AM29" s="381"/>
      <c r="AN29" s="381"/>
      <c r="AO29" s="381"/>
    </row>
    <row r="30" spans="2:41" ht="16.5">
      <c r="B30" s="89" t="s">
        <v>209</v>
      </c>
      <c r="C30" s="266" t="s">
        <v>708</v>
      </c>
      <c r="D30" s="263" t="s">
        <v>717</v>
      </c>
      <c r="E30" s="261">
        <v>43070</v>
      </c>
      <c r="F30" s="384">
        <v>1188679.25</v>
      </c>
      <c r="G30" s="277" t="s">
        <v>367</v>
      </c>
      <c r="H30" s="384"/>
      <c r="I30" s="337">
        <f t="shared" si="6"/>
        <v>1188679.25</v>
      </c>
      <c r="J30" s="381">
        <v>0</v>
      </c>
      <c r="K30" s="292">
        <f t="shared" si="5"/>
        <v>1188679.25</v>
      </c>
      <c r="L30" s="381" t="s">
        <v>812</v>
      </c>
      <c r="M30" s="381"/>
      <c r="N30" s="292">
        <f t="shared" si="7"/>
        <v>1188679.25</v>
      </c>
      <c r="O30" s="277" t="s">
        <v>856</v>
      </c>
      <c r="P30" s="381"/>
      <c r="Q30" s="292">
        <f t="shared" si="8"/>
        <v>1188679.25</v>
      </c>
      <c r="R30" s="381" t="s">
        <v>840</v>
      </c>
      <c r="S30" s="381"/>
      <c r="T30" s="292">
        <f t="shared" si="3"/>
        <v>1188679.25</v>
      </c>
      <c r="U30" s="381" t="s">
        <v>913</v>
      </c>
      <c r="V30" s="381"/>
      <c r="W30" s="292">
        <f t="shared" si="4"/>
        <v>1188679.25</v>
      </c>
      <c r="X30" s="381" t="s">
        <v>962</v>
      </c>
      <c r="Y30" s="381"/>
      <c r="Z30" s="292">
        <f>W30-Y30</f>
        <v>1188679.25</v>
      </c>
      <c r="AA30" s="381" t="s">
        <v>1029</v>
      </c>
      <c r="AB30" s="381"/>
      <c r="AC30" s="292">
        <f>Z30-AB30</f>
        <v>1188679.25</v>
      </c>
      <c r="AD30" s="381" t="s">
        <v>856</v>
      </c>
      <c r="AE30" s="381"/>
      <c r="AF30" s="292">
        <f>AC30-AE30</f>
        <v>1188679.25</v>
      </c>
      <c r="AG30" s="381" t="s">
        <v>1170</v>
      </c>
      <c r="AH30" s="381"/>
      <c r="AI30" s="292">
        <f>AF30-AH30</f>
        <v>1188679.25</v>
      </c>
      <c r="AJ30" s="381" t="s">
        <v>1218</v>
      </c>
      <c r="AK30" s="384">
        <f>11000/1.06+7634.18+118820.3+24938/1.06+101564/1.06</f>
        <v>256173.34792452829</v>
      </c>
      <c r="AL30" s="292">
        <f>AI30-AK30</f>
        <v>932505.90207547171</v>
      </c>
      <c r="AM30" s="381"/>
      <c r="AN30" s="292">
        <v>0</v>
      </c>
      <c r="AO30" s="292">
        <f>AL30-AN30</f>
        <v>932505.90207547171</v>
      </c>
    </row>
    <row r="31" spans="2:41" ht="16.5" hidden="1">
      <c r="B31" s="89" t="s">
        <v>209</v>
      </c>
      <c r="C31" s="263" t="s">
        <v>710</v>
      </c>
      <c r="D31" s="263" t="s">
        <v>709</v>
      </c>
      <c r="E31" s="261">
        <v>43070</v>
      </c>
      <c r="F31" s="384">
        <v>10000</v>
      </c>
      <c r="G31" s="277" t="s">
        <v>367</v>
      </c>
      <c r="H31" s="384"/>
      <c r="I31" s="337">
        <f t="shared" si="6"/>
        <v>10000</v>
      </c>
      <c r="J31" s="381"/>
      <c r="K31" s="292">
        <f t="shared" si="5"/>
        <v>10000</v>
      </c>
      <c r="L31" s="381" t="s">
        <v>812</v>
      </c>
      <c r="M31" s="381"/>
      <c r="N31" s="292">
        <f t="shared" si="7"/>
        <v>10000</v>
      </c>
      <c r="O31" s="277" t="s">
        <v>856</v>
      </c>
      <c r="P31" s="381">
        <v>10000</v>
      </c>
      <c r="Q31" s="292">
        <f t="shared" si="8"/>
        <v>0</v>
      </c>
      <c r="R31" s="381"/>
      <c r="S31" s="381"/>
      <c r="T31" s="292">
        <f t="shared" si="3"/>
        <v>0</v>
      </c>
      <c r="U31" s="381"/>
      <c r="V31" s="381"/>
      <c r="W31" s="292">
        <f t="shared" si="4"/>
        <v>0</v>
      </c>
      <c r="X31" s="381"/>
      <c r="Y31" s="381"/>
      <c r="Z31" s="381"/>
      <c r="AA31" s="381"/>
      <c r="AB31" s="381"/>
      <c r="AC31" s="381"/>
      <c r="AD31" s="381"/>
      <c r="AE31" s="381"/>
      <c r="AF31" s="381"/>
      <c r="AG31" s="381"/>
      <c r="AH31" s="381"/>
      <c r="AI31" s="292">
        <f t="shared" si="9"/>
        <v>0</v>
      </c>
      <c r="AJ31" s="381" t="s">
        <v>1218</v>
      </c>
      <c r="AK31" s="381"/>
      <c r="AL31" s="292">
        <f t="shared" si="2"/>
        <v>0</v>
      </c>
      <c r="AM31" s="381"/>
      <c r="AN31" s="381"/>
      <c r="AO31" s="381"/>
    </row>
    <row r="32" spans="2:41">
      <c r="B32" s="397"/>
      <c r="C32" s="397"/>
      <c r="D32" s="397"/>
      <c r="E32" s="397"/>
      <c r="F32" s="397">
        <f>SUM(F9:F31)</f>
        <v>3159639.33</v>
      </c>
      <c r="G32" s="398"/>
      <c r="H32" s="397"/>
      <c r="I32" s="399">
        <f>SUM(I9:I31)</f>
        <v>2840299.7073584907</v>
      </c>
      <c r="J32" s="397"/>
      <c r="K32" s="399">
        <f>SUM(K9:K31)</f>
        <v>1978941.3173584905</v>
      </c>
      <c r="L32" s="397"/>
      <c r="M32" s="399">
        <f>SUM(M9:M31)</f>
        <v>130493.8</v>
      </c>
      <c r="N32" s="399">
        <f>SUM(N9:N31)</f>
        <v>1848447.5173584907</v>
      </c>
      <c r="O32" s="400">
        <f>SUM(O9:O31)</f>
        <v>0</v>
      </c>
      <c r="P32" s="399">
        <f>SUM(P9:P31)</f>
        <v>629854.82660377363</v>
      </c>
      <c r="Q32" s="399">
        <f>SUM(Q9:Q31)</f>
        <v>1218592.690754717</v>
      </c>
      <c r="R32" s="399"/>
      <c r="S32" s="399"/>
      <c r="T32" s="399">
        <f>SUM(T9:T31)</f>
        <v>1218592.690754717</v>
      </c>
      <c r="U32" s="399"/>
      <c r="V32" s="399"/>
      <c r="W32" s="399">
        <f>SUM(W9:W31)</f>
        <v>1217692.690754717</v>
      </c>
      <c r="X32" s="399"/>
      <c r="Y32" s="399"/>
      <c r="Z32" s="399">
        <f>SUM(Z9:Z31)</f>
        <v>1217692.6933962265</v>
      </c>
      <c r="AA32" s="399"/>
      <c r="AB32" s="399"/>
      <c r="AC32" s="399">
        <f>SUM(AC9:AC31)</f>
        <v>1217692.6933962265</v>
      </c>
      <c r="AE32" s="397"/>
      <c r="AF32" s="397">
        <f>SUM(AF9:AF31)</f>
        <v>1217692.6933962265</v>
      </c>
      <c r="AG32" s="397" t="s">
        <v>1170</v>
      </c>
      <c r="AH32" s="397"/>
      <c r="AI32" s="397">
        <f>SUM(AI9:AI31)</f>
        <v>1217692.6933962265</v>
      </c>
      <c r="AJ32" s="397" t="s">
        <v>1218</v>
      </c>
      <c r="AK32" s="397">
        <f>SUM(AK9:AK31)</f>
        <v>256173.34792452829</v>
      </c>
      <c r="AL32" s="397">
        <f>SUM(AL9:AL31)</f>
        <v>961519.34547169809</v>
      </c>
      <c r="AM32" s="397">
        <f t="shared" ref="AM32:AO32" si="10">SUM(AM9:AM31)</f>
        <v>0</v>
      </c>
      <c r="AN32" s="397">
        <f t="shared" si="10"/>
        <v>29013.439999999999</v>
      </c>
      <c r="AO32" s="397">
        <f t="shared" si="10"/>
        <v>932505.90547169815</v>
      </c>
    </row>
    <row r="33" spans="1:41" ht="33">
      <c r="A33" s="275"/>
      <c r="B33" s="273" t="s">
        <v>687</v>
      </c>
      <c r="C33" s="273" t="s">
        <v>689</v>
      </c>
      <c r="D33" s="273" t="s">
        <v>688</v>
      </c>
      <c r="E33" s="273" t="s">
        <v>690</v>
      </c>
      <c r="F33" s="274" t="s">
        <v>722</v>
      </c>
      <c r="G33" s="276" t="s">
        <v>561</v>
      </c>
      <c r="H33" s="274" t="s">
        <v>712</v>
      </c>
      <c r="I33" s="274" t="s">
        <v>711</v>
      </c>
      <c r="J33" s="274" t="s">
        <v>726</v>
      </c>
      <c r="K33" s="274" t="s">
        <v>727</v>
      </c>
      <c r="L33" s="276" t="s">
        <v>811</v>
      </c>
      <c r="M33" s="274" t="s">
        <v>850</v>
      </c>
      <c r="N33" s="274" t="s">
        <v>851</v>
      </c>
      <c r="O33" s="276" t="s">
        <v>849</v>
      </c>
      <c r="P33" s="274" t="s">
        <v>885</v>
      </c>
      <c r="Q33" s="274" t="s">
        <v>886</v>
      </c>
      <c r="R33" s="274" t="s">
        <v>890</v>
      </c>
      <c r="S33" s="274" t="s">
        <v>910</v>
      </c>
      <c r="T33" s="274" t="s">
        <v>909</v>
      </c>
      <c r="U33" s="274" t="s">
        <v>890</v>
      </c>
      <c r="V33" s="273" t="s">
        <v>943</v>
      </c>
      <c r="W33" s="273" t="s">
        <v>944</v>
      </c>
      <c r="X33" s="274" t="s">
        <v>890</v>
      </c>
      <c r="Y33" s="273" t="s">
        <v>958</v>
      </c>
      <c r="Z33" s="273" t="s">
        <v>1028</v>
      </c>
      <c r="AA33" s="274" t="s">
        <v>890</v>
      </c>
      <c r="AB33" s="273" t="s">
        <v>1011</v>
      </c>
      <c r="AC33" s="273" t="s">
        <v>1066</v>
      </c>
      <c r="AD33" s="274" t="s">
        <v>890</v>
      </c>
      <c r="AE33" s="273" t="s">
        <v>1168</v>
      </c>
      <c r="AF33" s="273" t="s">
        <v>1169</v>
      </c>
      <c r="AG33" s="274" t="s">
        <v>890</v>
      </c>
      <c r="AH33" s="273" t="s">
        <v>1216</v>
      </c>
      <c r="AI33" s="273" t="s">
        <v>1217</v>
      </c>
      <c r="AJ33" s="274" t="s">
        <v>890</v>
      </c>
      <c r="AK33" s="273" t="s">
        <v>1263</v>
      </c>
      <c r="AL33" s="273" t="s">
        <v>1264</v>
      </c>
      <c r="AM33" s="274" t="s">
        <v>890</v>
      </c>
      <c r="AN33" s="273" t="s">
        <v>1300</v>
      </c>
      <c r="AO33" s="273" t="s">
        <v>1299</v>
      </c>
    </row>
    <row r="34" spans="1:41" ht="16.5">
      <c r="B34" s="259" t="s">
        <v>755</v>
      </c>
      <c r="C34" s="289" t="s">
        <v>842</v>
      </c>
      <c r="D34" s="290" t="s">
        <v>839</v>
      </c>
      <c r="E34" s="261">
        <v>43070</v>
      </c>
      <c r="F34" s="279">
        <v>316978.90000000002</v>
      </c>
      <c r="G34" s="277"/>
      <c r="H34" s="135"/>
      <c r="I34" s="132">
        <f>F34</f>
        <v>316978.90000000002</v>
      </c>
      <c r="K34" s="287">
        <f>I34</f>
        <v>316978.90000000002</v>
      </c>
      <c r="L34" t="s">
        <v>840</v>
      </c>
      <c r="N34" s="206">
        <f>K34-M34</f>
        <v>316978.90000000002</v>
      </c>
      <c r="O34" s="14" t="s">
        <v>812</v>
      </c>
      <c r="Q34" s="292">
        <f>N34</f>
        <v>316978.90000000002</v>
      </c>
      <c r="R34" s="135" t="s">
        <v>856</v>
      </c>
      <c r="S34" s="135"/>
      <c r="T34" s="292">
        <f>Q34-S34</f>
        <v>316978.90000000002</v>
      </c>
      <c r="U34" s="135"/>
      <c r="W34" s="206">
        <f>T34-V34</f>
        <v>316978.90000000002</v>
      </c>
      <c r="X34" s="135" t="s">
        <v>892</v>
      </c>
      <c r="Z34">
        <f>W34-Y34</f>
        <v>316978.90000000002</v>
      </c>
      <c r="AA34" t="s">
        <v>1030</v>
      </c>
      <c r="AC34" s="132">
        <f>Z34-AB34</f>
        <v>316978.90000000002</v>
      </c>
      <c r="AD34" t="s">
        <v>891</v>
      </c>
      <c r="AF34" s="206">
        <f>AC34-AE34</f>
        <v>316978.90000000002</v>
      </c>
      <c r="AG34" s="363" t="s">
        <v>1173</v>
      </c>
      <c r="AI34" s="206">
        <f>AF34-AH34</f>
        <v>316978.90000000002</v>
      </c>
      <c r="AJ34" s="363" t="s">
        <v>1219</v>
      </c>
      <c r="AK34" s="206"/>
      <c r="AL34" s="206">
        <f>AI34-AK34</f>
        <v>316978.90000000002</v>
      </c>
      <c r="AO34" s="206">
        <f>AL34-AN34</f>
        <v>316978.90000000002</v>
      </c>
    </row>
    <row r="35" spans="1:41" ht="16.5" hidden="1">
      <c r="B35" s="259" t="s">
        <v>755</v>
      </c>
      <c r="C35" s="289" t="s">
        <v>843</v>
      </c>
      <c r="D35" s="290" t="s">
        <v>841</v>
      </c>
      <c r="E35" s="261">
        <v>43070</v>
      </c>
      <c r="F35" s="265">
        <v>682704.63</v>
      </c>
      <c r="G35" s="277"/>
      <c r="H35" s="265"/>
      <c r="I35" s="132">
        <f>F35</f>
        <v>682704.63</v>
      </c>
      <c r="K35" s="287">
        <f>I35</f>
        <v>682704.63</v>
      </c>
      <c r="L35" t="s">
        <v>844</v>
      </c>
      <c r="N35" s="206">
        <f>K35-M35</f>
        <v>682704.63</v>
      </c>
      <c r="O35" s="14" t="s">
        <v>840</v>
      </c>
      <c r="Q35" s="292">
        <f>N35</f>
        <v>682704.63</v>
      </c>
      <c r="R35" s="135" t="s">
        <v>891</v>
      </c>
      <c r="S35" s="135"/>
      <c r="T35" s="292">
        <f>Q35-S35</f>
        <v>682704.63</v>
      </c>
      <c r="U35" s="135"/>
      <c r="W35" s="206">
        <f>T35-V35</f>
        <v>682704.63</v>
      </c>
      <c r="X35" s="135" t="s">
        <v>840</v>
      </c>
      <c r="Z35" s="132">
        <f>W35-Y35</f>
        <v>682704.63</v>
      </c>
      <c r="AA35" t="s">
        <v>1031</v>
      </c>
      <c r="AC35" s="132">
        <f>Z35-AB35</f>
        <v>682704.63</v>
      </c>
      <c r="AD35" t="s">
        <v>892</v>
      </c>
      <c r="AF35" s="206">
        <f t="shared" ref="AF35:AF36" si="11">AC35-AE35</f>
        <v>682704.63</v>
      </c>
      <c r="AG35" s="361" t="s">
        <v>1171</v>
      </c>
      <c r="AI35" s="206">
        <f t="shared" ref="AI35:AI36" si="12">AF35-AH35</f>
        <v>682704.63</v>
      </c>
      <c r="AJ35" s="363" t="s">
        <v>1220</v>
      </c>
      <c r="AK35">
        <v>682704.63</v>
      </c>
      <c r="AL35" s="206">
        <f>AI35-AK35</f>
        <v>0</v>
      </c>
      <c r="AO35" s="206">
        <f t="shared" ref="AO35:AO36" si="13">AL35-AN35</f>
        <v>0</v>
      </c>
    </row>
    <row r="36" spans="1:41" ht="16.5" hidden="1">
      <c r="B36" s="259" t="s">
        <v>755</v>
      </c>
      <c r="C36" s="289" t="s">
        <v>843</v>
      </c>
      <c r="D36" s="290" t="s">
        <v>841</v>
      </c>
      <c r="E36" s="261">
        <v>43070</v>
      </c>
      <c r="F36" s="265">
        <v>115833</v>
      </c>
      <c r="G36" s="277"/>
      <c r="H36" s="265"/>
      <c r="I36" s="132">
        <f>F36</f>
        <v>115833</v>
      </c>
      <c r="K36" s="287">
        <f>I36</f>
        <v>115833</v>
      </c>
      <c r="L36" t="s">
        <v>844</v>
      </c>
      <c r="N36" s="206">
        <f>K36-M36</f>
        <v>115833</v>
      </c>
      <c r="O36" s="14" t="s">
        <v>844</v>
      </c>
      <c r="Q36" s="292">
        <f>N36</f>
        <v>115833</v>
      </c>
      <c r="R36" s="135" t="s">
        <v>892</v>
      </c>
      <c r="S36" s="135"/>
      <c r="T36" s="292">
        <f>Q36-S36</f>
        <v>115833</v>
      </c>
      <c r="U36" s="135"/>
      <c r="W36" s="206">
        <f>T36-V36</f>
        <v>115833</v>
      </c>
      <c r="X36" s="135" t="s">
        <v>844</v>
      </c>
      <c r="Z36" s="132">
        <f>W36-Y36</f>
        <v>115833</v>
      </c>
      <c r="AA36" t="s">
        <v>1032</v>
      </c>
      <c r="AC36" s="132">
        <f>Z36-AB36</f>
        <v>115833</v>
      </c>
      <c r="AD36" t="s">
        <v>840</v>
      </c>
      <c r="AF36" s="206">
        <f t="shared" si="11"/>
        <v>115833</v>
      </c>
      <c r="AG36" s="363" t="s">
        <v>1172</v>
      </c>
      <c r="AI36" s="206">
        <f t="shared" si="12"/>
        <v>115833</v>
      </c>
      <c r="AJ36" s="363" t="s">
        <v>1221</v>
      </c>
      <c r="AK36">
        <v>115833</v>
      </c>
      <c r="AL36" s="206">
        <f>AI36-AK36</f>
        <v>0</v>
      </c>
      <c r="AO36" s="206">
        <f t="shared" si="13"/>
        <v>0</v>
      </c>
    </row>
    <row r="37" spans="1:41">
      <c r="B37" s="271"/>
      <c r="C37" s="271"/>
      <c r="D37" s="271"/>
      <c r="E37" s="271"/>
      <c r="F37" s="271"/>
      <c r="G37" s="278"/>
      <c r="H37" s="271"/>
      <c r="I37" s="284"/>
      <c r="J37" s="271"/>
      <c r="K37" s="284"/>
      <c r="L37" s="271"/>
      <c r="M37" s="284"/>
      <c r="N37" s="284"/>
      <c r="O37" s="285"/>
      <c r="P37" s="284"/>
      <c r="Q37" s="284">
        <f>SUM(Q34:Q36)</f>
        <v>1115516.53</v>
      </c>
      <c r="R37" s="284"/>
      <c r="S37" s="284"/>
      <c r="T37" s="284"/>
      <c r="U37" s="284"/>
      <c r="V37" s="284"/>
      <c r="W37" s="284">
        <f>SUM(W34:W36)</f>
        <v>1115516.53</v>
      </c>
      <c r="X37" s="284"/>
      <c r="Y37" s="284"/>
      <c r="Z37" s="284">
        <f>SUM(Z34:Z36)</f>
        <v>1115516.53</v>
      </c>
      <c r="AA37" s="284"/>
      <c r="AB37" s="284"/>
      <c r="AC37" s="284">
        <f>SUM(AC34:AC36)</f>
        <v>1115516.53</v>
      </c>
      <c r="AE37" s="382"/>
      <c r="AF37" s="382">
        <f>SUM(AF34:AF36)</f>
        <v>1115516.53</v>
      </c>
      <c r="AG37" s="382"/>
      <c r="AH37" s="382"/>
      <c r="AI37" s="382">
        <f>SUM(AI34:AI36)</f>
        <v>1115516.53</v>
      </c>
      <c r="AJ37" s="382"/>
      <c r="AK37" s="382">
        <f>SUM(AK34:AK36)</f>
        <v>798537.63</v>
      </c>
      <c r="AL37" s="382">
        <f>SUM(AL34:AL36)</f>
        <v>316978.90000000002</v>
      </c>
      <c r="AM37" s="382"/>
      <c r="AN37" s="382"/>
      <c r="AO37" s="382">
        <f>SUM(AO34:AO36)</f>
        <v>316978.90000000002</v>
      </c>
    </row>
    <row r="38" spans="1:41">
      <c r="Q38" s="206"/>
    </row>
    <row r="39" spans="1:41">
      <c r="Q39" s="206"/>
    </row>
    <row r="40" spans="1:41">
      <c r="P40" s="206"/>
    </row>
  </sheetData>
  <autoFilter ref="A8:AO37">
    <filterColumn colId="40">
      <filters>
        <filter val="¥316,978.90"/>
        <filter val="¥932,505.90"/>
        <filter val="12月剩余暂估"/>
        <filter val="316978.9"/>
        <filter val="932505.9055"/>
      </filters>
    </filterColumn>
  </autoFilter>
  <phoneticPr fontId="21" type="noConversion"/>
  <pageMargins left="0.7" right="0.7" top="0.75" bottom="0.75" header="0.3" footer="0.3"/>
  <pageSetup paperSize="9"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>
  <sheetPr>
    <tabColor rgb="FF00B0F0"/>
  </sheetPr>
  <dimension ref="B1:CF189"/>
  <sheetViews>
    <sheetView workbookViewId="0">
      <pane xSplit="7" ySplit="2" topLeftCell="BP3" activePane="bottomRight" state="frozen"/>
      <selection pane="topRight" activeCell="H1" sqref="H1"/>
      <selection pane="bottomLeft" activeCell="A3" sqref="A3"/>
      <selection pane="bottomRight" activeCell="E13" sqref="E13"/>
    </sheetView>
  </sheetViews>
  <sheetFormatPr defaultRowHeight="21.75" customHeight="1"/>
  <cols>
    <col min="1" max="1" width="3.28515625" customWidth="1"/>
    <col min="4" max="4" width="13.5703125" customWidth="1"/>
    <col min="5" max="5" width="36.140625" bestFit="1" customWidth="1"/>
    <col min="6" max="6" width="11.5703125" bestFit="1" customWidth="1"/>
    <col min="7" max="7" width="20.140625" style="506" customWidth="1"/>
    <col min="8" max="8" width="14" style="421" hidden="1" customWidth="1"/>
    <col min="9" max="10" width="13.28515625" style="421" hidden="1" customWidth="1"/>
    <col min="11" max="11" width="12.28515625" hidden="1" customWidth="1"/>
    <col min="12" max="12" width="13.28515625" hidden="1" customWidth="1"/>
    <col min="13" max="13" width="13.28515625" style="418" hidden="1" customWidth="1"/>
    <col min="14" max="14" width="17" hidden="1" customWidth="1"/>
    <col min="15" max="15" width="15.7109375" hidden="1" customWidth="1"/>
    <col min="16" max="16" width="9.140625" hidden="1" customWidth="1"/>
    <col min="17" max="17" width="12.28515625" hidden="1" customWidth="1"/>
    <col min="18" max="18" width="15.140625" hidden="1" customWidth="1"/>
    <col min="19" max="19" width="9.140625" hidden="1" customWidth="1"/>
    <col min="20" max="20" width="12.28515625" hidden="1" customWidth="1"/>
    <col min="21" max="21" width="15.140625" hidden="1" customWidth="1"/>
    <col min="22" max="22" width="9.140625" hidden="1" customWidth="1"/>
    <col min="23" max="23" width="12.28515625" hidden="1" customWidth="1"/>
    <col min="24" max="24" width="15.140625" hidden="1" customWidth="1"/>
    <col min="25" max="25" width="9.140625" hidden="1" customWidth="1"/>
    <col min="26" max="26" width="13.28515625" hidden="1" customWidth="1"/>
    <col min="27" max="27" width="15.140625" hidden="1" customWidth="1"/>
    <col min="28" max="28" width="9.140625" hidden="1" customWidth="1"/>
    <col min="29" max="29" width="12.28515625" hidden="1" customWidth="1"/>
    <col min="30" max="30" width="15.140625" hidden="1" customWidth="1"/>
    <col min="31" max="31" width="9.140625" hidden="1" customWidth="1"/>
    <col min="32" max="33" width="15.140625" hidden="1" customWidth="1"/>
    <col min="34" max="34" width="9.140625" hidden="1" customWidth="1"/>
    <col min="35" max="36" width="15.140625" hidden="1" customWidth="1"/>
    <col min="37" max="37" width="9.140625" hidden="1" customWidth="1"/>
    <col min="38" max="39" width="15.140625" hidden="1" customWidth="1"/>
    <col min="40" max="40" width="9.140625" hidden="1" customWidth="1"/>
    <col min="41" max="42" width="15.140625" hidden="1" customWidth="1"/>
    <col min="43" max="43" width="9.140625" hidden="1" customWidth="1"/>
    <col min="44" max="44" width="15.42578125" hidden="1" customWidth="1"/>
    <col min="45" max="45" width="16.28515625" hidden="1" customWidth="1"/>
    <col min="46" max="46" width="9.140625" hidden="1" customWidth="1"/>
    <col min="47" max="47" width="16.140625" hidden="1" customWidth="1"/>
    <col min="48" max="48" width="18.140625" hidden="1" customWidth="1"/>
    <col min="49" max="49" width="9.140625" hidden="1" customWidth="1"/>
    <col min="50" max="50" width="14" hidden="1" customWidth="1"/>
    <col min="51" max="51" width="15.140625" hidden="1" customWidth="1"/>
    <col min="52" max="52" width="9.140625" hidden="1" customWidth="1"/>
    <col min="53" max="53" width="17" hidden="1" customWidth="1"/>
    <col min="54" max="54" width="16" hidden="1" customWidth="1"/>
    <col min="55" max="55" width="9.140625" hidden="1" customWidth="1"/>
    <col min="56" max="56" width="13.140625" hidden="1" customWidth="1"/>
    <col min="57" max="57" width="15.140625" hidden="1" customWidth="1"/>
    <col min="58" max="58" width="0" hidden="1" customWidth="1"/>
    <col min="59" max="59" width="17" hidden="1" customWidth="1"/>
    <col min="60" max="60" width="15.140625" hidden="1" customWidth="1"/>
    <col min="61" max="61" width="0" hidden="1" customWidth="1"/>
    <col min="62" max="63" width="15.140625" hidden="1" customWidth="1"/>
    <col min="64" max="64" width="0" hidden="1" customWidth="1"/>
    <col min="65" max="65" width="12.28515625" hidden="1" customWidth="1"/>
    <col min="66" max="66" width="15.140625" hidden="1" customWidth="1"/>
    <col min="67" max="67" width="0" hidden="1" customWidth="1"/>
    <col min="68" max="68" width="13.28515625" style="418" bestFit="1" customWidth="1"/>
    <col min="69" max="69" width="15.140625" style="418" bestFit="1" customWidth="1"/>
    <col min="70" max="70" width="9.140625" style="418"/>
    <col min="71" max="72" width="15.140625" style="418" bestFit="1" customWidth="1"/>
    <col min="73" max="73" width="9.140625" style="418"/>
    <col min="74" max="75" width="15.140625" style="418" bestFit="1" customWidth="1"/>
    <col min="76" max="76" width="9.140625" style="418"/>
    <col min="77" max="77" width="13.28515625" style="418" bestFit="1" customWidth="1"/>
    <col min="78" max="78" width="15.140625" style="418" bestFit="1" customWidth="1"/>
    <col min="79" max="79" width="9.140625" style="418"/>
    <col min="82" max="82" width="9.28515625" bestFit="1" customWidth="1"/>
  </cols>
  <sheetData>
    <row r="1" spans="2:84" ht="21.75" customHeight="1">
      <c r="B1" s="107" t="s">
        <v>2322</v>
      </c>
      <c r="E1" s="12" t="s">
        <v>2323</v>
      </c>
    </row>
    <row r="2" spans="2:84" ht="21.75" customHeight="1">
      <c r="B2" s="556" t="s">
        <v>1367</v>
      </c>
      <c r="C2" s="557" t="s">
        <v>718</v>
      </c>
      <c r="D2" s="557" t="s">
        <v>719</v>
      </c>
      <c r="E2" s="557" t="s">
        <v>720</v>
      </c>
      <c r="F2" s="558" t="s">
        <v>721</v>
      </c>
      <c r="G2" s="559" t="s">
        <v>1299</v>
      </c>
      <c r="H2" s="560" t="s">
        <v>1357</v>
      </c>
      <c r="I2" s="560" t="s">
        <v>1358</v>
      </c>
      <c r="J2" s="560" t="s">
        <v>1366</v>
      </c>
      <c r="K2" s="560" t="s">
        <v>1360</v>
      </c>
      <c r="L2" s="560" t="s">
        <v>1361</v>
      </c>
      <c r="M2" s="560" t="s">
        <v>1366</v>
      </c>
      <c r="N2" s="560" t="s">
        <v>1443</v>
      </c>
      <c r="O2" s="560" t="s">
        <v>1444</v>
      </c>
      <c r="P2" s="560" t="s">
        <v>1366</v>
      </c>
      <c r="Q2" s="560" t="s">
        <v>1518</v>
      </c>
      <c r="R2" s="560" t="s">
        <v>1519</v>
      </c>
      <c r="S2" s="560" t="s">
        <v>1366</v>
      </c>
      <c r="T2" s="560" t="s">
        <v>1616</v>
      </c>
      <c r="U2" s="560" t="s">
        <v>1617</v>
      </c>
      <c r="V2" s="560" t="s">
        <v>1366</v>
      </c>
      <c r="W2" s="560" t="s">
        <v>1619</v>
      </c>
      <c r="X2" s="560" t="s">
        <v>1620</v>
      </c>
      <c r="Y2" s="560" t="s">
        <v>1366</v>
      </c>
      <c r="Z2" s="560" t="s">
        <v>1660</v>
      </c>
      <c r="AA2" s="560" t="s">
        <v>1659</v>
      </c>
      <c r="AB2" s="560" t="s">
        <v>1366</v>
      </c>
      <c r="AC2" s="560" t="s">
        <v>1686</v>
      </c>
      <c r="AD2" s="560" t="s">
        <v>1687</v>
      </c>
      <c r="AE2" s="560" t="s">
        <v>1366</v>
      </c>
      <c r="AF2" s="560" t="s">
        <v>1702</v>
      </c>
      <c r="AG2" s="560" t="s">
        <v>1703</v>
      </c>
      <c r="AH2" s="560" t="s">
        <v>1366</v>
      </c>
      <c r="AI2" s="560" t="s">
        <v>1164</v>
      </c>
      <c r="AJ2" s="560" t="s">
        <v>1701</v>
      </c>
      <c r="AK2" s="560" t="s">
        <v>1366</v>
      </c>
      <c r="AL2" s="560" t="s">
        <v>1700</v>
      </c>
      <c r="AM2" s="560" t="s">
        <v>1699</v>
      </c>
      <c r="AN2" s="560" t="s">
        <v>1366</v>
      </c>
      <c r="AO2" s="560" t="s">
        <v>551</v>
      </c>
      <c r="AP2" s="560" t="s">
        <v>1697</v>
      </c>
      <c r="AQ2" s="560" t="s">
        <v>1366</v>
      </c>
      <c r="AR2" s="560" t="s">
        <v>1357</v>
      </c>
      <c r="AS2" s="560" t="s">
        <v>1358</v>
      </c>
      <c r="AT2" s="560" t="s">
        <v>1366</v>
      </c>
      <c r="AU2" s="560" t="s">
        <v>2075</v>
      </c>
      <c r="AV2" s="560" t="s">
        <v>2076</v>
      </c>
      <c r="AW2" s="560" t="s">
        <v>1366</v>
      </c>
      <c r="AX2" s="560" t="s">
        <v>2077</v>
      </c>
      <c r="AY2" s="560" t="s">
        <v>2078</v>
      </c>
      <c r="AZ2" s="560" t="s">
        <v>1366</v>
      </c>
      <c r="BA2" s="560" t="s">
        <v>2138</v>
      </c>
      <c r="BB2" s="560" t="s">
        <v>1512</v>
      </c>
      <c r="BC2" s="560" t="s">
        <v>1366</v>
      </c>
      <c r="BD2" s="560" t="s">
        <v>1560</v>
      </c>
      <c r="BE2" s="560" t="s">
        <v>2235</v>
      </c>
      <c r="BF2" s="560" t="s">
        <v>1366</v>
      </c>
      <c r="BG2" s="560" t="s">
        <v>2236</v>
      </c>
      <c r="BH2" s="560" t="s">
        <v>1620</v>
      </c>
      <c r="BI2" s="560" t="s">
        <v>1366</v>
      </c>
      <c r="BJ2" s="230" t="s">
        <v>2313</v>
      </c>
      <c r="BK2" s="230" t="s">
        <v>2314</v>
      </c>
      <c r="BL2" s="230" t="s">
        <v>2315</v>
      </c>
      <c r="BM2" s="230" t="s">
        <v>2316</v>
      </c>
      <c r="BN2" s="230" t="s">
        <v>2317</v>
      </c>
      <c r="BO2" s="230" t="s">
        <v>2315</v>
      </c>
      <c r="BP2" s="230" t="s">
        <v>2358</v>
      </c>
      <c r="BQ2" s="230" t="s">
        <v>2359</v>
      </c>
      <c r="BR2" s="230" t="s">
        <v>2315</v>
      </c>
      <c r="BS2" s="230" t="s">
        <v>2369</v>
      </c>
      <c r="BT2" s="230" t="s">
        <v>2371</v>
      </c>
      <c r="BU2" s="230" t="s">
        <v>2315</v>
      </c>
      <c r="BV2" s="230" t="s">
        <v>2394</v>
      </c>
      <c r="BW2" s="230" t="s">
        <v>2395</v>
      </c>
      <c r="BX2" s="230" t="s">
        <v>2315</v>
      </c>
      <c r="BY2" s="230" t="s">
        <v>2409</v>
      </c>
      <c r="BZ2" s="230" t="s">
        <v>2410</v>
      </c>
      <c r="CA2" s="230" t="s">
        <v>2315</v>
      </c>
    </row>
    <row r="3" spans="2:84" ht="21.75" customHeight="1">
      <c r="B3" s="418" t="str">
        <f>LEFT(D3,6)</f>
        <v>CU0512</v>
      </c>
      <c r="C3" s="259" t="s">
        <v>744</v>
      </c>
      <c r="D3" s="317" t="s">
        <v>584</v>
      </c>
      <c r="E3" s="317" t="s">
        <v>748</v>
      </c>
      <c r="F3" s="330">
        <v>43101</v>
      </c>
      <c r="G3" s="502">
        <v>769.98999999999796</v>
      </c>
      <c r="I3" s="426">
        <f>G3-H3</f>
        <v>769.98999999999796</v>
      </c>
      <c r="J3" s="421" t="s">
        <v>1370</v>
      </c>
      <c r="L3" s="206">
        <f t="shared" ref="L3:L20" si="0">I3-K3</f>
        <v>769.98999999999796</v>
      </c>
      <c r="M3" s="206" t="s">
        <v>1445</v>
      </c>
      <c r="O3" s="206">
        <f>L3-N3</f>
        <v>769.98999999999796</v>
      </c>
      <c r="P3" s="418" t="s">
        <v>1520</v>
      </c>
      <c r="R3" s="206">
        <f>O3-Q3</f>
        <v>769.98999999999796</v>
      </c>
      <c r="S3" s="418" t="s">
        <v>1566</v>
      </c>
      <c r="U3" s="206">
        <f>R3-T3</f>
        <v>769.98999999999796</v>
      </c>
      <c r="V3" s="418" t="s">
        <v>1621</v>
      </c>
      <c r="X3" s="206">
        <f>U3-W3</f>
        <v>769.98999999999796</v>
      </c>
      <c r="Y3" s="418" t="s">
        <v>1661</v>
      </c>
      <c r="Z3">
        <f>ROUND(816.19/1.06,2)</f>
        <v>769.99</v>
      </c>
      <c r="AA3" s="206">
        <f>X3-Z3</f>
        <v>-2.0463630789890885E-12</v>
      </c>
      <c r="AB3" s="418" t="s">
        <v>1710</v>
      </c>
      <c r="AD3" s="206">
        <f>AA3-AC3</f>
        <v>-2.0463630789890885E-12</v>
      </c>
      <c r="AE3" s="418" t="s">
        <v>1744</v>
      </c>
      <c r="AG3" s="206">
        <f>AD3-AF3</f>
        <v>-2.0463630789890885E-12</v>
      </c>
      <c r="AH3" s="418" t="s">
        <v>1811</v>
      </c>
      <c r="AI3" s="418"/>
      <c r="AJ3" s="206">
        <f>AG3-AI3</f>
        <v>-2.0463630789890885E-12</v>
      </c>
      <c r="AM3" s="206">
        <f>AJ3-AL3</f>
        <v>-2.0463630789890885E-12</v>
      </c>
      <c r="AN3" s="418" t="s">
        <v>1907</v>
      </c>
      <c r="AP3" s="206">
        <f>AM3-AO3</f>
        <v>-2.0463630789890885E-12</v>
      </c>
      <c r="AQ3" s="418" t="s">
        <v>2008</v>
      </c>
      <c r="AS3" s="206">
        <f>AP3-AR3</f>
        <v>-2.0463630789890885E-12</v>
      </c>
      <c r="AV3" s="206">
        <f>AS3-AU3</f>
        <v>-2.0463630789890885E-12</v>
      </c>
      <c r="AY3" s="206">
        <f>AV3-AX3</f>
        <v>-2.0463630789890885E-12</v>
      </c>
      <c r="BB3" s="206">
        <f t="shared" ref="BB3:BB67" si="1">AY3-BA3</f>
        <v>-2.0463630789890885E-12</v>
      </c>
      <c r="BE3" s="206">
        <f>BB3-BD3</f>
        <v>-2.0463630789890885E-12</v>
      </c>
      <c r="BH3" s="206">
        <f>BE3-BG3</f>
        <v>-2.0463630789890885E-12</v>
      </c>
      <c r="BK3" s="206">
        <f>BH3-BJ3</f>
        <v>-2.0463630789890885E-12</v>
      </c>
      <c r="BN3" s="206">
        <f>BK3-BM3</f>
        <v>-2.0463630789890885E-12</v>
      </c>
      <c r="BQ3" s="206">
        <f>ROUND((BN3-BP3),2)</f>
        <v>0</v>
      </c>
      <c r="BT3" s="206">
        <f>ROUND((BQ3-BS3),2)</f>
        <v>0</v>
      </c>
      <c r="BW3" s="206">
        <f>ROUND((BT3-BV3),2)</f>
        <v>0</v>
      </c>
      <c r="BZ3" s="206">
        <f>ROUND((BW3-BY3),2)</f>
        <v>0</v>
      </c>
    </row>
    <row r="4" spans="2:84" ht="21.75" customHeight="1">
      <c r="B4" s="418" t="str">
        <f t="shared" ref="B4:B44" si="2">LEFT(D4,6)</f>
        <v>CU0411</v>
      </c>
      <c r="C4" s="259" t="s">
        <v>736</v>
      </c>
      <c r="D4" s="394" t="s">
        <v>117</v>
      </c>
      <c r="E4" s="394" t="s">
        <v>118</v>
      </c>
      <c r="F4" s="261">
        <v>43132</v>
      </c>
      <c r="G4" s="502">
        <v>492.85049999999995</v>
      </c>
      <c r="I4" s="426">
        <f t="shared" ref="I4:I35" si="3">G4-H4</f>
        <v>492.85049999999995</v>
      </c>
      <c r="J4" s="421" t="s">
        <v>1370</v>
      </c>
      <c r="L4" s="206">
        <f t="shared" si="0"/>
        <v>492.85049999999995</v>
      </c>
      <c r="M4" s="206" t="s">
        <v>1445</v>
      </c>
      <c r="O4" s="206">
        <f t="shared" ref="O4:O40" si="4">L4-N4</f>
        <v>492.85049999999995</v>
      </c>
      <c r="P4" s="418" t="s">
        <v>1520</v>
      </c>
      <c r="R4" s="206">
        <f t="shared" ref="R4:R44" si="5">O4-Q4</f>
        <v>492.85049999999995</v>
      </c>
      <c r="S4" s="418" t="s">
        <v>1566</v>
      </c>
      <c r="U4" s="206">
        <f t="shared" ref="U4:U60" si="6">R4-T4</f>
        <v>492.85049999999995</v>
      </c>
      <c r="V4" s="418" t="s">
        <v>1621</v>
      </c>
      <c r="X4" s="206">
        <f t="shared" ref="X4:X53" si="7">U4-W4</f>
        <v>492.85049999999995</v>
      </c>
      <c r="Y4" s="418" t="s">
        <v>1661</v>
      </c>
      <c r="Z4">
        <f>ROUND(522.42/1.06,2)</f>
        <v>492.85</v>
      </c>
      <c r="AA4" s="206">
        <f t="shared" ref="AA4:AA60" si="8">X4-Z4</f>
        <v>4.9999999993133315E-4</v>
      </c>
      <c r="AB4" s="418" t="s">
        <v>1710</v>
      </c>
      <c r="AD4" s="206">
        <f t="shared" ref="AD4:AD60" si="9">AA4-AC4</f>
        <v>4.9999999993133315E-4</v>
      </c>
      <c r="AE4" s="418" t="s">
        <v>1744</v>
      </c>
      <c r="AG4" s="206">
        <f t="shared" ref="AG4:AG75" si="10">AD4-AF4</f>
        <v>4.9999999993133315E-4</v>
      </c>
      <c r="AH4" s="418" t="s">
        <v>1811</v>
      </c>
      <c r="AJ4" s="206">
        <f t="shared" ref="AJ4:AJ67" si="11">AG4-AI4</f>
        <v>4.9999999993133315E-4</v>
      </c>
      <c r="AM4" s="206">
        <f t="shared" ref="AM4:AM67" si="12">AJ4-AL4</f>
        <v>4.9999999993133315E-4</v>
      </c>
      <c r="AN4" s="418" t="s">
        <v>1907</v>
      </c>
      <c r="AP4" s="206">
        <f t="shared" ref="AP4:AP67" si="13">AM4-AO4</f>
        <v>4.9999999993133315E-4</v>
      </c>
      <c r="AQ4" s="418" t="s">
        <v>2008</v>
      </c>
      <c r="AS4" s="206">
        <f t="shared" ref="AS4:AS67" si="14">AP4-AR4</f>
        <v>4.9999999993133315E-4</v>
      </c>
      <c r="AV4" s="206">
        <f t="shared" ref="AV4:AV67" si="15">AS4-AU4</f>
        <v>4.9999999993133315E-4</v>
      </c>
      <c r="AY4" s="206">
        <f t="shared" ref="AY4:AY67" si="16">AV4-AX4</f>
        <v>4.9999999993133315E-4</v>
      </c>
      <c r="BB4" s="206">
        <f t="shared" si="1"/>
        <v>4.9999999993133315E-4</v>
      </c>
      <c r="BE4" s="206">
        <f t="shared" ref="BE4:BE67" si="17">BB4-BD4</f>
        <v>4.9999999993133315E-4</v>
      </c>
      <c r="BH4" s="206">
        <f t="shared" ref="BH4:BH67" si="18">BE4-BG4</f>
        <v>4.9999999993133315E-4</v>
      </c>
      <c r="BK4" s="206">
        <f t="shared" ref="BK4:BK67" si="19">BH4-BJ4</f>
        <v>4.9999999993133315E-4</v>
      </c>
      <c r="BN4" s="206">
        <f t="shared" ref="BN4:BN67" si="20">BK4-BM4</f>
        <v>4.9999999993133315E-4</v>
      </c>
      <c r="BQ4" s="206">
        <f t="shared" ref="BQ4:BQ67" si="21">ROUND((BN4-BP4),2)</f>
        <v>0</v>
      </c>
      <c r="BT4" s="206">
        <f t="shared" ref="BT4:BT67" si="22">ROUND((BQ4-BS4),2)</f>
        <v>0</v>
      </c>
      <c r="BW4" s="206">
        <f t="shared" ref="BW4:BW67" si="23">ROUND((BT4-BV4),2)</f>
        <v>0</v>
      </c>
      <c r="BZ4" s="206">
        <f t="shared" ref="BZ4:BZ67" si="24">ROUND((BW4-BY4),2)</f>
        <v>0</v>
      </c>
    </row>
    <row r="5" spans="2:84" ht="21.75" customHeight="1">
      <c r="B5" s="418" t="str">
        <f t="shared" si="2"/>
        <v>CU0898</v>
      </c>
      <c r="C5" s="259" t="s">
        <v>736</v>
      </c>
      <c r="D5" s="394" t="s">
        <v>819</v>
      </c>
      <c r="E5" s="394" t="s">
        <v>834</v>
      </c>
      <c r="F5" s="261">
        <v>43132</v>
      </c>
      <c r="G5" s="502">
        <v>54852.790999999997</v>
      </c>
      <c r="I5" s="426">
        <f t="shared" si="3"/>
        <v>54852.790999999997</v>
      </c>
      <c r="J5" s="421" t="s">
        <v>1370</v>
      </c>
      <c r="L5" s="206">
        <f t="shared" si="0"/>
        <v>54852.790999999997</v>
      </c>
      <c r="M5" s="206" t="s">
        <v>1445</v>
      </c>
      <c r="O5" s="206">
        <f t="shared" si="4"/>
        <v>54852.790999999997</v>
      </c>
      <c r="P5" s="418" t="s">
        <v>1520</v>
      </c>
      <c r="R5" s="206">
        <f t="shared" si="5"/>
        <v>54852.790999999997</v>
      </c>
      <c r="S5" s="418" t="s">
        <v>1566</v>
      </c>
      <c r="U5" s="206">
        <f t="shared" si="6"/>
        <v>54852.790999999997</v>
      </c>
      <c r="V5" s="418" t="s">
        <v>1621</v>
      </c>
      <c r="X5" s="206">
        <f t="shared" si="7"/>
        <v>54852.790999999997</v>
      </c>
      <c r="Y5" s="418" t="s">
        <v>1661</v>
      </c>
      <c r="Z5" s="206">
        <f>X5</f>
        <v>54852.790999999997</v>
      </c>
      <c r="AA5" s="206">
        <f t="shared" si="8"/>
        <v>0</v>
      </c>
      <c r="AB5" s="418" t="s">
        <v>1710</v>
      </c>
      <c r="AD5" s="206">
        <f t="shared" si="9"/>
        <v>0</v>
      </c>
      <c r="AE5" s="418" t="s">
        <v>1744</v>
      </c>
      <c r="AG5" s="206">
        <f t="shared" si="10"/>
        <v>0</v>
      </c>
      <c r="AH5" s="418" t="s">
        <v>1811</v>
      </c>
      <c r="AJ5" s="206">
        <f t="shared" si="11"/>
        <v>0</v>
      </c>
      <c r="AM5" s="206">
        <f t="shared" si="12"/>
        <v>0</v>
      </c>
      <c r="AN5" s="418" t="s">
        <v>1907</v>
      </c>
      <c r="AP5" s="206">
        <f t="shared" si="13"/>
        <v>0</v>
      </c>
      <c r="AQ5" s="418" t="s">
        <v>2008</v>
      </c>
      <c r="AS5" s="206">
        <f t="shared" si="14"/>
        <v>0</v>
      </c>
      <c r="AV5" s="206">
        <f t="shared" si="15"/>
        <v>0</v>
      </c>
      <c r="AY5" s="206">
        <f t="shared" si="16"/>
        <v>0</v>
      </c>
      <c r="BB5" s="206">
        <f t="shared" si="1"/>
        <v>0</v>
      </c>
      <c r="BE5" s="206">
        <f t="shared" si="17"/>
        <v>0</v>
      </c>
      <c r="BH5" s="206">
        <f t="shared" si="18"/>
        <v>0</v>
      </c>
      <c r="BK5" s="206">
        <f t="shared" si="19"/>
        <v>0</v>
      </c>
      <c r="BN5" s="206">
        <f t="shared" si="20"/>
        <v>0</v>
      </c>
      <c r="BQ5" s="206">
        <f t="shared" si="21"/>
        <v>0</v>
      </c>
      <c r="BT5" s="206">
        <f t="shared" si="22"/>
        <v>0</v>
      </c>
      <c r="BW5" s="206">
        <f t="shared" si="23"/>
        <v>0</v>
      </c>
      <c r="BZ5" s="206">
        <f t="shared" si="24"/>
        <v>0</v>
      </c>
    </row>
    <row r="6" spans="2:84" ht="21.75" customHeight="1">
      <c r="B6" s="418" t="str">
        <f t="shared" si="2"/>
        <v>CU0898</v>
      </c>
      <c r="C6" s="259" t="s">
        <v>736</v>
      </c>
      <c r="D6" s="381" t="s">
        <v>819</v>
      </c>
      <c r="E6" s="149" t="s">
        <v>834</v>
      </c>
      <c r="F6" s="261">
        <v>43160</v>
      </c>
      <c r="G6" s="502">
        <v>26527.78</v>
      </c>
      <c r="I6" s="426">
        <f t="shared" si="3"/>
        <v>26527.78</v>
      </c>
      <c r="J6" s="421" t="s">
        <v>1370</v>
      </c>
      <c r="L6" s="206">
        <f t="shared" si="0"/>
        <v>26527.78</v>
      </c>
      <c r="M6" s="206" t="s">
        <v>1445</v>
      </c>
      <c r="O6" s="206">
        <f t="shared" si="4"/>
        <v>26527.78</v>
      </c>
      <c r="P6" s="418" t="s">
        <v>1520</v>
      </c>
      <c r="R6" s="206">
        <f t="shared" si="5"/>
        <v>26527.78</v>
      </c>
      <c r="S6" s="418" t="s">
        <v>1566</v>
      </c>
      <c r="U6" s="206">
        <f t="shared" si="6"/>
        <v>26527.78</v>
      </c>
      <c r="V6" s="418" t="s">
        <v>1621</v>
      </c>
      <c r="X6" s="206">
        <f t="shared" si="7"/>
        <v>26527.78</v>
      </c>
      <c r="Y6" s="418" t="s">
        <v>1661</v>
      </c>
      <c r="Z6" s="206">
        <f>X6</f>
        <v>26527.78</v>
      </c>
      <c r="AA6" s="206">
        <f t="shared" si="8"/>
        <v>0</v>
      </c>
      <c r="AB6" s="418" t="s">
        <v>1710</v>
      </c>
      <c r="AD6" s="206">
        <f t="shared" si="9"/>
        <v>0</v>
      </c>
      <c r="AE6" s="418" t="s">
        <v>1744</v>
      </c>
      <c r="AG6" s="206">
        <f t="shared" si="10"/>
        <v>0</v>
      </c>
      <c r="AH6" s="418" t="s">
        <v>1811</v>
      </c>
      <c r="AJ6" s="206">
        <f t="shared" si="11"/>
        <v>0</v>
      </c>
      <c r="AM6" s="206">
        <f t="shared" si="12"/>
        <v>0</v>
      </c>
      <c r="AN6" s="418" t="s">
        <v>1907</v>
      </c>
      <c r="AP6" s="206">
        <f t="shared" si="13"/>
        <v>0</v>
      </c>
      <c r="AQ6" s="418" t="s">
        <v>2008</v>
      </c>
      <c r="AS6" s="206">
        <f t="shared" si="14"/>
        <v>0</v>
      </c>
      <c r="AV6" s="206">
        <f t="shared" si="15"/>
        <v>0</v>
      </c>
      <c r="AY6" s="206">
        <f t="shared" si="16"/>
        <v>0</v>
      </c>
      <c r="BB6" s="206">
        <f t="shared" si="1"/>
        <v>0</v>
      </c>
      <c r="BE6" s="206">
        <f t="shared" si="17"/>
        <v>0</v>
      </c>
      <c r="BH6" s="206">
        <f t="shared" si="18"/>
        <v>0</v>
      </c>
      <c r="BK6" s="206">
        <f t="shared" si="19"/>
        <v>0</v>
      </c>
      <c r="BN6" s="206">
        <f t="shared" si="20"/>
        <v>0</v>
      </c>
      <c r="BQ6" s="206">
        <f t="shared" si="21"/>
        <v>0</v>
      </c>
      <c r="BT6" s="206">
        <f t="shared" si="22"/>
        <v>0</v>
      </c>
      <c r="BW6" s="206">
        <f t="shared" si="23"/>
        <v>0</v>
      </c>
      <c r="BZ6" s="206">
        <f t="shared" si="24"/>
        <v>0</v>
      </c>
    </row>
    <row r="7" spans="2:84" ht="21.75" customHeight="1">
      <c r="B7" s="418" t="str">
        <f t="shared" si="2"/>
        <v>CU0636</v>
      </c>
      <c r="C7" s="259" t="s">
        <v>736</v>
      </c>
      <c r="D7" s="381" t="s">
        <v>901</v>
      </c>
      <c r="E7" s="149" t="s">
        <v>413</v>
      </c>
      <c r="F7" s="330">
        <v>43191</v>
      </c>
      <c r="G7" s="502">
        <v>329.41</v>
      </c>
      <c r="I7" s="426">
        <f t="shared" si="3"/>
        <v>329.41</v>
      </c>
      <c r="J7" s="421" t="s">
        <v>1370</v>
      </c>
      <c r="L7" s="206">
        <f t="shared" si="0"/>
        <v>329.41</v>
      </c>
      <c r="M7" s="206" t="s">
        <v>1445</v>
      </c>
      <c r="O7" s="206">
        <f t="shared" si="4"/>
        <v>329.41</v>
      </c>
      <c r="P7" s="418" t="s">
        <v>1520</v>
      </c>
      <c r="R7" s="206">
        <f t="shared" si="5"/>
        <v>329.41</v>
      </c>
      <c r="S7" s="418" t="s">
        <v>1566</v>
      </c>
      <c r="U7" s="206">
        <f t="shared" si="6"/>
        <v>329.41</v>
      </c>
      <c r="V7" s="418" t="s">
        <v>1621</v>
      </c>
      <c r="X7" s="206">
        <f t="shared" si="7"/>
        <v>329.41</v>
      </c>
      <c r="Y7" s="418" t="s">
        <v>1661</v>
      </c>
      <c r="Z7">
        <f>ROUND(349.17/1.06,2)</f>
        <v>329.41</v>
      </c>
      <c r="AA7" s="206">
        <f t="shared" si="8"/>
        <v>0</v>
      </c>
      <c r="AB7" s="418" t="s">
        <v>1710</v>
      </c>
      <c r="AD7" s="206">
        <f t="shared" si="9"/>
        <v>0</v>
      </c>
      <c r="AE7" s="418" t="s">
        <v>1744</v>
      </c>
      <c r="AG7" s="206">
        <f t="shared" si="10"/>
        <v>0</v>
      </c>
      <c r="AH7" s="418" t="s">
        <v>1811</v>
      </c>
      <c r="AJ7" s="206">
        <f t="shared" si="11"/>
        <v>0</v>
      </c>
      <c r="AM7" s="206">
        <f t="shared" si="12"/>
        <v>0</v>
      </c>
      <c r="AN7" s="418" t="s">
        <v>1907</v>
      </c>
      <c r="AP7" s="206">
        <f t="shared" si="13"/>
        <v>0</v>
      </c>
      <c r="AQ7" s="418" t="s">
        <v>2008</v>
      </c>
      <c r="AS7" s="206">
        <f t="shared" si="14"/>
        <v>0</v>
      </c>
      <c r="AV7" s="206">
        <f t="shared" si="15"/>
        <v>0</v>
      </c>
      <c r="AY7" s="206">
        <f t="shared" si="16"/>
        <v>0</v>
      </c>
      <c r="BB7" s="206">
        <f t="shared" si="1"/>
        <v>0</v>
      </c>
      <c r="BE7" s="206">
        <f t="shared" si="17"/>
        <v>0</v>
      </c>
      <c r="BH7" s="206">
        <f t="shared" si="18"/>
        <v>0</v>
      </c>
      <c r="BK7" s="206">
        <f t="shared" si="19"/>
        <v>0</v>
      </c>
      <c r="BN7" s="206">
        <f t="shared" si="20"/>
        <v>0</v>
      </c>
      <c r="BQ7" s="206">
        <f t="shared" si="21"/>
        <v>0</v>
      </c>
      <c r="BT7" s="206">
        <f t="shared" si="22"/>
        <v>0</v>
      </c>
      <c r="BW7" s="206">
        <f t="shared" si="23"/>
        <v>0</v>
      </c>
      <c r="BZ7" s="206">
        <f t="shared" si="24"/>
        <v>0</v>
      </c>
    </row>
    <row r="8" spans="2:84" ht="21.75" customHeight="1">
      <c r="B8" s="418" t="str">
        <f t="shared" si="2"/>
        <v>CU0898</v>
      </c>
      <c r="C8" s="259" t="s">
        <v>736</v>
      </c>
      <c r="D8" s="381" t="s">
        <v>902</v>
      </c>
      <c r="E8" s="149" t="s">
        <v>834</v>
      </c>
      <c r="F8" s="330">
        <v>43191</v>
      </c>
      <c r="G8" s="502">
        <v>24285.39</v>
      </c>
      <c r="I8" s="426">
        <f t="shared" si="3"/>
        <v>24285.39</v>
      </c>
      <c r="J8" s="421" t="s">
        <v>1370</v>
      </c>
      <c r="L8" s="206">
        <f t="shared" si="0"/>
        <v>24285.39</v>
      </c>
      <c r="M8" s="206" t="s">
        <v>1445</v>
      </c>
      <c r="O8" s="206">
        <f t="shared" si="4"/>
        <v>24285.39</v>
      </c>
      <c r="P8" s="418" t="s">
        <v>1520</v>
      </c>
      <c r="R8" s="206">
        <f t="shared" si="5"/>
        <v>24285.39</v>
      </c>
      <c r="S8" s="418" t="s">
        <v>1566</v>
      </c>
      <c r="U8" s="206">
        <f t="shared" si="6"/>
        <v>24285.39</v>
      </c>
      <c r="V8" s="418" t="s">
        <v>1621</v>
      </c>
      <c r="X8" s="206">
        <f t="shared" si="7"/>
        <v>24285.39</v>
      </c>
      <c r="Y8" s="418" t="s">
        <v>1661</v>
      </c>
      <c r="Z8" s="206">
        <f t="shared" ref="Z8:Z9" si="25">X8</f>
        <v>24285.39</v>
      </c>
      <c r="AA8" s="206">
        <f t="shared" si="8"/>
        <v>0</v>
      </c>
      <c r="AB8" s="418" t="s">
        <v>1710</v>
      </c>
      <c r="AD8" s="206">
        <f t="shared" si="9"/>
        <v>0</v>
      </c>
      <c r="AE8" s="418" t="s">
        <v>1744</v>
      </c>
      <c r="AG8" s="206">
        <f t="shared" si="10"/>
        <v>0</v>
      </c>
      <c r="AH8" s="418" t="s">
        <v>1811</v>
      </c>
      <c r="AJ8" s="206">
        <f t="shared" si="11"/>
        <v>0</v>
      </c>
      <c r="AM8" s="206">
        <f t="shared" si="12"/>
        <v>0</v>
      </c>
      <c r="AN8" s="418" t="s">
        <v>1907</v>
      </c>
      <c r="AP8" s="206">
        <f t="shared" si="13"/>
        <v>0</v>
      </c>
      <c r="AQ8" s="418" t="s">
        <v>2008</v>
      </c>
      <c r="AS8" s="206">
        <f t="shared" si="14"/>
        <v>0</v>
      </c>
      <c r="AV8" s="206">
        <f t="shared" si="15"/>
        <v>0</v>
      </c>
      <c r="AY8" s="206">
        <f t="shared" si="16"/>
        <v>0</v>
      </c>
      <c r="BB8" s="206">
        <f t="shared" si="1"/>
        <v>0</v>
      </c>
      <c r="BE8" s="206">
        <f t="shared" si="17"/>
        <v>0</v>
      </c>
      <c r="BH8" s="206">
        <f t="shared" si="18"/>
        <v>0</v>
      </c>
      <c r="BK8" s="206">
        <f t="shared" si="19"/>
        <v>0</v>
      </c>
      <c r="BN8" s="206">
        <f t="shared" si="20"/>
        <v>0</v>
      </c>
      <c r="BQ8" s="206">
        <f t="shared" si="21"/>
        <v>0</v>
      </c>
      <c r="BT8" s="206">
        <f t="shared" si="22"/>
        <v>0</v>
      </c>
      <c r="BW8" s="206">
        <f t="shared" si="23"/>
        <v>0</v>
      </c>
      <c r="BZ8" s="206">
        <f t="shared" si="24"/>
        <v>0</v>
      </c>
    </row>
    <row r="9" spans="2:84" s="447" customFormat="1" ht="21.75" customHeight="1">
      <c r="B9" s="447" t="str">
        <f t="shared" si="2"/>
        <v>CU0898</v>
      </c>
      <c r="C9" s="431" t="s">
        <v>681</v>
      </c>
      <c r="D9" s="331" t="s">
        <v>819</v>
      </c>
      <c r="E9" s="331" t="s">
        <v>948</v>
      </c>
      <c r="F9" s="439">
        <v>43221</v>
      </c>
      <c r="G9" s="503">
        <v>24176.6</v>
      </c>
      <c r="H9" s="421"/>
      <c r="I9" s="426">
        <f t="shared" si="3"/>
        <v>24176.6</v>
      </c>
      <c r="J9" s="421" t="s">
        <v>1370</v>
      </c>
      <c r="K9"/>
      <c r="L9" s="206">
        <f t="shared" si="0"/>
        <v>24176.6</v>
      </c>
      <c r="M9" s="206" t="s">
        <v>1445</v>
      </c>
      <c r="N9"/>
      <c r="O9" s="206">
        <f t="shared" si="4"/>
        <v>24176.6</v>
      </c>
      <c r="P9" s="418" t="s">
        <v>1520</v>
      </c>
      <c r="Q9"/>
      <c r="R9" s="206">
        <f t="shared" si="5"/>
        <v>24176.6</v>
      </c>
      <c r="S9" s="418" t="s">
        <v>1566</v>
      </c>
      <c r="T9"/>
      <c r="U9" s="206">
        <f t="shared" si="6"/>
        <v>24176.6</v>
      </c>
      <c r="V9" s="418" t="s">
        <v>1621</v>
      </c>
      <c r="W9"/>
      <c r="X9" s="206">
        <f t="shared" si="7"/>
        <v>24176.6</v>
      </c>
      <c r="Y9" s="418" t="s">
        <v>1661</v>
      </c>
      <c r="Z9" s="206">
        <f t="shared" si="25"/>
        <v>24176.6</v>
      </c>
      <c r="AA9" s="206">
        <f t="shared" si="8"/>
        <v>0</v>
      </c>
      <c r="AB9" s="418" t="s">
        <v>1710</v>
      </c>
      <c r="AC9"/>
      <c r="AD9" s="206">
        <f t="shared" si="9"/>
        <v>0</v>
      </c>
      <c r="AE9" s="418" t="s">
        <v>1744</v>
      </c>
      <c r="AF9"/>
      <c r="AG9" s="206">
        <f t="shared" si="10"/>
        <v>0</v>
      </c>
      <c r="AH9" s="418" t="s">
        <v>1811</v>
      </c>
      <c r="AJ9" s="491">
        <f t="shared" si="11"/>
        <v>0</v>
      </c>
      <c r="AM9" s="491">
        <f t="shared" si="12"/>
        <v>0</v>
      </c>
      <c r="AN9" s="447" t="s">
        <v>1907</v>
      </c>
      <c r="AP9" s="491">
        <f t="shared" si="13"/>
        <v>0</v>
      </c>
      <c r="AQ9" s="447" t="s">
        <v>2008</v>
      </c>
      <c r="AS9" s="491">
        <f t="shared" si="14"/>
        <v>0</v>
      </c>
      <c r="AV9" s="491">
        <f t="shared" si="15"/>
        <v>0</v>
      </c>
      <c r="AY9" s="491">
        <f t="shared" si="16"/>
        <v>0</v>
      </c>
      <c r="BB9" s="491">
        <f t="shared" si="1"/>
        <v>0</v>
      </c>
      <c r="BE9" s="491">
        <f t="shared" si="17"/>
        <v>0</v>
      </c>
      <c r="BH9" s="491">
        <f t="shared" si="18"/>
        <v>0</v>
      </c>
      <c r="BK9" s="206">
        <f t="shared" si="19"/>
        <v>0</v>
      </c>
      <c r="BN9" s="206">
        <f t="shared" si="20"/>
        <v>0</v>
      </c>
      <c r="BQ9" s="206">
        <f t="shared" si="21"/>
        <v>0</v>
      </c>
      <c r="BT9" s="206">
        <f t="shared" si="22"/>
        <v>0</v>
      </c>
      <c r="BW9" s="206">
        <f t="shared" si="23"/>
        <v>0</v>
      </c>
      <c r="BZ9" s="206">
        <f t="shared" si="24"/>
        <v>0</v>
      </c>
    </row>
    <row r="10" spans="2:84" ht="21.75" customHeight="1">
      <c r="B10" s="418" t="str">
        <f t="shared" si="2"/>
        <v>CU0898</v>
      </c>
      <c r="C10" s="259" t="s">
        <v>208</v>
      </c>
      <c r="D10" s="331" t="s">
        <v>819</v>
      </c>
      <c r="E10" s="332" t="s">
        <v>948</v>
      </c>
      <c r="F10" s="330">
        <v>43252</v>
      </c>
      <c r="G10" s="502">
        <v>19802.490000000002</v>
      </c>
      <c r="I10" s="426">
        <f t="shared" si="3"/>
        <v>19802.490000000002</v>
      </c>
      <c r="J10" s="421" t="s">
        <v>1370</v>
      </c>
      <c r="L10" s="206">
        <f t="shared" si="0"/>
        <v>19802.490000000002</v>
      </c>
      <c r="M10" s="206" t="s">
        <v>1445</v>
      </c>
      <c r="O10" s="206">
        <f t="shared" si="4"/>
        <v>19802.490000000002</v>
      </c>
      <c r="P10" s="418" t="s">
        <v>1520</v>
      </c>
      <c r="R10" s="206">
        <f t="shared" si="5"/>
        <v>19802.490000000002</v>
      </c>
      <c r="S10" s="418" t="s">
        <v>1566</v>
      </c>
      <c r="U10" s="206">
        <f t="shared" si="6"/>
        <v>19802.490000000002</v>
      </c>
      <c r="V10" s="418" t="s">
        <v>1621</v>
      </c>
      <c r="X10" s="206">
        <f t="shared" si="7"/>
        <v>19802.490000000002</v>
      </c>
      <c r="Y10" s="418" t="s">
        <v>1661</v>
      </c>
      <c r="Z10" s="206">
        <f>ROUND(155940/1.06,2)-Z5-Z6-Z8-Z9</f>
        <v>17270.648999999998</v>
      </c>
      <c r="AA10" s="206">
        <f t="shared" si="8"/>
        <v>2531.841000000004</v>
      </c>
      <c r="AB10" s="418" t="s">
        <v>1710</v>
      </c>
      <c r="AD10" s="206">
        <f t="shared" si="9"/>
        <v>2531.841000000004</v>
      </c>
      <c r="AE10" s="418" t="s">
        <v>1744</v>
      </c>
      <c r="AG10" s="206">
        <f t="shared" si="10"/>
        <v>2531.841000000004</v>
      </c>
      <c r="AH10" s="418" t="s">
        <v>1811</v>
      </c>
      <c r="AJ10" s="206">
        <f t="shared" si="11"/>
        <v>2531.841000000004</v>
      </c>
      <c r="AK10" s="418" t="s">
        <v>1859</v>
      </c>
      <c r="AM10" s="206">
        <f t="shared" si="12"/>
        <v>2531.841000000004</v>
      </c>
      <c r="AN10" s="418" t="s">
        <v>1907</v>
      </c>
      <c r="AO10" s="206">
        <f>AM10</f>
        <v>2531.841000000004</v>
      </c>
      <c r="AP10" s="206">
        <f t="shared" si="13"/>
        <v>0</v>
      </c>
      <c r="AQ10" s="418" t="s">
        <v>2008</v>
      </c>
      <c r="AS10" s="206">
        <f t="shared" si="14"/>
        <v>0</v>
      </c>
      <c r="AV10" s="206">
        <f t="shared" si="15"/>
        <v>0</v>
      </c>
      <c r="AY10" s="206">
        <f t="shared" si="16"/>
        <v>0</v>
      </c>
      <c r="BB10" s="206">
        <f t="shared" si="1"/>
        <v>0</v>
      </c>
      <c r="BE10" s="206">
        <f t="shared" si="17"/>
        <v>0</v>
      </c>
      <c r="BH10" s="206">
        <f t="shared" si="18"/>
        <v>0</v>
      </c>
      <c r="BK10" s="206">
        <f t="shared" si="19"/>
        <v>0</v>
      </c>
      <c r="BN10" s="206">
        <f t="shared" si="20"/>
        <v>0</v>
      </c>
      <c r="BQ10" s="206">
        <f t="shared" si="21"/>
        <v>0</v>
      </c>
      <c r="BT10" s="206">
        <f t="shared" si="22"/>
        <v>0</v>
      </c>
      <c r="BW10" s="206">
        <f t="shared" si="23"/>
        <v>0</v>
      </c>
      <c r="BZ10" s="206">
        <f t="shared" si="24"/>
        <v>0</v>
      </c>
    </row>
    <row r="11" spans="2:84" ht="21.75" customHeight="1">
      <c r="B11" s="418" t="str">
        <f t="shared" si="2"/>
        <v>CU0669</v>
      </c>
      <c r="C11" s="259" t="s">
        <v>736</v>
      </c>
      <c r="D11" s="394" t="s">
        <v>228</v>
      </c>
      <c r="E11" s="306" t="s">
        <v>229</v>
      </c>
      <c r="F11" s="330">
        <v>43282</v>
      </c>
      <c r="G11" s="502">
        <v>11689.000699999997</v>
      </c>
      <c r="H11" s="425">
        <f>G11</f>
        <v>11689.000699999997</v>
      </c>
      <c r="I11" s="426">
        <f t="shared" si="3"/>
        <v>0</v>
      </c>
      <c r="J11" s="421" t="s">
        <v>1370</v>
      </c>
      <c r="L11" s="206">
        <f t="shared" si="0"/>
        <v>0</v>
      </c>
      <c r="M11" s="206" t="s">
        <v>1445</v>
      </c>
      <c r="O11" s="206">
        <f t="shared" si="4"/>
        <v>0</v>
      </c>
      <c r="P11" s="418" t="s">
        <v>1520</v>
      </c>
      <c r="R11" s="206">
        <f t="shared" si="5"/>
        <v>0</v>
      </c>
      <c r="S11" s="418" t="s">
        <v>1566</v>
      </c>
      <c r="U11" s="206">
        <f t="shared" si="6"/>
        <v>0</v>
      </c>
      <c r="V11" s="418" t="s">
        <v>1621</v>
      </c>
      <c r="X11" s="206">
        <f t="shared" si="7"/>
        <v>0</v>
      </c>
      <c r="Y11" s="418" t="s">
        <v>1661</v>
      </c>
      <c r="AA11" s="206">
        <f t="shared" si="8"/>
        <v>0</v>
      </c>
      <c r="AB11" s="418" t="s">
        <v>1710</v>
      </c>
      <c r="AD11" s="206">
        <f t="shared" si="9"/>
        <v>0</v>
      </c>
      <c r="AE11" s="418" t="s">
        <v>1744</v>
      </c>
      <c r="AG11" s="206">
        <f t="shared" si="10"/>
        <v>0</v>
      </c>
      <c r="AH11" s="418" t="s">
        <v>1811</v>
      </c>
      <c r="AJ11" s="206">
        <f t="shared" si="11"/>
        <v>0</v>
      </c>
      <c r="AM11" s="206">
        <f t="shared" si="12"/>
        <v>0</v>
      </c>
      <c r="AN11" s="418" t="s">
        <v>1907</v>
      </c>
      <c r="AP11" s="206">
        <f t="shared" si="13"/>
        <v>0</v>
      </c>
      <c r="AQ11" s="418" t="s">
        <v>2008</v>
      </c>
      <c r="AS11" s="206">
        <f t="shared" si="14"/>
        <v>0</v>
      </c>
      <c r="AV11" s="206">
        <f t="shared" si="15"/>
        <v>0</v>
      </c>
      <c r="AY11" s="206">
        <f t="shared" si="16"/>
        <v>0</v>
      </c>
      <c r="BB11" s="206">
        <f t="shared" si="1"/>
        <v>0</v>
      </c>
      <c r="BE11" s="206">
        <f t="shared" si="17"/>
        <v>0</v>
      </c>
      <c r="BH11" s="206">
        <f t="shared" si="18"/>
        <v>0</v>
      </c>
      <c r="BK11" s="206">
        <f t="shared" si="19"/>
        <v>0</v>
      </c>
      <c r="BN11" s="206">
        <f t="shared" si="20"/>
        <v>0</v>
      </c>
      <c r="BQ11" s="206">
        <f t="shared" si="21"/>
        <v>0</v>
      </c>
      <c r="BT11" s="206">
        <f t="shared" si="22"/>
        <v>0</v>
      </c>
      <c r="BW11" s="206">
        <f t="shared" si="23"/>
        <v>0</v>
      </c>
      <c r="BZ11" s="206">
        <f t="shared" si="24"/>
        <v>0</v>
      </c>
    </row>
    <row r="12" spans="2:84" ht="21.75" customHeight="1">
      <c r="B12" s="418" t="str">
        <f t="shared" si="2"/>
        <v>CU0898</v>
      </c>
      <c r="C12" s="259" t="s">
        <v>208</v>
      </c>
      <c r="D12" s="331" t="s">
        <v>2319</v>
      </c>
      <c r="E12" s="332" t="s">
        <v>2318</v>
      </c>
      <c r="F12" s="330">
        <v>43282</v>
      </c>
      <c r="G12" s="502">
        <v>19147.877100000002</v>
      </c>
      <c r="I12" s="426">
        <f t="shared" si="3"/>
        <v>19147.877100000002</v>
      </c>
      <c r="J12" s="421" t="s">
        <v>1370</v>
      </c>
      <c r="L12" s="206">
        <f t="shared" si="0"/>
        <v>19147.877100000002</v>
      </c>
      <c r="M12" s="206" t="s">
        <v>1445</v>
      </c>
      <c r="O12" s="206">
        <f t="shared" si="4"/>
        <v>19147.877100000002</v>
      </c>
      <c r="P12" s="418" t="s">
        <v>1520</v>
      </c>
      <c r="R12" s="206">
        <f t="shared" si="5"/>
        <v>19147.877100000002</v>
      </c>
      <c r="S12" s="418" t="s">
        <v>1566</v>
      </c>
      <c r="U12" s="206">
        <f t="shared" si="6"/>
        <v>19147.877100000002</v>
      </c>
      <c r="V12" s="418" t="s">
        <v>1621</v>
      </c>
      <c r="X12" s="206">
        <f t="shared" si="7"/>
        <v>19147.877100000002</v>
      </c>
      <c r="Y12" s="418" t="s">
        <v>1661</v>
      </c>
      <c r="AA12" s="206">
        <f t="shared" si="8"/>
        <v>19147.877100000002</v>
      </c>
      <c r="AB12" s="418" t="s">
        <v>1710</v>
      </c>
      <c r="AD12" s="206">
        <f t="shared" si="9"/>
        <v>19147.877100000002</v>
      </c>
      <c r="AE12" s="418" t="s">
        <v>1744</v>
      </c>
      <c r="AG12" s="206">
        <f t="shared" si="10"/>
        <v>19147.877100000002</v>
      </c>
      <c r="AH12" s="418" t="s">
        <v>1811</v>
      </c>
      <c r="AJ12" s="206">
        <f t="shared" si="11"/>
        <v>19147.877100000002</v>
      </c>
      <c r="AK12" s="418" t="s">
        <v>1859</v>
      </c>
      <c r="AM12" s="206">
        <f t="shared" si="12"/>
        <v>19147.877100000002</v>
      </c>
      <c r="AN12" s="418" t="s">
        <v>1907</v>
      </c>
      <c r="AO12">
        <f>15400-2531.84</f>
        <v>12868.16</v>
      </c>
      <c r="AP12" s="206">
        <f t="shared" si="13"/>
        <v>6279.7171000000017</v>
      </c>
      <c r="AQ12" s="418" t="s">
        <v>2008</v>
      </c>
      <c r="AS12" s="206">
        <f t="shared" si="14"/>
        <v>6279.7171000000017</v>
      </c>
      <c r="AV12" s="206">
        <f t="shared" si="15"/>
        <v>6279.7171000000017</v>
      </c>
      <c r="AW12" s="418" t="s">
        <v>2066</v>
      </c>
      <c r="AY12" s="206">
        <f t="shared" si="16"/>
        <v>6279.7171000000017</v>
      </c>
      <c r="AZ12" s="418" t="s">
        <v>2131</v>
      </c>
      <c r="BB12" s="206">
        <f t="shared" si="1"/>
        <v>6279.7171000000017</v>
      </c>
      <c r="BC12" s="418" t="s">
        <v>2226</v>
      </c>
      <c r="BE12" s="206">
        <f t="shared" si="17"/>
        <v>6279.7171000000017</v>
      </c>
      <c r="BF12" s="418" t="s">
        <v>2261</v>
      </c>
      <c r="BH12" s="206">
        <f t="shared" si="18"/>
        <v>6279.7171000000017</v>
      </c>
      <c r="BK12" s="206">
        <f t="shared" si="19"/>
        <v>6279.7171000000017</v>
      </c>
      <c r="BL12" s="418" t="s">
        <v>2344</v>
      </c>
      <c r="BM12" s="206">
        <f>BK12</f>
        <v>6279.7171000000017</v>
      </c>
      <c r="BN12" s="206">
        <f t="shared" si="20"/>
        <v>0</v>
      </c>
      <c r="BO12" s="418" t="s">
        <v>2338</v>
      </c>
      <c r="BQ12" s="206">
        <f t="shared" si="21"/>
        <v>0</v>
      </c>
      <c r="BT12" s="206">
        <f t="shared" si="22"/>
        <v>0</v>
      </c>
      <c r="BW12" s="206">
        <f t="shared" si="23"/>
        <v>0</v>
      </c>
      <c r="BZ12" s="206">
        <f t="shared" si="24"/>
        <v>0</v>
      </c>
      <c r="CC12" t="str">
        <f>B12&amp;$B$1</f>
        <v>CU0898001</v>
      </c>
      <c r="CD12" s="442" t="str">
        <f>YEAR(F12)&amp;"年"&amp;MONTH(F12)&amp;"月"</f>
        <v>2018年7月</v>
      </c>
      <c r="CE12" t="str">
        <f>LEFT(E12,5)&amp;$E$1</f>
        <v>凯易讯网络clife服务费暂估</v>
      </c>
      <c r="CF12" t="str">
        <f>CD12&amp;CE12</f>
        <v>2018年7月凯易讯网络clife服务费暂估</v>
      </c>
    </row>
    <row r="13" spans="2:84" ht="21.75" customHeight="1">
      <c r="B13" s="418" t="str">
        <f t="shared" si="2"/>
        <v>CU0669</v>
      </c>
      <c r="C13" s="259" t="s">
        <v>736</v>
      </c>
      <c r="D13" s="394" t="s">
        <v>228</v>
      </c>
      <c r="E13" s="306" t="s">
        <v>229</v>
      </c>
      <c r="F13" s="330">
        <v>43313</v>
      </c>
      <c r="G13" s="502">
        <v>1172.78</v>
      </c>
      <c r="H13" s="425">
        <f t="shared" ref="H13:H15" si="26">G13</f>
        <v>1172.78</v>
      </c>
      <c r="I13" s="426">
        <f t="shared" si="3"/>
        <v>0</v>
      </c>
      <c r="J13" s="421" t="s">
        <v>1370</v>
      </c>
      <c r="L13" s="206">
        <f t="shared" si="0"/>
        <v>0</v>
      </c>
      <c r="M13" s="206" t="s">
        <v>1445</v>
      </c>
      <c r="O13" s="206">
        <f t="shared" si="4"/>
        <v>0</v>
      </c>
      <c r="P13" s="418" t="s">
        <v>1520</v>
      </c>
      <c r="R13" s="206">
        <f t="shared" si="5"/>
        <v>0</v>
      </c>
      <c r="S13" s="418" t="s">
        <v>1566</v>
      </c>
      <c r="U13" s="206">
        <f t="shared" si="6"/>
        <v>0</v>
      </c>
      <c r="V13" s="418" t="s">
        <v>1621</v>
      </c>
      <c r="X13" s="206">
        <f t="shared" si="7"/>
        <v>0</v>
      </c>
      <c r="Y13" s="418" t="s">
        <v>1661</v>
      </c>
      <c r="AA13" s="206">
        <f t="shared" si="8"/>
        <v>0</v>
      </c>
      <c r="AB13" s="418" t="s">
        <v>1710</v>
      </c>
      <c r="AD13" s="206">
        <f t="shared" si="9"/>
        <v>0</v>
      </c>
      <c r="AE13" s="418" t="s">
        <v>1744</v>
      </c>
      <c r="AG13" s="206">
        <f t="shared" si="10"/>
        <v>0</v>
      </c>
      <c r="AH13" s="418" t="s">
        <v>1811</v>
      </c>
      <c r="AJ13" s="206">
        <f t="shared" si="11"/>
        <v>0</v>
      </c>
      <c r="AM13" s="206">
        <f t="shared" si="12"/>
        <v>0</v>
      </c>
      <c r="AN13" s="418" t="s">
        <v>1907</v>
      </c>
      <c r="AP13" s="206">
        <f t="shared" si="13"/>
        <v>0</v>
      </c>
      <c r="AQ13" s="418" t="s">
        <v>2008</v>
      </c>
      <c r="AS13" s="206">
        <f t="shared" si="14"/>
        <v>0</v>
      </c>
      <c r="AV13" s="206">
        <f t="shared" si="15"/>
        <v>0</v>
      </c>
      <c r="AY13" s="206">
        <f t="shared" si="16"/>
        <v>0</v>
      </c>
      <c r="BB13" s="206">
        <f t="shared" si="1"/>
        <v>0</v>
      </c>
      <c r="BE13" s="206">
        <f t="shared" si="17"/>
        <v>0</v>
      </c>
      <c r="BH13" s="206">
        <f t="shared" si="18"/>
        <v>0</v>
      </c>
      <c r="BK13" s="206">
        <f t="shared" si="19"/>
        <v>0</v>
      </c>
      <c r="BN13" s="206">
        <f t="shared" si="20"/>
        <v>0</v>
      </c>
      <c r="BQ13" s="206">
        <f t="shared" si="21"/>
        <v>0</v>
      </c>
      <c r="BT13" s="206">
        <f t="shared" si="22"/>
        <v>0</v>
      </c>
      <c r="BW13" s="206">
        <f t="shared" si="23"/>
        <v>0</v>
      </c>
      <c r="BZ13" s="206">
        <f t="shared" si="24"/>
        <v>0</v>
      </c>
    </row>
    <row r="14" spans="2:84" ht="21.75" customHeight="1">
      <c r="B14" s="418" t="str">
        <f t="shared" si="2"/>
        <v>CU0669</v>
      </c>
      <c r="C14" s="259" t="s">
        <v>736</v>
      </c>
      <c r="D14" s="394" t="s">
        <v>26</v>
      </c>
      <c r="E14" s="306" t="s">
        <v>27</v>
      </c>
      <c r="F14" s="330">
        <v>43313</v>
      </c>
      <c r="G14" s="502">
        <v>26328.33</v>
      </c>
      <c r="H14" s="425">
        <f t="shared" si="26"/>
        <v>26328.33</v>
      </c>
      <c r="I14" s="426">
        <f t="shared" si="3"/>
        <v>0</v>
      </c>
      <c r="J14" s="421" t="s">
        <v>1370</v>
      </c>
      <c r="L14" s="206">
        <f t="shared" si="0"/>
        <v>0</v>
      </c>
      <c r="M14" s="206" t="s">
        <v>1445</v>
      </c>
      <c r="O14" s="206">
        <f t="shared" si="4"/>
        <v>0</v>
      </c>
      <c r="P14" s="418" t="s">
        <v>1520</v>
      </c>
      <c r="R14" s="206">
        <f t="shared" si="5"/>
        <v>0</v>
      </c>
      <c r="S14" s="418" t="s">
        <v>1566</v>
      </c>
      <c r="U14" s="206">
        <f t="shared" si="6"/>
        <v>0</v>
      </c>
      <c r="V14" s="418" t="s">
        <v>1621</v>
      </c>
      <c r="X14" s="206">
        <f t="shared" si="7"/>
        <v>0</v>
      </c>
      <c r="Y14" s="418" t="s">
        <v>1661</v>
      </c>
      <c r="AA14" s="206">
        <f t="shared" si="8"/>
        <v>0</v>
      </c>
      <c r="AB14" s="418" t="s">
        <v>1710</v>
      </c>
      <c r="AD14" s="206">
        <f t="shared" si="9"/>
        <v>0</v>
      </c>
      <c r="AE14" s="418" t="s">
        <v>1744</v>
      </c>
      <c r="AG14" s="206">
        <f t="shared" si="10"/>
        <v>0</v>
      </c>
      <c r="AH14" s="418" t="s">
        <v>1811</v>
      </c>
      <c r="AJ14" s="206">
        <f t="shared" si="11"/>
        <v>0</v>
      </c>
      <c r="AM14" s="206">
        <f t="shared" si="12"/>
        <v>0</v>
      </c>
      <c r="AN14" s="418" t="s">
        <v>1907</v>
      </c>
      <c r="AP14" s="206">
        <f t="shared" si="13"/>
        <v>0</v>
      </c>
      <c r="AQ14" s="418" t="s">
        <v>2008</v>
      </c>
      <c r="AS14" s="206">
        <f t="shared" si="14"/>
        <v>0</v>
      </c>
      <c r="AV14" s="206">
        <f t="shared" si="15"/>
        <v>0</v>
      </c>
      <c r="AY14" s="206">
        <f t="shared" si="16"/>
        <v>0</v>
      </c>
      <c r="BB14" s="206">
        <f t="shared" si="1"/>
        <v>0</v>
      </c>
      <c r="BE14" s="206">
        <f t="shared" si="17"/>
        <v>0</v>
      </c>
      <c r="BH14" s="206">
        <f t="shared" si="18"/>
        <v>0</v>
      </c>
      <c r="BK14" s="206">
        <f t="shared" si="19"/>
        <v>0</v>
      </c>
      <c r="BN14" s="206">
        <f t="shared" si="20"/>
        <v>0</v>
      </c>
      <c r="BQ14" s="206">
        <f t="shared" si="21"/>
        <v>0</v>
      </c>
      <c r="BT14" s="206">
        <f t="shared" si="22"/>
        <v>0</v>
      </c>
      <c r="BW14" s="206">
        <f t="shared" si="23"/>
        <v>0</v>
      </c>
      <c r="BZ14" s="206">
        <f t="shared" si="24"/>
        <v>0</v>
      </c>
    </row>
    <row r="15" spans="2:84" ht="21.75" customHeight="1">
      <c r="B15" s="418" t="str">
        <f t="shared" si="2"/>
        <v>CU0669</v>
      </c>
      <c r="C15" s="259" t="s">
        <v>736</v>
      </c>
      <c r="D15" s="394" t="s">
        <v>230</v>
      </c>
      <c r="E15" s="306" t="s">
        <v>231</v>
      </c>
      <c r="F15" s="330">
        <v>43313</v>
      </c>
      <c r="G15" s="502">
        <v>11169.6</v>
      </c>
      <c r="H15" s="425">
        <f t="shared" si="26"/>
        <v>11169.6</v>
      </c>
      <c r="I15" s="426">
        <f t="shared" si="3"/>
        <v>0</v>
      </c>
      <c r="J15" s="421" t="s">
        <v>1370</v>
      </c>
      <c r="L15" s="206">
        <f t="shared" si="0"/>
        <v>0</v>
      </c>
      <c r="M15" s="206" t="s">
        <v>1445</v>
      </c>
      <c r="O15" s="206">
        <f t="shared" si="4"/>
        <v>0</v>
      </c>
      <c r="P15" s="418" t="s">
        <v>1520</v>
      </c>
      <c r="R15" s="206">
        <f t="shared" si="5"/>
        <v>0</v>
      </c>
      <c r="S15" s="418" t="s">
        <v>1566</v>
      </c>
      <c r="U15" s="206">
        <f t="shared" si="6"/>
        <v>0</v>
      </c>
      <c r="V15" s="418" t="s">
        <v>1621</v>
      </c>
      <c r="X15" s="206">
        <f t="shared" si="7"/>
        <v>0</v>
      </c>
      <c r="Y15" s="418" t="s">
        <v>1661</v>
      </c>
      <c r="AA15" s="206">
        <f t="shared" si="8"/>
        <v>0</v>
      </c>
      <c r="AB15" s="418" t="s">
        <v>1710</v>
      </c>
      <c r="AD15" s="206">
        <f t="shared" si="9"/>
        <v>0</v>
      </c>
      <c r="AE15" s="418" t="s">
        <v>1744</v>
      </c>
      <c r="AG15" s="206">
        <f t="shared" si="10"/>
        <v>0</v>
      </c>
      <c r="AH15" s="418" t="s">
        <v>1811</v>
      </c>
      <c r="AJ15" s="206">
        <f t="shared" si="11"/>
        <v>0</v>
      </c>
      <c r="AM15" s="206">
        <f t="shared" si="12"/>
        <v>0</v>
      </c>
      <c r="AN15" s="418" t="s">
        <v>1907</v>
      </c>
      <c r="AP15" s="206">
        <f t="shared" si="13"/>
        <v>0</v>
      </c>
      <c r="AQ15" s="418" t="s">
        <v>2008</v>
      </c>
      <c r="AS15" s="206">
        <f t="shared" si="14"/>
        <v>0</v>
      </c>
      <c r="AV15" s="206">
        <f t="shared" si="15"/>
        <v>0</v>
      </c>
      <c r="AY15" s="206">
        <f t="shared" si="16"/>
        <v>0</v>
      </c>
      <c r="BB15" s="206">
        <f t="shared" si="1"/>
        <v>0</v>
      </c>
      <c r="BE15" s="206">
        <f t="shared" si="17"/>
        <v>0</v>
      </c>
      <c r="BH15" s="206">
        <f t="shared" si="18"/>
        <v>0</v>
      </c>
      <c r="BK15" s="206">
        <f t="shared" si="19"/>
        <v>0</v>
      </c>
      <c r="BN15" s="206">
        <f t="shared" si="20"/>
        <v>0</v>
      </c>
      <c r="BQ15" s="206">
        <f t="shared" si="21"/>
        <v>0</v>
      </c>
      <c r="BT15" s="206">
        <f t="shared" si="22"/>
        <v>0</v>
      </c>
      <c r="BW15" s="206">
        <f t="shared" si="23"/>
        <v>0</v>
      </c>
      <c r="BZ15" s="206">
        <f t="shared" si="24"/>
        <v>0</v>
      </c>
    </row>
    <row r="16" spans="2:84" ht="21.75" customHeight="1">
      <c r="B16" s="418" t="str">
        <f t="shared" si="2"/>
        <v>CU0898</v>
      </c>
      <c r="C16" s="259" t="s">
        <v>208</v>
      </c>
      <c r="D16" s="331" t="s">
        <v>819</v>
      </c>
      <c r="E16" s="332" t="s">
        <v>948</v>
      </c>
      <c r="F16" s="330">
        <v>43313</v>
      </c>
      <c r="G16" s="502">
        <v>18429.830000000002</v>
      </c>
      <c r="I16" s="426">
        <f t="shared" si="3"/>
        <v>18429.830000000002</v>
      </c>
      <c r="J16" s="421" t="s">
        <v>1370</v>
      </c>
      <c r="L16" s="206">
        <f t="shared" si="0"/>
        <v>18429.830000000002</v>
      </c>
      <c r="M16" s="206" t="s">
        <v>1445</v>
      </c>
      <c r="O16" s="206">
        <f t="shared" si="4"/>
        <v>18429.830000000002</v>
      </c>
      <c r="P16" s="418" t="s">
        <v>1520</v>
      </c>
      <c r="R16" s="206">
        <f t="shared" si="5"/>
        <v>18429.830000000002</v>
      </c>
      <c r="S16" s="418" t="s">
        <v>1566</v>
      </c>
      <c r="U16" s="206">
        <f t="shared" si="6"/>
        <v>18429.830000000002</v>
      </c>
      <c r="V16" s="418" t="s">
        <v>1621</v>
      </c>
      <c r="X16" s="206">
        <f t="shared" si="7"/>
        <v>18429.830000000002</v>
      </c>
      <c r="Y16" s="418" t="s">
        <v>1661</v>
      </c>
      <c r="AA16" s="206">
        <f t="shared" si="8"/>
        <v>18429.830000000002</v>
      </c>
      <c r="AB16" s="418" t="s">
        <v>1710</v>
      </c>
      <c r="AD16" s="206">
        <f t="shared" si="9"/>
        <v>18429.830000000002</v>
      </c>
      <c r="AE16" s="418" t="s">
        <v>1744</v>
      </c>
      <c r="AG16" s="206">
        <f t="shared" si="10"/>
        <v>18429.830000000002</v>
      </c>
      <c r="AH16" s="418" t="s">
        <v>1811</v>
      </c>
      <c r="AJ16" s="206">
        <f t="shared" si="11"/>
        <v>18429.830000000002</v>
      </c>
      <c r="AK16" s="418" t="s">
        <v>1859</v>
      </c>
      <c r="AM16" s="206">
        <f t="shared" si="12"/>
        <v>18429.830000000002</v>
      </c>
      <c r="AN16" s="418" t="s">
        <v>1907</v>
      </c>
      <c r="AP16" s="206">
        <f t="shared" si="13"/>
        <v>18429.830000000002</v>
      </c>
      <c r="AQ16" s="418" t="s">
        <v>2008</v>
      </c>
      <c r="AS16" s="206">
        <f t="shared" si="14"/>
        <v>18429.830000000002</v>
      </c>
      <c r="AV16" s="206">
        <f t="shared" si="15"/>
        <v>18429.830000000002</v>
      </c>
      <c r="AW16" s="418" t="s">
        <v>2066</v>
      </c>
      <c r="AY16" s="206">
        <f t="shared" si="16"/>
        <v>18429.830000000002</v>
      </c>
      <c r="AZ16" s="418" t="s">
        <v>2131</v>
      </c>
      <c r="BB16" s="206">
        <f t="shared" si="1"/>
        <v>18429.830000000002</v>
      </c>
      <c r="BC16" s="418" t="s">
        <v>2226</v>
      </c>
      <c r="BE16" s="206">
        <f t="shared" si="17"/>
        <v>18429.830000000002</v>
      </c>
      <c r="BF16" s="418" t="s">
        <v>2261</v>
      </c>
      <c r="BH16" s="206">
        <f t="shared" si="18"/>
        <v>18429.830000000002</v>
      </c>
      <c r="BK16" s="206">
        <f t="shared" si="19"/>
        <v>18429.830000000002</v>
      </c>
      <c r="BL16" s="418" t="s">
        <v>2344</v>
      </c>
      <c r="BM16" s="206">
        <f>BK16</f>
        <v>18429.830000000002</v>
      </c>
      <c r="BN16" s="206">
        <f t="shared" si="20"/>
        <v>0</v>
      </c>
      <c r="BO16" s="418" t="s">
        <v>2338</v>
      </c>
      <c r="BQ16" s="206">
        <f t="shared" si="21"/>
        <v>0</v>
      </c>
      <c r="BT16" s="206">
        <f t="shared" si="22"/>
        <v>0</v>
      </c>
      <c r="BW16" s="206">
        <f t="shared" si="23"/>
        <v>0</v>
      </c>
      <c r="BZ16" s="206">
        <f t="shared" si="24"/>
        <v>0</v>
      </c>
      <c r="CC16" s="418" t="str">
        <f>B16&amp;$B$1</f>
        <v>CU0898001</v>
      </c>
      <c r="CD16" s="442" t="str">
        <f>YEAR(F16)&amp;"年"&amp;MONTH(F16)&amp;"月"</f>
        <v>2018年8月</v>
      </c>
      <c r="CE16" s="418" t="str">
        <f>LEFT(E16,5)&amp;$E$1</f>
        <v>凯易讯网络clife服务费暂估</v>
      </c>
      <c r="CF16" s="418" t="str">
        <f>CD16&amp;CE16</f>
        <v>2018年8月凯易讯网络clife服务费暂估</v>
      </c>
    </row>
    <row r="17" spans="2:84" ht="21.75" customHeight="1">
      <c r="B17" s="418" t="str">
        <f t="shared" si="2"/>
        <v>CU0669</v>
      </c>
      <c r="C17" s="259" t="s">
        <v>736</v>
      </c>
      <c r="D17" s="359" t="s">
        <v>228</v>
      </c>
      <c r="E17" s="359" t="s">
        <v>229</v>
      </c>
      <c r="F17" s="330">
        <v>43344</v>
      </c>
      <c r="G17" s="502">
        <v>805.89</v>
      </c>
      <c r="H17" s="425">
        <f t="shared" ref="H17:H19" si="27">G17</f>
        <v>805.89</v>
      </c>
      <c r="I17" s="426">
        <f t="shared" si="3"/>
        <v>0</v>
      </c>
      <c r="J17" s="421" t="s">
        <v>1370</v>
      </c>
      <c r="L17" s="206">
        <f t="shared" si="0"/>
        <v>0</v>
      </c>
      <c r="M17" s="206" t="s">
        <v>1445</v>
      </c>
      <c r="O17" s="206">
        <f t="shared" si="4"/>
        <v>0</v>
      </c>
      <c r="P17" s="418" t="s">
        <v>1520</v>
      </c>
      <c r="R17" s="206">
        <f t="shared" si="5"/>
        <v>0</v>
      </c>
      <c r="S17" s="418" t="s">
        <v>1566</v>
      </c>
      <c r="U17" s="206">
        <f t="shared" si="6"/>
        <v>0</v>
      </c>
      <c r="V17" s="418" t="s">
        <v>1621</v>
      </c>
      <c r="X17" s="206">
        <f t="shared" si="7"/>
        <v>0</v>
      </c>
      <c r="Y17" s="418" t="s">
        <v>1661</v>
      </c>
      <c r="AA17" s="206">
        <f t="shared" si="8"/>
        <v>0</v>
      </c>
      <c r="AB17" s="418" t="s">
        <v>1710</v>
      </c>
      <c r="AD17" s="206">
        <f t="shared" si="9"/>
        <v>0</v>
      </c>
      <c r="AE17" s="418" t="s">
        <v>1744</v>
      </c>
      <c r="AG17" s="206">
        <f t="shared" si="10"/>
        <v>0</v>
      </c>
      <c r="AH17" s="418" t="s">
        <v>1811</v>
      </c>
      <c r="AJ17" s="206">
        <f t="shared" si="11"/>
        <v>0</v>
      </c>
      <c r="AM17" s="206">
        <f t="shared" si="12"/>
        <v>0</v>
      </c>
      <c r="AN17" s="418" t="s">
        <v>1907</v>
      </c>
      <c r="AP17" s="206">
        <f t="shared" si="13"/>
        <v>0</v>
      </c>
      <c r="AQ17" s="418" t="s">
        <v>2008</v>
      </c>
      <c r="AS17" s="206">
        <f t="shared" si="14"/>
        <v>0</v>
      </c>
      <c r="AV17" s="206">
        <f t="shared" si="15"/>
        <v>0</v>
      </c>
      <c r="AY17" s="206">
        <f t="shared" si="16"/>
        <v>0</v>
      </c>
      <c r="BB17" s="206">
        <f t="shared" si="1"/>
        <v>0</v>
      </c>
      <c r="BE17" s="206">
        <f t="shared" si="17"/>
        <v>0</v>
      </c>
      <c r="BH17" s="206">
        <f t="shared" si="18"/>
        <v>0</v>
      </c>
      <c r="BK17" s="206">
        <f t="shared" si="19"/>
        <v>0</v>
      </c>
      <c r="BN17" s="206">
        <f t="shared" si="20"/>
        <v>0</v>
      </c>
      <c r="BQ17" s="206">
        <f t="shared" si="21"/>
        <v>0</v>
      </c>
      <c r="BT17" s="206">
        <f t="shared" si="22"/>
        <v>0</v>
      </c>
      <c r="BW17" s="206">
        <f t="shared" si="23"/>
        <v>0</v>
      </c>
      <c r="BZ17" s="206">
        <f t="shared" si="24"/>
        <v>0</v>
      </c>
    </row>
    <row r="18" spans="2:84" ht="21.75" customHeight="1">
      <c r="B18" s="418" t="str">
        <f t="shared" si="2"/>
        <v>CU0669</v>
      </c>
      <c r="C18" s="259" t="s">
        <v>736</v>
      </c>
      <c r="D18" s="359" t="s">
        <v>26</v>
      </c>
      <c r="E18" s="359" t="s">
        <v>27</v>
      </c>
      <c r="F18" s="330">
        <v>43344</v>
      </c>
      <c r="G18" s="502">
        <v>26695</v>
      </c>
      <c r="H18" s="425">
        <f t="shared" si="27"/>
        <v>26695</v>
      </c>
      <c r="I18" s="426">
        <f t="shared" si="3"/>
        <v>0</v>
      </c>
      <c r="J18" s="421" t="s">
        <v>1370</v>
      </c>
      <c r="L18" s="206">
        <f t="shared" si="0"/>
        <v>0</v>
      </c>
      <c r="M18" s="206" t="s">
        <v>1445</v>
      </c>
      <c r="O18" s="206">
        <f t="shared" si="4"/>
        <v>0</v>
      </c>
      <c r="P18" s="418" t="s">
        <v>1520</v>
      </c>
      <c r="R18" s="206">
        <f t="shared" si="5"/>
        <v>0</v>
      </c>
      <c r="S18" s="418" t="s">
        <v>1566</v>
      </c>
      <c r="U18" s="206">
        <f t="shared" si="6"/>
        <v>0</v>
      </c>
      <c r="V18" s="418" t="s">
        <v>1621</v>
      </c>
      <c r="X18" s="206">
        <f t="shared" si="7"/>
        <v>0</v>
      </c>
      <c r="Y18" s="418" t="s">
        <v>1661</v>
      </c>
      <c r="AA18" s="206">
        <f t="shared" si="8"/>
        <v>0</v>
      </c>
      <c r="AB18" s="418" t="s">
        <v>1710</v>
      </c>
      <c r="AD18" s="206">
        <f t="shared" si="9"/>
        <v>0</v>
      </c>
      <c r="AE18" s="418" t="s">
        <v>1744</v>
      </c>
      <c r="AG18" s="206">
        <f t="shared" si="10"/>
        <v>0</v>
      </c>
      <c r="AH18" s="418" t="s">
        <v>1811</v>
      </c>
      <c r="AJ18" s="206">
        <f t="shared" si="11"/>
        <v>0</v>
      </c>
      <c r="AM18" s="206">
        <f t="shared" si="12"/>
        <v>0</v>
      </c>
      <c r="AN18" s="418" t="s">
        <v>1907</v>
      </c>
      <c r="AP18" s="206">
        <f t="shared" si="13"/>
        <v>0</v>
      </c>
      <c r="AQ18" s="418" t="s">
        <v>2008</v>
      </c>
      <c r="AS18" s="206">
        <f t="shared" si="14"/>
        <v>0</v>
      </c>
      <c r="AV18" s="206">
        <f t="shared" si="15"/>
        <v>0</v>
      </c>
      <c r="AY18" s="206">
        <f t="shared" si="16"/>
        <v>0</v>
      </c>
      <c r="BB18" s="206">
        <f t="shared" si="1"/>
        <v>0</v>
      </c>
      <c r="BE18" s="206">
        <f t="shared" si="17"/>
        <v>0</v>
      </c>
      <c r="BH18" s="206">
        <f t="shared" si="18"/>
        <v>0</v>
      </c>
      <c r="BK18" s="206">
        <f t="shared" si="19"/>
        <v>0</v>
      </c>
      <c r="BN18" s="206">
        <f t="shared" si="20"/>
        <v>0</v>
      </c>
      <c r="BQ18" s="206">
        <f t="shared" si="21"/>
        <v>0</v>
      </c>
      <c r="BT18" s="206">
        <f t="shared" si="22"/>
        <v>0</v>
      </c>
      <c r="BW18" s="206">
        <f t="shared" si="23"/>
        <v>0</v>
      </c>
      <c r="BZ18" s="206">
        <f t="shared" si="24"/>
        <v>0</v>
      </c>
    </row>
    <row r="19" spans="2:84" ht="21.75" customHeight="1">
      <c r="B19" s="418" t="str">
        <f t="shared" si="2"/>
        <v>CU0669</v>
      </c>
      <c r="C19" s="259" t="s">
        <v>736</v>
      </c>
      <c r="D19" s="359" t="s">
        <v>230</v>
      </c>
      <c r="E19" s="359" t="s">
        <v>231</v>
      </c>
      <c r="F19" s="330">
        <v>43344</v>
      </c>
      <c r="G19" s="502">
        <v>11383.15</v>
      </c>
      <c r="H19" s="425">
        <f t="shared" si="27"/>
        <v>11383.15</v>
      </c>
      <c r="I19" s="426">
        <f t="shared" si="3"/>
        <v>0</v>
      </c>
      <c r="J19" s="421" t="s">
        <v>1370</v>
      </c>
      <c r="L19" s="206">
        <f t="shared" si="0"/>
        <v>0</v>
      </c>
      <c r="M19" s="206" t="s">
        <v>1445</v>
      </c>
      <c r="O19" s="206">
        <f t="shared" si="4"/>
        <v>0</v>
      </c>
      <c r="P19" s="418" t="s">
        <v>1520</v>
      </c>
      <c r="R19" s="206">
        <f t="shared" si="5"/>
        <v>0</v>
      </c>
      <c r="S19" s="418" t="s">
        <v>1566</v>
      </c>
      <c r="U19" s="206">
        <f t="shared" si="6"/>
        <v>0</v>
      </c>
      <c r="V19" s="418" t="s">
        <v>1621</v>
      </c>
      <c r="X19" s="206">
        <f t="shared" si="7"/>
        <v>0</v>
      </c>
      <c r="Y19" s="418" t="s">
        <v>1661</v>
      </c>
      <c r="AA19" s="206">
        <f t="shared" si="8"/>
        <v>0</v>
      </c>
      <c r="AB19" s="418" t="s">
        <v>1710</v>
      </c>
      <c r="AD19" s="206">
        <f t="shared" si="9"/>
        <v>0</v>
      </c>
      <c r="AE19" s="418" t="s">
        <v>1744</v>
      </c>
      <c r="AG19" s="206">
        <f t="shared" si="10"/>
        <v>0</v>
      </c>
      <c r="AH19" s="418" t="s">
        <v>1811</v>
      </c>
      <c r="AJ19" s="206">
        <f t="shared" si="11"/>
        <v>0</v>
      </c>
      <c r="AM19" s="206">
        <f t="shared" si="12"/>
        <v>0</v>
      </c>
      <c r="AN19" s="418" t="s">
        <v>1907</v>
      </c>
      <c r="AP19" s="206">
        <f t="shared" si="13"/>
        <v>0</v>
      </c>
      <c r="AQ19" s="418" t="s">
        <v>2008</v>
      </c>
      <c r="AS19" s="206">
        <f t="shared" si="14"/>
        <v>0</v>
      </c>
      <c r="AV19" s="206">
        <f t="shared" si="15"/>
        <v>0</v>
      </c>
      <c r="AY19" s="206">
        <f t="shared" si="16"/>
        <v>0</v>
      </c>
      <c r="BB19" s="206">
        <f t="shared" si="1"/>
        <v>0</v>
      </c>
      <c r="BE19" s="206">
        <f t="shared" si="17"/>
        <v>0</v>
      </c>
      <c r="BH19" s="206">
        <f t="shared" si="18"/>
        <v>0</v>
      </c>
      <c r="BK19" s="206">
        <f t="shared" si="19"/>
        <v>0</v>
      </c>
      <c r="BN19" s="206">
        <f t="shared" si="20"/>
        <v>0</v>
      </c>
      <c r="BQ19" s="206">
        <f t="shared" si="21"/>
        <v>0</v>
      </c>
      <c r="BT19" s="206">
        <f t="shared" si="22"/>
        <v>0</v>
      </c>
      <c r="BW19" s="206">
        <f t="shared" si="23"/>
        <v>0</v>
      </c>
      <c r="BZ19" s="206">
        <f t="shared" si="24"/>
        <v>0</v>
      </c>
    </row>
    <row r="20" spans="2:84" ht="21.75" customHeight="1">
      <c r="B20" s="418" t="str">
        <f t="shared" si="2"/>
        <v>CU0898</v>
      </c>
      <c r="C20" s="259" t="s">
        <v>208</v>
      </c>
      <c r="D20" s="359" t="s">
        <v>819</v>
      </c>
      <c r="E20" s="359" t="s">
        <v>948</v>
      </c>
      <c r="F20" s="330">
        <v>43344</v>
      </c>
      <c r="G20" s="502">
        <v>18615.990000000002</v>
      </c>
      <c r="I20" s="426">
        <f t="shared" si="3"/>
        <v>18615.990000000002</v>
      </c>
      <c r="J20" s="421" t="s">
        <v>1370</v>
      </c>
      <c r="L20" s="206">
        <f t="shared" si="0"/>
        <v>18615.990000000002</v>
      </c>
      <c r="M20" s="206" t="s">
        <v>1445</v>
      </c>
      <c r="O20" s="206">
        <f t="shared" si="4"/>
        <v>18615.990000000002</v>
      </c>
      <c r="P20" s="418" t="s">
        <v>1520</v>
      </c>
      <c r="R20" s="206">
        <f t="shared" si="5"/>
        <v>18615.990000000002</v>
      </c>
      <c r="S20" s="418" t="s">
        <v>1566</v>
      </c>
      <c r="U20" s="206">
        <f t="shared" si="6"/>
        <v>18615.990000000002</v>
      </c>
      <c r="V20" s="418" t="s">
        <v>1621</v>
      </c>
      <c r="X20" s="206">
        <f t="shared" si="7"/>
        <v>18615.990000000002</v>
      </c>
      <c r="Y20" s="418" t="s">
        <v>1661</v>
      </c>
      <c r="AA20" s="206">
        <f t="shared" si="8"/>
        <v>18615.990000000002</v>
      </c>
      <c r="AB20" s="418" t="s">
        <v>1710</v>
      </c>
      <c r="AD20" s="206">
        <f t="shared" si="9"/>
        <v>18615.990000000002</v>
      </c>
      <c r="AE20" s="418" t="s">
        <v>1744</v>
      </c>
      <c r="AG20" s="206">
        <f t="shared" si="10"/>
        <v>18615.990000000002</v>
      </c>
      <c r="AH20" s="418" t="s">
        <v>1811</v>
      </c>
      <c r="AJ20" s="206">
        <f t="shared" si="11"/>
        <v>18615.990000000002</v>
      </c>
      <c r="AK20" s="418" t="s">
        <v>1859</v>
      </c>
      <c r="AM20" s="206">
        <f t="shared" si="12"/>
        <v>18615.990000000002</v>
      </c>
      <c r="AN20" s="418" t="s">
        <v>1907</v>
      </c>
      <c r="AP20" s="206">
        <f t="shared" si="13"/>
        <v>18615.990000000002</v>
      </c>
      <c r="AQ20" s="418" t="s">
        <v>2008</v>
      </c>
      <c r="AS20" s="206">
        <f t="shared" si="14"/>
        <v>18615.990000000002</v>
      </c>
      <c r="AV20" s="206">
        <f t="shared" si="15"/>
        <v>18615.990000000002</v>
      </c>
      <c r="AW20" s="418" t="s">
        <v>2066</v>
      </c>
      <c r="AY20" s="206">
        <f t="shared" si="16"/>
        <v>18615.990000000002</v>
      </c>
      <c r="AZ20" s="418" t="s">
        <v>2131</v>
      </c>
      <c r="BB20" s="206">
        <f t="shared" si="1"/>
        <v>18615.990000000002</v>
      </c>
      <c r="BC20" s="418" t="s">
        <v>2226</v>
      </c>
      <c r="BE20" s="206">
        <f t="shared" si="17"/>
        <v>18615.990000000002</v>
      </c>
      <c r="BF20" s="418" t="s">
        <v>2261</v>
      </c>
      <c r="BH20" s="206">
        <f t="shared" si="18"/>
        <v>18615.990000000002</v>
      </c>
      <c r="BK20" s="206">
        <f t="shared" si="19"/>
        <v>18615.990000000002</v>
      </c>
      <c r="BL20" s="418" t="s">
        <v>2344</v>
      </c>
      <c r="BM20" s="206">
        <f>BK20</f>
        <v>18615.990000000002</v>
      </c>
      <c r="BN20" s="206">
        <f t="shared" si="20"/>
        <v>0</v>
      </c>
      <c r="BO20" s="418" t="s">
        <v>2338</v>
      </c>
      <c r="BQ20" s="206">
        <f t="shared" si="21"/>
        <v>0</v>
      </c>
      <c r="BT20" s="206">
        <f t="shared" si="22"/>
        <v>0</v>
      </c>
      <c r="BW20" s="206">
        <f t="shared" si="23"/>
        <v>0</v>
      </c>
      <c r="BZ20" s="206">
        <f t="shared" si="24"/>
        <v>0</v>
      </c>
      <c r="CC20" s="418" t="str">
        <f>B20&amp;$B$1</f>
        <v>CU0898001</v>
      </c>
      <c r="CD20" s="442" t="str">
        <f>YEAR(F20)&amp;"年"&amp;MONTH(F20)&amp;"月"</f>
        <v>2018年9月</v>
      </c>
      <c r="CE20" s="418" t="str">
        <f>LEFT(E20,5)&amp;$E$1</f>
        <v>凯易讯网络clife服务费暂估</v>
      </c>
      <c r="CF20" s="418" t="str">
        <f>CD20&amp;CE20</f>
        <v>2018年9月凯易讯网络clife服务费暂估</v>
      </c>
    </row>
    <row r="21" spans="2:84" ht="21.75" customHeight="1">
      <c r="B21" s="418" t="str">
        <f t="shared" si="2"/>
        <v>CU0207</v>
      </c>
      <c r="C21" s="259" t="s">
        <v>736</v>
      </c>
      <c r="D21" s="394" t="s">
        <v>438</v>
      </c>
      <c r="E21" s="306" t="s">
        <v>436</v>
      </c>
      <c r="F21" s="330">
        <v>43374</v>
      </c>
      <c r="G21" s="502">
        <v>22219.330377358488</v>
      </c>
      <c r="H21" s="425">
        <v>22219.33</v>
      </c>
      <c r="I21" s="426">
        <f t="shared" si="3"/>
        <v>3.7735848673037253E-4</v>
      </c>
      <c r="J21" s="421" t="s">
        <v>1370</v>
      </c>
      <c r="L21" s="206">
        <f>I21-K21</f>
        <v>3.7735848673037253E-4</v>
      </c>
      <c r="M21" s="206" t="s">
        <v>1445</v>
      </c>
      <c r="O21" s="206">
        <f t="shared" si="4"/>
        <v>3.7735848673037253E-4</v>
      </c>
      <c r="P21" s="418" t="s">
        <v>1520</v>
      </c>
      <c r="R21" s="206">
        <f t="shared" si="5"/>
        <v>3.7735848673037253E-4</v>
      </c>
      <c r="S21" s="418" t="s">
        <v>1566</v>
      </c>
      <c r="U21" s="206">
        <f t="shared" si="6"/>
        <v>3.7735848673037253E-4</v>
      </c>
      <c r="V21" s="418" t="s">
        <v>1621</v>
      </c>
      <c r="X21" s="206">
        <f t="shared" si="7"/>
        <v>3.7735848673037253E-4</v>
      </c>
      <c r="Y21" s="418" t="s">
        <v>1661</v>
      </c>
      <c r="AA21" s="206">
        <f t="shared" si="8"/>
        <v>3.7735848673037253E-4</v>
      </c>
      <c r="AB21" s="418" t="s">
        <v>1710</v>
      </c>
      <c r="AD21" s="206">
        <f t="shared" si="9"/>
        <v>3.7735848673037253E-4</v>
      </c>
      <c r="AE21" s="418" t="s">
        <v>1744</v>
      </c>
      <c r="AG21" s="206">
        <f t="shared" si="10"/>
        <v>3.7735848673037253E-4</v>
      </c>
      <c r="AH21" s="418" t="s">
        <v>1811</v>
      </c>
      <c r="AJ21" s="206">
        <f t="shared" si="11"/>
        <v>3.7735848673037253E-4</v>
      </c>
      <c r="AM21" s="206">
        <f t="shared" si="12"/>
        <v>3.7735848673037253E-4</v>
      </c>
      <c r="AN21" s="418" t="s">
        <v>1907</v>
      </c>
      <c r="AP21" s="206">
        <f t="shared" si="13"/>
        <v>3.7735848673037253E-4</v>
      </c>
      <c r="AQ21" s="418" t="s">
        <v>2008</v>
      </c>
      <c r="AS21" s="206">
        <f t="shared" si="14"/>
        <v>3.7735848673037253E-4</v>
      </c>
      <c r="AV21" s="206">
        <f t="shared" si="15"/>
        <v>3.7735848673037253E-4</v>
      </c>
      <c r="AY21" s="206">
        <f t="shared" si="16"/>
        <v>3.7735848673037253E-4</v>
      </c>
      <c r="BB21" s="206">
        <f t="shared" si="1"/>
        <v>3.7735848673037253E-4</v>
      </c>
      <c r="BE21" s="206">
        <f t="shared" si="17"/>
        <v>3.7735848673037253E-4</v>
      </c>
      <c r="BH21" s="206">
        <f t="shared" si="18"/>
        <v>3.7735848673037253E-4</v>
      </c>
      <c r="BK21" s="206">
        <f t="shared" si="19"/>
        <v>3.7735848673037253E-4</v>
      </c>
      <c r="BN21" s="206">
        <f t="shared" si="20"/>
        <v>3.7735848673037253E-4</v>
      </c>
      <c r="BQ21" s="206">
        <f t="shared" si="21"/>
        <v>0</v>
      </c>
      <c r="BT21" s="206">
        <f t="shared" si="22"/>
        <v>0</v>
      </c>
      <c r="BW21" s="206">
        <f t="shared" si="23"/>
        <v>0</v>
      </c>
      <c r="BZ21" s="206">
        <f t="shared" si="24"/>
        <v>0</v>
      </c>
    </row>
    <row r="22" spans="2:84" ht="21.75" customHeight="1">
      <c r="B22" s="418" t="str">
        <f t="shared" si="2"/>
        <v>CU0669</v>
      </c>
      <c r="C22" s="259" t="s">
        <v>736</v>
      </c>
      <c r="D22" s="359" t="s">
        <v>228</v>
      </c>
      <c r="E22" s="359" t="s">
        <v>229</v>
      </c>
      <c r="F22" s="330">
        <v>43374</v>
      </c>
      <c r="G22" s="502">
        <v>1007.36</v>
      </c>
      <c r="H22" s="425">
        <f t="shared" ref="H22:H24" si="28">G22</f>
        <v>1007.36</v>
      </c>
      <c r="I22" s="426">
        <f t="shared" si="3"/>
        <v>0</v>
      </c>
      <c r="J22" s="421" t="s">
        <v>1370</v>
      </c>
      <c r="L22" s="206">
        <f t="shared" ref="L22:L44" si="29">I22-K22</f>
        <v>0</v>
      </c>
      <c r="M22" s="206" t="s">
        <v>1445</v>
      </c>
      <c r="O22" s="206">
        <f t="shared" si="4"/>
        <v>0</v>
      </c>
      <c r="P22" s="418" t="s">
        <v>1520</v>
      </c>
      <c r="R22" s="206">
        <f t="shared" si="5"/>
        <v>0</v>
      </c>
      <c r="S22" s="418" t="s">
        <v>1566</v>
      </c>
      <c r="U22" s="206">
        <f t="shared" si="6"/>
        <v>0</v>
      </c>
      <c r="V22" s="418" t="s">
        <v>1621</v>
      </c>
      <c r="X22" s="206">
        <f t="shared" si="7"/>
        <v>0</v>
      </c>
      <c r="Y22" s="418" t="s">
        <v>1661</v>
      </c>
      <c r="AA22" s="206">
        <f t="shared" si="8"/>
        <v>0</v>
      </c>
      <c r="AB22" s="418" t="s">
        <v>1710</v>
      </c>
      <c r="AD22" s="206">
        <f t="shared" si="9"/>
        <v>0</v>
      </c>
      <c r="AE22" s="418" t="s">
        <v>1744</v>
      </c>
      <c r="AG22" s="206">
        <f t="shared" si="10"/>
        <v>0</v>
      </c>
      <c r="AH22" s="418" t="s">
        <v>1811</v>
      </c>
      <c r="AJ22" s="206">
        <f t="shared" si="11"/>
        <v>0</v>
      </c>
      <c r="AM22" s="206">
        <f t="shared" si="12"/>
        <v>0</v>
      </c>
      <c r="AN22" s="418" t="s">
        <v>1907</v>
      </c>
      <c r="AP22" s="206">
        <f t="shared" si="13"/>
        <v>0</v>
      </c>
      <c r="AQ22" s="418" t="s">
        <v>2008</v>
      </c>
      <c r="AS22" s="206">
        <f t="shared" si="14"/>
        <v>0</v>
      </c>
      <c r="AV22" s="206">
        <f t="shared" si="15"/>
        <v>0</v>
      </c>
      <c r="AY22" s="206">
        <f t="shared" si="16"/>
        <v>0</v>
      </c>
      <c r="BB22" s="206">
        <f t="shared" si="1"/>
        <v>0</v>
      </c>
      <c r="BE22" s="206">
        <f t="shared" si="17"/>
        <v>0</v>
      </c>
      <c r="BH22" s="206">
        <f t="shared" si="18"/>
        <v>0</v>
      </c>
      <c r="BK22" s="206">
        <f t="shared" si="19"/>
        <v>0</v>
      </c>
      <c r="BN22" s="206">
        <f t="shared" si="20"/>
        <v>0</v>
      </c>
      <c r="BQ22" s="206">
        <f t="shared" si="21"/>
        <v>0</v>
      </c>
      <c r="BT22" s="206">
        <f t="shared" si="22"/>
        <v>0</v>
      </c>
      <c r="BW22" s="206">
        <f t="shared" si="23"/>
        <v>0</v>
      </c>
      <c r="BZ22" s="206">
        <f t="shared" si="24"/>
        <v>0</v>
      </c>
    </row>
    <row r="23" spans="2:84" ht="21.75" customHeight="1">
      <c r="B23" s="418" t="str">
        <f t="shared" si="2"/>
        <v>CU0669</v>
      </c>
      <c r="C23" s="259" t="s">
        <v>736</v>
      </c>
      <c r="D23" s="359" t="s">
        <v>26</v>
      </c>
      <c r="E23" s="359" t="s">
        <v>27</v>
      </c>
      <c r="F23" s="330">
        <v>43374</v>
      </c>
      <c r="G23" s="502">
        <v>26695</v>
      </c>
      <c r="H23" s="425">
        <f t="shared" si="28"/>
        <v>26695</v>
      </c>
      <c r="I23" s="426">
        <f t="shared" si="3"/>
        <v>0</v>
      </c>
      <c r="J23" s="421" t="s">
        <v>1370</v>
      </c>
      <c r="L23" s="206">
        <f t="shared" si="29"/>
        <v>0</v>
      </c>
      <c r="M23" s="206" t="s">
        <v>1445</v>
      </c>
      <c r="O23" s="206">
        <f t="shared" si="4"/>
        <v>0</v>
      </c>
      <c r="P23" s="418" t="s">
        <v>1520</v>
      </c>
      <c r="R23" s="206">
        <f t="shared" si="5"/>
        <v>0</v>
      </c>
      <c r="S23" s="418" t="s">
        <v>1566</v>
      </c>
      <c r="U23" s="206">
        <f t="shared" si="6"/>
        <v>0</v>
      </c>
      <c r="V23" s="418" t="s">
        <v>1621</v>
      </c>
      <c r="X23" s="206">
        <f t="shared" si="7"/>
        <v>0</v>
      </c>
      <c r="Y23" s="418" t="s">
        <v>1661</v>
      </c>
      <c r="AA23" s="206">
        <f t="shared" si="8"/>
        <v>0</v>
      </c>
      <c r="AB23" s="418" t="s">
        <v>1710</v>
      </c>
      <c r="AD23" s="206">
        <f t="shared" si="9"/>
        <v>0</v>
      </c>
      <c r="AE23" s="418" t="s">
        <v>1744</v>
      </c>
      <c r="AG23" s="206">
        <f t="shared" si="10"/>
        <v>0</v>
      </c>
      <c r="AH23" s="418" t="s">
        <v>1811</v>
      </c>
      <c r="AJ23" s="206">
        <f t="shared" si="11"/>
        <v>0</v>
      </c>
      <c r="AM23" s="206">
        <f t="shared" si="12"/>
        <v>0</v>
      </c>
      <c r="AN23" s="418" t="s">
        <v>1907</v>
      </c>
      <c r="AP23" s="206">
        <f t="shared" si="13"/>
        <v>0</v>
      </c>
      <c r="AQ23" s="418" t="s">
        <v>2008</v>
      </c>
      <c r="AS23" s="206">
        <f t="shared" si="14"/>
        <v>0</v>
      </c>
      <c r="AV23" s="206">
        <f t="shared" si="15"/>
        <v>0</v>
      </c>
      <c r="AY23" s="206">
        <f t="shared" si="16"/>
        <v>0</v>
      </c>
      <c r="BB23" s="206">
        <f t="shared" si="1"/>
        <v>0</v>
      </c>
      <c r="BE23" s="206">
        <f t="shared" si="17"/>
        <v>0</v>
      </c>
      <c r="BH23" s="206">
        <f t="shared" si="18"/>
        <v>0</v>
      </c>
      <c r="BK23" s="206">
        <f t="shared" si="19"/>
        <v>0</v>
      </c>
      <c r="BN23" s="206">
        <f t="shared" si="20"/>
        <v>0</v>
      </c>
      <c r="BQ23" s="206">
        <f t="shared" si="21"/>
        <v>0</v>
      </c>
      <c r="BT23" s="206">
        <f t="shared" si="22"/>
        <v>0</v>
      </c>
      <c r="BW23" s="206">
        <f t="shared" si="23"/>
        <v>0</v>
      </c>
      <c r="BZ23" s="206">
        <f t="shared" si="24"/>
        <v>0</v>
      </c>
    </row>
    <row r="24" spans="2:84" ht="21.75" customHeight="1">
      <c r="B24" s="418" t="str">
        <f t="shared" si="2"/>
        <v>CU0669</v>
      </c>
      <c r="C24" s="259" t="s">
        <v>736</v>
      </c>
      <c r="D24" s="359" t="s">
        <v>230</v>
      </c>
      <c r="E24" s="359" t="s">
        <v>231</v>
      </c>
      <c r="F24" s="330">
        <v>43374</v>
      </c>
      <c r="G24" s="502">
        <v>11383.15</v>
      </c>
      <c r="H24" s="425">
        <f t="shared" si="28"/>
        <v>11383.15</v>
      </c>
      <c r="I24" s="426">
        <f t="shared" si="3"/>
        <v>0</v>
      </c>
      <c r="J24" s="421" t="s">
        <v>1370</v>
      </c>
      <c r="L24" s="206">
        <f t="shared" si="29"/>
        <v>0</v>
      </c>
      <c r="M24" s="206" t="s">
        <v>1445</v>
      </c>
      <c r="O24" s="206">
        <f t="shared" si="4"/>
        <v>0</v>
      </c>
      <c r="P24" s="418" t="s">
        <v>1520</v>
      </c>
      <c r="R24" s="206">
        <f t="shared" si="5"/>
        <v>0</v>
      </c>
      <c r="S24" s="418" t="s">
        <v>1566</v>
      </c>
      <c r="U24" s="206">
        <f t="shared" si="6"/>
        <v>0</v>
      </c>
      <c r="V24" s="418" t="s">
        <v>1621</v>
      </c>
      <c r="X24" s="206">
        <f t="shared" si="7"/>
        <v>0</v>
      </c>
      <c r="Y24" s="418" t="s">
        <v>1661</v>
      </c>
      <c r="AA24" s="206">
        <f t="shared" si="8"/>
        <v>0</v>
      </c>
      <c r="AB24" s="418" t="s">
        <v>1710</v>
      </c>
      <c r="AD24" s="206">
        <f t="shared" si="9"/>
        <v>0</v>
      </c>
      <c r="AE24" s="418" t="s">
        <v>1744</v>
      </c>
      <c r="AG24" s="206">
        <f t="shared" si="10"/>
        <v>0</v>
      </c>
      <c r="AH24" s="418" t="s">
        <v>1811</v>
      </c>
      <c r="AJ24" s="206">
        <f t="shared" si="11"/>
        <v>0</v>
      </c>
      <c r="AM24" s="206">
        <f t="shared" si="12"/>
        <v>0</v>
      </c>
      <c r="AN24" s="418" t="s">
        <v>1907</v>
      </c>
      <c r="AP24" s="206">
        <f t="shared" si="13"/>
        <v>0</v>
      </c>
      <c r="AQ24" s="418" t="s">
        <v>2008</v>
      </c>
      <c r="AS24" s="206">
        <f t="shared" si="14"/>
        <v>0</v>
      </c>
      <c r="AV24" s="206">
        <f t="shared" si="15"/>
        <v>0</v>
      </c>
      <c r="AY24" s="206">
        <f t="shared" si="16"/>
        <v>0</v>
      </c>
      <c r="BB24" s="206">
        <f t="shared" si="1"/>
        <v>0</v>
      </c>
      <c r="BE24" s="206">
        <f t="shared" si="17"/>
        <v>0</v>
      </c>
      <c r="BH24" s="206">
        <f t="shared" si="18"/>
        <v>0</v>
      </c>
      <c r="BK24" s="206">
        <f t="shared" si="19"/>
        <v>0</v>
      </c>
      <c r="BN24" s="206">
        <f t="shared" si="20"/>
        <v>0</v>
      </c>
      <c r="BQ24" s="206">
        <f t="shared" si="21"/>
        <v>0</v>
      </c>
      <c r="BT24" s="206">
        <f t="shared" si="22"/>
        <v>0</v>
      </c>
      <c r="BW24" s="206">
        <f t="shared" si="23"/>
        <v>0</v>
      </c>
      <c r="BZ24" s="206">
        <f t="shared" si="24"/>
        <v>0</v>
      </c>
    </row>
    <row r="25" spans="2:84" ht="21.75" customHeight="1">
      <c r="B25" s="418" t="str">
        <f t="shared" si="2"/>
        <v>CU0898</v>
      </c>
      <c r="C25" s="259" t="s">
        <v>208</v>
      </c>
      <c r="D25" s="359" t="s">
        <v>819</v>
      </c>
      <c r="E25" s="359" t="s">
        <v>948</v>
      </c>
      <c r="F25" s="330">
        <v>43374</v>
      </c>
      <c r="G25" s="502">
        <v>18495.099999999999</v>
      </c>
      <c r="I25" s="426">
        <f t="shared" si="3"/>
        <v>18495.099999999999</v>
      </c>
      <c r="J25" s="421" t="s">
        <v>1370</v>
      </c>
      <c r="L25" s="206">
        <f t="shared" si="29"/>
        <v>18495.099999999999</v>
      </c>
      <c r="M25" s="206" t="s">
        <v>1445</v>
      </c>
      <c r="O25" s="206">
        <f t="shared" si="4"/>
        <v>18495.099999999999</v>
      </c>
      <c r="P25" s="418" t="s">
        <v>1520</v>
      </c>
      <c r="R25" s="206">
        <f t="shared" si="5"/>
        <v>18495.099999999999</v>
      </c>
      <c r="S25" s="418" t="s">
        <v>1566</v>
      </c>
      <c r="U25" s="206">
        <f t="shared" si="6"/>
        <v>18495.099999999999</v>
      </c>
      <c r="V25" s="418" t="s">
        <v>1621</v>
      </c>
      <c r="X25" s="206">
        <f t="shared" si="7"/>
        <v>18495.099999999999</v>
      </c>
      <c r="Y25" s="418" t="s">
        <v>1661</v>
      </c>
      <c r="AA25" s="206">
        <f t="shared" si="8"/>
        <v>18495.099999999999</v>
      </c>
      <c r="AB25" s="418" t="s">
        <v>1710</v>
      </c>
      <c r="AD25" s="206">
        <f t="shared" si="9"/>
        <v>18495.099999999999</v>
      </c>
      <c r="AE25" s="418" t="s">
        <v>1744</v>
      </c>
      <c r="AG25" s="206">
        <f t="shared" si="10"/>
        <v>18495.099999999999</v>
      </c>
      <c r="AH25" s="418" t="s">
        <v>1811</v>
      </c>
      <c r="AJ25" s="206">
        <f t="shared" si="11"/>
        <v>18495.099999999999</v>
      </c>
      <c r="AK25" s="418" t="s">
        <v>1859</v>
      </c>
      <c r="AM25" s="206">
        <f t="shared" si="12"/>
        <v>18495.099999999999</v>
      </c>
      <c r="AN25" s="418" t="s">
        <v>1907</v>
      </c>
      <c r="AP25" s="206">
        <f t="shared" si="13"/>
        <v>18495.099999999999</v>
      </c>
      <c r="AQ25" s="418" t="s">
        <v>2008</v>
      </c>
      <c r="AS25" s="206">
        <f t="shared" si="14"/>
        <v>18495.099999999999</v>
      </c>
      <c r="AV25" s="206">
        <f t="shared" si="15"/>
        <v>18495.099999999999</v>
      </c>
      <c r="AW25" s="418" t="s">
        <v>2066</v>
      </c>
      <c r="AY25" s="206">
        <f t="shared" si="16"/>
        <v>18495.099999999999</v>
      </c>
      <c r="AZ25" s="418" t="s">
        <v>2131</v>
      </c>
      <c r="BB25" s="206">
        <f t="shared" si="1"/>
        <v>18495.099999999999</v>
      </c>
      <c r="BC25" s="418" t="s">
        <v>2226</v>
      </c>
      <c r="BE25" s="206">
        <f t="shared" si="17"/>
        <v>18495.099999999999</v>
      </c>
      <c r="BF25" s="418" t="s">
        <v>2261</v>
      </c>
      <c r="BH25" s="206">
        <f t="shared" si="18"/>
        <v>18495.099999999999</v>
      </c>
      <c r="BK25" s="206">
        <f t="shared" si="19"/>
        <v>18495.099999999999</v>
      </c>
      <c r="BL25" s="418" t="s">
        <v>2344</v>
      </c>
      <c r="BM25" s="206">
        <f>BK25</f>
        <v>18495.099999999999</v>
      </c>
      <c r="BN25" s="206">
        <f t="shared" si="20"/>
        <v>0</v>
      </c>
      <c r="BO25" s="418" t="s">
        <v>2338</v>
      </c>
      <c r="BQ25" s="206">
        <f t="shared" si="21"/>
        <v>0</v>
      </c>
      <c r="BT25" s="206">
        <f t="shared" si="22"/>
        <v>0</v>
      </c>
      <c r="BW25" s="206">
        <f t="shared" si="23"/>
        <v>0</v>
      </c>
      <c r="BZ25" s="206">
        <f t="shared" si="24"/>
        <v>0</v>
      </c>
      <c r="CC25" s="418" t="str">
        <f>B25&amp;$B$1</f>
        <v>CU0898001</v>
      </c>
      <c r="CD25" s="442" t="str">
        <f>YEAR(F25)&amp;"年"&amp;MONTH(F25)&amp;"月"</f>
        <v>2018年10月</v>
      </c>
      <c r="CE25" s="418" t="str">
        <f>LEFT(E25,5)&amp;$E$1</f>
        <v>凯易讯网络clife服务费暂估</v>
      </c>
      <c r="CF25" s="418" t="str">
        <f>CD25&amp;CE25</f>
        <v>2018年10月凯易讯网络clife服务费暂估</v>
      </c>
    </row>
    <row r="26" spans="2:84" ht="21.75" customHeight="1">
      <c r="B26" s="418" t="str">
        <f t="shared" si="2"/>
        <v>CU0207</v>
      </c>
      <c r="C26" s="259" t="s">
        <v>736</v>
      </c>
      <c r="D26" s="394" t="s">
        <v>438</v>
      </c>
      <c r="E26" s="306" t="s">
        <v>436</v>
      </c>
      <c r="F26" s="330">
        <v>43405</v>
      </c>
      <c r="G26" s="502">
        <v>29931.558490566036</v>
      </c>
      <c r="H26" s="425">
        <f>11900/1.06</f>
        <v>11226.415094339622</v>
      </c>
      <c r="I26" s="426">
        <f t="shared" si="3"/>
        <v>18705.143396226413</v>
      </c>
      <c r="J26" s="421" t="s">
        <v>1370</v>
      </c>
      <c r="K26" s="132">
        <f>10000</f>
        <v>10000</v>
      </c>
      <c r="L26" s="206">
        <f t="shared" si="29"/>
        <v>8705.1433962264127</v>
      </c>
      <c r="M26" s="206" t="s">
        <v>1445</v>
      </c>
      <c r="O26" s="206">
        <f t="shared" si="4"/>
        <v>8705.1433962264127</v>
      </c>
      <c r="P26" s="418" t="s">
        <v>1520</v>
      </c>
      <c r="R26" s="206">
        <f t="shared" si="5"/>
        <v>8705.1433962264127</v>
      </c>
      <c r="S26" s="418" t="s">
        <v>1566</v>
      </c>
      <c r="U26" s="206">
        <f t="shared" si="6"/>
        <v>8705.1433962264127</v>
      </c>
      <c r="V26" s="418" t="s">
        <v>1621</v>
      </c>
      <c r="W26" s="206">
        <f>U26</f>
        <v>8705.1433962264127</v>
      </c>
      <c r="X26" s="206">
        <f t="shared" si="7"/>
        <v>0</v>
      </c>
      <c r="Y26" s="418" t="s">
        <v>1661</v>
      </c>
      <c r="AA26" s="206">
        <f t="shared" si="8"/>
        <v>0</v>
      </c>
      <c r="AB26" s="418" t="s">
        <v>1710</v>
      </c>
      <c r="AD26" s="206">
        <f t="shared" si="9"/>
        <v>0</v>
      </c>
      <c r="AE26" s="418" t="s">
        <v>1744</v>
      </c>
      <c r="AG26" s="206">
        <f t="shared" si="10"/>
        <v>0</v>
      </c>
      <c r="AH26" s="418" t="s">
        <v>1811</v>
      </c>
      <c r="AJ26" s="206">
        <f t="shared" si="11"/>
        <v>0</v>
      </c>
      <c r="AM26" s="206">
        <f t="shared" si="12"/>
        <v>0</v>
      </c>
      <c r="AN26" s="418" t="s">
        <v>1907</v>
      </c>
      <c r="AP26" s="206">
        <f t="shared" si="13"/>
        <v>0</v>
      </c>
      <c r="AQ26" s="418" t="s">
        <v>2008</v>
      </c>
      <c r="AS26" s="206">
        <f t="shared" si="14"/>
        <v>0</v>
      </c>
      <c r="AV26" s="206">
        <f t="shared" si="15"/>
        <v>0</v>
      </c>
      <c r="AY26" s="206">
        <f t="shared" si="16"/>
        <v>0</v>
      </c>
      <c r="BB26" s="206">
        <f t="shared" si="1"/>
        <v>0</v>
      </c>
      <c r="BE26" s="206">
        <f t="shared" si="17"/>
        <v>0</v>
      </c>
      <c r="BH26" s="206">
        <f t="shared" si="18"/>
        <v>0</v>
      </c>
      <c r="BK26" s="206">
        <f t="shared" si="19"/>
        <v>0</v>
      </c>
      <c r="BN26" s="206">
        <f t="shared" si="20"/>
        <v>0</v>
      </c>
      <c r="BQ26" s="206">
        <f t="shared" si="21"/>
        <v>0</v>
      </c>
      <c r="BT26" s="206">
        <f t="shared" si="22"/>
        <v>0</v>
      </c>
      <c r="BW26" s="206">
        <f t="shared" si="23"/>
        <v>0</v>
      </c>
      <c r="BZ26" s="206">
        <f t="shared" si="24"/>
        <v>0</v>
      </c>
    </row>
    <row r="27" spans="2:84" ht="21.75" customHeight="1">
      <c r="B27" s="418" t="str">
        <f t="shared" si="2"/>
        <v>CU0669</v>
      </c>
      <c r="C27" s="259" t="s">
        <v>736</v>
      </c>
      <c r="D27" s="359" t="s">
        <v>228</v>
      </c>
      <c r="E27" s="359" t="s">
        <v>229</v>
      </c>
      <c r="F27" s="330">
        <v>43405</v>
      </c>
      <c r="G27" s="502">
        <v>977.14</v>
      </c>
      <c r="H27" s="425">
        <f t="shared" ref="H27:H29" si="30">G27</f>
        <v>977.14</v>
      </c>
      <c r="I27" s="426">
        <f t="shared" si="3"/>
        <v>0</v>
      </c>
      <c r="J27" s="421" t="s">
        <v>1370</v>
      </c>
      <c r="L27" s="206">
        <f t="shared" si="29"/>
        <v>0</v>
      </c>
      <c r="M27" s="206" t="s">
        <v>1445</v>
      </c>
      <c r="O27" s="206">
        <f t="shared" si="4"/>
        <v>0</v>
      </c>
      <c r="P27" s="418" t="s">
        <v>1520</v>
      </c>
      <c r="R27" s="206">
        <f t="shared" si="5"/>
        <v>0</v>
      </c>
      <c r="S27" s="418" t="s">
        <v>1566</v>
      </c>
      <c r="U27" s="206">
        <f t="shared" si="6"/>
        <v>0</v>
      </c>
      <c r="V27" s="418" t="s">
        <v>1621</v>
      </c>
      <c r="X27" s="206">
        <f t="shared" si="7"/>
        <v>0</v>
      </c>
      <c r="Y27" s="418" t="s">
        <v>1661</v>
      </c>
      <c r="AA27" s="206">
        <f t="shared" si="8"/>
        <v>0</v>
      </c>
      <c r="AB27" s="418" t="s">
        <v>1710</v>
      </c>
      <c r="AD27" s="206">
        <f t="shared" si="9"/>
        <v>0</v>
      </c>
      <c r="AE27" s="418" t="s">
        <v>1744</v>
      </c>
      <c r="AG27" s="206">
        <f t="shared" si="10"/>
        <v>0</v>
      </c>
      <c r="AH27" s="418" t="s">
        <v>1811</v>
      </c>
      <c r="AJ27" s="206">
        <f t="shared" si="11"/>
        <v>0</v>
      </c>
      <c r="AM27" s="206">
        <f t="shared" si="12"/>
        <v>0</v>
      </c>
      <c r="AN27" s="418" t="s">
        <v>1907</v>
      </c>
      <c r="AP27" s="206">
        <f t="shared" si="13"/>
        <v>0</v>
      </c>
      <c r="AQ27" s="418" t="s">
        <v>2008</v>
      </c>
      <c r="AS27" s="206">
        <f t="shared" si="14"/>
        <v>0</v>
      </c>
      <c r="AV27" s="206">
        <f t="shared" si="15"/>
        <v>0</v>
      </c>
      <c r="AY27" s="206">
        <f t="shared" si="16"/>
        <v>0</v>
      </c>
      <c r="BB27" s="206">
        <f t="shared" si="1"/>
        <v>0</v>
      </c>
      <c r="BE27" s="206">
        <f t="shared" si="17"/>
        <v>0</v>
      </c>
      <c r="BH27" s="206">
        <f t="shared" si="18"/>
        <v>0</v>
      </c>
      <c r="BK27" s="206">
        <f t="shared" si="19"/>
        <v>0</v>
      </c>
      <c r="BN27" s="206">
        <f t="shared" si="20"/>
        <v>0</v>
      </c>
      <c r="BQ27" s="206">
        <f t="shared" si="21"/>
        <v>0</v>
      </c>
      <c r="BT27" s="206">
        <f t="shared" si="22"/>
        <v>0</v>
      </c>
      <c r="BW27" s="206">
        <f t="shared" si="23"/>
        <v>0</v>
      </c>
      <c r="BZ27" s="206">
        <f t="shared" si="24"/>
        <v>0</v>
      </c>
    </row>
    <row r="28" spans="2:84" ht="21.75" customHeight="1">
      <c r="B28" s="418" t="str">
        <f t="shared" si="2"/>
        <v>CU0669</v>
      </c>
      <c r="C28" s="259" t="s">
        <v>736</v>
      </c>
      <c r="D28" s="359" t="s">
        <v>26</v>
      </c>
      <c r="E28" s="359" t="s">
        <v>27</v>
      </c>
      <c r="F28" s="330">
        <v>43405</v>
      </c>
      <c r="G28" s="502">
        <v>25894.15</v>
      </c>
      <c r="H28" s="425">
        <f t="shared" si="30"/>
        <v>25894.15</v>
      </c>
      <c r="I28" s="426">
        <f t="shared" si="3"/>
        <v>0</v>
      </c>
      <c r="J28" s="421" t="s">
        <v>1370</v>
      </c>
      <c r="L28" s="206">
        <f t="shared" si="29"/>
        <v>0</v>
      </c>
      <c r="M28" s="206" t="s">
        <v>1445</v>
      </c>
      <c r="O28" s="206">
        <f t="shared" si="4"/>
        <v>0</v>
      </c>
      <c r="P28" s="418" t="s">
        <v>1520</v>
      </c>
      <c r="R28" s="206">
        <f t="shared" si="5"/>
        <v>0</v>
      </c>
      <c r="S28" s="418" t="s">
        <v>1566</v>
      </c>
      <c r="U28" s="206">
        <f t="shared" si="6"/>
        <v>0</v>
      </c>
      <c r="V28" s="418" t="s">
        <v>1621</v>
      </c>
      <c r="X28" s="206">
        <f t="shared" si="7"/>
        <v>0</v>
      </c>
      <c r="Y28" s="418" t="s">
        <v>1661</v>
      </c>
      <c r="AA28" s="206">
        <f t="shared" si="8"/>
        <v>0</v>
      </c>
      <c r="AB28" s="418" t="s">
        <v>1710</v>
      </c>
      <c r="AD28" s="206">
        <f t="shared" si="9"/>
        <v>0</v>
      </c>
      <c r="AE28" s="418" t="s">
        <v>1744</v>
      </c>
      <c r="AG28" s="206">
        <f t="shared" si="10"/>
        <v>0</v>
      </c>
      <c r="AH28" s="418" t="s">
        <v>1811</v>
      </c>
      <c r="AJ28" s="206">
        <f t="shared" si="11"/>
        <v>0</v>
      </c>
      <c r="AM28" s="206">
        <f t="shared" si="12"/>
        <v>0</v>
      </c>
      <c r="AN28" s="418" t="s">
        <v>1907</v>
      </c>
      <c r="AP28" s="206">
        <f t="shared" si="13"/>
        <v>0</v>
      </c>
      <c r="AQ28" s="418" t="s">
        <v>2008</v>
      </c>
      <c r="AS28" s="206">
        <f t="shared" si="14"/>
        <v>0</v>
      </c>
      <c r="AV28" s="206">
        <f t="shared" si="15"/>
        <v>0</v>
      </c>
      <c r="AY28" s="206">
        <f t="shared" si="16"/>
        <v>0</v>
      </c>
      <c r="BB28" s="206">
        <f t="shared" si="1"/>
        <v>0</v>
      </c>
      <c r="BE28" s="206">
        <f t="shared" si="17"/>
        <v>0</v>
      </c>
      <c r="BH28" s="206">
        <f t="shared" si="18"/>
        <v>0</v>
      </c>
      <c r="BK28" s="206">
        <f t="shared" si="19"/>
        <v>0</v>
      </c>
      <c r="BN28" s="206">
        <f t="shared" si="20"/>
        <v>0</v>
      </c>
      <c r="BQ28" s="206">
        <f t="shared" si="21"/>
        <v>0</v>
      </c>
      <c r="BT28" s="206">
        <f t="shared" si="22"/>
        <v>0</v>
      </c>
      <c r="BW28" s="206">
        <f t="shared" si="23"/>
        <v>0</v>
      </c>
      <c r="BZ28" s="206">
        <f t="shared" si="24"/>
        <v>0</v>
      </c>
    </row>
    <row r="29" spans="2:84" ht="21.75" customHeight="1">
      <c r="B29" s="418" t="str">
        <f t="shared" si="2"/>
        <v>CU0669</v>
      </c>
      <c r="C29" s="259" t="s">
        <v>736</v>
      </c>
      <c r="D29" s="359" t="s">
        <v>230</v>
      </c>
      <c r="E29" s="359" t="s">
        <v>231</v>
      </c>
      <c r="F29" s="330">
        <v>43405</v>
      </c>
      <c r="G29" s="502">
        <v>10943.95</v>
      </c>
      <c r="H29" s="425">
        <f t="shared" si="30"/>
        <v>10943.95</v>
      </c>
      <c r="I29" s="426">
        <f t="shared" si="3"/>
        <v>0</v>
      </c>
      <c r="J29" s="421" t="s">
        <v>1370</v>
      </c>
      <c r="L29" s="206">
        <f t="shared" si="29"/>
        <v>0</v>
      </c>
      <c r="M29" s="206" t="s">
        <v>1445</v>
      </c>
      <c r="O29" s="206">
        <f t="shared" si="4"/>
        <v>0</v>
      </c>
      <c r="P29" s="418" t="s">
        <v>1520</v>
      </c>
      <c r="R29" s="206">
        <f t="shared" si="5"/>
        <v>0</v>
      </c>
      <c r="S29" s="418" t="s">
        <v>1566</v>
      </c>
      <c r="U29" s="206">
        <f t="shared" si="6"/>
        <v>0</v>
      </c>
      <c r="V29" s="418" t="s">
        <v>1621</v>
      </c>
      <c r="X29" s="206">
        <f t="shared" si="7"/>
        <v>0</v>
      </c>
      <c r="Y29" s="418" t="s">
        <v>1661</v>
      </c>
      <c r="AA29" s="206">
        <f t="shared" si="8"/>
        <v>0</v>
      </c>
      <c r="AB29" s="418" t="s">
        <v>1710</v>
      </c>
      <c r="AD29" s="206">
        <f t="shared" si="9"/>
        <v>0</v>
      </c>
      <c r="AE29" s="418" t="s">
        <v>1744</v>
      </c>
      <c r="AG29" s="206">
        <f t="shared" si="10"/>
        <v>0</v>
      </c>
      <c r="AH29" s="418" t="s">
        <v>1811</v>
      </c>
      <c r="AJ29" s="206">
        <f t="shared" si="11"/>
        <v>0</v>
      </c>
      <c r="AM29" s="206">
        <f t="shared" si="12"/>
        <v>0</v>
      </c>
      <c r="AN29" s="418" t="s">
        <v>1907</v>
      </c>
      <c r="AP29" s="206">
        <f t="shared" si="13"/>
        <v>0</v>
      </c>
      <c r="AQ29" s="418" t="s">
        <v>2008</v>
      </c>
      <c r="AS29" s="206">
        <f t="shared" si="14"/>
        <v>0</v>
      </c>
      <c r="AV29" s="206">
        <f t="shared" si="15"/>
        <v>0</v>
      </c>
      <c r="AY29" s="206">
        <f t="shared" si="16"/>
        <v>0</v>
      </c>
      <c r="BB29" s="206">
        <f t="shared" si="1"/>
        <v>0</v>
      </c>
      <c r="BE29" s="206">
        <f t="shared" si="17"/>
        <v>0</v>
      </c>
      <c r="BH29" s="206">
        <f t="shared" si="18"/>
        <v>0</v>
      </c>
      <c r="BK29" s="206">
        <f t="shared" si="19"/>
        <v>0</v>
      </c>
      <c r="BN29" s="206">
        <f t="shared" si="20"/>
        <v>0</v>
      </c>
      <c r="BQ29" s="206">
        <f t="shared" si="21"/>
        <v>0</v>
      </c>
      <c r="BT29" s="206">
        <f t="shared" si="22"/>
        <v>0</v>
      </c>
      <c r="BW29" s="206">
        <f t="shared" si="23"/>
        <v>0</v>
      </c>
      <c r="BZ29" s="206">
        <f t="shared" si="24"/>
        <v>0</v>
      </c>
    </row>
    <row r="30" spans="2:84" ht="21.75" customHeight="1">
      <c r="B30" s="418" t="str">
        <f t="shared" si="2"/>
        <v>CU0898</v>
      </c>
      <c r="C30" s="259" t="s">
        <v>208</v>
      </c>
      <c r="D30" s="359" t="s">
        <v>819</v>
      </c>
      <c r="E30" s="359" t="s">
        <v>948</v>
      </c>
      <c r="F30" s="330">
        <v>43405</v>
      </c>
      <c r="G30" s="502">
        <v>18006.73</v>
      </c>
      <c r="I30" s="426">
        <f t="shared" si="3"/>
        <v>18006.73</v>
      </c>
      <c r="J30" s="421" t="s">
        <v>1370</v>
      </c>
      <c r="L30" s="206">
        <f t="shared" si="29"/>
        <v>18006.73</v>
      </c>
      <c r="M30" s="206" t="s">
        <v>1445</v>
      </c>
      <c r="O30" s="206">
        <f t="shared" si="4"/>
        <v>18006.73</v>
      </c>
      <c r="P30" s="418" t="s">
        <v>1520</v>
      </c>
      <c r="R30" s="206">
        <f t="shared" si="5"/>
        <v>18006.73</v>
      </c>
      <c r="S30" s="418" t="s">
        <v>1566</v>
      </c>
      <c r="U30" s="206">
        <f t="shared" si="6"/>
        <v>18006.73</v>
      </c>
      <c r="V30" s="418" t="s">
        <v>1621</v>
      </c>
      <c r="X30" s="206">
        <f t="shared" si="7"/>
        <v>18006.73</v>
      </c>
      <c r="Y30" s="418" t="s">
        <v>1661</v>
      </c>
      <c r="AA30" s="206">
        <f t="shared" si="8"/>
        <v>18006.73</v>
      </c>
      <c r="AB30" s="418" t="s">
        <v>1710</v>
      </c>
      <c r="AD30" s="206">
        <f t="shared" si="9"/>
        <v>18006.73</v>
      </c>
      <c r="AE30" s="418" t="s">
        <v>1744</v>
      </c>
      <c r="AG30" s="206">
        <f t="shared" si="10"/>
        <v>18006.73</v>
      </c>
      <c r="AH30" s="418" t="s">
        <v>1811</v>
      </c>
      <c r="AJ30" s="206">
        <f t="shared" si="11"/>
        <v>18006.73</v>
      </c>
      <c r="AK30" s="418" t="s">
        <v>1859</v>
      </c>
      <c r="AM30" s="206">
        <f t="shared" si="12"/>
        <v>18006.73</v>
      </c>
      <c r="AN30" s="418" t="s">
        <v>1907</v>
      </c>
      <c r="AP30" s="206">
        <f t="shared" si="13"/>
        <v>18006.73</v>
      </c>
      <c r="AQ30" s="418" t="s">
        <v>2008</v>
      </c>
      <c r="AS30" s="206">
        <f t="shared" si="14"/>
        <v>18006.73</v>
      </c>
      <c r="AV30" s="206">
        <f t="shared" si="15"/>
        <v>18006.73</v>
      </c>
      <c r="AW30" s="418" t="s">
        <v>2066</v>
      </c>
      <c r="AY30" s="206">
        <f t="shared" si="16"/>
        <v>18006.73</v>
      </c>
      <c r="AZ30" s="418" t="s">
        <v>2131</v>
      </c>
      <c r="BB30" s="206">
        <f t="shared" si="1"/>
        <v>18006.73</v>
      </c>
      <c r="BC30" s="418" t="s">
        <v>2226</v>
      </c>
      <c r="BE30" s="206">
        <f t="shared" si="17"/>
        <v>18006.73</v>
      </c>
      <c r="BF30" s="418" t="s">
        <v>2261</v>
      </c>
      <c r="BH30" s="206">
        <f t="shared" si="18"/>
        <v>18006.73</v>
      </c>
      <c r="BK30" s="206">
        <f t="shared" si="19"/>
        <v>18006.73</v>
      </c>
      <c r="BL30" s="418" t="s">
        <v>2344</v>
      </c>
      <c r="BM30" s="206">
        <f>68024-BM12-BM16-BM20-BM25</f>
        <v>6203.3628999999964</v>
      </c>
      <c r="BN30" s="206">
        <f t="shared" si="20"/>
        <v>11803.367100000003</v>
      </c>
      <c r="BO30" s="418" t="s">
        <v>2366</v>
      </c>
      <c r="BQ30" s="206">
        <f t="shared" si="21"/>
        <v>11803.37</v>
      </c>
      <c r="BT30" s="206">
        <f t="shared" si="22"/>
        <v>11803.37</v>
      </c>
      <c r="BU30" s="418" t="s">
        <v>2405</v>
      </c>
      <c r="BW30" s="206">
        <f t="shared" si="23"/>
        <v>11803.37</v>
      </c>
      <c r="BZ30" s="206">
        <f t="shared" si="24"/>
        <v>11803.37</v>
      </c>
      <c r="CC30" s="418" t="str">
        <f>B30&amp;$B$1</f>
        <v>CU0898001</v>
      </c>
      <c r="CD30" s="442" t="str">
        <f>YEAR(F30)&amp;"年"&amp;MONTH(F30)&amp;"月"</f>
        <v>2018年11月</v>
      </c>
      <c r="CE30" s="418" t="str">
        <f>LEFT(E30,5)&amp;$E$1</f>
        <v>凯易讯网络clife服务费暂估</v>
      </c>
      <c r="CF30" s="418" t="str">
        <f>CD30&amp;CE30</f>
        <v>2018年11月凯易讯网络clife服务费暂估</v>
      </c>
    </row>
    <row r="31" spans="2:84" ht="21.75" customHeight="1">
      <c r="B31" s="418" t="str">
        <f t="shared" si="2"/>
        <v>CU0207</v>
      </c>
      <c r="C31" s="259" t="s">
        <v>736</v>
      </c>
      <c r="D31" s="410" t="s">
        <v>438</v>
      </c>
      <c r="E31" s="306" t="s">
        <v>436</v>
      </c>
      <c r="F31" s="330">
        <v>43435</v>
      </c>
      <c r="G31" s="502">
        <v>165381.76999999999</v>
      </c>
      <c r="H31" s="425">
        <f>48780.67+125000</f>
        <v>173780.66999999998</v>
      </c>
      <c r="I31" s="426">
        <f t="shared" si="3"/>
        <v>-8398.8999999999942</v>
      </c>
      <c r="J31" s="421" t="s">
        <v>1370</v>
      </c>
      <c r="K31" s="132">
        <v>306.24</v>
      </c>
      <c r="L31" s="206">
        <f t="shared" si="29"/>
        <v>-8705.139999999994</v>
      </c>
      <c r="M31" s="206" t="s">
        <v>1445</v>
      </c>
      <c r="O31" s="206">
        <f t="shared" si="4"/>
        <v>-8705.139999999994</v>
      </c>
      <c r="P31" s="418" t="s">
        <v>1520</v>
      </c>
      <c r="R31" s="206">
        <f t="shared" si="5"/>
        <v>-8705.139999999994</v>
      </c>
      <c r="S31" s="418" t="s">
        <v>1566</v>
      </c>
      <c r="U31" s="206">
        <f t="shared" si="6"/>
        <v>-8705.139999999994</v>
      </c>
      <c r="V31" s="418" t="s">
        <v>1621</v>
      </c>
      <c r="W31" s="206">
        <f>U31</f>
        <v>-8705.139999999994</v>
      </c>
      <c r="X31" s="206">
        <f t="shared" si="7"/>
        <v>0</v>
      </c>
      <c r="Y31" s="418" t="s">
        <v>1661</v>
      </c>
      <c r="AA31" s="206">
        <f t="shared" si="8"/>
        <v>0</v>
      </c>
      <c r="AB31" s="418" t="s">
        <v>1710</v>
      </c>
      <c r="AD31" s="206">
        <f t="shared" si="9"/>
        <v>0</v>
      </c>
      <c r="AE31" s="418" t="s">
        <v>1744</v>
      </c>
      <c r="AG31" s="206">
        <f t="shared" si="10"/>
        <v>0</v>
      </c>
      <c r="AH31" s="418" t="s">
        <v>1811</v>
      </c>
      <c r="AJ31" s="206">
        <f t="shared" si="11"/>
        <v>0</v>
      </c>
      <c r="AM31" s="206">
        <f t="shared" si="12"/>
        <v>0</v>
      </c>
      <c r="AN31" s="418" t="s">
        <v>1907</v>
      </c>
      <c r="AP31" s="206">
        <f t="shared" si="13"/>
        <v>0</v>
      </c>
      <c r="AQ31" s="418" t="s">
        <v>2008</v>
      </c>
      <c r="AS31" s="206">
        <f t="shared" si="14"/>
        <v>0</v>
      </c>
      <c r="AV31" s="206">
        <f t="shared" si="15"/>
        <v>0</v>
      </c>
      <c r="AY31" s="206">
        <f t="shared" si="16"/>
        <v>0</v>
      </c>
      <c r="BB31" s="206">
        <f t="shared" si="1"/>
        <v>0</v>
      </c>
      <c r="BE31" s="206">
        <f t="shared" si="17"/>
        <v>0</v>
      </c>
      <c r="BH31" s="206">
        <f t="shared" si="18"/>
        <v>0</v>
      </c>
      <c r="BK31" s="206">
        <f t="shared" si="19"/>
        <v>0</v>
      </c>
      <c r="BN31" s="206">
        <f t="shared" si="20"/>
        <v>0</v>
      </c>
      <c r="BQ31" s="206">
        <f t="shared" si="21"/>
        <v>0</v>
      </c>
      <c r="BT31" s="206">
        <f t="shared" si="22"/>
        <v>0</v>
      </c>
      <c r="BW31" s="206">
        <f t="shared" si="23"/>
        <v>0</v>
      </c>
      <c r="BZ31" s="206">
        <f t="shared" si="24"/>
        <v>0</v>
      </c>
    </row>
    <row r="32" spans="2:84" ht="21.75" customHeight="1">
      <c r="B32" s="418" t="str">
        <f t="shared" si="2"/>
        <v>CU0669</v>
      </c>
      <c r="C32" s="259" t="s">
        <v>736</v>
      </c>
      <c r="D32" s="410" t="s">
        <v>228</v>
      </c>
      <c r="E32" s="410" t="s">
        <v>229</v>
      </c>
      <c r="F32" s="330">
        <v>43435</v>
      </c>
      <c r="G32" s="503">
        <v>987.21</v>
      </c>
      <c r="H32" s="425">
        <f>G32</f>
        <v>987.21</v>
      </c>
      <c r="I32" s="426">
        <f t="shared" si="3"/>
        <v>0</v>
      </c>
      <c r="J32" s="421" t="s">
        <v>1370</v>
      </c>
      <c r="L32" s="206">
        <f t="shared" si="29"/>
        <v>0</v>
      </c>
      <c r="M32" s="206" t="s">
        <v>1445</v>
      </c>
      <c r="O32" s="206">
        <f t="shared" si="4"/>
        <v>0</v>
      </c>
      <c r="P32" s="418" t="s">
        <v>1520</v>
      </c>
      <c r="R32" s="206">
        <f t="shared" si="5"/>
        <v>0</v>
      </c>
      <c r="S32" s="418" t="s">
        <v>1566</v>
      </c>
      <c r="U32" s="206">
        <f t="shared" si="6"/>
        <v>0</v>
      </c>
      <c r="V32" s="418" t="s">
        <v>1621</v>
      </c>
      <c r="X32" s="206">
        <f t="shared" si="7"/>
        <v>0</v>
      </c>
      <c r="Y32" s="418" t="s">
        <v>1661</v>
      </c>
      <c r="AA32" s="206">
        <f t="shared" si="8"/>
        <v>0</v>
      </c>
      <c r="AB32" s="418" t="s">
        <v>1710</v>
      </c>
      <c r="AD32" s="206">
        <f t="shared" si="9"/>
        <v>0</v>
      </c>
      <c r="AE32" s="418" t="s">
        <v>1744</v>
      </c>
      <c r="AG32" s="206">
        <f t="shared" si="10"/>
        <v>0</v>
      </c>
      <c r="AH32" s="418" t="s">
        <v>1811</v>
      </c>
      <c r="AJ32" s="206">
        <f t="shared" si="11"/>
        <v>0</v>
      </c>
      <c r="AM32" s="206">
        <f t="shared" si="12"/>
        <v>0</v>
      </c>
      <c r="AN32" s="418" t="s">
        <v>1907</v>
      </c>
      <c r="AP32" s="206">
        <f t="shared" si="13"/>
        <v>0</v>
      </c>
      <c r="AQ32" s="418" t="s">
        <v>2008</v>
      </c>
      <c r="AS32" s="206">
        <f t="shared" si="14"/>
        <v>0</v>
      </c>
      <c r="AV32" s="206">
        <f t="shared" si="15"/>
        <v>0</v>
      </c>
      <c r="AY32" s="206">
        <f t="shared" si="16"/>
        <v>0</v>
      </c>
      <c r="BB32" s="206">
        <f t="shared" si="1"/>
        <v>0</v>
      </c>
      <c r="BE32" s="206">
        <f t="shared" si="17"/>
        <v>0</v>
      </c>
      <c r="BH32" s="206">
        <f t="shared" si="18"/>
        <v>0</v>
      </c>
      <c r="BK32" s="206">
        <f t="shared" si="19"/>
        <v>0</v>
      </c>
      <c r="BN32" s="206">
        <f t="shared" si="20"/>
        <v>0</v>
      </c>
      <c r="BQ32" s="206">
        <f t="shared" si="21"/>
        <v>0</v>
      </c>
      <c r="BT32" s="206">
        <f t="shared" si="22"/>
        <v>0</v>
      </c>
      <c r="BW32" s="206">
        <f t="shared" si="23"/>
        <v>0</v>
      </c>
      <c r="BZ32" s="206">
        <f t="shared" si="24"/>
        <v>0</v>
      </c>
    </row>
    <row r="33" spans="2:84" ht="21.75" customHeight="1">
      <c r="B33" s="418" t="str">
        <f t="shared" si="2"/>
        <v>CU0669</v>
      </c>
      <c r="C33" s="259" t="s">
        <v>736</v>
      </c>
      <c r="D33" s="410" t="s">
        <v>26</v>
      </c>
      <c r="E33" s="410" t="s">
        <v>27</v>
      </c>
      <c r="F33" s="330">
        <v>43435</v>
      </c>
      <c r="G33" s="503">
        <v>26062.37</v>
      </c>
      <c r="H33" s="425">
        <f>177383.4/1.06-167131.71</f>
        <v>211.12018867922598</v>
      </c>
      <c r="I33" s="426">
        <f t="shared" si="3"/>
        <v>25851.249811320773</v>
      </c>
      <c r="J33" s="421" t="s">
        <v>1370</v>
      </c>
      <c r="L33" s="206">
        <f t="shared" si="29"/>
        <v>25851.249811320773</v>
      </c>
      <c r="M33" s="206" t="s">
        <v>1445</v>
      </c>
      <c r="O33" s="206">
        <f t="shared" si="4"/>
        <v>25851.249811320773</v>
      </c>
      <c r="P33" s="418" t="s">
        <v>1520</v>
      </c>
      <c r="Q33" s="206"/>
      <c r="R33" s="206">
        <f t="shared" si="5"/>
        <v>25851.249811320773</v>
      </c>
      <c r="S33" s="418" t="s">
        <v>1566</v>
      </c>
      <c r="T33" s="206">
        <f>R33</f>
        <v>25851.249811320773</v>
      </c>
      <c r="U33" s="206">
        <f t="shared" si="6"/>
        <v>0</v>
      </c>
      <c r="V33" s="418" t="s">
        <v>1621</v>
      </c>
      <c r="X33" s="206">
        <f t="shared" si="7"/>
        <v>0</v>
      </c>
      <c r="Y33" s="418" t="s">
        <v>1661</v>
      </c>
      <c r="AA33" s="206">
        <f t="shared" si="8"/>
        <v>0</v>
      </c>
      <c r="AB33" s="418" t="s">
        <v>1710</v>
      </c>
      <c r="AD33" s="206">
        <f t="shared" si="9"/>
        <v>0</v>
      </c>
      <c r="AE33" s="418" t="s">
        <v>1744</v>
      </c>
      <c r="AG33" s="206">
        <f t="shared" si="10"/>
        <v>0</v>
      </c>
      <c r="AH33" s="418" t="s">
        <v>1811</v>
      </c>
      <c r="AJ33" s="206">
        <f t="shared" si="11"/>
        <v>0</v>
      </c>
      <c r="AM33" s="206">
        <f t="shared" si="12"/>
        <v>0</v>
      </c>
      <c r="AN33" s="418" t="s">
        <v>1907</v>
      </c>
      <c r="AP33" s="206">
        <f t="shared" si="13"/>
        <v>0</v>
      </c>
      <c r="AQ33" s="418" t="s">
        <v>2008</v>
      </c>
      <c r="AS33" s="206">
        <f t="shared" si="14"/>
        <v>0</v>
      </c>
      <c r="AV33" s="206">
        <f t="shared" si="15"/>
        <v>0</v>
      </c>
      <c r="AY33" s="206">
        <f t="shared" si="16"/>
        <v>0</v>
      </c>
      <c r="BB33" s="206">
        <f t="shared" si="1"/>
        <v>0</v>
      </c>
      <c r="BE33" s="206">
        <f t="shared" si="17"/>
        <v>0</v>
      </c>
      <c r="BH33" s="206">
        <f t="shared" si="18"/>
        <v>0</v>
      </c>
      <c r="BK33" s="206">
        <f t="shared" si="19"/>
        <v>0</v>
      </c>
      <c r="BN33" s="206">
        <f t="shared" si="20"/>
        <v>0</v>
      </c>
      <c r="BQ33" s="206">
        <f t="shared" si="21"/>
        <v>0</v>
      </c>
      <c r="BT33" s="206">
        <f t="shared" si="22"/>
        <v>0</v>
      </c>
      <c r="BW33" s="206">
        <f t="shared" si="23"/>
        <v>0</v>
      </c>
      <c r="BZ33" s="206">
        <f t="shared" si="24"/>
        <v>0</v>
      </c>
    </row>
    <row r="34" spans="2:84" ht="21.75" customHeight="1">
      <c r="B34" s="418" t="str">
        <f t="shared" si="2"/>
        <v>CU0669</v>
      </c>
      <c r="C34" s="259" t="s">
        <v>736</v>
      </c>
      <c r="D34" s="410" t="s">
        <v>230</v>
      </c>
      <c r="E34" s="410" t="s">
        <v>231</v>
      </c>
      <c r="F34" s="330">
        <v>43435</v>
      </c>
      <c r="G34" s="503">
        <v>10958.05</v>
      </c>
      <c r="I34" s="426">
        <f t="shared" si="3"/>
        <v>10958.05</v>
      </c>
      <c r="J34" s="421" t="s">
        <v>1370</v>
      </c>
      <c r="L34" s="206">
        <f t="shared" si="29"/>
        <v>10958.05</v>
      </c>
      <c r="M34" s="206" t="s">
        <v>1445</v>
      </c>
      <c r="O34" s="206">
        <f t="shared" si="4"/>
        <v>10958.05</v>
      </c>
      <c r="P34" s="418" t="s">
        <v>1520</v>
      </c>
      <c r="Q34" s="206"/>
      <c r="R34" s="206">
        <f t="shared" si="5"/>
        <v>10958.05</v>
      </c>
      <c r="S34" s="418" t="s">
        <v>1566</v>
      </c>
      <c r="T34" s="206">
        <f>R34</f>
        <v>10958.05</v>
      </c>
      <c r="U34" s="206">
        <f t="shared" si="6"/>
        <v>0</v>
      </c>
      <c r="V34" s="418" t="s">
        <v>1621</v>
      </c>
      <c r="X34" s="206">
        <f t="shared" si="7"/>
        <v>0</v>
      </c>
      <c r="Y34" s="418" t="s">
        <v>1661</v>
      </c>
      <c r="AA34" s="206">
        <f t="shared" si="8"/>
        <v>0</v>
      </c>
      <c r="AB34" s="418" t="s">
        <v>1710</v>
      </c>
      <c r="AD34" s="206">
        <f t="shared" si="9"/>
        <v>0</v>
      </c>
      <c r="AE34" s="418" t="s">
        <v>1744</v>
      </c>
      <c r="AG34" s="206">
        <f t="shared" si="10"/>
        <v>0</v>
      </c>
      <c r="AH34" s="418" t="s">
        <v>1811</v>
      </c>
      <c r="AJ34" s="206">
        <f t="shared" si="11"/>
        <v>0</v>
      </c>
      <c r="AM34" s="206">
        <f t="shared" si="12"/>
        <v>0</v>
      </c>
      <c r="AN34" s="418" t="s">
        <v>1907</v>
      </c>
      <c r="AP34" s="206">
        <f t="shared" si="13"/>
        <v>0</v>
      </c>
      <c r="AQ34" s="418" t="s">
        <v>2008</v>
      </c>
      <c r="AS34" s="206">
        <f t="shared" si="14"/>
        <v>0</v>
      </c>
      <c r="AV34" s="206">
        <f t="shared" si="15"/>
        <v>0</v>
      </c>
      <c r="AY34" s="206">
        <f t="shared" si="16"/>
        <v>0</v>
      </c>
      <c r="BB34" s="206">
        <f t="shared" si="1"/>
        <v>0</v>
      </c>
      <c r="BE34" s="206">
        <f t="shared" si="17"/>
        <v>0</v>
      </c>
      <c r="BH34" s="206">
        <f t="shared" si="18"/>
        <v>0</v>
      </c>
      <c r="BK34" s="206">
        <f t="shared" si="19"/>
        <v>0</v>
      </c>
      <c r="BN34" s="206">
        <f t="shared" si="20"/>
        <v>0</v>
      </c>
      <c r="BQ34" s="206">
        <f t="shared" si="21"/>
        <v>0</v>
      </c>
      <c r="BT34" s="206">
        <f t="shared" si="22"/>
        <v>0</v>
      </c>
      <c r="BW34" s="206">
        <f t="shared" si="23"/>
        <v>0</v>
      </c>
      <c r="BZ34" s="206">
        <f t="shared" si="24"/>
        <v>0</v>
      </c>
    </row>
    <row r="35" spans="2:84" ht="21.75" customHeight="1">
      <c r="B35" s="418" t="str">
        <f t="shared" si="2"/>
        <v>CU0898</v>
      </c>
      <c r="C35" s="259" t="s">
        <v>208</v>
      </c>
      <c r="D35" s="410" t="s">
        <v>819</v>
      </c>
      <c r="E35" s="410" t="s">
        <v>948</v>
      </c>
      <c r="F35" s="330">
        <v>43435</v>
      </c>
      <c r="G35" s="503">
        <v>18191.04</v>
      </c>
      <c r="I35" s="426">
        <f t="shared" si="3"/>
        <v>18191.04</v>
      </c>
      <c r="J35" s="421" t="s">
        <v>1370</v>
      </c>
      <c r="L35" s="206">
        <f t="shared" si="29"/>
        <v>18191.04</v>
      </c>
      <c r="M35" s="206" t="s">
        <v>1445</v>
      </c>
      <c r="O35" s="206">
        <f t="shared" si="4"/>
        <v>18191.04</v>
      </c>
      <c r="P35" s="418" t="s">
        <v>1520</v>
      </c>
      <c r="R35" s="206">
        <f t="shared" si="5"/>
        <v>18191.04</v>
      </c>
      <c r="S35" s="418" t="s">
        <v>1566</v>
      </c>
      <c r="U35" s="206">
        <f t="shared" si="6"/>
        <v>18191.04</v>
      </c>
      <c r="V35" s="418" t="s">
        <v>1621</v>
      </c>
      <c r="X35" s="206">
        <f t="shared" si="7"/>
        <v>18191.04</v>
      </c>
      <c r="Y35" s="418" t="s">
        <v>1661</v>
      </c>
      <c r="AA35" s="206">
        <f t="shared" si="8"/>
        <v>18191.04</v>
      </c>
      <c r="AB35" s="418" t="s">
        <v>1710</v>
      </c>
      <c r="AD35" s="206">
        <f t="shared" si="9"/>
        <v>18191.04</v>
      </c>
      <c r="AE35" s="418" t="s">
        <v>1744</v>
      </c>
      <c r="AG35" s="206">
        <f t="shared" si="10"/>
        <v>18191.04</v>
      </c>
      <c r="AH35" s="418" t="s">
        <v>1811</v>
      </c>
      <c r="AJ35" s="206">
        <f t="shared" si="11"/>
        <v>18191.04</v>
      </c>
      <c r="AK35" s="418" t="s">
        <v>1859</v>
      </c>
      <c r="AM35" s="206">
        <f t="shared" si="12"/>
        <v>18191.04</v>
      </c>
      <c r="AN35" s="418" t="s">
        <v>1907</v>
      </c>
      <c r="AP35" s="206">
        <f t="shared" si="13"/>
        <v>18191.04</v>
      </c>
      <c r="AQ35" s="418" t="s">
        <v>2008</v>
      </c>
      <c r="AS35" s="206">
        <f t="shared" si="14"/>
        <v>18191.04</v>
      </c>
      <c r="AV35" s="206">
        <f t="shared" si="15"/>
        <v>18191.04</v>
      </c>
      <c r="AW35" s="418" t="s">
        <v>2066</v>
      </c>
      <c r="AY35" s="206">
        <f t="shared" si="16"/>
        <v>18191.04</v>
      </c>
      <c r="AZ35" s="418" t="s">
        <v>2131</v>
      </c>
      <c r="BB35" s="206">
        <f t="shared" si="1"/>
        <v>18191.04</v>
      </c>
      <c r="BC35" s="418" t="s">
        <v>2226</v>
      </c>
      <c r="BE35" s="206">
        <f t="shared" si="17"/>
        <v>18191.04</v>
      </c>
      <c r="BF35" s="418" t="s">
        <v>2261</v>
      </c>
      <c r="BH35" s="206">
        <f t="shared" si="18"/>
        <v>18191.04</v>
      </c>
      <c r="BK35" s="206">
        <f t="shared" si="19"/>
        <v>18191.04</v>
      </c>
      <c r="BL35" s="418" t="s">
        <v>2344</v>
      </c>
      <c r="BN35" s="206">
        <f t="shared" si="20"/>
        <v>18191.04</v>
      </c>
      <c r="BO35" s="418" t="s">
        <v>2366</v>
      </c>
      <c r="BQ35" s="206">
        <f t="shared" si="21"/>
        <v>18191.04</v>
      </c>
      <c r="BT35" s="206">
        <f t="shared" si="22"/>
        <v>18191.04</v>
      </c>
      <c r="BU35" s="418" t="s">
        <v>2405</v>
      </c>
      <c r="BW35" s="206">
        <f t="shared" si="23"/>
        <v>18191.04</v>
      </c>
      <c r="BZ35" s="206">
        <f t="shared" si="24"/>
        <v>18191.04</v>
      </c>
      <c r="CC35" s="418" t="str">
        <f>B35&amp;$B$1</f>
        <v>CU0898001</v>
      </c>
      <c r="CD35" s="442" t="str">
        <f>YEAR(F35)&amp;"年"&amp;MONTH(F35)&amp;"月"</f>
        <v>2018年12月</v>
      </c>
      <c r="CE35" s="418" t="str">
        <f>LEFT(E35,5)&amp;$E$1</f>
        <v>凯易讯网络clife服务费暂估</v>
      </c>
      <c r="CF35" s="418" t="str">
        <f>CD35&amp;CE35</f>
        <v>2018年12月凯易讯网络clife服务费暂估</v>
      </c>
    </row>
    <row r="36" spans="2:84" s="418" customFormat="1" ht="21.75" customHeight="1">
      <c r="B36" s="418" t="str">
        <f t="shared" si="2"/>
        <v>CU0207</v>
      </c>
      <c r="C36" s="259" t="s">
        <v>208</v>
      </c>
      <c r="D36" s="410" t="s">
        <v>1435</v>
      </c>
      <c r="E36" s="410" t="s">
        <v>2136</v>
      </c>
      <c r="F36" s="330">
        <v>43466</v>
      </c>
      <c r="G36" s="503">
        <v>164091.60999999999</v>
      </c>
      <c r="H36" s="421"/>
      <c r="I36" s="426">
        <v>164091.60999999999</v>
      </c>
      <c r="J36" s="421" t="s">
        <v>1436</v>
      </c>
      <c r="K36" s="206">
        <f>25100/1.06+3200/1.06-K31</f>
        <v>26391.873207547167</v>
      </c>
      <c r="L36" s="206">
        <f t="shared" si="29"/>
        <v>137699.73679245281</v>
      </c>
      <c r="M36" s="206" t="s">
        <v>1446</v>
      </c>
      <c r="N36" s="132">
        <f>8700/1.06</f>
        <v>8207.5471698113197</v>
      </c>
      <c r="O36" s="206">
        <f t="shared" si="4"/>
        <v>129492.18962264148</v>
      </c>
      <c r="P36" s="418" t="s">
        <v>1521</v>
      </c>
      <c r="Q36" s="132">
        <f>71900/1.06</f>
        <v>67830.188679245286</v>
      </c>
      <c r="R36" s="206">
        <f t="shared" si="5"/>
        <v>61662.000943396197</v>
      </c>
      <c r="S36" s="418" t="s">
        <v>1567</v>
      </c>
      <c r="T36" s="418">
        <f>ROUND((1100/1.06),2)</f>
        <v>1037.74</v>
      </c>
      <c r="U36" s="206">
        <f t="shared" si="6"/>
        <v>60624.260943396199</v>
      </c>
      <c r="V36" s="418" t="s">
        <v>1622</v>
      </c>
      <c r="W36" s="132">
        <f>10000+50624.26</f>
        <v>60624.26</v>
      </c>
      <c r="X36" s="206">
        <f t="shared" si="7"/>
        <v>9.4339619681704789E-4</v>
      </c>
      <c r="Y36" s="418" t="s">
        <v>1667</v>
      </c>
      <c r="AA36" s="206">
        <f t="shared" si="8"/>
        <v>9.4339619681704789E-4</v>
      </c>
      <c r="AD36" s="206">
        <f t="shared" si="9"/>
        <v>9.4339619681704789E-4</v>
      </c>
      <c r="AG36" s="206">
        <f t="shared" si="10"/>
        <v>9.4339619681704789E-4</v>
      </c>
      <c r="AJ36" s="206">
        <f t="shared" si="11"/>
        <v>9.4339619681704789E-4</v>
      </c>
      <c r="AM36" s="206">
        <f t="shared" si="12"/>
        <v>9.4339619681704789E-4</v>
      </c>
      <c r="AP36" s="206">
        <f t="shared" si="13"/>
        <v>9.4339619681704789E-4</v>
      </c>
      <c r="AS36" s="206">
        <f t="shared" si="14"/>
        <v>9.4339619681704789E-4</v>
      </c>
      <c r="AV36" s="206">
        <f t="shared" si="15"/>
        <v>9.4339619681704789E-4</v>
      </c>
      <c r="AY36" s="206">
        <f t="shared" si="16"/>
        <v>9.4339619681704789E-4</v>
      </c>
      <c r="BB36" s="206">
        <f t="shared" si="1"/>
        <v>9.4339619681704789E-4</v>
      </c>
      <c r="BE36" s="206">
        <f t="shared" si="17"/>
        <v>9.4339619681704789E-4</v>
      </c>
      <c r="BH36" s="206">
        <f t="shared" si="18"/>
        <v>9.4339619681704789E-4</v>
      </c>
      <c r="BK36" s="206">
        <f t="shared" si="19"/>
        <v>9.4339619681704789E-4</v>
      </c>
      <c r="BN36" s="206">
        <f t="shared" si="20"/>
        <v>9.4339619681704789E-4</v>
      </c>
      <c r="BQ36" s="206">
        <f t="shared" si="21"/>
        <v>0</v>
      </c>
      <c r="BT36" s="206">
        <f t="shared" si="22"/>
        <v>0</v>
      </c>
      <c r="BW36" s="206">
        <f t="shared" si="23"/>
        <v>0</v>
      </c>
      <c r="BZ36" s="206">
        <f t="shared" si="24"/>
        <v>0</v>
      </c>
    </row>
    <row r="37" spans="2:84" s="418" customFormat="1" ht="21.75" customHeight="1">
      <c r="B37" s="418" t="str">
        <f t="shared" si="2"/>
        <v>CU0669</v>
      </c>
      <c r="C37" s="259" t="s">
        <v>208</v>
      </c>
      <c r="D37" s="410" t="s">
        <v>1438</v>
      </c>
      <c r="E37" s="410" t="s">
        <v>1437</v>
      </c>
      <c r="F37" s="330">
        <v>43466</v>
      </c>
      <c r="G37" s="503">
        <v>40190.57</v>
      </c>
      <c r="H37" s="421"/>
      <c r="I37" s="426">
        <v>40190.57</v>
      </c>
      <c r="J37" s="421" t="s">
        <v>1436</v>
      </c>
      <c r="L37" s="206">
        <f t="shared" si="29"/>
        <v>40190.57</v>
      </c>
      <c r="M37" s="206" t="s">
        <v>1446</v>
      </c>
      <c r="O37" s="206">
        <f t="shared" si="4"/>
        <v>40190.57</v>
      </c>
      <c r="P37" s="418" t="s">
        <v>1521</v>
      </c>
      <c r="Q37" s="206"/>
      <c r="R37" s="206">
        <f t="shared" si="5"/>
        <v>40190.57</v>
      </c>
      <c r="S37" s="418" t="s">
        <v>1567</v>
      </c>
      <c r="T37" s="206">
        <f>R37</f>
        <v>40190.57</v>
      </c>
      <c r="U37" s="206">
        <f t="shared" si="6"/>
        <v>0</v>
      </c>
      <c r="V37" s="418" t="s">
        <v>1622</v>
      </c>
      <c r="X37" s="206">
        <f t="shared" si="7"/>
        <v>0</v>
      </c>
      <c r="Y37" s="418" t="s">
        <v>1667</v>
      </c>
      <c r="AA37" s="206">
        <f t="shared" si="8"/>
        <v>0</v>
      </c>
      <c r="AD37" s="206">
        <f t="shared" si="9"/>
        <v>0</v>
      </c>
      <c r="AG37" s="206">
        <f t="shared" si="10"/>
        <v>0</v>
      </c>
      <c r="AJ37" s="206">
        <f t="shared" si="11"/>
        <v>0</v>
      </c>
      <c r="AM37" s="206">
        <f t="shared" si="12"/>
        <v>0</v>
      </c>
      <c r="AP37" s="206">
        <f t="shared" si="13"/>
        <v>0</v>
      </c>
      <c r="AS37" s="206">
        <f t="shared" si="14"/>
        <v>0</v>
      </c>
      <c r="AV37" s="206">
        <f t="shared" si="15"/>
        <v>0</v>
      </c>
      <c r="AY37" s="206">
        <f t="shared" si="16"/>
        <v>0</v>
      </c>
      <c r="BB37" s="206">
        <f t="shared" si="1"/>
        <v>0</v>
      </c>
      <c r="BE37" s="206">
        <f t="shared" si="17"/>
        <v>0</v>
      </c>
      <c r="BH37" s="206">
        <f t="shared" si="18"/>
        <v>0</v>
      </c>
      <c r="BK37" s="206">
        <f t="shared" si="19"/>
        <v>0</v>
      </c>
      <c r="BN37" s="206">
        <f t="shared" si="20"/>
        <v>0</v>
      </c>
      <c r="BQ37" s="206">
        <f t="shared" si="21"/>
        <v>0</v>
      </c>
      <c r="BT37" s="206">
        <f t="shared" si="22"/>
        <v>0</v>
      </c>
      <c r="BW37" s="206">
        <f t="shared" si="23"/>
        <v>0</v>
      </c>
      <c r="BZ37" s="206">
        <f t="shared" si="24"/>
        <v>0</v>
      </c>
    </row>
    <row r="38" spans="2:84" s="418" customFormat="1" ht="21.75" customHeight="1">
      <c r="B38" s="418" t="str">
        <f t="shared" si="2"/>
        <v>CU0898</v>
      </c>
      <c r="C38" s="259" t="s">
        <v>208</v>
      </c>
      <c r="D38" s="410" t="s">
        <v>902</v>
      </c>
      <c r="E38" s="410" t="s">
        <v>1464</v>
      </c>
      <c r="F38" s="330">
        <v>43497</v>
      </c>
      <c r="G38" s="503">
        <v>18124.16</v>
      </c>
      <c r="H38" s="421"/>
      <c r="I38" s="427">
        <v>18124.16</v>
      </c>
      <c r="J38" s="421"/>
      <c r="L38" s="206">
        <v>18124.16</v>
      </c>
      <c r="M38" s="206" t="s">
        <v>1465</v>
      </c>
      <c r="O38" s="206">
        <f t="shared" si="4"/>
        <v>18124.16</v>
      </c>
      <c r="P38" s="418" t="s">
        <v>1514</v>
      </c>
      <c r="R38" s="206">
        <f t="shared" si="5"/>
        <v>18124.16</v>
      </c>
      <c r="S38" s="418" t="s">
        <v>1568</v>
      </c>
      <c r="U38" s="206">
        <f t="shared" si="6"/>
        <v>18124.16</v>
      </c>
      <c r="V38" s="418" t="s">
        <v>1623</v>
      </c>
      <c r="X38" s="206">
        <f t="shared" si="7"/>
        <v>18124.16</v>
      </c>
      <c r="Y38" s="418" t="s">
        <v>1662</v>
      </c>
      <c r="AA38" s="206">
        <f t="shared" si="8"/>
        <v>18124.16</v>
      </c>
      <c r="AB38" s="418" t="s">
        <v>1711</v>
      </c>
      <c r="AD38" s="206">
        <f t="shared" si="9"/>
        <v>18124.16</v>
      </c>
      <c r="AE38" s="418" t="s">
        <v>1745</v>
      </c>
      <c r="AG38" s="206">
        <f t="shared" si="10"/>
        <v>18124.16</v>
      </c>
      <c r="AH38" s="418" t="s">
        <v>1812</v>
      </c>
      <c r="AJ38" s="206">
        <f t="shared" si="11"/>
        <v>18124.16</v>
      </c>
      <c r="AK38" s="418" t="s">
        <v>1851</v>
      </c>
      <c r="AM38" s="206">
        <f t="shared" si="12"/>
        <v>18124.16</v>
      </c>
      <c r="AN38" s="418" t="s">
        <v>1908</v>
      </c>
      <c r="AP38" s="206">
        <f t="shared" si="13"/>
        <v>18124.16</v>
      </c>
      <c r="AQ38" s="418" t="s">
        <v>2006</v>
      </c>
      <c r="AS38" s="206">
        <f t="shared" si="14"/>
        <v>18124.16</v>
      </c>
      <c r="AV38" s="206">
        <f t="shared" si="15"/>
        <v>18124.16</v>
      </c>
      <c r="AW38" s="418" t="s">
        <v>2066</v>
      </c>
      <c r="AY38" s="206">
        <f t="shared" si="16"/>
        <v>18124.16</v>
      </c>
      <c r="AZ38" s="418" t="s">
        <v>2131</v>
      </c>
      <c r="BB38" s="206">
        <f t="shared" si="1"/>
        <v>18124.16</v>
      </c>
      <c r="BC38" s="418" t="s">
        <v>2226</v>
      </c>
      <c r="BE38" s="206">
        <f t="shared" si="17"/>
        <v>18124.16</v>
      </c>
      <c r="BF38" s="418" t="s">
        <v>2261</v>
      </c>
      <c r="BH38" s="206">
        <f t="shared" si="18"/>
        <v>18124.16</v>
      </c>
      <c r="BK38" s="206">
        <f t="shared" si="19"/>
        <v>18124.16</v>
      </c>
      <c r="BL38" s="418" t="s">
        <v>2344</v>
      </c>
      <c r="BN38" s="206">
        <f t="shared" si="20"/>
        <v>18124.16</v>
      </c>
      <c r="BO38" s="418" t="s">
        <v>2366</v>
      </c>
      <c r="BQ38" s="206">
        <f t="shared" si="21"/>
        <v>18124.16</v>
      </c>
      <c r="BT38" s="206">
        <f t="shared" si="22"/>
        <v>18124.16</v>
      </c>
      <c r="BU38" s="418" t="s">
        <v>2405</v>
      </c>
      <c r="BW38" s="206">
        <f t="shared" si="23"/>
        <v>18124.16</v>
      </c>
      <c r="BZ38" s="206">
        <f t="shared" si="24"/>
        <v>18124.16</v>
      </c>
      <c r="CC38" s="418" t="str">
        <f>B38&amp;$B$1</f>
        <v>CU0898001</v>
      </c>
      <c r="CD38" s="442" t="str">
        <f>YEAR(F38)&amp;"年"&amp;MONTH(F38)&amp;"月"</f>
        <v>2019年2月</v>
      </c>
      <c r="CE38" s="418" t="str">
        <f>LEFT(E38,5)&amp;$E$1</f>
        <v>凯易讯网络clife服务费暂估</v>
      </c>
      <c r="CF38" s="418" t="str">
        <f>CD38&amp;CE38</f>
        <v>2019年2月凯易讯网络clife服务费暂估</v>
      </c>
    </row>
    <row r="39" spans="2:84" s="418" customFormat="1" ht="21.75" customHeight="1">
      <c r="B39" s="418" t="str">
        <f t="shared" si="2"/>
        <v>CU0207</v>
      </c>
      <c r="C39" s="259" t="s">
        <v>208</v>
      </c>
      <c r="D39" s="410" t="s">
        <v>1435</v>
      </c>
      <c r="E39" s="410" t="s">
        <v>2136</v>
      </c>
      <c r="F39" s="330">
        <v>43497</v>
      </c>
      <c r="G39" s="503">
        <v>159762.03</v>
      </c>
      <c r="H39" s="421"/>
      <c r="I39" s="427">
        <v>159762.03</v>
      </c>
      <c r="J39" s="421"/>
      <c r="L39" s="206">
        <v>159762.03</v>
      </c>
      <c r="M39" s="206" t="s">
        <v>1465</v>
      </c>
      <c r="O39" s="206">
        <f t="shared" si="4"/>
        <v>159762.03</v>
      </c>
      <c r="P39" s="418" t="s">
        <v>1514</v>
      </c>
      <c r="R39" s="206">
        <f t="shared" si="5"/>
        <v>159762.03</v>
      </c>
      <c r="S39" s="418" t="s">
        <v>1568</v>
      </c>
      <c r="U39" s="206">
        <f>R39-T39</f>
        <v>159762.03</v>
      </c>
      <c r="V39" s="418" t="s">
        <v>1623</v>
      </c>
      <c r="W39" s="132">
        <f>100000-50624.26+27886.29</f>
        <v>77262.03</v>
      </c>
      <c r="X39" s="206">
        <f t="shared" si="7"/>
        <v>82500</v>
      </c>
      <c r="Y39" s="418" t="s">
        <v>1662</v>
      </c>
      <c r="Z39" s="206">
        <f>X39</f>
        <v>82500</v>
      </c>
      <c r="AA39" s="206">
        <f t="shared" si="8"/>
        <v>0</v>
      </c>
      <c r="AB39" s="418" t="s">
        <v>1711</v>
      </c>
      <c r="AD39" s="206">
        <f t="shared" si="9"/>
        <v>0</v>
      </c>
      <c r="AE39" s="418" t="s">
        <v>1745</v>
      </c>
      <c r="AG39" s="206">
        <f t="shared" si="10"/>
        <v>0</v>
      </c>
      <c r="AH39" s="418" t="s">
        <v>1812</v>
      </c>
      <c r="AJ39" s="206">
        <f t="shared" si="11"/>
        <v>0</v>
      </c>
      <c r="AM39" s="206">
        <f t="shared" si="12"/>
        <v>0</v>
      </c>
      <c r="AN39" s="418" t="s">
        <v>1908</v>
      </c>
      <c r="AP39" s="206">
        <f t="shared" si="13"/>
        <v>0</v>
      </c>
      <c r="AQ39" s="418" t="s">
        <v>2006</v>
      </c>
      <c r="AS39" s="206">
        <f t="shared" si="14"/>
        <v>0</v>
      </c>
      <c r="AV39" s="206">
        <f t="shared" si="15"/>
        <v>0</v>
      </c>
      <c r="AY39" s="206">
        <f t="shared" si="16"/>
        <v>0</v>
      </c>
      <c r="BB39" s="206">
        <f t="shared" si="1"/>
        <v>0</v>
      </c>
      <c r="BE39" s="206">
        <f t="shared" si="17"/>
        <v>0</v>
      </c>
      <c r="BH39" s="206">
        <f t="shared" si="18"/>
        <v>0</v>
      </c>
      <c r="BK39" s="206">
        <f t="shared" si="19"/>
        <v>0</v>
      </c>
      <c r="BN39" s="206">
        <f t="shared" si="20"/>
        <v>0</v>
      </c>
      <c r="BQ39" s="206">
        <f t="shared" si="21"/>
        <v>0</v>
      </c>
      <c r="BT39" s="206">
        <f t="shared" si="22"/>
        <v>0</v>
      </c>
      <c r="BW39" s="206">
        <f t="shared" si="23"/>
        <v>0</v>
      </c>
      <c r="BZ39" s="206">
        <f t="shared" si="24"/>
        <v>0</v>
      </c>
    </row>
    <row r="40" spans="2:84" s="418" customFormat="1" ht="21.75" customHeight="1">
      <c r="B40" s="418" t="str">
        <f t="shared" si="2"/>
        <v>CU0669</v>
      </c>
      <c r="C40" s="259" t="s">
        <v>208</v>
      </c>
      <c r="D40" s="410" t="s">
        <v>1438</v>
      </c>
      <c r="E40" s="410" t="s">
        <v>1437</v>
      </c>
      <c r="F40" s="330">
        <v>43497</v>
      </c>
      <c r="G40" s="503">
        <v>39476.370000000003</v>
      </c>
      <c r="H40" s="421"/>
      <c r="I40" s="427">
        <v>39476.370000000003</v>
      </c>
      <c r="J40" s="421"/>
      <c r="L40" s="206">
        <v>39476.370000000003</v>
      </c>
      <c r="M40" s="206" t="s">
        <v>1465</v>
      </c>
      <c r="O40" s="206">
        <f t="shared" si="4"/>
        <v>39476.370000000003</v>
      </c>
      <c r="P40" s="418" t="s">
        <v>1514</v>
      </c>
      <c r="Q40" s="206"/>
      <c r="R40" s="206">
        <f t="shared" si="5"/>
        <v>39476.370000000003</v>
      </c>
      <c r="S40" s="418" t="s">
        <v>1568</v>
      </c>
      <c r="T40" s="206">
        <f>R40</f>
        <v>39476.370000000003</v>
      </c>
      <c r="U40" s="206">
        <f t="shared" si="6"/>
        <v>0</v>
      </c>
      <c r="V40" s="418" t="s">
        <v>1623</v>
      </c>
      <c r="X40" s="206">
        <f t="shared" si="7"/>
        <v>0</v>
      </c>
      <c r="Y40" s="418" t="s">
        <v>1662</v>
      </c>
      <c r="AA40" s="206">
        <f t="shared" si="8"/>
        <v>0</v>
      </c>
      <c r="AB40" s="418" t="s">
        <v>1711</v>
      </c>
      <c r="AD40" s="206">
        <f t="shared" si="9"/>
        <v>0</v>
      </c>
      <c r="AE40" s="418" t="s">
        <v>1745</v>
      </c>
      <c r="AG40" s="206">
        <f t="shared" si="10"/>
        <v>0</v>
      </c>
      <c r="AH40" s="418" t="s">
        <v>1812</v>
      </c>
      <c r="AJ40" s="206">
        <f t="shared" si="11"/>
        <v>0</v>
      </c>
      <c r="AM40" s="206">
        <f t="shared" si="12"/>
        <v>0</v>
      </c>
      <c r="AN40" s="418" t="s">
        <v>1908</v>
      </c>
      <c r="AP40" s="206">
        <f t="shared" si="13"/>
        <v>0</v>
      </c>
      <c r="AQ40" s="418" t="s">
        <v>2006</v>
      </c>
      <c r="AS40" s="206">
        <f t="shared" si="14"/>
        <v>0</v>
      </c>
      <c r="AV40" s="206">
        <f t="shared" si="15"/>
        <v>0</v>
      </c>
      <c r="AY40" s="206">
        <f t="shared" si="16"/>
        <v>0</v>
      </c>
      <c r="BB40" s="206">
        <f t="shared" si="1"/>
        <v>0</v>
      </c>
      <c r="BE40" s="206">
        <f t="shared" si="17"/>
        <v>0</v>
      </c>
      <c r="BH40" s="206">
        <f t="shared" si="18"/>
        <v>0</v>
      </c>
      <c r="BK40" s="206">
        <f t="shared" si="19"/>
        <v>0</v>
      </c>
      <c r="BN40" s="206">
        <f t="shared" si="20"/>
        <v>0</v>
      </c>
      <c r="BQ40" s="206">
        <f t="shared" si="21"/>
        <v>0</v>
      </c>
      <c r="BT40" s="206">
        <f t="shared" si="22"/>
        <v>0</v>
      </c>
      <c r="BW40" s="206">
        <f t="shared" si="23"/>
        <v>0</v>
      </c>
      <c r="BZ40" s="206">
        <f t="shared" si="24"/>
        <v>0</v>
      </c>
    </row>
    <row r="41" spans="2:84" s="418" customFormat="1" ht="21.75" customHeight="1">
      <c r="B41" s="418" t="str">
        <f t="shared" si="2"/>
        <v>CU0207</v>
      </c>
      <c r="C41" s="259" t="s">
        <v>208</v>
      </c>
      <c r="D41" s="410" t="s">
        <v>1532</v>
      </c>
      <c r="E41" s="410" t="s">
        <v>2136</v>
      </c>
      <c r="F41" s="330">
        <v>43525</v>
      </c>
      <c r="G41" s="503">
        <v>163877.1</v>
      </c>
      <c r="H41" s="421"/>
      <c r="I41" s="427"/>
      <c r="J41" s="421"/>
      <c r="L41" s="206">
        <f t="shared" si="29"/>
        <v>0</v>
      </c>
      <c r="M41" s="206"/>
      <c r="O41" s="206">
        <v>163877.1</v>
      </c>
      <c r="P41" s="418" t="s">
        <v>1533</v>
      </c>
      <c r="R41" s="206">
        <f t="shared" si="5"/>
        <v>163877.1</v>
      </c>
      <c r="S41" s="418" t="s">
        <v>1569</v>
      </c>
      <c r="U41" s="206">
        <f t="shared" si="6"/>
        <v>163877.1</v>
      </c>
      <c r="V41" s="418" t="s">
        <v>1624</v>
      </c>
      <c r="W41" s="418">
        <f>ROUND(63600/1.06,2)-27886.29+ROUND(1100/1.06,2)</f>
        <v>33151.449999999997</v>
      </c>
      <c r="X41" s="206">
        <f t="shared" si="7"/>
        <v>130725.65000000001</v>
      </c>
      <c r="Y41" s="418" t="s">
        <v>1663</v>
      </c>
      <c r="Z41" s="206">
        <f>ROUND(213197.3/1.06,2)-Z39+12096.12</f>
        <v>130725.65</v>
      </c>
      <c r="AA41" s="206">
        <f t="shared" si="8"/>
        <v>0</v>
      </c>
      <c r="AB41" s="418" t="s">
        <v>1712</v>
      </c>
      <c r="AD41" s="206">
        <f t="shared" si="9"/>
        <v>0</v>
      </c>
      <c r="AE41" s="418" t="s">
        <v>1746</v>
      </c>
      <c r="AG41" s="206">
        <f t="shared" si="10"/>
        <v>0</v>
      </c>
      <c r="AH41" s="418" t="s">
        <v>1813</v>
      </c>
      <c r="AJ41" s="206">
        <f t="shared" si="11"/>
        <v>0</v>
      </c>
      <c r="AM41" s="206">
        <f t="shared" si="12"/>
        <v>0</v>
      </c>
      <c r="AN41" s="418" t="s">
        <v>1910</v>
      </c>
      <c r="AP41" s="206">
        <f t="shared" si="13"/>
        <v>0</v>
      </c>
      <c r="AQ41" s="418" t="s">
        <v>2009</v>
      </c>
      <c r="AS41" s="206">
        <f t="shared" si="14"/>
        <v>0</v>
      </c>
      <c r="AV41" s="206">
        <f t="shared" si="15"/>
        <v>0</v>
      </c>
      <c r="AY41" s="206">
        <f t="shared" si="16"/>
        <v>0</v>
      </c>
      <c r="BB41" s="206">
        <f t="shared" si="1"/>
        <v>0</v>
      </c>
      <c r="BE41" s="206">
        <f t="shared" si="17"/>
        <v>0</v>
      </c>
      <c r="BH41" s="206">
        <f t="shared" si="18"/>
        <v>0</v>
      </c>
      <c r="BK41" s="206">
        <f t="shared" si="19"/>
        <v>0</v>
      </c>
      <c r="BN41" s="206">
        <f t="shared" si="20"/>
        <v>0</v>
      </c>
      <c r="BQ41" s="206">
        <f t="shared" si="21"/>
        <v>0</v>
      </c>
      <c r="BT41" s="206">
        <f t="shared" si="22"/>
        <v>0</v>
      </c>
      <c r="BW41" s="206">
        <f t="shared" si="23"/>
        <v>0</v>
      </c>
      <c r="BZ41" s="206">
        <f t="shared" si="24"/>
        <v>0</v>
      </c>
    </row>
    <row r="42" spans="2:84" s="418" customFormat="1" ht="21.75" customHeight="1">
      <c r="B42" s="418" t="str">
        <f t="shared" si="2"/>
        <v>CU0669</v>
      </c>
      <c r="C42" s="259" t="s">
        <v>208</v>
      </c>
      <c r="D42" s="410" t="s">
        <v>1909</v>
      </c>
      <c r="E42" s="410" t="s">
        <v>229</v>
      </c>
      <c r="F42" s="330">
        <v>43525</v>
      </c>
      <c r="G42" s="503">
        <v>36093.339999999997</v>
      </c>
      <c r="H42" s="421"/>
      <c r="I42" s="427"/>
      <c r="J42" s="421"/>
      <c r="L42" s="206">
        <f t="shared" si="29"/>
        <v>0</v>
      </c>
      <c r="M42" s="206"/>
      <c r="O42" s="206">
        <v>36093.339999999997</v>
      </c>
      <c r="P42" s="418" t="s">
        <v>1533</v>
      </c>
      <c r="Q42" s="206"/>
      <c r="R42" s="206">
        <f t="shared" si="5"/>
        <v>36093.339999999997</v>
      </c>
      <c r="S42" s="418" t="s">
        <v>1569</v>
      </c>
      <c r="T42" s="206">
        <f>150000-T33-T34-T37-T40</f>
        <v>33523.760188679233</v>
      </c>
      <c r="U42" s="206">
        <f>R42-T42</f>
        <v>2569.5798113207638</v>
      </c>
      <c r="V42" s="418" t="s">
        <v>1624</v>
      </c>
      <c r="X42" s="206">
        <f t="shared" si="7"/>
        <v>2569.5798113207638</v>
      </c>
      <c r="Y42" s="418" t="s">
        <v>1663</v>
      </c>
      <c r="AA42" s="206">
        <f t="shared" si="8"/>
        <v>2569.5798113207638</v>
      </c>
      <c r="AB42" s="418" t="s">
        <v>1712</v>
      </c>
      <c r="AD42" s="206">
        <f t="shared" si="9"/>
        <v>2569.5798113207638</v>
      </c>
      <c r="AE42" s="418" t="s">
        <v>1746</v>
      </c>
      <c r="AG42" s="206">
        <f t="shared" si="10"/>
        <v>2569.5798113207638</v>
      </c>
      <c r="AH42" s="418" t="s">
        <v>1813</v>
      </c>
      <c r="AJ42" s="206">
        <f t="shared" si="11"/>
        <v>2569.5798113207638</v>
      </c>
      <c r="AK42" s="418" t="s">
        <v>1852</v>
      </c>
      <c r="AM42" s="206">
        <f t="shared" si="12"/>
        <v>2569.5798113207638</v>
      </c>
      <c r="AN42" s="418" t="s">
        <v>1910</v>
      </c>
      <c r="AP42" s="206">
        <f t="shared" si="13"/>
        <v>2569.5798113207638</v>
      </c>
      <c r="AQ42" s="418" t="s">
        <v>2009</v>
      </c>
      <c r="AR42" s="206">
        <f>AP42</f>
        <v>2569.5798113207638</v>
      </c>
      <c r="AS42" s="206">
        <f t="shared" si="14"/>
        <v>0</v>
      </c>
      <c r="AV42" s="206">
        <f t="shared" si="15"/>
        <v>0</v>
      </c>
      <c r="AY42" s="206">
        <f t="shared" si="16"/>
        <v>0</v>
      </c>
      <c r="BB42" s="206">
        <f t="shared" si="1"/>
        <v>0</v>
      </c>
      <c r="BE42" s="206">
        <f t="shared" si="17"/>
        <v>0</v>
      </c>
      <c r="BH42" s="206">
        <f t="shared" si="18"/>
        <v>0</v>
      </c>
      <c r="BK42" s="206">
        <f t="shared" si="19"/>
        <v>0</v>
      </c>
      <c r="BN42" s="206">
        <f t="shared" si="20"/>
        <v>0</v>
      </c>
      <c r="BQ42" s="206">
        <f t="shared" si="21"/>
        <v>0</v>
      </c>
      <c r="BT42" s="206">
        <f t="shared" si="22"/>
        <v>0</v>
      </c>
      <c r="BW42" s="206">
        <f t="shared" si="23"/>
        <v>0</v>
      </c>
      <c r="BZ42" s="206">
        <f t="shared" si="24"/>
        <v>0</v>
      </c>
    </row>
    <row r="43" spans="2:84" s="418" customFormat="1" ht="21.75" customHeight="1">
      <c r="B43" s="418" t="str">
        <f t="shared" si="2"/>
        <v>CU0207</v>
      </c>
      <c r="C43" s="259" t="s">
        <v>208</v>
      </c>
      <c r="D43" s="410" t="s">
        <v>1607</v>
      </c>
      <c r="E43" s="410" t="s">
        <v>13</v>
      </c>
      <c r="F43" s="330">
        <v>43556</v>
      </c>
      <c r="G43" s="504">
        <v>355437.08</v>
      </c>
      <c r="H43" s="421"/>
      <c r="I43" s="427"/>
      <c r="J43" s="421"/>
      <c r="L43" s="206">
        <f t="shared" si="29"/>
        <v>0</v>
      </c>
      <c r="M43" s="206"/>
      <c r="O43" s="206">
        <v>355437.08</v>
      </c>
      <c r="R43" s="206">
        <f t="shared" si="5"/>
        <v>355437.08</v>
      </c>
      <c r="S43" s="418" t="s">
        <v>1612</v>
      </c>
      <c r="U43" s="206">
        <f t="shared" si="6"/>
        <v>355437.08</v>
      </c>
      <c r="V43" s="418" t="s">
        <v>1625</v>
      </c>
      <c r="X43" s="206">
        <f t="shared" si="7"/>
        <v>355437.08</v>
      </c>
      <c r="Y43" s="418" t="s">
        <v>1664</v>
      </c>
      <c r="Z43" s="418">
        <f>ROUND(95400/1.06,2)-12096.12</f>
        <v>77903.88</v>
      </c>
      <c r="AA43" s="206">
        <f t="shared" si="8"/>
        <v>277533.2</v>
      </c>
      <c r="AB43" s="418" t="s">
        <v>1713</v>
      </c>
      <c r="AC43" s="418">
        <f>82500+ROUND(53000/1.06,2)+10000+30000+ROUND(106000/1.06,2)</f>
        <v>272500</v>
      </c>
      <c r="AD43" s="206">
        <f t="shared" si="9"/>
        <v>5033.2000000000116</v>
      </c>
      <c r="AE43" s="418" t="s">
        <v>1747</v>
      </c>
      <c r="AF43" s="206">
        <f>AD43</f>
        <v>5033.2000000000116</v>
      </c>
      <c r="AG43" s="206">
        <f t="shared" si="10"/>
        <v>0</v>
      </c>
      <c r="AH43" s="418" t="s">
        <v>1814</v>
      </c>
      <c r="AJ43" s="206">
        <f t="shared" si="11"/>
        <v>0</v>
      </c>
      <c r="AM43" s="206">
        <f t="shared" si="12"/>
        <v>0</v>
      </c>
      <c r="AN43" s="418" t="s">
        <v>1912</v>
      </c>
      <c r="AP43" s="206">
        <f t="shared" si="13"/>
        <v>0</v>
      </c>
      <c r="AQ43" s="418" t="s">
        <v>2011</v>
      </c>
      <c r="AS43" s="206">
        <f t="shared" si="14"/>
        <v>0</v>
      </c>
      <c r="AV43" s="206">
        <f t="shared" si="15"/>
        <v>0</v>
      </c>
      <c r="AY43" s="206">
        <f t="shared" si="16"/>
        <v>0</v>
      </c>
      <c r="BB43" s="206">
        <f t="shared" si="1"/>
        <v>0</v>
      </c>
      <c r="BE43" s="206">
        <f t="shared" si="17"/>
        <v>0</v>
      </c>
      <c r="BH43" s="206">
        <f t="shared" si="18"/>
        <v>0</v>
      </c>
      <c r="BK43" s="206">
        <f t="shared" si="19"/>
        <v>0</v>
      </c>
      <c r="BN43" s="206">
        <f t="shared" si="20"/>
        <v>0</v>
      </c>
      <c r="BQ43" s="206">
        <f t="shared" si="21"/>
        <v>0</v>
      </c>
      <c r="BT43" s="206">
        <f t="shared" si="22"/>
        <v>0</v>
      </c>
      <c r="BW43" s="206">
        <f t="shared" si="23"/>
        <v>0</v>
      </c>
      <c r="BZ43" s="206">
        <f t="shared" si="24"/>
        <v>0</v>
      </c>
    </row>
    <row r="44" spans="2:84" s="418" customFormat="1" ht="21.75" customHeight="1">
      <c r="B44" s="418" t="str">
        <f t="shared" si="2"/>
        <v>CU0669</v>
      </c>
      <c r="C44" s="259" t="s">
        <v>208</v>
      </c>
      <c r="D44" s="410" t="s">
        <v>1608</v>
      </c>
      <c r="E44" s="410" t="s">
        <v>229</v>
      </c>
      <c r="F44" s="330">
        <v>43556</v>
      </c>
      <c r="G44" s="504">
        <v>44214.6</v>
      </c>
      <c r="H44" s="421"/>
      <c r="I44" s="427"/>
      <c r="J44" s="421"/>
      <c r="L44" s="206">
        <f t="shared" si="29"/>
        <v>0</v>
      </c>
      <c r="M44" s="206"/>
      <c r="O44" s="206">
        <v>44214.6</v>
      </c>
      <c r="R44" s="206">
        <f t="shared" si="5"/>
        <v>44214.6</v>
      </c>
      <c r="S44" s="418" t="s">
        <v>1612</v>
      </c>
      <c r="U44" s="206">
        <f t="shared" si="6"/>
        <v>44214.6</v>
      </c>
      <c r="V44" s="418" t="s">
        <v>1625</v>
      </c>
      <c r="X44" s="206">
        <f t="shared" si="7"/>
        <v>44214.6</v>
      </c>
      <c r="Y44" s="418" t="s">
        <v>1664</v>
      </c>
      <c r="AA44" s="206">
        <f t="shared" si="8"/>
        <v>44214.6</v>
      </c>
      <c r="AB44" s="418" t="s">
        <v>1713</v>
      </c>
      <c r="AD44" s="206">
        <f t="shared" si="9"/>
        <v>44214.6</v>
      </c>
      <c r="AE44" s="418" t="s">
        <v>1747</v>
      </c>
      <c r="AG44" s="206">
        <f t="shared" si="10"/>
        <v>44214.6</v>
      </c>
      <c r="AH44" s="418" t="s">
        <v>1814</v>
      </c>
      <c r="AJ44" s="206">
        <f t="shared" si="11"/>
        <v>44214.6</v>
      </c>
      <c r="AK44" s="418" t="s">
        <v>1853</v>
      </c>
      <c r="AM44" s="206">
        <f t="shared" si="12"/>
        <v>44214.6</v>
      </c>
      <c r="AN44" s="418" t="s">
        <v>1912</v>
      </c>
      <c r="AP44" s="206">
        <f t="shared" si="13"/>
        <v>44214.6</v>
      </c>
      <c r="AQ44" s="418" t="s">
        <v>2011</v>
      </c>
      <c r="AR44" s="206">
        <f>AP44</f>
        <v>44214.6</v>
      </c>
      <c r="AS44" s="206">
        <f t="shared" si="14"/>
        <v>0</v>
      </c>
      <c r="AV44" s="206">
        <f t="shared" si="15"/>
        <v>0</v>
      </c>
      <c r="AY44" s="206">
        <f t="shared" si="16"/>
        <v>0</v>
      </c>
      <c r="BB44" s="206">
        <f t="shared" si="1"/>
        <v>0</v>
      </c>
      <c r="BE44" s="206">
        <f t="shared" si="17"/>
        <v>0</v>
      </c>
      <c r="BH44" s="206">
        <f t="shared" si="18"/>
        <v>0</v>
      </c>
      <c r="BK44" s="206">
        <f t="shared" si="19"/>
        <v>0</v>
      </c>
      <c r="BN44" s="206">
        <f t="shared" si="20"/>
        <v>0</v>
      </c>
      <c r="BQ44" s="206">
        <f t="shared" si="21"/>
        <v>0</v>
      </c>
      <c r="BT44" s="206">
        <f t="shared" si="22"/>
        <v>0</v>
      </c>
      <c r="BW44" s="206">
        <f t="shared" si="23"/>
        <v>0</v>
      </c>
      <c r="BZ44" s="206">
        <f t="shared" si="24"/>
        <v>0</v>
      </c>
    </row>
    <row r="45" spans="2:84" s="418" customFormat="1" ht="21.75" customHeight="1">
      <c r="B45" s="418" t="str">
        <f t="shared" ref="B45:B60" si="31">LEFT(D45,6)</f>
        <v>CU0898</v>
      </c>
      <c r="C45" s="259" t="s">
        <v>208</v>
      </c>
      <c r="D45" s="410" t="s">
        <v>1911</v>
      </c>
      <c r="E45" s="410" t="s">
        <v>948</v>
      </c>
      <c r="F45" s="330">
        <v>43556</v>
      </c>
      <c r="G45" s="504">
        <v>20894.400000000001</v>
      </c>
      <c r="H45" s="421"/>
      <c r="I45" s="427"/>
      <c r="J45" s="421"/>
      <c r="L45" s="206">
        <f t="shared" ref="L45:L60" si="32">I45-K45</f>
        <v>0</v>
      </c>
      <c r="M45" s="206"/>
      <c r="O45" s="206">
        <v>20894.400000000001</v>
      </c>
      <c r="R45" s="206">
        <f t="shared" ref="R45:R60" si="33">O45-Q45</f>
        <v>20894.400000000001</v>
      </c>
      <c r="S45" s="418" t="s">
        <v>1612</v>
      </c>
      <c r="U45" s="206">
        <f t="shared" si="6"/>
        <v>20894.400000000001</v>
      </c>
      <c r="V45" s="418" t="s">
        <v>1625</v>
      </c>
      <c r="X45" s="206">
        <f t="shared" si="7"/>
        <v>20894.400000000001</v>
      </c>
      <c r="Y45" s="418" t="s">
        <v>1664</v>
      </c>
      <c r="AA45" s="206">
        <f t="shared" si="8"/>
        <v>20894.400000000001</v>
      </c>
      <c r="AB45" s="418" t="s">
        <v>1713</v>
      </c>
      <c r="AD45" s="206">
        <f t="shared" si="9"/>
        <v>20894.400000000001</v>
      </c>
      <c r="AE45" s="418" t="s">
        <v>1747</v>
      </c>
      <c r="AG45" s="206">
        <f t="shared" si="10"/>
        <v>20894.400000000001</v>
      </c>
      <c r="AH45" s="418" t="s">
        <v>1814</v>
      </c>
      <c r="AJ45" s="206">
        <f t="shared" si="11"/>
        <v>20894.400000000001</v>
      </c>
      <c r="AK45" s="418" t="s">
        <v>1853</v>
      </c>
      <c r="AM45" s="206">
        <f t="shared" si="12"/>
        <v>20894.400000000001</v>
      </c>
      <c r="AN45" s="418" t="s">
        <v>1912</v>
      </c>
      <c r="AP45" s="206">
        <f t="shared" si="13"/>
        <v>20894.400000000001</v>
      </c>
      <c r="AQ45" s="418" t="s">
        <v>2011</v>
      </c>
      <c r="AS45" s="206">
        <f t="shared" si="14"/>
        <v>20894.400000000001</v>
      </c>
      <c r="AV45" s="206">
        <f t="shared" si="15"/>
        <v>20894.400000000001</v>
      </c>
      <c r="AW45" s="418" t="s">
        <v>2066</v>
      </c>
      <c r="AY45" s="206">
        <f t="shared" si="16"/>
        <v>20894.400000000001</v>
      </c>
      <c r="AZ45" s="418" t="s">
        <v>2131</v>
      </c>
      <c r="BB45" s="206">
        <f t="shared" si="1"/>
        <v>20894.400000000001</v>
      </c>
      <c r="BC45" s="418" t="s">
        <v>2226</v>
      </c>
      <c r="BE45" s="206">
        <f t="shared" si="17"/>
        <v>20894.400000000001</v>
      </c>
      <c r="BF45" s="418" t="s">
        <v>2261</v>
      </c>
      <c r="BH45" s="206">
        <f t="shared" si="18"/>
        <v>20894.400000000001</v>
      </c>
      <c r="BK45" s="206">
        <f t="shared" si="19"/>
        <v>20894.400000000001</v>
      </c>
      <c r="BL45" s="418" t="s">
        <v>2344</v>
      </c>
      <c r="BN45" s="206">
        <f t="shared" si="20"/>
        <v>20894.400000000001</v>
      </c>
      <c r="BO45" s="418" t="s">
        <v>2366</v>
      </c>
      <c r="BQ45" s="206">
        <f t="shared" si="21"/>
        <v>20894.400000000001</v>
      </c>
      <c r="BT45" s="206">
        <f t="shared" si="22"/>
        <v>20894.400000000001</v>
      </c>
      <c r="BU45" s="418" t="s">
        <v>2405</v>
      </c>
      <c r="BW45" s="206">
        <f t="shared" si="23"/>
        <v>20894.400000000001</v>
      </c>
      <c r="BZ45" s="206">
        <f t="shared" si="24"/>
        <v>20894.400000000001</v>
      </c>
      <c r="CC45" s="418" t="str">
        <f>B45&amp;$B$1</f>
        <v>CU0898001</v>
      </c>
      <c r="CD45" s="442" t="str">
        <f>YEAR(F45)&amp;"年"&amp;MONTH(F45)&amp;"月"</f>
        <v>2019年4月</v>
      </c>
      <c r="CE45" s="418" t="str">
        <f>LEFT(E45,5)&amp;$E$1</f>
        <v>凯易讯网络clife服务费暂估</v>
      </c>
      <c r="CF45" s="418" t="str">
        <f>CD45&amp;CE45</f>
        <v>2019年4月凯易讯网络clife服务费暂估</v>
      </c>
    </row>
    <row r="46" spans="2:84" s="418" customFormat="1" ht="21.75" customHeight="1">
      <c r="B46" s="418" t="str">
        <f t="shared" si="31"/>
        <v>CU1230</v>
      </c>
      <c r="C46" s="259" t="s">
        <v>208</v>
      </c>
      <c r="D46" s="410" t="s">
        <v>1611</v>
      </c>
      <c r="E46" s="410" t="s">
        <v>1610</v>
      </c>
      <c r="F46" s="330">
        <v>43556</v>
      </c>
      <c r="G46" s="504">
        <v>11218.15</v>
      </c>
      <c r="H46" s="421"/>
      <c r="I46" s="427"/>
      <c r="J46" s="421"/>
      <c r="L46" s="206">
        <f t="shared" si="32"/>
        <v>0</v>
      </c>
      <c r="M46" s="206"/>
      <c r="O46" s="206">
        <v>11218.15</v>
      </c>
      <c r="R46" s="206">
        <f t="shared" si="33"/>
        <v>11218.15</v>
      </c>
      <c r="S46" s="418" t="s">
        <v>1612</v>
      </c>
      <c r="U46" s="206">
        <f t="shared" si="6"/>
        <v>11218.15</v>
      </c>
      <c r="V46" s="418" t="s">
        <v>1625</v>
      </c>
      <c r="X46" s="206">
        <f t="shared" si="7"/>
        <v>11218.15</v>
      </c>
      <c r="Y46" s="418" t="s">
        <v>1664</v>
      </c>
      <c r="Z46" s="418">
        <f>10000</f>
        <v>10000</v>
      </c>
      <c r="AA46" s="206">
        <f t="shared" si="8"/>
        <v>1218.1499999999996</v>
      </c>
      <c r="AB46" s="418" t="s">
        <v>1713</v>
      </c>
      <c r="AC46" s="418">
        <v>1218.1500000000001</v>
      </c>
      <c r="AD46" s="206">
        <f t="shared" si="9"/>
        <v>0</v>
      </c>
      <c r="AE46" s="418" t="s">
        <v>1747</v>
      </c>
      <c r="AG46" s="206">
        <f t="shared" si="10"/>
        <v>0</v>
      </c>
      <c r="AH46" s="418" t="s">
        <v>1814</v>
      </c>
      <c r="AJ46" s="206">
        <f t="shared" si="11"/>
        <v>0</v>
      </c>
      <c r="AM46" s="206">
        <f t="shared" si="12"/>
        <v>0</v>
      </c>
      <c r="AN46" s="418" t="s">
        <v>1912</v>
      </c>
      <c r="AP46" s="206">
        <f t="shared" si="13"/>
        <v>0</v>
      </c>
      <c r="AQ46" s="418" t="s">
        <v>2011</v>
      </c>
      <c r="AS46" s="206">
        <f t="shared" si="14"/>
        <v>0</v>
      </c>
      <c r="AV46" s="206">
        <f t="shared" si="15"/>
        <v>0</v>
      </c>
      <c r="AY46" s="206">
        <f t="shared" si="16"/>
        <v>0</v>
      </c>
      <c r="BB46" s="206">
        <f t="shared" si="1"/>
        <v>0</v>
      </c>
      <c r="BE46" s="206">
        <f t="shared" si="17"/>
        <v>0</v>
      </c>
      <c r="BH46" s="206">
        <f t="shared" si="18"/>
        <v>0</v>
      </c>
      <c r="BK46" s="206">
        <f t="shared" si="19"/>
        <v>0</v>
      </c>
      <c r="BN46" s="206">
        <f t="shared" si="20"/>
        <v>0</v>
      </c>
      <c r="BQ46" s="206">
        <f t="shared" si="21"/>
        <v>0</v>
      </c>
      <c r="BT46" s="206">
        <f t="shared" si="22"/>
        <v>0</v>
      </c>
      <c r="BW46" s="206">
        <f t="shared" si="23"/>
        <v>0</v>
      </c>
      <c r="BZ46" s="206">
        <f t="shared" si="24"/>
        <v>0</v>
      </c>
    </row>
    <row r="47" spans="2:84" s="418" customFormat="1" ht="21.75" customHeight="1">
      <c r="B47" s="418" t="str">
        <f t="shared" si="31"/>
        <v>CU0207</v>
      </c>
      <c r="C47" s="259" t="s">
        <v>208</v>
      </c>
      <c r="D47" s="410" t="s">
        <v>1913</v>
      </c>
      <c r="E47" s="410" t="s">
        <v>13</v>
      </c>
      <c r="F47" s="330">
        <v>43586</v>
      </c>
      <c r="G47" s="503">
        <v>359025.65</v>
      </c>
      <c r="H47" s="421"/>
      <c r="I47" s="427"/>
      <c r="J47" s="421"/>
      <c r="L47" s="206">
        <f t="shared" si="32"/>
        <v>0</v>
      </c>
      <c r="M47" s="206"/>
      <c r="O47" s="206">
        <f t="shared" ref="O47:O60" si="34">L47-N47</f>
        <v>0</v>
      </c>
      <c r="R47" s="206">
        <v>359025.65</v>
      </c>
      <c r="U47" s="206">
        <f t="shared" si="6"/>
        <v>359025.65</v>
      </c>
      <c r="V47" s="418" t="s">
        <v>1633</v>
      </c>
      <c r="X47" s="206">
        <f t="shared" si="7"/>
        <v>359025.65</v>
      </c>
      <c r="Y47" s="418" t="s">
        <v>1666</v>
      </c>
      <c r="AA47" s="206">
        <f t="shared" si="8"/>
        <v>359025.65</v>
      </c>
      <c r="AB47" s="418" t="s">
        <v>1714</v>
      </c>
      <c r="AD47" s="206">
        <f t="shared" si="9"/>
        <v>359025.65</v>
      </c>
      <c r="AF47" s="206">
        <f>82500-AF43+ROUND(212000/1.06,2)+81558.85</f>
        <v>359025.65</v>
      </c>
      <c r="AG47" s="206">
        <f t="shared" si="10"/>
        <v>0</v>
      </c>
      <c r="AH47" s="418" t="s">
        <v>1815</v>
      </c>
      <c r="AJ47" s="206">
        <f t="shared" si="11"/>
        <v>0</v>
      </c>
      <c r="AM47" s="206">
        <f t="shared" si="12"/>
        <v>0</v>
      </c>
      <c r="AN47" s="418" t="s">
        <v>1915</v>
      </c>
      <c r="AP47" s="206">
        <f t="shared" si="13"/>
        <v>0</v>
      </c>
      <c r="AQ47" s="418" t="s">
        <v>2012</v>
      </c>
      <c r="AS47" s="206">
        <f t="shared" si="14"/>
        <v>0</v>
      </c>
      <c r="AV47" s="206">
        <f t="shared" si="15"/>
        <v>0</v>
      </c>
      <c r="AY47" s="206">
        <f t="shared" si="16"/>
        <v>0</v>
      </c>
      <c r="BB47" s="206">
        <f t="shared" si="1"/>
        <v>0</v>
      </c>
      <c r="BE47" s="206">
        <f t="shared" si="17"/>
        <v>0</v>
      </c>
      <c r="BH47" s="206">
        <f t="shared" si="18"/>
        <v>0</v>
      </c>
      <c r="BK47" s="206">
        <f t="shared" si="19"/>
        <v>0</v>
      </c>
      <c r="BN47" s="206">
        <f t="shared" si="20"/>
        <v>0</v>
      </c>
      <c r="BQ47" s="206">
        <f t="shared" si="21"/>
        <v>0</v>
      </c>
      <c r="BT47" s="206">
        <f t="shared" si="22"/>
        <v>0</v>
      </c>
      <c r="BW47" s="206">
        <f t="shared" si="23"/>
        <v>0</v>
      </c>
      <c r="BZ47" s="206">
        <f t="shared" si="24"/>
        <v>0</v>
      </c>
    </row>
    <row r="48" spans="2:84" s="418" customFormat="1" ht="21.75" customHeight="1">
      <c r="B48" s="418" t="str">
        <f t="shared" si="31"/>
        <v>CU0669</v>
      </c>
      <c r="C48" s="259" t="s">
        <v>208</v>
      </c>
      <c r="D48" s="410" t="s">
        <v>1914</v>
      </c>
      <c r="E48" s="410" t="s">
        <v>229</v>
      </c>
      <c r="F48" s="330">
        <v>43586</v>
      </c>
      <c r="G48" s="503">
        <v>44664.26</v>
      </c>
      <c r="H48" s="421"/>
      <c r="I48" s="427"/>
      <c r="J48" s="421"/>
      <c r="L48" s="206">
        <f t="shared" si="32"/>
        <v>0</v>
      </c>
      <c r="M48" s="206"/>
      <c r="O48" s="206">
        <f t="shared" si="34"/>
        <v>0</v>
      </c>
      <c r="R48" s="206">
        <v>44664.26</v>
      </c>
      <c r="U48" s="206">
        <f t="shared" si="6"/>
        <v>44664.26</v>
      </c>
      <c r="V48" s="418" t="s">
        <v>1633</v>
      </c>
      <c r="X48" s="206">
        <f t="shared" si="7"/>
        <v>44664.26</v>
      </c>
      <c r="Y48" s="418" t="s">
        <v>1666</v>
      </c>
      <c r="AA48" s="206">
        <f t="shared" si="8"/>
        <v>44664.26</v>
      </c>
      <c r="AB48" s="418" t="s">
        <v>1714</v>
      </c>
      <c r="AD48" s="206">
        <f t="shared" si="9"/>
        <v>44664.26</v>
      </c>
      <c r="AG48" s="206">
        <f t="shared" si="10"/>
        <v>44664.26</v>
      </c>
      <c r="AH48" s="418" t="s">
        <v>1815</v>
      </c>
      <c r="AJ48" s="206">
        <f t="shared" si="11"/>
        <v>44664.26</v>
      </c>
      <c r="AK48" s="418" t="s">
        <v>1854</v>
      </c>
      <c r="AM48" s="206">
        <f t="shared" si="12"/>
        <v>44664.26</v>
      </c>
      <c r="AN48" s="418" t="s">
        <v>1915</v>
      </c>
      <c r="AP48" s="206">
        <f t="shared" si="13"/>
        <v>44664.26</v>
      </c>
      <c r="AQ48" s="418" t="s">
        <v>2012</v>
      </c>
      <c r="AR48" s="206">
        <f>AP48</f>
        <v>44664.26</v>
      </c>
      <c r="AS48" s="206">
        <f t="shared" si="14"/>
        <v>0</v>
      </c>
      <c r="AV48" s="206">
        <f t="shared" si="15"/>
        <v>0</v>
      </c>
      <c r="AY48" s="206">
        <f t="shared" si="16"/>
        <v>0</v>
      </c>
      <c r="BB48" s="206">
        <f t="shared" si="1"/>
        <v>0</v>
      </c>
      <c r="BE48" s="206">
        <f t="shared" si="17"/>
        <v>0</v>
      </c>
      <c r="BH48" s="206">
        <f t="shared" si="18"/>
        <v>0</v>
      </c>
      <c r="BK48" s="206">
        <f t="shared" si="19"/>
        <v>0</v>
      </c>
      <c r="BN48" s="206">
        <f t="shared" si="20"/>
        <v>0</v>
      </c>
      <c r="BQ48" s="206">
        <f t="shared" si="21"/>
        <v>0</v>
      </c>
      <c r="BT48" s="206">
        <f t="shared" si="22"/>
        <v>0</v>
      </c>
      <c r="BW48" s="206">
        <f t="shared" si="23"/>
        <v>0</v>
      </c>
      <c r="BZ48" s="206">
        <f t="shared" si="24"/>
        <v>0</v>
      </c>
    </row>
    <row r="49" spans="2:84" s="418" customFormat="1" ht="21.75" customHeight="1">
      <c r="B49" s="418" t="str">
        <f t="shared" si="31"/>
        <v>CU0898</v>
      </c>
      <c r="C49" s="259" t="s">
        <v>208</v>
      </c>
      <c r="D49" s="410" t="s">
        <v>1911</v>
      </c>
      <c r="E49" s="410" t="s">
        <v>948</v>
      </c>
      <c r="F49" s="330">
        <v>43586</v>
      </c>
      <c r="G49" s="503">
        <v>11549.65</v>
      </c>
      <c r="H49" s="421"/>
      <c r="I49" s="427"/>
      <c r="J49" s="421"/>
      <c r="L49" s="206">
        <f t="shared" si="32"/>
        <v>0</v>
      </c>
      <c r="M49" s="206"/>
      <c r="O49" s="206">
        <f t="shared" si="34"/>
        <v>0</v>
      </c>
      <c r="R49" s="206">
        <v>11549.65</v>
      </c>
      <c r="U49" s="206">
        <f t="shared" si="6"/>
        <v>11549.65</v>
      </c>
      <c r="V49" s="418" t="s">
        <v>1633</v>
      </c>
      <c r="X49" s="206">
        <f t="shared" si="7"/>
        <v>11549.65</v>
      </c>
      <c r="Y49" s="418" t="s">
        <v>1666</v>
      </c>
      <c r="AA49" s="206">
        <f t="shared" si="8"/>
        <v>11549.65</v>
      </c>
      <c r="AB49" s="418" t="s">
        <v>1714</v>
      </c>
      <c r="AD49" s="206">
        <f t="shared" si="9"/>
        <v>11549.65</v>
      </c>
      <c r="AG49" s="206">
        <f t="shared" si="10"/>
        <v>11549.65</v>
      </c>
      <c r="AH49" s="418" t="s">
        <v>1815</v>
      </c>
      <c r="AJ49" s="206">
        <f t="shared" si="11"/>
        <v>11549.65</v>
      </c>
      <c r="AK49" s="418" t="s">
        <v>1854</v>
      </c>
      <c r="AM49" s="206">
        <f t="shared" si="12"/>
        <v>11549.65</v>
      </c>
      <c r="AN49" s="418" t="s">
        <v>1915</v>
      </c>
      <c r="AP49" s="206">
        <f t="shared" si="13"/>
        <v>11549.65</v>
      </c>
      <c r="AQ49" s="418" t="s">
        <v>2012</v>
      </c>
      <c r="AS49" s="206">
        <f t="shared" si="14"/>
        <v>11549.65</v>
      </c>
      <c r="AV49" s="206">
        <f t="shared" si="15"/>
        <v>11549.65</v>
      </c>
      <c r="AW49" s="418" t="s">
        <v>2066</v>
      </c>
      <c r="AY49" s="206">
        <f t="shared" si="16"/>
        <v>11549.65</v>
      </c>
      <c r="AZ49" s="418" t="s">
        <v>2131</v>
      </c>
      <c r="BB49" s="206">
        <f t="shared" si="1"/>
        <v>11549.65</v>
      </c>
      <c r="BC49" s="418" t="s">
        <v>2226</v>
      </c>
      <c r="BE49" s="206">
        <f t="shared" si="17"/>
        <v>11549.65</v>
      </c>
      <c r="BF49" s="418" t="s">
        <v>2261</v>
      </c>
      <c r="BH49" s="206">
        <f t="shared" si="18"/>
        <v>11549.65</v>
      </c>
      <c r="BK49" s="206">
        <f t="shared" si="19"/>
        <v>11549.65</v>
      </c>
      <c r="BL49" s="418" t="s">
        <v>2344</v>
      </c>
      <c r="BN49" s="206">
        <f t="shared" si="20"/>
        <v>11549.65</v>
      </c>
      <c r="BO49" s="418" t="s">
        <v>2366</v>
      </c>
      <c r="BQ49" s="206">
        <f t="shared" si="21"/>
        <v>11549.65</v>
      </c>
      <c r="BT49" s="206">
        <f t="shared" si="22"/>
        <v>11549.65</v>
      </c>
      <c r="BU49" s="418" t="s">
        <v>2405</v>
      </c>
      <c r="BW49" s="206">
        <f t="shared" si="23"/>
        <v>11549.65</v>
      </c>
      <c r="BZ49" s="206">
        <f t="shared" si="24"/>
        <v>11549.65</v>
      </c>
      <c r="CC49" s="418" t="str">
        <f>B49&amp;$B$1</f>
        <v>CU0898001</v>
      </c>
      <c r="CD49" s="442" t="str">
        <f>YEAR(F49)&amp;"年"&amp;MONTH(F49)&amp;"月"</f>
        <v>2019年5月</v>
      </c>
      <c r="CE49" s="418" t="str">
        <f>LEFT(E49,5)&amp;$E$1</f>
        <v>凯易讯网络clife服务费暂估</v>
      </c>
      <c r="CF49" s="418" t="str">
        <f>CD49&amp;CE49</f>
        <v>2019年5月凯易讯网络clife服务费暂估</v>
      </c>
    </row>
    <row r="50" spans="2:84" s="418" customFormat="1" ht="21.75" customHeight="1">
      <c r="B50" s="418" t="str">
        <f t="shared" si="31"/>
        <v>CU1163</v>
      </c>
      <c r="C50" s="259" t="s">
        <v>208</v>
      </c>
      <c r="D50" s="410" t="s">
        <v>1632</v>
      </c>
      <c r="E50" s="410" t="s">
        <v>1631</v>
      </c>
      <c r="F50" s="330">
        <v>43586</v>
      </c>
      <c r="G50" s="503">
        <v>36222.61</v>
      </c>
      <c r="H50" s="421"/>
      <c r="I50" s="427"/>
      <c r="J50" s="421"/>
      <c r="L50" s="206">
        <f t="shared" si="32"/>
        <v>0</v>
      </c>
      <c r="M50" s="206"/>
      <c r="O50" s="206">
        <f t="shared" si="34"/>
        <v>0</v>
      </c>
      <c r="R50" s="206">
        <v>36222.61</v>
      </c>
      <c r="U50" s="206">
        <f t="shared" si="6"/>
        <v>36222.61</v>
      </c>
      <c r="V50" s="418" t="s">
        <v>1633</v>
      </c>
      <c r="X50" s="206">
        <f t="shared" si="7"/>
        <v>36222.61</v>
      </c>
      <c r="Y50" s="418" t="s">
        <v>1666</v>
      </c>
      <c r="AA50" s="206">
        <f t="shared" si="8"/>
        <v>36222.61</v>
      </c>
      <c r="AB50" s="418" t="s">
        <v>1714</v>
      </c>
      <c r="AD50" s="206">
        <f t="shared" si="9"/>
        <v>36222.61</v>
      </c>
      <c r="AG50" s="206">
        <f t="shared" si="10"/>
        <v>36222.61</v>
      </c>
      <c r="AH50" s="418" t="s">
        <v>1815</v>
      </c>
      <c r="AI50" s="206">
        <f>AG50</f>
        <v>36222.61</v>
      </c>
      <c r="AJ50" s="206">
        <f t="shared" si="11"/>
        <v>0</v>
      </c>
      <c r="AM50" s="206">
        <f t="shared" si="12"/>
        <v>0</v>
      </c>
      <c r="AN50" s="418" t="s">
        <v>1915</v>
      </c>
      <c r="AP50" s="206">
        <f t="shared" si="13"/>
        <v>0</v>
      </c>
      <c r="AQ50" s="418" t="s">
        <v>2012</v>
      </c>
      <c r="AS50" s="206">
        <f t="shared" si="14"/>
        <v>0</v>
      </c>
      <c r="AV50" s="206">
        <f t="shared" si="15"/>
        <v>0</v>
      </c>
      <c r="AY50" s="206">
        <f t="shared" si="16"/>
        <v>0</v>
      </c>
      <c r="BB50" s="206">
        <f t="shared" si="1"/>
        <v>0</v>
      </c>
      <c r="BE50" s="206">
        <f t="shared" si="17"/>
        <v>0</v>
      </c>
      <c r="BH50" s="206">
        <f t="shared" si="18"/>
        <v>0</v>
      </c>
      <c r="BK50" s="206">
        <f t="shared" si="19"/>
        <v>0</v>
      </c>
      <c r="BN50" s="206">
        <f t="shared" si="20"/>
        <v>0</v>
      </c>
      <c r="BQ50" s="206">
        <f t="shared" si="21"/>
        <v>0</v>
      </c>
      <c r="BT50" s="206">
        <f t="shared" si="22"/>
        <v>0</v>
      </c>
      <c r="BW50" s="206">
        <f t="shared" si="23"/>
        <v>0</v>
      </c>
      <c r="BZ50" s="206">
        <f t="shared" si="24"/>
        <v>0</v>
      </c>
    </row>
    <row r="51" spans="2:84" s="418" customFormat="1" ht="21.75" customHeight="1">
      <c r="B51" s="418" t="str">
        <f t="shared" si="31"/>
        <v>CU0669</v>
      </c>
      <c r="C51" s="259" t="s">
        <v>208</v>
      </c>
      <c r="D51" s="410" t="s">
        <v>2326</v>
      </c>
      <c r="E51" s="410" t="s">
        <v>229</v>
      </c>
      <c r="F51" s="330">
        <v>43617</v>
      </c>
      <c r="G51" s="503">
        <v>44019.4</v>
      </c>
      <c r="H51" s="421"/>
      <c r="I51" s="427"/>
      <c r="J51" s="421"/>
      <c r="L51" s="206">
        <f t="shared" si="32"/>
        <v>0</v>
      </c>
      <c r="M51" s="206"/>
      <c r="O51" s="206">
        <f t="shared" si="34"/>
        <v>0</v>
      </c>
      <c r="R51" s="206">
        <f t="shared" si="33"/>
        <v>0</v>
      </c>
      <c r="U51" s="206">
        <v>44019.4</v>
      </c>
      <c r="X51" s="206">
        <f t="shared" si="7"/>
        <v>44019.4</v>
      </c>
      <c r="Y51" s="418" t="s">
        <v>1675</v>
      </c>
      <c r="AA51" s="206">
        <f t="shared" si="8"/>
        <v>44019.4</v>
      </c>
      <c r="AB51" s="418" t="s">
        <v>1715</v>
      </c>
      <c r="AD51" s="206">
        <f t="shared" si="9"/>
        <v>44019.4</v>
      </c>
      <c r="AE51" s="418" t="s">
        <v>1748</v>
      </c>
      <c r="AG51" s="206">
        <f t="shared" si="10"/>
        <v>44019.4</v>
      </c>
      <c r="AH51" s="418" t="s">
        <v>1816</v>
      </c>
      <c r="AJ51" s="206">
        <f t="shared" si="11"/>
        <v>44019.4</v>
      </c>
      <c r="AK51" s="418" t="s">
        <v>1855</v>
      </c>
      <c r="AM51" s="206">
        <f t="shared" si="12"/>
        <v>44019.4</v>
      </c>
      <c r="AN51" s="418" t="s">
        <v>1916</v>
      </c>
      <c r="AP51" s="206">
        <f t="shared" si="13"/>
        <v>44019.4</v>
      </c>
      <c r="AQ51" s="418" t="s">
        <v>2013</v>
      </c>
      <c r="AR51" s="206">
        <f>AP51</f>
        <v>44019.4</v>
      </c>
      <c r="AS51" s="206">
        <f t="shared" si="14"/>
        <v>0</v>
      </c>
      <c r="AV51" s="206">
        <f t="shared" si="15"/>
        <v>0</v>
      </c>
      <c r="AY51" s="206">
        <f t="shared" si="16"/>
        <v>0</v>
      </c>
      <c r="BB51" s="206">
        <f t="shared" si="1"/>
        <v>0</v>
      </c>
      <c r="BE51" s="206">
        <f t="shared" si="17"/>
        <v>0</v>
      </c>
      <c r="BH51" s="206">
        <f t="shared" si="18"/>
        <v>0</v>
      </c>
      <c r="BK51" s="206">
        <f t="shared" si="19"/>
        <v>0</v>
      </c>
      <c r="BN51" s="206">
        <f t="shared" si="20"/>
        <v>0</v>
      </c>
      <c r="BQ51" s="206">
        <f t="shared" si="21"/>
        <v>0</v>
      </c>
      <c r="BT51" s="206">
        <f t="shared" si="22"/>
        <v>0</v>
      </c>
      <c r="BW51" s="206">
        <f t="shared" si="23"/>
        <v>0</v>
      </c>
      <c r="BZ51" s="206">
        <f t="shared" si="24"/>
        <v>0</v>
      </c>
    </row>
    <row r="52" spans="2:84" s="418" customFormat="1" ht="21.75" customHeight="1">
      <c r="B52" s="418" t="str">
        <f t="shared" si="31"/>
        <v>CU0898</v>
      </c>
      <c r="C52" s="259" t="s">
        <v>208</v>
      </c>
      <c r="D52" s="410" t="s">
        <v>1609</v>
      </c>
      <c r="E52" s="410" t="s">
        <v>948</v>
      </c>
      <c r="F52" s="330">
        <v>43617</v>
      </c>
      <c r="G52" s="503">
        <v>10965.94</v>
      </c>
      <c r="H52" s="421"/>
      <c r="I52" s="427"/>
      <c r="J52" s="421"/>
      <c r="L52" s="206">
        <f t="shared" si="32"/>
        <v>0</v>
      </c>
      <c r="M52" s="206"/>
      <c r="O52" s="206">
        <f t="shared" si="34"/>
        <v>0</v>
      </c>
      <c r="R52" s="206">
        <f t="shared" si="33"/>
        <v>0</v>
      </c>
      <c r="U52" s="206">
        <v>10965.94</v>
      </c>
      <c r="X52" s="206">
        <f t="shared" si="7"/>
        <v>10965.94</v>
      </c>
      <c r="Y52" s="418" t="s">
        <v>1675</v>
      </c>
      <c r="AA52" s="206">
        <f t="shared" si="8"/>
        <v>10965.94</v>
      </c>
      <c r="AB52" s="418" t="s">
        <v>1715</v>
      </c>
      <c r="AD52" s="206">
        <f t="shared" si="9"/>
        <v>10965.94</v>
      </c>
      <c r="AE52" s="418" t="s">
        <v>1748</v>
      </c>
      <c r="AG52" s="206">
        <f t="shared" si="10"/>
        <v>10965.94</v>
      </c>
      <c r="AH52" s="418" t="s">
        <v>1816</v>
      </c>
      <c r="AJ52" s="206">
        <f t="shared" si="11"/>
        <v>10965.94</v>
      </c>
      <c r="AK52" s="418" t="s">
        <v>1855</v>
      </c>
      <c r="AM52" s="206">
        <f t="shared" si="12"/>
        <v>10965.94</v>
      </c>
      <c r="AN52" s="418" t="s">
        <v>1916</v>
      </c>
      <c r="AP52" s="206">
        <f t="shared" si="13"/>
        <v>10965.94</v>
      </c>
      <c r="AQ52" s="418" t="s">
        <v>2013</v>
      </c>
      <c r="AS52" s="206">
        <f t="shared" si="14"/>
        <v>10965.94</v>
      </c>
      <c r="AV52" s="206">
        <f t="shared" si="15"/>
        <v>10965.94</v>
      </c>
      <c r="AW52" s="418" t="s">
        <v>2066</v>
      </c>
      <c r="AY52" s="206">
        <f t="shared" si="16"/>
        <v>10965.94</v>
      </c>
      <c r="AZ52" s="418" t="s">
        <v>2131</v>
      </c>
      <c r="BB52" s="206">
        <f t="shared" si="1"/>
        <v>10965.94</v>
      </c>
      <c r="BC52" s="418" t="s">
        <v>2226</v>
      </c>
      <c r="BE52" s="206">
        <f t="shared" si="17"/>
        <v>10965.94</v>
      </c>
      <c r="BF52" s="418" t="s">
        <v>2261</v>
      </c>
      <c r="BH52" s="206">
        <f t="shared" si="18"/>
        <v>10965.94</v>
      </c>
      <c r="BK52" s="206">
        <f t="shared" si="19"/>
        <v>10965.94</v>
      </c>
      <c r="BL52" s="418" t="s">
        <v>2344</v>
      </c>
      <c r="BN52" s="206">
        <f t="shared" si="20"/>
        <v>10965.94</v>
      </c>
      <c r="BO52" s="418" t="s">
        <v>2366</v>
      </c>
      <c r="BQ52" s="206">
        <f t="shared" si="21"/>
        <v>10965.94</v>
      </c>
      <c r="BT52" s="206">
        <f t="shared" si="22"/>
        <v>10965.94</v>
      </c>
      <c r="BU52" s="418" t="s">
        <v>2405</v>
      </c>
      <c r="BW52" s="206">
        <f t="shared" si="23"/>
        <v>10965.94</v>
      </c>
      <c r="BZ52" s="206">
        <f t="shared" si="24"/>
        <v>10965.94</v>
      </c>
      <c r="CC52" s="418" t="str">
        <f>B52&amp;$B$1</f>
        <v>CU0898001</v>
      </c>
      <c r="CD52" s="442" t="str">
        <f>YEAR(F52)&amp;"年"&amp;MONTH(F52)&amp;"月"</f>
        <v>2019年6月</v>
      </c>
      <c r="CE52" s="418" t="str">
        <f>LEFT(E52,5)&amp;$E$1</f>
        <v>凯易讯网络clife服务费暂估</v>
      </c>
      <c r="CF52" s="418" t="str">
        <f>CD52&amp;CE52</f>
        <v>2019年6月凯易讯网络clife服务费暂估</v>
      </c>
    </row>
    <row r="53" spans="2:84" s="418" customFormat="1" ht="21.75" customHeight="1">
      <c r="B53" s="418" t="str">
        <f t="shared" si="31"/>
        <v>CU1230</v>
      </c>
      <c r="C53" s="259" t="s">
        <v>208</v>
      </c>
      <c r="D53" s="410" t="s">
        <v>1674</v>
      </c>
      <c r="E53" s="410" t="s">
        <v>1610</v>
      </c>
      <c r="F53" s="330">
        <v>43617</v>
      </c>
      <c r="G53" s="503">
        <v>82756.39</v>
      </c>
      <c r="H53" s="421"/>
      <c r="I53" s="427"/>
      <c r="J53" s="421"/>
      <c r="L53" s="206">
        <f t="shared" si="32"/>
        <v>0</v>
      </c>
      <c r="M53" s="206"/>
      <c r="O53" s="206">
        <f t="shared" si="34"/>
        <v>0</v>
      </c>
      <c r="R53" s="206">
        <f t="shared" si="33"/>
        <v>0</v>
      </c>
      <c r="U53" s="206">
        <v>82756.39</v>
      </c>
      <c r="X53" s="206">
        <f t="shared" si="7"/>
        <v>82756.39</v>
      </c>
      <c r="Y53" s="418" t="s">
        <v>1675</v>
      </c>
      <c r="AA53" s="206">
        <f t="shared" si="8"/>
        <v>82756.39</v>
      </c>
      <c r="AB53" s="418" t="s">
        <v>1715</v>
      </c>
      <c r="AC53" s="418">
        <f>42400-1218.15+41574.54</f>
        <v>82756.39</v>
      </c>
      <c r="AD53" s="206">
        <f t="shared" si="9"/>
        <v>0</v>
      </c>
      <c r="AE53" s="418" t="s">
        <v>1748</v>
      </c>
      <c r="AG53" s="206">
        <f t="shared" si="10"/>
        <v>0</v>
      </c>
      <c r="AH53" s="418" t="s">
        <v>1816</v>
      </c>
      <c r="AJ53" s="206">
        <f t="shared" si="11"/>
        <v>0</v>
      </c>
      <c r="AM53" s="206">
        <f t="shared" si="12"/>
        <v>0</v>
      </c>
      <c r="AN53" s="418" t="s">
        <v>1916</v>
      </c>
      <c r="AP53" s="206">
        <f t="shared" si="13"/>
        <v>0</v>
      </c>
      <c r="AQ53" s="418" t="s">
        <v>2013</v>
      </c>
      <c r="AS53" s="206">
        <f t="shared" si="14"/>
        <v>0</v>
      </c>
      <c r="AV53" s="206">
        <f t="shared" si="15"/>
        <v>0</v>
      </c>
      <c r="AY53" s="206">
        <f t="shared" si="16"/>
        <v>0</v>
      </c>
      <c r="BB53" s="206">
        <f t="shared" si="1"/>
        <v>0</v>
      </c>
      <c r="BE53" s="206">
        <f t="shared" si="17"/>
        <v>0</v>
      </c>
      <c r="BH53" s="206">
        <f t="shared" si="18"/>
        <v>0</v>
      </c>
      <c r="BK53" s="206">
        <f t="shared" si="19"/>
        <v>0</v>
      </c>
      <c r="BN53" s="206">
        <f t="shared" si="20"/>
        <v>0</v>
      </c>
      <c r="BQ53" s="206">
        <f t="shared" si="21"/>
        <v>0</v>
      </c>
      <c r="BT53" s="206">
        <f t="shared" si="22"/>
        <v>0</v>
      </c>
      <c r="BW53" s="206">
        <f t="shared" si="23"/>
        <v>0</v>
      </c>
      <c r="BZ53" s="206">
        <f t="shared" si="24"/>
        <v>0</v>
      </c>
    </row>
    <row r="54" spans="2:84" s="418" customFormat="1" ht="21.75" customHeight="1">
      <c r="B54" s="418" t="str">
        <f t="shared" si="31"/>
        <v>CU0207</v>
      </c>
      <c r="C54" s="259" t="s">
        <v>208</v>
      </c>
      <c r="D54" s="410" t="s">
        <v>1607</v>
      </c>
      <c r="E54" s="410" t="s">
        <v>1738</v>
      </c>
      <c r="F54" s="330">
        <v>43647</v>
      </c>
      <c r="G54" s="449">
        <v>183127.72</v>
      </c>
      <c r="H54" s="421"/>
      <c r="I54" s="427"/>
      <c r="J54" s="421"/>
      <c r="L54" s="206">
        <f t="shared" si="32"/>
        <v>0</v>
      </c>
      <c r="M54" s="206"/>
      <c r="O54" s="206">
        <f t="shared" si="34"/>
        <v>0</v>
      </c>
      <c r="R54" s="206">
        <f t="shared" si="33"/>
        <v>0</v>
      </c>
      <c r="U54" s="206">
        <f t="shared" si="6"/>
        <v>0</v>
      </c>
      <c r="X54" s="206">
        <f>G54</f>
        <v>183127.72</v>
      </c>
      <c r="AA54" s="206">
        <f t="shared" si="8"/>
        <v>183127.72</v>
      </c>
      <c r="AB54" s="418" t="s">
        <v>1740</v>
      </c>
      <c r="AD54" s="206">
        <f t="shared" si="9"/>
        <v>183127.72</v>
      </c>
      <c r="AE54" s="418" t="s">
        <v>1749</v>
      </c>
      <c r="AF54" s="418">
        <f>ROUND(165572/1.06,2)-81558.85</f>
        <v>74641.149999999994</v>
      </c>
      <c r="AG54" s="206">
        <f t="shared" si="10"/>
        <v>108486.57</v>
      </c>
      <c r="AH54" s="418" t="s">
        <v>1817</v>
      </c>
      <c r="AI54" s="206">
        <f>AG54</f>
        <v>108486.57</v>
      </c>
      <c r="AJ54" s="206">
        <f t="shared" si="11"/>
        <v>0</v>
      </c>
      <c r="AM54" s="206">
        <f t="shared" si="12"/>
        <v>0</v>
      </c>
      <c r="AN54" s="418" t="s">
        <v>1917</v>
      </c>
      <c r="AP54" s="206">
        <f t="shared" si="13"/>
        <v>0</v>
      </c>
      <c r="AQ54" s="418" t="s">
        <v>2014</v>
      </c>
      <c r="AS54" s="206">
        <f t="shared" si="14"/>
        <v>0</v>
      </c>
      <c r="AV54" s="206">
        <f t="shared" si="15"/>
        <v>0</v>
      </c>
      <c r="AY54" s="206">
        <f t="shared" si="16"/>
        <v>0</v>
      </c>
      <c r="BB54" s="206">
        <f t="shared" si="1"/>
        <v>0</v>
      </c>
      <c r="BE54" s="206">
        <f t="shared" si="17"/>
        <v>0</v>
      </c>
      <c r="BH54" s="206">
        <f t="shared" si="18"/>
        <v>0</v>
      </c>
      <c r="BK54" s="206">
        <f t="shared" si="19"/>
        <v>0</v>
      </c>
      <c r="BN54" s="206">
        <f t="shared" si="20"/>
        <v>0</v>
      </c>
      <c r="BQ54" s="206">
        <f t="shared" si="21"/>
        <v>0</v>
      </c>
      <c r="BT54" s="206">
        <f t="shared" si="22"/>
        <v>0</v>
      </c>
      <c r="BW54" s="206">
        <f t="shared" si="23"/>
        <v>0</v>
      </c>
      <c r="BZ54" s="206">
        <f t="shared" si="24"/>
        <v>0</v>
      </c>
    </row>
    <row r="55" spans="2:84" s="418" customFormat="1" ht="21.75" customHeight="1">
      <c r="B55" s="418" t="str">
        <f t="shared" si="31"/>
        <v>CU0669</v>
      </c>
      <c r="C55" s="259" t="s">
        <v>208</v>
      </c>
      <c r="D55" s="410" t="s">
        <v>1608</v>
      </c>
      <c r="E55" s="410" t="s">
        <v>229</v>
      </c>
      <c r="F55" s="330">
        <v>43647</v>
      </c>
      <c r="G55" s="449">
        <v>44116.99</v>
      </c>
      <c r="H55" s="421"/>
      <c r="I55" s="427"/>
      <c r="J55" s="421"/>
      <c r="L55" s="206">
        <f t="shared" si="32"/>
        <v>0</v>
      </c>
      <c r="M55" s="206"/>
      <c r="O55" s="206">
        <f t="shared" si="34"/>
        <v>0</v>
      </c>
      <c r="R55" s="206">
        <f t="shared" si="33"/>
        <v>0</v>
      </c>
      <c r="U55" s="206">
        <f t="shared" si="6"/>
        <v>0</v>
      </c>
      <c r="X55" s="206">
        <f t="shared" ref="X55:X57" si="35">G55</f>
        <v>44116.99</v>
      </c>
      <c r="AA55" s="206">
        <f t="shared" si="8"/>
        <v>44116.99</v>
      </c>
      <c r="AB55" s="418" t="s">
        <v>1740</v>
      </c>
      <c r="AD55" s="206">
        <f t="shared" si="9"/>
        <v>44116.99</v>
      </c>
      <c r="AE55" s="418" t="s">
        <v>1749</v>
      </c>
      <c r="AG55" s="206">
        <f t="shared" si="10"/>
        <v>44116.99</v>
      </c>
      <c r="AH55" s="418" t="s">
        <v>1817</v>
      </c>
      <c r="AJ55" s="206">
        <f t="shared" si="11"/>
        <v>44116.99</v>
      </c>
      <c r="AK55" s="418" t="s">
        <v>1856</v>
      </c>
      <c r="AM55" s="206">
        <f t="shared" si="12"/>
        <v>44116.99</v>
      </c>
      <c r="AN55" s="418" t="s">
        <v>1917</v>
      </c>
      <c r="AP55" s="206">
        <f t="shared" si="13"/>
        <v>44116.99</v>
      </c>
      <c r="AQ55" s="418" t="s">
        <v>2014</v>
      </c>
      <c r="AR55" s="206">
        <f>AP55</f>
        <v>44116.99</v>
      </c>
      <c r="AS55" s="206">
        <f t="shared" si="14"/>
        <v>0</v>
      </c>
      <c r="AV55" s="206">
        <f t="shared" si="15"/>
        <v>0</v>
      </c>
      <c r="AY55" s="206">
        <f t="shared" si="16"/>
        <v>0</v>
      </c>
      <c r="BB55" s="206">
        <f t="shared" si="1"/>
        <v>0</v>
      </c>
      <c r="BE55" s="206">
        <f t="shared" si="17"/>
        <v>0</v>
      </c>
      <c r="BH55" s="206">
        <f t="shared" si="18"/>
        <v>0</v>
      </c>
      <c r="BK55" s="206">
        <f t="shared" si="19"/>
        <v>0</v>
      </c>
      <c r="BN55" s="206">
        <f t="shared" si="20"/>
        <v>0</v>
      </c>
      <c r="BQ55" s="206">
        <f t="shared" si="21"/>
        <v>0</v>
      </c>
      <c r="BT55" s="206">
        <f t="shared" si="22"/>
        <v>0</v>
      </c>
      <c r="BW55" s="206">
        <f t="shared" si="23"/>
        <v>0</v>
      </c>
      <c r="BZ55" s="206">
        <f t="shared" si="24"/>
        <v>0</v>
      </c>
    </row>
    <row r="56" spans="2:84" s="418" customFormat="1" ht="21.75" customHeight="1">
      <c r="B56" s="418" t="str">
        <f t="shared" si="31"/>
        <v>CU1163</v>
      </c>
      <c r="C56" s="259" t="s">
        <v>208</v>
      </c>
      <c r="D56" s="410" t="s">
        <v>1632</v>
      </c>
      <c r="E56" s="410" t="s">
        <v>1739</v>
      </c>
      <c r="F56" s="330">
        <v>43647</v>
      </c>
      <c r="G56" s="449">
        <v>17775.05</v>
      </c>
      <c r="H56" s="421"/>
      <c r="I56" s="427"/>
      <c r="J56" s="421"/>
      <c r="L56" s="206">
        <f t="shared" si="32"/>
        <v>0</v>
      </c>
      <c r="M56" s="206"/>
      <c r="O56" s="206">
        <f t="shared" si="34"/>
        <v>0</v>
      </c>
      <c r="R56" s="206">
        <f t="shared" si="33"/>
        <v>0</v>
      </c>
      <c r="U56" s="206">
        <f t="shared" si="6"/>
        <v>0</v>
      </c>
      <c r="X56" s="206">
        <f t="shared" si="35"/>
        <v>17775.05</v>
      </c>
      <c r="AA56" s="206">
        <f t="shared" si="8"/>
        <v>17775.05</v>
      </c>
      <c r="AB56" s="418" t="s">
        <v>1740</v>
      </c>
      <c r="AD56" s="206">
        <f t="shared" si="9"/>
        <v>17775.05</v>
      </c>
      <c r="AE56" s="418" t="s">
        <v>1749</v>
      </c>
      <c r="AG56" s="206">
        <f t="shared" si="10"/>
        <v>17775.05</v>
      </c>
      <c r="AH56" s="418" t="s">
        <v>1817</v>
      </c>
      <c r="AI56" s="206">
        <f>AG56</f>
        <v>17775.05</v>
      </c>
      <c r="AJ56" s="206">
        <f t="shared" si="11"/>
        <v>0</v>
      </c>
      <c r="AM56" s="206">
        <f t="shared" si="12"/>
        <v>0</v>
      </c>
      <c r="AN56" s="418" t="s">
        <v>1917</v>
      </c>
      <c r="AP56" s="206">
        <f t="shared" si="13"/>
        <v>0</v>
      </c>
      <c r="AQ56" s="418" t="s">
        <v>2014</v>
      </c>
      <c r="AS56" s="206">
        <f t="shared" si="14"/>
        <v>0</v>
      </c>
      <c r="AV56" s="206">
        <f t="shared" si="15"/>
        <v>0</v>
      </c>
      <c r="AY56" s="206">
        <f t="shared" si="16"/>
        <v>0</v>
      </c>
      <c r="BB56" s="206">
        <f t="shared" si="1"/>
        <v>0</v>
      </c>
      <c r="BE56" s="206">
        <f t="shared" si="17"/>
        <v>0</v>
      </c>
      <c r="BH56" s="206">
        <f t="shared" si="18"/>
        <v>0</v>
      </c>
      <c r="BK56" s="206">
        <f t="shared" si="19"/>
        <v>0</v>
      </c>
      <c r="BN56" s="206">
        <f t="shared" si="20"/>
        <v>0</v>
      </c>
      <c r="BQ56" s="206">
        <f t="shared" si="21"/>
        <v>0</v>
      </c>
      <c r="BT56" s="206">
        <f t="shared" si="22"/>
        <v>0</v>
      </c>
      <c r="BW56" s="206">
        <f t="shared" si="23"/>
        <v>0</v>
      </c>
      <c r="BZ56" s="206">
        <f t="shared" si="24"/>
        <v>0</v>
      </c>
    </row>
    <row r="57" spans="2:84" s="418" customFormat="1" ht="21.75" customHeight="1">
      <c r="B57" s="418" t="str">
        <f t="shared" si="31"/>
        <v>CU1230</v>
      </c>
      <c r="C57" s="259" t="s">
        <v>208</v>
      </c>
      <c r="D57" s="410" t="s">
        <v>1674</v>
      </c>
      <c r="E57" s="410" t="s">
        <v>1610</v>
      </c>
      <c r="F57" s="330">
        <v>43647</v>
      </c>
      <c r="G57" s="503">
        <v>117789.69</v>
      </c>
      <c r="H57" s="421"/>
      <c r="I57" s="427"/>
      <c r="J57" s="421"/>
      <c r="L57" s="206">
        <f t="shared" si="32"/>
        <v>0</v>
      </c>
      <c r="M57" s="206"/>
      <c r="O57" s="206">
        <f t="shared" si="34"/>
        <v>0</v>
      </c>
      <c r="R57" s="206">
        <f t="shared" si="33"/>
        <v>0</v>
      </c>
      <c r="U57" s="206">
        <f t="shared" si="6"/>
        <v>0</v>
      </c>
      <c r="X57" s="206">
        <f t="shared" si="35"/>
        <v>117789.69</v>
      </c>
      <c r="AA57" s="206">
        <f t="shared" si="8"/>
        <v>117789.69</v>
      </c>
      <c r="AB57" s="418" t="s">
        <v>1740</v>
      </c>
      <c r="AC57" s="418">
        <f>106000/1.06-41574.54</f>
        <v>58425.46</v>
      </c>
      <c r="AD57" s="206">
        <f t="shared" si="9"/>
        <v>59364.23</v>
      </c>
      <c r="AE57" s="418" t="s">
        <v>1749</v>
      </c>
      <c r="AF57" s="206">
        <f>AD57</f>
        <v>59364.23</v>
      </c>
      <c r="AG57" s="206">
        <f t="shared" si="10"/>
        <v>0</v>
      </c>
      <c r="AH57" s="418" t="s">
        <v>1817</v>
      </c>
      <c r="AJ57" s="206">
        <f t="shared" si="11"/>
        <v>0</v>
      </c>
      <c r="AM57" s="206">
        <f t="shared" si="12"/>
        <v>0</v>
      </c>
      <c r="AN57" s="418" t="s">
        <v>1917</v>
      </c>
      <c r="AP57" s="206">
        <f t="shared" si="13"/>
        <v>0</v>
      </c>
      <c r="AQ57" s="418" t="s">
        <v>2014</v>
      </c>
      <c r="AS57" s="206">
        <f t="shared" si="14"/>
        <v>0</v>
      </c>
      <c r="AV57" s="206">
        <f t="shared" si="15"/>
        <v>0</v>
      </c>
      <c r="AY57" s="206">
        <f t="shared" si="16"/>
        <v>0</v>
      </c>
      <c r="BB57" s="206">
        <f t="shared" si="1"/>
        <v>0</v>
      </c>
      <c r="BE57" s="206">
        <f t="shared" si="17"/>
        <v>0</v>
      </c>
      <c r="BH57" s="206">
        <f t="shared" si="18"/>
        <v>0</v>
      </c>
      <c r="BK57" s="206">
        <f t="shared" si="19"/>
        <v>0</v>
      </c>
      <c r="BN57" s="206">
        <f t="shared" si="20"/>
        <v>0</v>
      </c>
      <c r="BQ57" s="206">
        <f t="shared" si="21"/>
        <v>0</v>
      </c>
      <c r="BT57" s="206">
        <f t="shared" si="22"/>
        <v>0</v>
      </c>
      <c r="BW57" s="206">
        <f t="shared" si="23"/>
        <v>0</v>
      </c>
      <c r="BZ57" s="206">
        <f t="shared" si="24"/>
        <v>0</v>
      </c>
    </row>
    <row r="58" spans="2:84" s="418" customFormat="1" ht="21.75" customHeight="1">
      <c r="B58" s="418" t="str">
        <f t="shared" si="31"/>
        <v>CU0898</v>
      </c>
      <c r="C58" s="259" t="s">
        <v>208</v>
      </c>
      <c r="D58" s="410" t="s">
        <v>1741</v>
      </c>
      <c r="E58" s="410" t="s">
        <v>948</v>
      </c>
      <c r="F58" s="330">
        <v>43647</v>
      </c>
      <c r="G58" s="503">
        <v>10758.44</v>
      </c>
      <c r="H58" s="421"/>
      <c r="I58" s="427"/>
      <c r="J58" s="421"/>
      <c r="L58" s="206">
        <f t="shared" si="32"/>
        <v>0</v>
      </c>
      <c r="M58" s="206"/>
      <c r="O58" s="206">
        <f t="shared" si="34"/>
        <v>0</v>
      </c>
      <c r="R58" s="206">
        <f t="shared" si="33"/>
        <v>0</v>
      </c>
      <c r="U58" s="206">
        <f t="shared" si="6"/>
        <v>0</v>
      </c>
      <c r="X58" s="206">
        <f>G58</f>
        <v>10758.44</v>
      </c>
      <c r="AA58" s="206">
        <f t="shared" si="8"/>
        <v>10758.44</v>
      </c>
      <c r="AB58" s="418" t="s">
        <v>1740</v>
      </c>
      <c r="AD58" s="206">
        <f t="shared" si="9"/>
        <v>10758.44</v>
      </c>
      <c r="AE58" s="418" t="s">
        <v>1749</v>
      </c>
      <c r="AG58" s="206">
        <f t="shared" si="10"/>
        <v>10758.44</v>
      </c>
      <c r="AH58" s="418" t="s">
        <v>1817</v>
      </c>
      <c r="AJ58" s="206">
        <f t="shared" si="11"/>
        <v>10758.44</v>
      </c>
      <c r="AK58" s="418" t="s">
        <v>1860</v>
      </c>
      <c r="AM58" s="206">
        <f t="shared" si="12"/>
        <v>10758.44</v>
      </c>
      <c r="AN58" s="418" t="s">
        <v>1917</v>
      </c>
      <c r="AP58" s="206">
        <f t="shared" si="13"/>
        <v>10758.44</v>
      </c>
      <c r="AQ58" s="418" t="s">
        <v>2014</v>
      </c>
      <c r="AS58" s="206">
        <f t="shared" si="14"/>
        <v>10758.44</v>
      </c>
      <c r="AV58" s="206">
        <f t="shared" si="15"/>
        <v>10758.44</v>
      </c>
      <c r="AW58" s="418" t="s">
        <v>2066</v>
      </c>
      <c r="AY58" s="206">
        <f t="shared" si="16"/>
        <v>10758.44</v>
      </c>
      <c r="AZ58" s="418" t="s">
        <v>2131</v>
      </c>
      <c r="BB58" s="206">
        <f t="shared" si="1"/>
        <v>10758.44</v>
      </c>
      <c r="BC58" s="418" t="s">
        <v>2226</v>
      </c>
      <c r="BE58" s="206">
        <f t="shared" si="17"/>
        <v>10758.44</v>
      </c>
      <c r="BF58" s="418" t="s">
        <v>2261</v>
      </c>
      <c r="BH58" s="206">
        <f t="shared" si="18"/>
        <v>10758.44</v>
      </c>
      <c r="BK58" s="206">
        <f t="shared" si="19"/>
        <v>10758.44</v>
      </c>
      <c r="BL58" s="418" t="s">
        <v>2344</v>
      </c>
      <c r="BN58" s="206">
        <f t="shared" si="20"/>
        <v>10758.44</v>
      </c>
      <c r="BO58" s="418" t="s">
        <v>2366</v>
      </c>
      <c r="BQ58" s="206">
        <f t="shared" si="21"/>
        <v>10758.44</v>
      </c>
      <c r="BT58" s="206">
        <f t="shared" si="22"/>
        <v>10758.44</v>
      </c>
      <c r="BU58" s="418" t="s">
        <v>2405</v>
      </c>
      <c r="BW58" s="206">
        <f t="shared" si="23"/>
        <v>10758.44</v>
      </c>
      <c r="BZ58" s="206">
        <f t="shared" si="24"/>
        <v>10758.44</v>
      </c>
      <c r="CC58" s="418" t="str">
        <f>B58&amp;$B$1</f>
        <v>CU0898001</v>
      </c>
      <c r="CD58" s="442" t="str">
        <f>YEAR(F58)&amp;"年"&amp;MONTH(F58)&amp;"月"</f>
        <v>2019年7月</v>
      </c>
      <c r="CE58" s="418" t="str">
        <f>LEFT(E58,5)&amp;$E$1</f>
        <v>凯易讯网络clife服务费暂估</v>
      </c>
      <c r="CF58" s="418" t="str">
        <f>CD58&amp;CE58</f>
        <v>2019年7月凯易讯网络clife服务费暂估</v>
      </c>
    </row>
    <row r="59" spans="2:84" s="418" customFormat="1" ht="21.75" customHeight="1">
      <c r="B59" s="418" t="str">
        <f t="shared" si="31"/>
        <v>CU1230</v>
      </c>
      <c r="C59" s="259" t="s">
        <v>208</v>
      </c>
      <c r="D59" s="410" t="s">
        <v>1674</v>
      </c>
      <c r="E59" s="410" t="s">
        <v>1810</v>
      </c>
      <c r="F59" s="330">
        <v>43678</v>
      </c>
      <c r="G59" s="503">
        <v>4296711.07</v>
      </c>
      <c r="H59" s="421"/>
      <c r="I59" s="427"/>
      <c r="J59" s="421"/>
      <c r="L59" s="206">
        <f t="shared" si="32"/>
        <v>0</v>
      </c>
      <c r="M59" s="206"/>
      <c r="O59" s="206">
        <f t="shared" si="34"/>
        <v>0</v>
      </c>
      <c r="R59" s="206">
        <f t="shared" si="33"/>
        <v>0</v>
      </c>
      <c r="U59" s="206">
        <f t="shared" si="6"/>
        <v>0</v>
      </c>
      <c r="X59" s="206">
        <f>G59</f>
        <v>4296711.07</v>
      </c>
      <c r="AA59" s="206">
        <f t="shared" si="8"/>
        <v>4296711.07</v>
      </c>
      <c r="AD59" s="206">
        <f t="shared" si="9"/>
        <v>4296711.07</v>
      </c>
      <c r="AE59" s="418" t="s">
        <v>1803</v>
      </c>
      <c r="AF59" s="132">
        <f>515000+ROUND((265687.2+247167.5)/1.06,2)+ROUND(292624.6/1.06,2)-AF57+ROUND(424000/1.06,2)+200000</f>
        <v>1815521.9</v>
      </c>
      <c r="AG59" s="206">
        <f t="shared" si="10"/>
        <v>2481189.1700000004</v>
      </c>
      <c r="AH59" s="418" t="s">
        <v>1818</v>
      </c>
      <c r="AI59" s="132">
        <f>4346+ROUND(424000/1.06,2)+235575+200000</f>
        <v>839921</v>
      </c>
      <c r="AJ59" s="206">
        <f t="shared" si="11"/>
        <v>1641268.1700000004</v>
      </c>
      <c r="AK59" s="418" t="s">
        <v>1857</v>
      </c>
      <c r="AL59" s="418">
        <f>ROUND(591461.25/1.06,2)+300000+ROUND(250995/1.06,2)</f>
        <v>1094770.05</v>
      </c>
      <c r="AM59" s="206">
        <f t="shared" si="12"/>
        <v>546498.12000000034</v>
      </c>
      <c r="AN59" s="418" t="s">
        <v>1918</v>
      </c>
      <c r="AO59" s="418">
        <f>114874+431624.12</f>
        <v>546498.12</v>
      </c>
      <c r="AP59" s="206">
        <f t="shared" si="13"/>
        <v>0</v>
      </c>
      <c r="AQ59" s="418" t="s">
        <v>2010</v>
      </c>
      <c r="AS59" s="206">
        <f t="shared" si="14"/>
        <v>0</v>
      </c>
      <c r="AV59" s="206">
        <f t="shared" si="15"/>
        <v>0</v>
      </c>
      <c r="AY59" s="206">
        <f t="shared" si="16"/>
        <v>0</v>
      </c>
      <c r="BB59" s="206">
        <f t="shared" si="1"/>
        <v>0</v>
      </c>
      <c r="BE59" s="206">
        <f t="shared" si="17"/>
        <v>0</v>
      </c>
      <c r="BH59" s="206">
        <f t="shared" si="18"/>
        <v>0</v>
      </c>
      <c r="BK59" s="206">
        <f t="shared" si="19"/>
        <v>0</v>
      </c>
      <c r="BN59" s="206">
        <f t="shared" si="20"/>
        <v>0</v>
      </c>
      <c r="BQ59" s="206">
        <f t="shared" si="21"/>
        <v>0</v>
      </c>
      <c r="BT59" s="206">
        <f t="shared" si="22"/>
        <v>0</v>
      </c>
      <c r="BW59" s="206">
        <f t="shared" si="23"/>
        <v>0</v>
      </c>
      <c r="BZ59" s="206">
        <f t="shared" si="24"/>
        <v>0</v>
      </c>
    </row>
    <row r="60" spans="2:84" s="418" customFormat="1" ht="21.75" customHeight="1">
      <c r="B60" s="418" t="str">
        <f t="shared" si="31"/>
        <v>CU0207</v>
      </c>
      <c r="C60" s="259" t="s">
        <v>208</v>
      </c>
      <c r="D60" s="410" t="s">
        <v>1797</v>
      </c>
      <c r="E60" s="410" t="s">
        <v>13</v>
      </c>
      <c r="F60" s="330">
        <v>43678</v>
      </c>
      <c r="G60" s="449">
        <v>176532.06</v>
      </c>
      <c r="H60" s="421"/>
      <c r="I60" s="427"/>
      <c r="J60" s="421"/>
      <c r="L60" s="206">
        <f t="shared" si="32"/>
        <v>0</v>
      </c>
      <c r="M60" s="206"/>
      <c r="O60" s="206">
        <f t="shared" si="34"/>
        <v>0</v>
      </c>
      <c r="R60" s="206">
        <f t="shared" si="33"/>
        <v>0</v>
      </c>
      <c r="U60" s="206">
        <f t="shared" si="6"/>
        <v>0</v>
      </c>
      <c r="X60" s="206">
        <f>G60</f>
        <v>176532.06</v>
      </c>
      <c r="AA60" s="206">
        <f t="shared" si="8"/>
        <v>176532.06</v>
      </c>
      <c r="AD60" s="206">
        <f t="shared" si="9"/>
        <v>176532.06</v>
      </c>
      <c r="AE60" s="418" t="s">
        <v>1803</v>
      </c>
      <c r="AG60" s="206">
        <f t="shared" si="10"/>
        <v>176532.06</v>
      </c>
      <c r="AH60" s="418" t="s">
        <v>1818</v>
      </c>
      <c r="AI60" s="206">
        <f>110000-AI54+ROUND(159000/1.06,2)</f>
        <v>151513.43</v>
      </c>
      <c r="AJ60" s="206">
        <f t="shared" si="11"/>
        <v>25018.630000000005</v>
      </c>
      <c r="AK60" s="418" t="s">
        <v>1857</v>
      </c>
      <c r="AL60" s="206">
        <f>AJ60</f>
        <v>25018.630000000005</v>
      </c>
      <c r="AM60" s="206">
        <f t="shared" si="12"/>
        <v>0</v>
      </c>
      <c r="AN60" s="418" t="s">
        <v>1918</v>
      </c>
      <c r="AP60" s="206">
        <f t="shared" si="13"/>
        <v>0</v>
      </c>
      <c r="AQ60" s="418" t="s">
        <v>2010</v>
      </c>
      <c r="AS60" s="206">
        <f t="shared" si="14"/>
        <v>0</v>
      </c>
      <c r="AV60" s="206">
        <f t="shared" si="15"/>
        <v>0</v>
      </c>
      <c r="AY60" s="206">
        <f t="shared" si="16"/>
        <v>0</v>
      </c>
      <c r="BB60" s="206">
        <f t="shared" si="1"/>
        <v>0</v>
      </c>
      <c r="BE60" s="206">
        <f t="shared" si="17"/>
        <v>0</v>
      </c>
      <c r="BH60" s="206">
        <f t="shared" si="18"/>
        <v>0</v>
      </c>
      <c r="BK60" s="206">
        <f t="shared" si="19"/>
        <v>0</v>
      </c>
      <c r="BN60" s="206">
        <f t="shared" si="20"/>
        <v>0</v>
      </c>
      <c r="BQ60" s="206">
        <f t="shared" si="21"/>
        <v>0</v>
      </c>
      <c r="BT60" s="206">
        <f t="shared" si="22"/>
        <v>0</v>
      </c>
      <c r="BW60" s="206">
        <f t="shared" si="23"/>
        <v>0</v>
      </c>
      <c r="BZ60" s="206">
        <f t="shared" si="24"/>
        <v>0</v>
      </c>
    </row>
    <row r="61" spans="2:84" s="418" customFormat="1" ht="21.75" customHeight="1">
      <c r="B61" s="418" t="str">
        <f t="shared" ref="B61:B75" si="36">LEFT(D61,6)</f>
        <v>CU0669</v>
      </c>
      <c r="C61" s="259" t="s">
        <v>208</v>
      </c>
      <c r="D61" s="410" t="s">
        <v>1798</v>
      </c>
      <c r="E61" s="410" t="s">
        <v>229</v>
      </c>
      <c r="F61" s="330">
        <v>43678</v>
      </c>
      <c r="G61" s="449">
        <v>44116.98</v>
      </c>
      <c r="H61" s="421"/>
      <c r="I61" s="427"/>
      <c r="J61" s="421"/>
      <c r="L61" s="206">
        <f t="shared" ref="L61:L75" si="37">I61-K61</f>
        <v>0</v>
      </c>
      <c r="M61" s="206"/>
      <c r="O61" s="206">
        <f t="shared" ref="O61:O75" si="38">L61-N61</f>
        <v>0</v>
      </c>
      <c r="R61" s="206">
        <f t="shared" ref="R61:R75" si="39">O61-Q61</f>
        <v>0</v>
      </c>
      <c r="U61" s="206">
        <f t="shared" ref="U61:U75" si="40">R61-T61</f>
        <v>0</v>
      </c>
      <c r="X61" s="206">
        <f t="shared" ref="X61:X64" si="41">G61</f>
        <v>44116.98</v>
      </c>
      <c r="AA61" s="206">
        <f t="shared" ref="AA61:AA75" si="42">X61-Z61</f>
        <v>44116.98</v>
      </c>
      <c r="AD61" s="206">
        <f t="shared" ref="AD61:AD75" si="43">AA61-AC61</f>
        <v>44116.98</v>
      </c>
      <c r="AE61" s="418" t="s">
        <v>1803</v>
      </c>
      <c r="AG61" s="206">
        <f t="shared" si="10"/>
        <v>44116.98</v>
      </c>
      <c r="AH61" s="418" t="s">
        <v>1818</v>
      </c>
      <c r="AJ61" s="206">
        <f t="shared" si="11"/>
        <v>44116.98</v>
      </c>
      <c r="AK61" s="418" t="s">
        <v>1857</v>
      </c>
      <c r="AM61" s="206">
        <f t="shared" si="12"/>
        <v>44116.98</v>
      </c>
      <c r="AN61" s="418" t="s">
        <v>1918</v>
      </c>
      <c r="AP61" s="206">
        <f t="shared" si="13"/>
        <v>44116.98</v>
      </c>
      <c r="AQ61" s="418" t="s">
        <v>2010</v>
      </c>
      <c r="AR61" s="206">
        <f>AP61</f>
        <v>44116.98</v>
      </c>
      <c r="AS61" s="206">
        <f t="shared" si="14"/>
        <v>0</v>
      </c>
      <c r="AV61" s="206">
        <f t="shared" si="15"/>
        <v>0</v>
      </c>
      <c r="AY61" s="206">
        <f t="shared" si="16"/>
        <v>0</v>
      </c>
      <c r="BB61" s="206">
        <f t="shared" si="1"/>
        <v>0</v>
      </c>
      <c r="BE61" s="206">
        <f t="shared" si="17"/>
        <v>0</v>
      </c>
      <c r="BH61" s="206">
        <f t="shared" si="18"/>
        <v>0</v>
      </c>
      <c r="BK61" s="206">
        <f t="shared" si="19"/>
        <v>0</v>
      </c>
      <c r="BN61" s="206">
        <f t="shared" si="20"/>
        <v>0</v>
      </c>
      <c r="BQ61" s="206">
        <f t="shared" si="21"/>
        <v>0</v>
      </c>
      <c r="BT61" s="206">
        <f t="shared" si="22"/>
        <v>0</v>
      </c>
      <c r="BW61" s="206">
        <f t="shared" si="23"/>
        <v>0</v>
      </c>
      <c r="BZ61" s="206">
        <f t="shared" si="24"/>
        <v>0</v>
      </c>
    </row>
    <row r="62" spans="2:84" s="418" customFormat="1" ht="21.75" customHeight="1">
      <c r="B62" s="418" t="str">
        <f t="shared" si="36"/>
        <v>CU0898</v>
      </c>
      <c r="C62" s="259" t="s">
        <v>208</v>
      </c>
      <c r="D62" s="410" t="s">
        <v>1799</v>
      </c>
      <c r="E62" s="410" t="s">
        <v>948</v>
      </c>
      <c r="F62" s="330">
        <v>43678</v>
      </c>
      <c r="G62" s="449">
        <v>10706.43</v>
      </c>
      <c r="H62" s="421"/>
      <c r="I62" s="427"/>
      <c r="J62" s="421"/>
      <c r="L62" s="206">
        <f t="shared" si="37"/>
        <v>0</v>
      </c>
      <c r="M62" s="206"/>
      <c r="O62" s="206">
        <f t="shared" si="38"/>
        <v>0</v>
      </c>
      <c r="R62" s="206">
        <f t="shared" si="39"/>
        <v>0</v>
      </c>
      <c r="U62" s="206">
        <f t="shared" si="40"/>
        <v>0</v>
      </c>
      <c r="X62" s="206">
        <f t="shared" si="41"/>
        <v>10706.43</v>
      </c>
      <c r="AA62" s="206">
        <f t="shared" si="42"/>
        <v>10706.43</v>
      </c>
      <c r="AD62" s="206">
        <f t="shared" si="43"/>
        <v>10706.43</v>
      </c>
      <c r="AE62" s="418" t="s">
        <v>1803</v>
      </c>
      <c r="AG62" s="206">
        <f t="shared" si="10"/>
        <v>10706.43</v>
      </c>
      <c r="AH62" s="418" t="s">
        <v>1818</v>
      </c>
      <c r="AJ62" s="206">
        <f t="shared" si="11"/>
        <v>10706.43</v>
      </c>
      <c r="AK62" s="418" t="s">
        <v>1857</v>
      </c>
      <c r="AM62" s="206">
        <f t="shared" si="12"/>
        <v>10706.43</v>
      </c>
      <c r="AN62" s="418" t="s">
        <v>1918</v>
      </c>
      <c r="AP62" s="206">
        <f t="shared" si="13"/>
        <v>10706.43</v>
      </c>
      <c r="AQ62" s="418" t="s">
        <v>2010</v>
      </c>
      <c r="AS62" s="206">
        <f t="shared" si="14"/>
        <v>10706.43</v>
      </c>
      <c r="AV62" s="206">
        <f t="shared" si="15"/>
        <v>10706.43</v>
      </c>
      <c r="AW62" s="418" t="s">
        <v>2066</v>
      </c>
      <c r="AY62" s="206">
        <f t="shared" si="16"/>
        <v>10706.43</v>
      </c>
      <c r="AZ62" s="418" t="s">
        <v>2131</v>
      </c>
      <c r="BB62" s="206">
        <f t="shared" si="1"/>
        <v>10706.43</v>
      </c>
      <c r="BC62" s="418" t="s">
        <v>2226</v>
      </c>
      <c r="BE62" s="206">
        <f t="shared" si="17"/>
        <v>10706.43</v>
      </c>
      <c r="BF62" s="418" t="s">
        <v>2261</v>
      </c>
      <c r="BH62" s="206">
        <f t="shared" si="18"/>
        <v>10706.43</v>
      </c>
      <c r="BK62" s="206">
        <f t="shared" si="19"/>
        <v>10706.43</v>
      </c>
      <c r="BL62" s="418" t="s">
        <v>2344</v>
      </c>
      <c r="BN62" s="206">
        <f t="shared" si="20"/>
        <v>10706.43</v>
      </c>
      <c r="BO62" s="418" t="s">
        <v>2366</v>
      </c>
      <c r="BQ62" s="206">
        <f t="shared" si="21"/>
        <v>10706.43</v>
      </c>
      <c r="BT62" s="206">
        <f t="shared" si="22"/>
        <v>10706.43</v>
      </c>
      <c r="BU62" s="418" t="s">
        <v>2405</v>
      </c>
      <c r="BW62" s="206">
        <f t="shared" si="23"/>
        <v>10706.43</v>
      </c>
      <c r="BZ62" s="206">
        <f t="shared" si="24"/>
        <v>10706.43</v>
      </c>
      <c r="CC62" s="418" t="str">
        <f>B62&amp;$B$1</f>
        <v>CU0898001</v>
      </c>
      <c r="CD62" s="442" t="str">
        <f>YEAR(F62)&amp;"年"&amp;MONTH(F62)&amp;"月"</f>
        <v>2019年8月</v>
      </c>
      <c r="CE62" s="418" t="str">
        <f>LEFT(E62,5)&amp;$E$1</f>
        <v>凯易讯网络clife服务费暂估</v>
      </c>
      <c r="CF62" s="418" t="str">
        <f>CD62&amp;CE62</f>
        <v>2019年8月凯易讯网络clife服务费暂估</v>
      </c>
    </row>
    <row r="63" spans="2:84" s="418" customFormat="1" ht="21.75" customHeight="1">
      <c r="B63" s="418" t="str">
        <f t="shared" si="36"/>
        <v>CU1163</v>
      </c>
      <c r="C63" s="259" t="s">
        <v>208</v>
      </c>
      <c r="D63" s="410" t="s">
        <v>1800</v>
      </c>
      <c r="E63" s="410" t="s">
        <v>1631</v>
      </c>
      <c r="F63" s="330">
        <v>43678</v>
      </c>
      <c r="G63" s="449">
        <v>19635.650000000001</v>
      </c>
      <c r="H63" s="421"/>
      <c r="I63" s="427"/>
      <c r="J63" s="421"/>
      <c r="L63" s="206">
        <f t="shared" si="37"/>
        <v>0</v>
      </c>
      <c r="M63" s="206"/>
      <c r="O63" s="206">
        <f t="shared" si="38"/>
        <v>0</v>
      </c>
      <c r="R63" s="206">
        <f t="shared" si="39"/>
        <v>0</v>
      </c>
      <c r="U63" s="206">
        <f t="shared" si="40"/>
        <v>0</v>
      </c>
      <c r="X63" s="206">
        <f t="shared" si="41"/>
        <v>19635.650000000001</v>
      </c>
      <c r="AA63" s="206">
        <f t="shared" si="42"/>
        <v>19635.650000000001</v>
      </c>
      <c r="AD63" s="206">
        <f t="shared" si="43"/>
        <v>19635.650000000001</v>
      </c>
      <c r="AE63" s="418" t="s">
        <v>1803</v>
      </c>
      <c r="AG63" s="206">
        <f t="shared" si="10"/>
        <v>19635.650000000001</v>
      </c>
      <c r="AH63" s="418" t="s">
        <v>1818</v>
      </c>
      <c r="AI63" s="206">
        <f>AG63</f>
        <v>19635.650000000001</v>
      </c>
      <c r="AJ63" s="206">
        <f t="shared" si="11"/>
        <v>0</v>
      </c>
      <c r="AM63" s="206">
        <f t="shared" si="12"/>
        <v>0</v>
      </c>
      <c r="AN63" s="418" t="s">
        <v>1918</v>
      </c>
      <c r="AP63" s="206">
        <f t="shared" si="13"/>
        <v>0</v>
      </c>
      <c r="AQ63" s="418" t="s">
        <v>2010</v>
      </c>
      <c r="AS63" s="206">
        <f t="shared" si="14"/>
        <v>0</v>
      </c>
      <c r="AV63" s="206">
        <f t="shared" si="15"/>
        <v>0</v>
      </c>
      <c r="AY63" s="206">
        <f t="shared" si="16"/>
        <v>0</v>
      </c>
      <c r="BB63" s="206">
        <f t="shared" si="1"/>
        <v>0</v>
      </c>
      <c r="BE63" s="206">
        <f t="shared" si="17"/>
        <v>0</v>
      </c>
      <c r="BH63" s="206">
        <f t="shared" si="18"/>
        <v>0</v>
      </c>
      <c r="BK63" s="206">
        <f t="shared" si="19"/>
        <v>0</v>
      </c>
      <c r="BN63" s="206">
        <f t="shared" si="20"/>
        <v>0</v>
      </c>
      <c r="BQ63" s="206">
        <f t="shared" si="21"/>
        <v>0</v>
      </c>
      <c r="BT63" s="206">
        <f t="shared" si="22"/>
        <v>0</v>
      </c>
      <c r="BW63" s="206">
        <f t="shared" si="23"/>
        <v>0</v>
      </c>
      <c r="BZ63" s="206">
        <f t="shared" si="24"/>
        <v>0</v>
      </c>
    </row>
    <row r="64" spans="2:84" s="418" customFormat="1" ht="21.75" customHeight="1">
      <c r="B64" s="418" t="str">
        <f t="shared" si="36"/>
        <v>CU1610</v>
      </c>
      <c r="C64" s="259" t="s">
        <v>208</v>
      </c>
      <c r="D64" s="410" t="s">
        <v>1802</v>
      </c>
      <c r="E64" s="410" t="s">
        <v>1801</v>
      </c>
      <c r="F64" s="330">
        <v>43678</v>
      </c>
      <c r="G64" s="449">
        <v>66599.33</v>
      </c>
      <c r="H64" s="421"/>
      <c r="I64" s="427"/>
      <c r="J64" s="421"/>
      <c r="L64" s="206">
        <f t="shared" si="37"/>
        <v>0</v>
      </c>
      <c r="M64" s="206"/>
      <c r="O64" s="206">
        <f t="shared" si="38"/>
        <v>0</v>
      </c>
      <c r="R64" s="206">
        <f t="shared" si="39"/>
        <v>0</v>
      </c>
      <c r="U64" s="206">
        <f t="shared" si="40"/>
        <v>0</v>
      </c>
      <c r="X64" s="206">
        <f t="shared" si="41"/>
        <v>66599.33</v>
      </c>
      <c r="AA64" s="206">
        <f t="shared" si="42"/>
        <v>66599.33</v>
      </c>
      <c r="AD64" s="206">
        <f t="shared" si="43"/>
        <v>66599.33</v>
      </c>
      <c r="AE64" s="418" t="s">
        <v>1803</v>
      </c>
      <c r="AG64" s="206">
        <f t="shared" si="10"/>
        <v>66599.33</v>
      </c>
      <c r="AH64" s="418" t="s">
        <v>1818</v>
      </c>
      <c r="AJ64" s="206">
        <f t="shared" si="11"/>
        <v>66599.33</v>
      </c>
      <c r="AK64" s="418" t="s">
        <v>1861</v>
      </c>
      <c r="AM64" s="206">
        <f t="shared" si="12"/>
        <v>66599.33</v>
      </c>
      <c r="AN64" s="418" t="s">
        <v>1918</v>
      </c>
      <c r="AO64" s="206">
        <f>AM64</f>
        <v>66599.33</v>
      </c>
      <c r="AP64" s="206">
        <f t="shared" si="13"/>
        <v>0</v>
      </c>
      <c r="AQ64" s="418" t="s">
        <v>2010</v>
      </c>
      <c r="AS64" s="206">
        <f t="shared" si="14"/>
        <v>0</v>
      </c>
      <c r="AV64" s="206">
        <f t="shared" si="15"/>
        <v>0</v>
      </c>
      <c r="AY64" s="206">
        <f t="shared" si="16"/>
        <v>0</v>
      </c>
      <c r="BB64" s="206">
        <f t="shared" si="1"/>
        <v>0</v>
      </c>
      <c r="BE64" s="206">
        <f t="shared" si="17"/>
        <v>0</v>
      </c>
      <c r="BH64" s="206">
        <f t="shared" si="18"/>
        <v>0</v>
      </c>
      <c r="BK64" s="206">
        <f t="shared" si="19"/>
        <v>0</v>
      </c>
      <c r="BN64" s="206">
        <f t="shared" si="20"/>
        <v>0</v>
      </c>
      <c r="BQ64" s="206">
        <f t="shared" si="21"/>
        <v>0</v>
      </c>
      <c r="BT64" s="206">
        <f t="shared" si="22"/>
        <v>0</v>
      </c>
      <c r="BW64" s="206">
        <f t="shared" si="23"/>
        <v>0</v>
      </c>
      <c r="BZ64" s="206">
        <f t="shared" si="24"/>
        <v>0</v>
      </c>
    </row>
    <row r="65" spans="2:84" s="418" customFormat="1" ht="21.75" customHeight="1">
      <c r="B65" s="418" t="str">
        <f t="shared" si="36"/>
        <v>CU0207</v>
      </c>
      <c r="C65" s="259" t="s">
        <v>208</v>
      </c>
      <c r="D65" s="410" t="s">
        <v>1607</v>
      </c>
      <c r="E65" s="410" t="s">
        <v>13</v>
      </c>
      <c r="F65" s="330">
        <v>43709</v>
      </c>
      <c r="G65" s="449">
        <v>179152.56</v>
      </c>
      <c r="H65" s="421"/>
      <c r="I65" s="427"/>
      <c r="J65" s="421"/>
      <c r="L65" s="206">
        <f t="shared" si="37"/>
        <v>0</v>
      </c>
      <c r="M65" s="206"/>
      <c r="O65" s="206">
        <f t="shared" si="38"/>
        <v>0</v>
      </c>
      <c r="R65" s="206">
        <f t="shared" si="39"/>
        <v>0</v>
      </c>
      <c r="U65" s="206">
        <f t="shared" si="40"/>
        <v>0</v>
      </c>
      <c r="X65" s="206">
        <f t="shared" ref="X65:X75" si="44">U65-W65</f>
        <v>0</v>
      </c>
      <c r="AA65" s="206">
        <f>G65</f>
        <v>179152.56</v>
      </c>
      <c r="AD65" s="206">
        <f t="shared" si="43"/>
        <v>179152.56</v>
      </c>
      <c r="AF65" s="418">
        <v>540</v>
      </c>
      <c r="AG65" s="206">
        <f t="shared" si="10"/>
        <v>178612.56</v>
      </c>
      <c r="AH65" s="418" t="s">
        <v>1836</v>
      </c>
      <c r="AJ65" s="206">
        <f t="shared" si="11"/>
        <v>178612.56</v>
      </c>
      <c r="AK65" s="418" t="s">
        <v>1858</v>
      </c>
      <c r="AL65" s="206">
        <f>ROUND(185500/1.06,2)-AL60+9608</f>
        <v>159589.37</v>
      </c>
      <c r="AM65" s="206">
        <f t="shared" si="12"/>
        <v>19023.190000000002</v>
      </c>
      <c r="AN65" s="418" t="s">
        <v>1921</v>
      </c>
      <c r="AO65" s="418">
        <f>10000+9023.19</f>
        <v>19023.190000000002</v>
      </c>
      <c r="AP65" s="206">
        <f t="shared" si="13"/>
        <v>0</v>
      </c>
      <c r="AQ65" s="418" t="s">
        <v>2015</v>
      </c>
      <c r="AS65" s="206">
        <f t="shared" si="14"/>
        <v>0</v>
      </c>
      <c r="AV65" s="206">
        <f t="shared" si="15"/>
        <v>0</v>
      </c>
      <c r="AY65" s="206">
        <f t="shared" si="16"/>
        <v>0</v>
      </c>
      <c r="BB65" s="206">
        <f t="shared" si="1"/>
        <v>0</v>
      </c>
      <c r="BE65" s="206">
        <f t="shared" si="17"/>
        <v>0</v>
      </c>
      <c r="BH65" s="206">
        <f t="shared" si="18"/>
        <v>0</v>
      </c>
      <c r="BK65" s="206">
        <f t="shared" si="19"/>
        <v>0</v>
      </c>
      <c r="BN65" s="206">
        <f t="shared" si="20"/>
        <v>0</v>
      </c>
      <c r="BQ65" s="206">
        <f t="shared" si="21"/>
        <v>0</v>
      </c>
      <c r="BT65" s="206">
        <f t="shared" si="22"/>
        <v>0</v>
      </c>
      <c r="BW65" s="206">
        <f t="shared" si="23"/>
        <v>0</v>
      </c>
      <c r="BZ65" s="206">
        <f t="shared" si="24"/>
        <v>0</v>
      </c>
    </row>
    <row r="66" spans="2:84" s="418" customFormat="1" ht="21.75" customHeight="1">
      <c r="B66" s="418" t="str">
        <f t="shared" ref="B66:B74" si="45">LEFT(D66,6)</f>
        <v>CU0669</v>
      </c>
      <c r="C66" s="259" t="s">
        <v>208</v>
      </c>
      <c r="D66" s="410" t="s">
        <v>1919</v>
      </c>
      <c r="E66" s="410" t="s">
        <v>229</v>
      </c>
      <c r="F66" s="330">
        <v>43709</v>
      </c>
      <c r="G66" s="449">
        <v>44409.8</v>
      </c>
      <c r="H66" s="421"/>
      <c r="I66" s="427"/>
      <c r="J66" s="421"/>
      <c r="L66" s="206">
        <f t="shared" ref="L66:L74" si="46">I66-K66</f>
        <v>0</v>
      </c>
      <c r="M66" s="206"/>
      <c r="O66" s="206">
        <f t="shared" ref="O66:O74" si="47">L66-N66</f>
        <v>0</v>
      </c>
      <c r="R66" s="206">
        <f t="shared" ref="R66:R74" si="48">O66-Q66</f>
        <v>0</v>
      </c>
      <c r="U66" s="206">
        <f t="shared" ref="U66:U74" si="49">R66-T66</f>
        <v>0</v>
      </c>
      <c r="X66" s="206">
        <f t="shared" ref="X66:X74" si="50">U66-W66</f>
        <v>0</v>
      </c>
      <c r="AA66" s="206">
        <f t="shared" ref="AA66:AA68" si="51">G66</f>
        <v>44409.8</v>
      </c>
      <c r="AD66" s="206">
        <f t="shared" ref="AD66:AD74" si="52">AA66-AC66</f>
        <v>44409.8</v>
      </c>
      <c r="AG66" s="206">
        <f t="shared" ref="AG66:AG74" si="53">AD66-AF66</f>
        <v>44409.8</v>
      </c>
      <c r="AH66" s="418" t="s">
        <v>1836</v>
      </c>
      <c r="AJ66" s="206">
        <f t="shared" si="11"/>
        <v>44409.8</v>
      </c>
      <c r="AK66" s="418" t="s">
        <v>1858</v>
      </c>
      <c r="AM66" s="206">
        <f t="shared" si="12"/>
        <v>44409.8</v>
      </c>
      <c r="AN66" s="418" t="s">
        <v>1921</v>
      </c>
      <c r="AP66" s="206">
        <f t="shared" si="13"/>
        <v>44409.8</v>
      </c>
      <c r="AQ66" s="418" t="s">
        <v>2015</v>
      </c>
      <c r="AR66" s="206">
        <f>ROUND(276025/1.06,2)-AR42-AR44-AR48-AR51-AR55-AR61</f>
        <v>36699.130188679243</v>
      </c>
      <c r="AS66" s="206">
        <f t="shared" si="14"/>
        <v>7710.6698113207603</v>
      </c>
      <c r="AV66" s="206">
        <f t="shared" si="15"/>
        <v>7710.6698113207603</v>
      </c>
      <c r="AW66" s="418" t="s">
        <v>2066</v>
      </c>
      <c r="AY66" s="206">
        <f t="shared" si="16"/>
        <v>7710.6698113207603</v>
      </c>
      <c r="AZ66" s="418" t="s">
        <v>2131</v>
      </c>
      <c r="BB66" s="206">
        <f t="shared" si="1"/>
        <v>7710.6698113207603</v>
      </c>
      <c r="BC66" s="418" t="s">
        <v>2226</v>
      </c>
      <c r="BE66" s="206">
        <f t="shared" si="17"/>
        <v>7710.6698113207603</v>
      </c>
      <c r="BF66" s="418" t="s">
        <v>2261</v>
      </c>
      <c r="BH66" s="206">
        <f t="shared" si="18"/>
        <v>7710.6698113207603</v>
      </c>
      <c r="BJ66" s="206">
        <f>BH66</f>
        <v>7710.6698113207603</v>
      </c>
      <c r="BK66" s="206">
        <f t="shared" si="19"/>
        <v>0</v>
      </c>
      <c r="BN66" s="206">
        <f t="shared" si="20"/>
        <v>0</v>
      </c>
      <c r="BQ66" s="206">
        <f t="shared" si="21"/>
        <v>0</v>
      </c>
      <c r="BT66" s="206">
        <f t="shared" si="22"/>
        <v>0</v>
      </c>
      <c r="BW66" s="206">
        <f t="shared" si="23"/>
        <v>0</v>
      </c>
      <c r="BZ66" s="206">
        <f t="shared" si="24"/>
        <v>0</v>
      </c>
      <c r="CC66" s="418" t="str">
        <f t="shared" ref="CC66:CC68" si="54">B66&amp;$B$1</f>
        <v>CU0669001</v>
      </c>
      <c r="CD66" s="442" t="str">
        <f t="shared" ref="CD66:CD68" si="55">YEAR(F66)&amp;"年"&amp;MONTH(F66)&amp;"月"</f>
        <v>2019年9月</v>
      </c>
      <c r="CE66" s="418" t="str">
        <f t="shared" ref="CE66:CE68" si="56">LEFT(E66,5)&amp;$E$1</f>
        <v>北京博禹国clife服务费暂估</v>
      </c>
      <c r="CF66" s="418" t="str">
        <f t="shared" ref="CF66:CF68" si="57">CD66&amp;CE66</f>
        <v>2019年9月北京博禹国clife服务费暂估</v>
      </c>
    </row>
    <row r="67" spans="2:84" s="418" customFormat="1" ht="21.75" customHeight="1">
      <c r="B67" s="418" t="str">
        <f t="shared" si="45"/>
        <v>CU0898</v>
      </c>
      <c r="C67" s="259" t="s">
        <v>208</v>
      </c>
      <c r="D67" s="410" t="s">
        <v>1920</v>
      </c>
      <c r="E67" s="410" t="s">
        <v>948</v>
      </c>
      <c r="F67" s="330">
        <v>43709</v>
      </c>
      <c r="G67" s="503">
        <v>17673.759999999998</v>
      </c>
      <c r="H67" s="421"/>
      <c r="I67" s="427"/>
      <c r="J67" s="421"/>
      <c r="L67" s="206">
        <f t="shared" si="46"/>
        <v>0</v>
      </c>
      <c r="M67" s="206"/>
      <c r="O67" s="206">
        <f t="shared" si="47"/>
        <v>0</v>
      </c>
      <c r="R67" s="206">
        <f t="shared" si="48"/>
        <v>0</v>
      </c>
      <c r="U67" s="206">
        <f t="shared" si="49"/>
        <v>0</v>
      </c>
      <c r="X67" s="206">
        <f t="shared" si="50"/>
        <v>0</v>
      </c>
      <c r="AA67" s="206">
        <f t="shared" si="51"/>
        <v>17673.759999999998</v>
      </c>
      <c r="AD67" s="206">
        <f t="shared" si="52"/>
        <v>17673.759999999998</v>
      </c>
      <c r="AF67" s="418">
        <v>8664</v>
      </c>
      <c r="AG67" s="206">
        <f t="shared" si="53"/>
        <v>9009.7599999999984</v>
      </c>
      <c r="AH67" s="418" t="s">
        <v>1836</v>
      </c>
      <c r="AJ67" s="206">
        <f t="shared" si="11"/>
        <v>9009.7599999999984</v>
      </c>
      <c r="AK67" s="418" t="s">
        <v>1858</v>
      </c>
      <c r="AM67" s="206">
        <f t="shared" si="12"/>
        <v>9009.7599999999984</v>
      </c>
      <c r="AN67" s="418" t="s">
        <v>1921</v>
      </c>
      <c r="AP67" s="206">
        <f t="shared" si="13"/>
        <v>9009.7599999999984</v>
      </c>
      <c r="AQ67" s="418" t="s">
        <v>2015</v>
      </c>
      <c r="AS67" s="206">
        <f t="shared" si="14"/>
        <v>9009.7599999999984</v>
      </c>
      <c r="AV67" s="206">
        <f t="shared" si="15"/>
        <v>9009.7599999999984</v>
      </c>
      <c r="AW67" s="418" t="s">
        <v>2066</v>
      </c>
      <c r="AY67" s="206">
        <f t="shared" si="16"/>
        <v>9009.7599999999984</v>
      </c>
      <c r="AZ67" s="418" t="s">
        <v>2131</v>
      </c>
      <c r="BB67" s="206">
        <f t="shared" si="1"/>
        <v>9009.7599999999984</v>
      </c>
      <c r="BC67" s="418" t="s">
        <v>2226</v>
      </c>
      <c r="BE67" s="206">
        <f t="shared" si="17"/>
        <v>9009.7599999999984</v>
      </c>
      <c r="BF67" s="418" t="s">
        <v>2261</v>
      </c>
      <c r="BH67" s="206">
        <f t="shared" si="18"/>
        <v>9009.7599999999984</v>
      </c>
      <c r="BK67" s="206">
        <f t="shared" si="19"/>
        <v>9009.7599999999984</v>
      </c>
      <c r="BL67" s="418" t="s">
        <v>2344</v>
      </c>
      <c r="BN67" s="206">
        <f t="shared" si="20"/>
        <v>9009.7599999999984</v>
      </c>
      <c r="BO67" s="418" t="s">
        <v>2366</v>
      </c>
      <c r="BQ67" s="206">
        <f t="shared" si="21"/>
        <v>9009.76</v>
      </c>
      <c r="BT67" s="206">
        <f t="shared" si="22"/>
        <v>9009.76</v>
      </c>
      <c r="BU67" s="418" t="s">
        <v>2405</v>
      </c>
      <c r="BW67" s="206">
        <f t="shared" si="23"/>
        <v>9009.76</v>
      </c>
      <c r="BZ67" s="206">
        <f t="shared" si="24"/>
        <v>9009.76</v>
      </c>
      <c r="CC67" s="418" t="str">
        <f t="shared" si="54"/>
        <v>CU0898001</v>
      </c>
      <c r="CD67" s="442" t="str">
        <f t="shared" si="55"/>
        <v>2019年9月</v>
      </c>
      <c r="CE67" s="418" t="str">
        <f t="shared" si="56"/>
        <v>凯易讯网络clife服务费暂估</v>
      </c>
      <c r="CF67" s="418" t="str">
        <f t="shared" si="57"/>
        <v>2019年9月凯易讯网络clife服务费暂估</v>
      </c>
    </row>
    <row r="68" spans="2:84" s="418" customFormat="1" ht="21.75" customHeight="1">
      <c r="B68" s="418" t="str">
        <f t="shared" si="45"/>
        <v>CU1163</v>
      </c>
      <c r="C68" s="259" t="s">
        <v>208</v>
      </c>
      <c r="D68" s="410" t="s">
        <v>2321</v>
      </c>
      <c r="E68" s="410" t="s">
        <v>2320</v>
      </c>
      <c r="F68" s="330">
        <v>43709</v>
      </c>
      <c r="G68" s="503">
        <v>37281.14</v>
      </c>
      <c r="H68" s="421"/>
      <c r="I68" s="427"/>
      <c r="J68" s="421"/>
      <c r="L68" s="206">
        <f t="shared" si="46"/>
        <v>0</v>
      </c>
      <c r="M68" s="206"/>
      <c r="O68" s="206">
        <f t="shared" si="47"/>
        <v>0</v>
      </c>
      <c r="R68" s="206">
        <f t="shared" si="48"/>
        <v>0</v>
      </c>
      <c r="U68" s="206">
        <f t="shared" si="49"/>
        <v>0</v>
      </c>
      <c r="X68" s="206">
        <f t="shared" si="50"/>
        <v>0</v>
      </c>
      <c r="AA68" s="206">
        <f t="shared" si="51"/>
        <v>37281.14</v>
      </c>
      <c r="AD68" s="206">
        <f t="shared" si="52"/>
        <v>37281.14</v>
      </c>
      <c r="AG68" s="206">
        <f t="shared" si="53"/>
        <v>37281.14</v>
      </c>
      <c r="AH68" s="418" t="s">
        <v>1836</v>
      </c>
      <c r="AI68" s="206">
        <f>ROUND(104000/1.06,2)-AI50-AI56-AI63</f>
        <v>24479.9</v>
      </c>
      <c r="AJ68" s="206">
        <f t="shared" ref="AJ68:AJ73" si="58">AG68-AI68</f>
        <v>12801.239999999998</v>
      </c>
      <c r="AK68" s="418" t="s">
        <v>1858</v>
      </c>
      <c r="AM68" s="206">
        <f t="shared" ref="AM68:AM80" si="59">AJ68-AL68</f>
        <v>12801.239999999998</v>
      </c>
      <c r="AN68" s="418" t="s">
        <v>1921</v>
      </c>
      <c r="AP68" s="206">
        <f t="shared" ref="AP68:AP80" si="60">AM68-AO68</f>
        <v>12801.239999999998</v>
      </c>
      <c r="AQ68" s="418" t="s">
        <v>2015</v>
      </c>
      <c r="AS68" s="206">
        <f t="shared" ref="AS68:AS103" si="61">AP68-AR68</f>
        <v>12801.239999999998</v>
      </c>
      <c r="AV68" s="206">
        <f t="shared" ref="AV68:AV103" si="62">AS68-AU68</f>
        <v>12801.239999999998</v>
      </c>
      <c r="AW68" s="418" t="s">
        <v>2066</v>
      </c>
      <c r="AY68" s="206">
        <f t="shared" ref="AY68:AY110" si="63">AV68-AX68</f>
        <v>12801.239999999998</v>
      </c>
      <c r="AZ68" s="418" t="s">
        <v>2131</v>
      </c>
      <c r="BB68" s="206">
        <f t="shared" ref="BB68:BB110" si="64">AY68-BA68</f>
        <v>12801.239999999998</v>
      </c>
      <c r="BC68" s="418" t="s">
        <v>2226</v>
      </c>
      <c r="BE68" s="206">
        <f t="shared" ref="BE68:BE119" si="65">BB68-BD68</f>
        <v>12801.239999999998</v>
      </c>
      <c r="BF68" s="418" t="s">
        <v>2261</v>
      </c>
      <c r="BH68" s="206">
        <f t="shared" ref="BH68:BH131" si="66">BE68-BG68</f>
        <v>12801.239999999998</v>
      </c>
      <c r="BK68" s="206">
        <f t="shared" ref="BK68:BK131" si="67">BH68-BJ68</f>
        <v>12801.239999999998</v>
      </c>
      <c r="BL68" s="418" t="s">
        <v>2344</v>
      </c>
      <c r="BN68" s="206">
        <f t="shared" ref="BN68:BN131" si="68">BK68-BM68</f>
        <v>12801.239999999998</v>
      </c>
      <c r="BO68" s="418" t="s">
        <v>2366</v>
      </c>
      <c r="BQ68" s="206">
        <f t="shared" ref="BQ68:BQ131" si="69">ROUND((BN68-BP68),2)</f>
        <v>12801.24</v>
      </c>
      <c r="BT68" s="206">
        <f t="shared" ref="BT68:BT131" si="70">ROUND((BQ68-BS68),2)</f>
        <v>12801.24</v>
      </c>
      <c r="BU68" s="418" t="s">
        <v>2405</v>
      </c>
      <c r="BW68" s="206">
        <f t="shared" ref="BW68:BW131" si="71">ROUND((BT68-BV68),2)</f>
        <v>12801.24</v>
      </c>
      <c r="BZ68" s="206">
        <f t="shared" ref="BZ68:BZ131" si="72">ROUND((BW68-BY68),2)</f>
        <v>12801.24</v>
      </c>
      <c r="CC68" s="418" t="str">
        <f t="shared" si="54"/>
        <v>CU1163001</v>
      </c>
      <c r="CD68" s="442" t="str">
        <f t="shared" si="55"/>
        <v>2019年9月</v>
      </c>
      <c r="CE68" s="418" t="str">
        <f t="shared" si="56"/>
        <v>泰利福医疗clife服务费暂估</v>
      </c>
      <c r="CF68" s="418" t="str">
        <f t="shared" si="57"/>
        <v>2019年9月泰利福医疗clife服务费暂估</v>
      </c>
    </row>
    <row r="69" spans="2:84" s="418" customFormat="1" ht="21.75" customHeight="1">
      <c r="B69" s="418" t="str">
        <f t="shared" si="45"/>
        <v>CU0207</v>
      </c>
      <c r="C69" s="259" t="s">
        <v>208</v>
      </c>
      <c r="D69" s="410" t="s">
        <v>1871</v>
      </c>
      <c r="E69" s="410" t="s">
        <v>13</v>
      </c>
      <c r="F69" s="330">
        <v>43739</v>
      </c>
      <c r="G69" s="503">
        <v>179029.91</v>
      </c>
      <c r="H69" s="421"/>
      <c r="I69" s="427"/>
      <c r="J69" s="421"/>
      <c r="L69" s="206">
        <f t="shared" si="46"/>
        <v>0</v>
      </c>
      <c r="M69" s="206"/>
      <c r="O69" s="206">
        <f t="shared" si="47"/>
        <v>0</v>
      </c>
      <c r="R69" s="206">
        <f t="shared" si="48"/>
        <v>0</v>
      </c>
      <c r="U69" s="206">
        <f t="shared" si="49"/>
        <v>0</v>
      </c>
      <c r="X69" s="206">
        <f t="shared" si="50"/>
        <v>0</v>
      </c>
      <c r="AA69" s="206">
        <f t="shared" ref="AA69:AA74" si="73">X69-Z69</f>
        <v>0</v>
      </c>
      <c r="AD69" s="206">
        <f t="shared" si="52"/>
        <v>0</v>
      </c>
      <c r="AG69" s="206">
        <v>179029.91</v>
      </c>
      <c r="AJ69" s="206">
        <f t="shared" si="58"/>
        <v>179029.91</v>
      </c>
      <c r="AK69" s="418" t="s">
        <v>1872</v>
      </c>
      <c r="AM69" s="206">
        <f t="shared" si="59"/>
        <v>179029.91</v>
      </c>
      <c r="AN69" s="418" t="s">
        <v>1924</v>
      </c>
      <c r="AO69" s="418">
        <f>70000-9023.19</f>
        <v>60976.81</v>
      </c>
      <c r="AP69" s="206">
        <f t="shared" si="60"/>
        <v>118053.1</v>
      </c>
      <c r="AQ69" s="418" t="s">
        <v>2016</v>
      </c>
      <c r="AR69" s="418">
        <f>7810+110243.1</f>
        <v>118053.1</v>
      </c>
      <c r="AS69" s="206">
        <f t="shared" si="61"/>
        <v>0</v>
      </c>
      <c r="AV69" s="206">
        <f t="shared" si="62"/>
        <v>0</v>
      </c>
      <c r="AY69" s="206">
        <f t="shared" si="63"/>
        <v>0</v>
      </c>
      <c r="BB69" s="206">
        <f t="shared" si="64"/>
        <v>0</v>
      </c>
      <c r="BE69" s="206">
        <f t="shared" si="65"/>
        <v>0</v>
      </c>
      <c r="BH69" s="206">
        <f t="shared" si="66"/>
        <v>0</v>
      </c>
      <c r="BK69" s="206">
        <f t="shared" si="67"/>
        <v>0</v>
      </c>
      <c r="BN69" s="206">
        <f t="shared" si="68"/>
        <v>0</v>
      </c>
      <c r="BQ69" s="206">
        <f t="shared" si="69"/>
        <v>0</v>
      </c>
      <c r="BT69" s="206">
        <f t="shared" si="70"/>
        <v>0</v>
      </c>
      <c r="BW69" s="206">
        <f t="shared" si="71"/>
        <v>0</v>
      </c>
      <c r="BZ69" s="206">
        <f t="shared" si="72"/>
        <v>0</v>
      </c>
    </row>
    <row r="70" spans="2:84" s="418" customFormat="1" ht="21.75" customHeight="1">
      <c r="B70" s="418" t="str">
        <f t="shared" si="45"/>
        <v>CU0669</v>
      </c>
      <c r="C70" s="259" t="s">
        <v>208</v>
      </c>
      <c r="D70" s="410" t="s">
        <v>1922</v>
      </c>
      <c r="E70" s="410" t="s">
        <v>229</v>
      </c>
      <c r="F70" s="330">
        <v>43739</v>
      </c>
      <c r="G70" s="503">
        <v>44116.99</v>
      </c>
      <c r="H70" s="421"/>
      <c r="I70" s="427"/>
      <c r="J70" s="421"/>
      <c r="L70" s="206">
        <f t="shared" si="46"/>
        <v>0</v>
      </c>
      <c r="M70" s="206"/>
      <c r="O70" s="206">
        <f t="shared" si="47"/>
        <v>0</v>
      </c>
      <c r="R70" s="206">
        <f t="shared" si="48"/>
        <v>0</v>
      </c>
      <c r="U70" s="206">
        <f t="shared" si="49"/>
        <v>0</v>
      </c>
      <c r="X70" s="206">
        <f t="shared" si="50"/>
        <v>0</v>
      </c>
      <c r="AA70" s="206">
        <f t="shared" si="73"/>
        <v>0</v>
      </c>
      <c r="AD70" s="206">
        <f t="shared" si="52"/>
        <v>0</v>
      </c>
      <c r="AG70" s="206">
        <v>44116.99</v>
      </c>
      <c r="AJ70" s="206">
        <f t="shared" si="58"/>
        <v>44116.99</v>
      </c>
      <c r="AK70" s="418" t="s">
        <v>1872</v>
      </c>
      <c r="AM70" s="206">
        <f t="shared" si="59"/>
        <v>44116.99</v>
      </c>
      <c r="AN70" s="418" t="s">
        <v>1924</v>
      </c>
      <c r="AP70" s="206">
        <f t="shared" si="60"/>
        <v>44116.99</v>
      </c>
      <c r="AQ70" s="418" t="s">
        <v>2016</v>
      </c>
      <c r="AS70" s="206">
        <f t="shared" si="61"/>
        <v>44116.99</v>
      </c>
      <c r="AV70" s="206">
        <f t="shared" si="62"/>
        <v>44116.99</v>
      </c>
      <c r="AW70" s="418" t="s">
        <v>2066</v>
      </c>
      <c r="AY70" s="206">
        <f t="shared" si="63"/>
        <v>44116.99</v>
      </c>
      <c r="AZ70" s="418" t="s">
        <v>2131</v>
      </c>
      <c r="BB70" s="206">
        <f t="shared" si="64"/>
        <v>44116.99</v>
      </c>
      <c r="BC70" s="418" t="s">
        <v>2226</v>
      </c>
      <c r="BE70" s="206">
        <f t="shared" si="65"/>
        <v>44116.99</v>
      </c>
      <c r="BF70" s="418" t="s">
        <v>2261</v>
      </c>
      <c r="BH70" s="206">
        <f t="shared" si="66"/>
        <v>44116.99</v>
      </c>
      <c r="BJ70" s="206">
        <f>BH70</f>
        <v>44116.99</v>
      </c>
      <c r="BK70" s="206">
        <f t="shared" si="67"/>
        <v>0</v>
      </c>
      <c r="BN70" s="206">
        <f t="shared" si="68"/>
        <v>0</v>
      </c>
      <c r="BQ70" s="206">
        <f t="shared" si="69"/>
        <v>0</v>
      </c>
      <c r="BT70" s="206">
        <f t="shared" si="70"/>
        <v>0</v>
      </c>
      <c r="BW70" s="206">
        <f t="shared" si="71"/>
        <v>0</v>
      </c>
      <c r="BZ70" s="206">
        <f t="shared" si="72"/>
        <v>0</v>
      </c>
      <c r="CC70" s="418" t="str">
        <f t="shared" ref="CC70:CC72" si="74">B70&amp;$B$1</f>
        <v>CU0669001</v>
      </c>
      <c r="CD70" s="442" t="str">
        <f t="shared" ref="CD70:CD72" si="75">YEAR(F70)&amp;"年"&amp;MONTH(F70)&amp;"月"</f>
        <v>2019年10月</v>
      </c>
      <c r="CE70" s="418" t="str">
        <f t="shared" ref="CE70:CE72" si="76">LEFT(E70,5)&amp;$E$1</f>
        <v>北京博禹国clife服务费暂估</v>
      </c>
      <c r="CF70" s="418" t="str">
        <f t="shared" ref="CF70:CF72" si="77">CD70&amp;CE70</f>
        <v>2019年10月北京博禹国clife服务费暂估</v>
      </c>
    </row>
    <row r="71" spans="2:84" s="418" customFormat="1" ht="21.75" customHeight="1">
      <c r="B71" s="418" t="str">
        <f t="shared" si="45"/>
        <v>CU0898</v>
      </c>
      <c r="C71" s="259" t="s">
        <v>208</v>
      </c>
      <c r="D71" s="410" t="s">
        <v>1609</v>
      </c>
      <c r="E71" s="410" t="s">
        <v>948</v>
      </c>
      <c r="F71" s="330">
        <v>43739</v>
      </c>
      <c r="G71" s="503">
        <v>19063.8</v>
      </c>
      <c r="H71" s="421"/>
      <c r="I71" s="427"/>
      <c r="J71" s="421"/>
      <c r="L71" s="206">
        <f t="shared" si="46"/>
        <v>0</v>
      </c>
      <c r="M71" s="206"/>
      <c r="O71" s="206">
        <f t="shared" si="47"/>
        <v>0</v>
      </c>
      <c r="R71" s="206">
        <f t="shared" si="48"/>
        <v>0</v>
      </c>
      <c r="U71" s="206">
        <f t="shared" si="49"/>
        <v>0</v>
      </c>
      <c r="X71" s="206">
        <f t="shared" si="50"/>
        <v>0</v>
      </c>
      <c r="AA71" s="206">
        <f t="shared" si="73"/>
        <v>0</v>
      </c>
      <c r="AD71" s="206">
        <f t="shared" si="52"/>
        <v>0</v>
      </c>
      <c r="AG71" s="206">
        <v>19063.8</v>
      </c>
      <c r="AJ71" s="206">
        <f t="shared" si="58"/>
        <v>19063.8</v>
      </c>
      <c r="AK71" s="418" t="s">
        <v>1872</v>
      </c>
      <c r="AM71" s="206">
        <f t="shared" si="59"/>
        <v>19063.8</v>
      </c>
      <c r="AN71" s="418" t="s">
        <v>1924</v>
      </c>
      <c r="AP71" s="206">
        <f t="shared" si="60"/>
        <v>19063.8</v>
      </c>
      <c r="AQ71" s="418" t="s">
        <v>2016</v>
      </c>
      <c r="AS71" s="206">
        <f t="shared" si="61"/>
        <v>19063.8</v>
      </c>
      <c r="AV71" s="206">
        <f t="shared" si="62"/>
        <v>19063.8</v>
      </c>
      <c r="AW71" s="418" t="s">
        <v>2066</v>
      </c>
      <c r="AY71" s="206">
        <f t="shared" si="63"/>
        <v>19063.8</v>
      </c>
      <c r="AZ71" s="418" t="s">
        <v>2131</v>
      </c>
      <c r="BB71" s="206">
        <f t="shared" si="64"/>
        <v>19063.8</v>
      </c>
      <c r="BC71" s="418" t="s">
        <v>2226</v>
      </c>
      <c r="BE71" s="206">
        <f t="shared" si="65"/>
        <v>19063.8</v>
      </c>
      <c r="BF71" s="418" t="s">
        <v>2261</v>
      </c>
      <c r="BH71" s="206">
        <f t="shared" si="66"/>
        <v>19063.8</v>
      </c>
      <c r="BK71" s="206">
        <f t="shared" si="67"/>
        <v>19063.8</v>
      </c>
      <c r="BL71" s="418" t="s">
        <v>2344</v>
      </c>
      <c r="BN71" s="206">
        <f t="shared" si="68"/>
        <v>19063.8</v>
      </c>
      <c r="BO71" s="418" t="s">
        <v>2366</v>
      </c>
      <c r="BQ71" s="206">
        <f t="shared" si="69"/>
        <v>19063.8</v>
      </c>
      <c r="BT71" s="206">
        <f t="shared" si="70"/>
        <v>19063.8</v>
      </c>
      <c r="BU71" s="418" t="s">
        <v>2405</v>
      </c>
      <c r="BW71" s="206">
        <f t="shared" si="71"/>
        <v>19063.8</v>
      </c>
      <c r="BZ71" s="206">
        <f t="shared" si="72"/>
        <v>19063.8</v>
      </c>
      <c r="CC71" s="418" t="str">
        <f t="shared" si="74"/>
        <v>CU0898001</v>
      </c>
      <c r="CD71" s="442" t="str">
        <f t="shared" si="75"/>
        <v>2019年10月</v>
      </c>
      <c r="CE71" s="418" t="str">
        <f t="shared" si="76"/>
        <v>凯易讯网络clife服务费暂估</v>
      </c>
      <c r="CF71" s="418" t="str">
        <f t="shared" si="77"/>
        <v>2019年10月凯易讯网络clife服务费暂估</v>
      </c>
    </row>
    <row r="72" spans="2:84" s="418" customFormat="1" ht="21.75" customHeight="1">
      <c r="B72" s="418" t="str">
        <f t="shared" si="45"/>
        <v>CU1163</v>
      </c>
      <c r="C72" s="259" t="s">
        <v>208</v>
      </c>
      <c r="D72" s="410" t="s">
        <v>1632</v>
      </c>
      <c r="E72" s="410" t="s">
        <v>1631</v>
      </c>
      <c r="F72" s="330">
        <v>43739</v>
      </c>
      <c r="G72" s="503">
        <v>17952.41</v>
      </c>
      <c r="H72" s="421"/>
      <c r="I72" s="427"/>
      <c r="J72" s="421"/>
      <c r="L72" s="206">
        <f t="shared" si="46"/>
        <v>0</v>
      </c>
      <c r="M72" s="206"/>
      <c r="O72" s="206">
        <f t="shared" si="47"/>
        <v>0</v>
      </c>
      <c r="R72" s="206">
        <f t="shared" si="48"/>
        <v>0</v>
      </c>
      <c r="U72" s="206">
        <f t="shared" si="49"/>
        <v>0</v>
      </c>
      <c r="X72" s="206">
        <f t="shared" si="50"/>
        <v>0</v>
      </c>
      <c r="AA72" s="206">
        <f t="shared" si="73"/>
        <v>0</v>
      </c>
      <c r="AD72" s="206">
        <f t="shared" si="52"/>
        <v>0</v>
      </c>
      <c r="AG72" s="206">
        <v>17952.41</v>
      </c>
      <c r="AJ72" s="206">
        <f t="shared" si="58"/>
        <v>17952.41</v>
      </c>
      <c r="AK72" s="418" t="s">
        <v>1872</v>
      </c>
      <c r="AM72" s="206">
        <f t="shared" si="59"/>
        <v>17952.41</v>
      </c>
      <c r="AN72" s="418" t="s">
        <v>1924</v>
      </c>
      <c r="AP72" s="206">
        <f t="shared" si="60"/>
        <v>17952.41</v>
      </c>
      <c r="AQ72" s="418" t="s">
        <v>2016</v>
      </c>
      <c r="AS72" s="206">
        <f t="shared" si="61"/>
        <v>17952.41</v>
      </c>
      <c r="AV72" s="206">
        <f t="shared" si="62"/>
        <v>17952.41</v>
      </c>
      <c r="AW72" s="418" t="s">
        <v>2066</v>
      </c>
      <c r="AY72" s="206">
        <f t="shared" si="63"/>
        <v>17952.41</v>
      </c>
      <c r="AZ72" s="418" t="s">
        <v>2131</v>
      </c>
      <c r="BB72" s="206">
        <f t="shared" si="64"/>
        <v>17952.41</v>
      </c>
      <c r="BC72" s="418" t="s">
        <v>2226</v>
      </c>
      <c r="BE72" s="206">
        <f t="shared" si="65"/>
        <v>17952.41</v>
      </c>
      <c r="BF72" s="418" t="s">
        <v>2261</v>
      </c>
      <c r="BH72" s="206">
        <f t="shared" si="66"/>
        <v>17952.41</v>
      </c>
      <c r="BK72" s="206">
        <f t="shared" si="67"/>
        <v>17952.41</v>
      </c>
      <c r="BL72" s="418" t="s">
        <v>2344</v>
      </c>
      <c r="BN72" s="206">
        <f t="shared" si="68"/>
        <v>17952.41</v>
      </c>
      <c r="BO72" s="418" t="s">
        <v>2366</v>
      </c>
      <c r="BQ72" s="206">
        <f t="shared" si="69"/>
        <v>17952.41</v>
      </c>
      <c r="BT72" s="206">
        <f t="shared" si="70"/>
        <v>17952.41</v>
      </c>
      <c r="BU72" s="418" t="s">
        <v>2405</v>
      </c>
      <c r="BW72" s="206">
        <f t="shared" si="71"/>
        <v>17952.41</v>
      </c>
      <c r="BZ72" s="206">
        <f t="shared" si="72"/>
        <v>17952.41</v>
      </c>
      <c r="CC72" s="418" t="str">
        <f t="shared" si="74"/>
        <v>CU1163001</v>
      </c>
      <c r="CD72" s="442" t="str">
        <f t="shared" si="75"/>
        <v>2019年10月</v>
      </c>
      <c r="CE72" s="418" t="str">
        <f t="shared" si="76"/>
        <v>泰利福医疗clife服务费暂估</v>
      </c>
      <c r="CF72" s="418" t="str">
        <f t="shared" si="77"/>
        <v>2019年10月泰利福医疗clife服务费暂估</v>
      </c>
    </row>
    <row r="73" spans="2:84" s="418" customFormat="1" ht="21.75" customHeight="1">
      <c r="B73" s="418" t="str">
        <f t="shared" si="45"/>
        <v>CU1610</v>
      </c>
      <c r="C73" s="259" t="s">
        <v>208</v>
      </c>
      <c r="D73" s="410" t="s">
        <v>1923</v>
      </c>
      <c r="E73" s="410" t="s">
        <v>1870</v>
      </c>
      <c r="F73" s="330">
        <v>43739</v>
      </c>
      <c r="G73" s="503">
        <v>88689.12</v>
      </c>
      <c r="H73" s="421"/>
      <c r="I73" s="427"/>
      <c r="J73" s="421"/>
      <c r="L73" s="206">
        <f t="shared" si="46"/>
        <v>0</v>
      </c>
      <c r="M73" s="206"/>
      <c r="O73" s="206">
        <f t="shared" si="47"/>
        <v>0</v>
      </c>
      <c r="R73" s="206">
        <f t="shared" si="48"/>
        <v>0</v>
      </c>
      <c r="U73" s="206">
        <f t="shared" si="49"/>
        <v>0</v>
      </c>
      <c r="X73" s="206">
        <f t="shared" si="50"/>
        <v>0</v>
      </c>
      <c r="AA73" s="206">
        <f t="shared" si="73"/>
        <v>0</v>
      </c>
      <c r="AD73" s="206">
        <f t="shared" si="52"/>
        <v>0</v>
      </c>
      <c r="AG73" s="206">
        <v>88689.12</v>
      </c>
      <c r="AJ73" s="206">
        <f t="shared" si="58"/>
        <v>88689.12</v>
      </c>
      <c r="AK73" s="418" t="s">
        <v>1872</v>
      </c>
      <c r="AM73" s="206">
        <f t="shared" si="59"/>
        <v>88689.12</v>
      </c>
      <c r="AN73" s="418" t="s">
        <v>1924</v>
      </c>
      <c r="AO73" s="206">
        <f>AM73</f>
        <v>88689.12</v>
      </c>
      <c r="AP73" s="206">
        <f t="shared" si="60"/>
        <v>0</v>
      </c>
      <c r="AQ73" s="418" t="s">
        <v>2016</v>
      </c>
      <c r="AS73" s="206">
        <f t="shared" si="61"/>
        <v>0</v>
      </c>
      <c r="AV73" s="206">
        <f t="shared" si="62"/>
        <v>0</v>
      </c>
      <c r="AY73" s="206">
        <f t="shared" si="63"/>
        <v>0</v>
      </c>
      <c r="BB73" s="206">
        <f t="shared" si="64"/>
        <v>0</v>
      </c>
      <c r="BE73" s="206">
        <f t="shared" si="65"/>
        <v>0</v>
      </c>
      <c r="BH73" s="206">
        <f t="shared" si="66"/>
        <v>0</v>
      </c>
      <c r="BK73" s="206">
        <f t="shared" si="67"/>
        <v>0</v>
      </c>
      <c r="BN73" s="206">
        <f t="shared" si="68"/>
        <v>0</v>
      </c>
      <c r="BQ73" s="206">
        <f t="shared" si="69"/>
        <v>0</v>
      </c>
      <c r="BT73" s="206">
        <f t="shared" si="70"/>
        <v>0</v>
      </c>
      <c r="BW73" s="206">
        <f t="shared" si="71"/>
        <v>0</v>
      </c>
      <c r="BZ73" s="206">
        <f t="shared" si="72"/>
        <v>0</v>
      </c>
    </row>
    <row r="74" spans="2:84" s="447" customFormat="1" ht="21.75" customHeight="1">
      <c r="B74" s="447" t="str">
        <f t="shared" si="45"/>
        <v>CU1610</v>
      </c>
      <c r="C74" s="431" t="s">
        <v>208</v>
      </c>
      <c r="D74" s="67" t="s">
        <v>1923</v>
      </c>
      <c r="E74" s="67" t="s">
        <v>1870</v>
      </c>
      <c r="F74" s="439">
        <v>43770</v>
      </c>
      <c r="G74" s="449">
        <v>88689.12</v>
      </c>
      <c r="H74" s="421"/>
      <c r="I74" s="427"/>
      <c r="J74" s="421"/>
      <c r="K74" s="418"/>
      <c r="L74" s="206">
        <f t="shared" si="46"/>
        <v>0</v>
      </c>
      <c r="M74" s="206"/>
      <c r="N74" s="418"/>
      <c r="O74" s="206">
        <f t="shared" si="47"/>
        <v>0</v>
      </c>
      <c r="P74" s="418"/>
      <c r="Q74" s="418"/>
      <c r="R74" s="206">
        <f t="shared" si="48"/>
        <v>0</v>
      </c>
      <c r="S74" s="418"/>
      <c r="T74" s="418"/>
      <c r="U74" s="206">
        <f t="shared" si="49"/>
        <v>0</v>
      </c>
      <c r="V74" s="418"/>
      <c r="W74" s="418"/>
      <c r="X74" s="206">
        <f t="shared" si="50"/>
        <v>0</v>
      </c>
      <c r="Y74" s="418"/>
      <c r="Z74" s="418"/>
      <c r="AA74" s="206">
        <f t="shared" si="73"/>
        <v>0</v>
      </c>
      <c r="AB74" s="418"/>
      <c r="AC74" s="418"/>
      <c r="AD74" s="206">
        <f t="shared" si="52"/>
        <v>0</v>
      </c>
      <c r="AE74" s="418"/>
      <c r="AF74" s="418"/>
      <c r="AG74" s="206">
        <f t="shared" si="53"/>
        <v>0</v>
      </c>
      <c r="AH74" s="418"/>
      <c r="AJ74" s="491">
        <v>88689.12</v>
      </c>
      <c r="AM74" s="491">
        <f t="shared" si="59"/>
        <v>88689.12</v>
      </c>
      <c r="AN74" s="447" t="s">
        <v>1979</v>
      </c>
      <c r="AO74" s="491">
        <f>ROUND((21710.05+74219+95929.05)/1.06,2)-AO64-AO73</f>
        <v>25709.759999999995</v>
      </c>
      <c r="AP74" s="491">
        <f t="shared" si="60"/>
        <v>62979.360000000001</v>
      </c>
      <c r="AQ74" s="447" t="s">
        <v>2017</v>
      </c>
      <c r="AS74" s="491">
        <f t="shared" si="61"/>
        <v>62979.360000000001</v>
      </c>
      <c r="AV74" s="491">
        <f t="shared" si="62"/>
        <v>62979.360000000001</v>
      </c>
      <c r="AW74" s="447" t="s">
        <v>2066</v>
      </c>
      <c r="AY74" s="491">
        <f t="shared" si="63"/>
        <v>62979.360000000001</v>
      </c>
      <c r="AZ74" s="447" t="s">
        <v>2131</v>
      </c>
      <c r="BB74" s="491">
        <f t="shared" si="64"/>
        <v>62979.360000000001</v>
      </c>
      <c r="BC74" s="447" t="s">
        <v>2226</v>
      </c>
      <c r="BE74" s="491">
        <f t="shared" si="65"/>
        <v>62979.360000000001</v>
      </c>
      <c r="BF74" s="418" t="s">
        <v>2261</v>
      </c>
      <c r="BG74" s="491">
        <f>BE74</f>
        <v>62979.360000000001</v>
      </c>
      <c r="BH74" s="491">
        <f t="shared" si="66"/>
        <v>0</v>
      </c>
      <c r="BK74" s="206">
        <f t="shared" si="67"/>
        <v>0</v>
      </c>
      <c r="BN74" s="206">
        <f t="shared" si="68"/>
        <v>0</v>
      </c>
      <c r="BQ74" s="206">
        <f t="shared" si="69"/>
        <v>0</v>
      </c>
      <c r="BT74" s="206">
        <f t="shared" si="70"/>
        <v>0</v>
      </c>
      <c r="BW74" s="206">
        <f t="shared" si="71"/>
        <v>0</v>
      </c>
      <c r="BZ74" s="206">
        <f t="shared" si="72"/>
        <v>0</v>
      </c>
    </row>
    <row r="75" spans="2:84" s="418" customFormat="1" ht="21.75" customHeight="1">
      <c r="B75" s="418" t="str">
        <f t="shared" si="36"/>
        <v>CU0207</v>
      </c>
      <c r="C75" s="259" t="s">
        <v>208</v>
      </c>
      <c r="D75" s="410" t="s">
        <v>1607</v>
      </c>
      <c r="E75" s="410" t="s">
        <v>13</v>
      </c>
      <c r="F75" s="330">
        <v>43770</v>
      </c>
      <c r="G75" s="449">
        <v>182693.8</v>
      </c>
      <c r="H75" s="421"/>
      <c r="I75" s="427"/>
      <c r="J75" s="421"/>
      <c r="L75" s="206">
        <f t="shared" si="37"/>
        <v>0</v>
      </c>
      <c r="M75" s="206"/>
      <c r="O75" s="206">
        <f t="shared" si="38"/>
        <v>0</v>
      </c>
      <c r="R75" s="206">
        <f t="shared" si="39"/>
        <v>0</v>
      </c>
      <c r="U75" s="206">
        <f t="shared" si="40"/>
        <v>0</v>
      </c>
      <c r="X75" s="206">
        <f t="shared" si="44"/>
        <v>0</v>
      </c>
      <c r="AA75" s="206">
        <f t="shared" si="42"/>
        <v>0</v>
      </c>
      <c r="AD75" s="206">
        <f t="shared" si="43"/>
        <v>0</v>
      </c>
      <c r="AG75" s="206">
        <f t="shared" si="10"/>
        <v>0</v>
      </c>
      <c r="AJ75" s="206">
        <v>182693.8</v>
      </c>
      <c r="AM75" s="206">
        <f t="shared" si="59"/>
        <v>182693.8</v>
      </c>
      <c r="AN75" s="418" t="s">
        <v>1979</v>
      </c>
      <c r="AP75" s="206">
        <f t="shared" si="60"/>
        <v>182693.8</v>
      </c>
      <c r="AQ75" s="418" t="s">
        <v>2017</v>
      </c>
      <c r="AR75" s="206">
        <f>AP75</f>
        <v>182693.8</v>
      </c>
      <c r="AS75" s="206">
        <f t="shared" si="61"/>
        <v>0</v>
      </c>
      <c r="AV75" s="206">
        <f t="shared" si="62"/>
        <v>0</v>
      </c>
      <c r="AY75" s="206">
        <f t="shared" si="63"/>
        <v>0</v>
      </c>
      <c r="BB75" s="206">
        <f t="shared" si="64"/>
        <v>0</v>
      </c>
      <c r="BE75" s="206">
        <f t="shared" si="65"/>
        <v>0</v>
      </c>
      <c r="BH75" s="206">
        <f t="shared" si="66"/>
        <v>0</v>
      </c>
      <c r="BK75" s="206">
        <f t="shared" si="67"/>
        <v>0</v>
      </c>
      <c r="BN75" s="206">
        <f t="shared" si="68"/>
        <v>0</v>
      </c>
      <c r="BQ75" s="206">
        <f t="shared" si="69"/>
        <v>0</v>
      </c>
      <c r="BT75" s="206">
        <f t="shared" si="70"/>
        <v>0</v>
      </c>
      <c r="BW75" s="206">
        <f t="shared" si="71"/>
        <v>0</v>
      </c>
      <c r="BZ75" s="206">
        <f t="shared" si="72"/>
        <v>0</v>
      </c>
    </row>
    <row r="76" spans="2:84" s="418" customFormat="1" ht="21.75" customHeight="1">
      <c r="B76" s="418" t="str">
        <f t="shared" ref="B76:B79" si="78">LEFT(D76,6)</f>
        <v>CU0669</v>
      </c>
      <c r="C76" s="259" t="s">
        <v>208</v>
      </c>
      <c r="D76" s="410" t="s">
        <v>1608</v>
      </c>
      <c r="E76" s="410" t="s">
        <v>229</v>
      </c>
      <c r="F76" s="330">
        <v>43770</v>
      </c>
      <c r="G76" s="449">
        <v>44877.7</v>
      </c>
      <c r="H76" s="421"/>
      <c r="I76" s="427"/>
      <c r="J76" s="421"/>
      <c r="L76" s="206"/>
      <c r="M76" s="206"/>
      <c r="O76" s="206"/>
      <c r="R76" s="206"/>
      <c r="U76" s="206"/>
      <c r="X76" s="206"/>
      <c r="AA76" s="206"/>
      <c r="AD76" s="206"/>
      <c r="AG76" s="206"/>
      <c r="AJ76" s="206">
        <v>44877.7</v>
      </c>
      <c r="AM76" s="206">
        <f t="shared" si="59"/>
        <v>44877.7</v>
      </c>
      <c r="AN76" s="418" t="s">
        <v>1979</v>
      </c>
      <c r="AP76" s="206">
        <f t="shared" si="60"/>
        <v>44877.7</v>
      </c>
      <c r="AQ76" s="418" t="s">
        <v>2017</v>
      </c>
      <c r="AS76" s="206">
        <f t="shared" si="61"/>
        <v>44877.7</v>
      </c>
      <c r="AV76" s="206">
        <f t="shared" si="62"/>
        <v>44877.7</v>
      </c>
      <c r="AW76" s="418" t="s">
        <v>2066</v>
      </c>
      <c r="AY76" s="206">
        <f t="shared" si="63"/>
        <v>44877.7</v>
      </c>
      <c r="AZ76" s="418" t="s">
        <v>2131</v>
      </c>
      <c r="BB76" s="206">
        <f t="shared" si="64"/>
        <v>44877.7</v>
      </c>
      <c r="BC76" s="418" t="s">
        <v>2226</v>
      </c>
      <c r="BE76" s="206">
        <f t="shared" si="65"/>
        <v>44877.7</v>
      </c>
      <c r="BF76" s="418" t="s">
        <v>2261</v>
      </c>
      <c r="BH76" s="206">
        <f t="shared" si="66"/>
        <v>44877.7</v>
      </c>
      <c r="BI76" s="418" t="s">
        <v>2306</v>
      </c>
      <c r="BJ76" s="206">
        <f>BH76</f>
        <v>44877.7</v>
      </c>
      <c r="BK76" s="206">
        <f t="shared" si="67"/>
        <v>0</v>
      </c>
      <c r="BN76" s="206">
        <f t="shared" si="68"/>
        <v>0</v>
      </c>
      <c r="BQ76" s="206">
        <f t="shared" si="69"/>
        <v>0</v>
      </c>
      <c r="BT76" s="206">
        <f t="shared" si="70"/>
        <v>0</v>
      </c>
      <c r="BW76" s="206">
        <f t="shared" si="71"/>
        <v>0</v>
      </c>
      <c r="BZ76" s="206">
        <f t="shared" si="72"/>
        <v>0</v>
      </c>
      <c r="CC76" s="418" t="str">
        <f t="shared" ref="CC76:CC78" si="79">B76&amp;$B$1</f>
        <v>CU0669001</v>
      </c>
      <c r="CD76" s="442" t="str">
        <f t="shared" ref="CD76:CD78" si="80">YEAR(F76)&amp;"年"&amp;MONTH(F76)&amp;"月"</f>
        <v>2019年11月</v>
      </c>
      <c r="CE76" s="418" t="str">
        <f t="shared" ref="CE76:CE78" si="81">LEFT(E76,5)&amp;$E$1</f>
        <v>北京博禹国clife服务费暂估</v>
      </c>
      <c r="CF76" s="418" t="str">
        <f t="shared" ref="CF76:CF78" si="82">CD76&amp;CE76</f>
        <v>2019年11月北京博禹国clife服务费暂估</v>
      </c>
    </row>
    <row r="77" spans="2:84" s="418" customFormat="1" ht="21.75" customHeight="1">
      <c r="B77" s="418" t="str">
        <f t="shared" si="78"/>
        <v>CU0898</v>
      </c>
      <c r="C77" s="259" t="s">
        <v>208</v>
      </c>
      <c r="D77" s="410" t="s">
        <v>1609</v>
      </c>
      <c r="E77" s="410" t="s">
        <v>948</v>
      </c>
      <c r="F77" s="330">
        <v>43770</v>
      </c>
      <c r="G77" s="449">
        <v>18917.36</v>
      </c>
      <c r="H77" s="421"/>
      <c r="I77" s="427"/>
      <c r="J77" s="421"/>
      <c r="L77" s="206"/>
      <c r="M77" s="206"/>
      <c r="O77" s="206"/>
      <c r="R77" s="206"/>
      <c r="U77" s="206"/>
      <c r="X77" s="206"/>
      <c r="AA77" s="206"/>
      <c r="AD77" s="206"/>
      <c r="AG77" s="206"/>
      <c r="AJ77" s="206">
        <v>18917.36</v>
      </c>
      <c r="AM77" s="206">
        <f t="shared" si="59"/>
        <v>18917.36</v>
      </c>
      <c r="AN77" s="418" t="s">
        <v>1979</v>
      </c>
      <c r="AP77" s="206">
        <f t="shared" si="60"/>
        <v>18917.36</v>
      </c>
      <c r="AQ77" s="418" t="s">
        <v>2017</v>
      </c>
      <c r="AS77" s="206">
        <f t="shared" si="61"/>
        <v>18917.36</v>
      </c>
      <c r="AV77" s="206">
        <f t="shared" si="62"/>
        <v>18917.36</v>
      </c>
      <c r="AW77" s="418" t="s">
        <v>2066</v>
      </c>
      <c r="AY77" s="206">
        <f t="shared" si="63"/>
        <v>18917.36</v>
      </c>
      <c r="AZ77" s="418" t="s">
        <v>2131</v>
      </c>
      <c r="BB77" s="206">
        <f t="shared" si="64"/>
        <v>18917.36</v>
      </c>
      <c r="BC77" s="418" t="s">
        <v>2226</v>
      </c>
      <c r="BE77" s="206">
        <f t="shared" si="65"/>
        <v>18917.36</v>
      </c>
      <c r="BF77" s="418" t="s">
        <v>2261</v>
      </c>
      <c r="BH77" s="206">
        <f t="shared" si="66"/>
        <v>18917.36</v>
      </c>
      <c r="BI77" s="418" t="s">
        <v>2306</v>
      </c>
      <c r="BK77" s="206">
        <f t="shared" si="67"/>
        <v>18917.36</v>
      </c>
      <c r="BL77" s="418" t="s">
        <v>2344</v>
      </c>
      <c r="BN77" s="206">
        <f t="shared" si="68"/>
        <v>18917.36</v>
      </c>
      <c r="BO77" s="418" t="s">
        <v>2366</v>
      </c>
      <c r="BQ77" s="206">
        <f t="shared" si="69"/>
        <v>18917.36</v>
      </c>
      <c r="BT77" s="206">
        <f t="shared" si="70"/>
        <v>18917.36</v>
      </c>
      <c r="BU77" s="418" t="s">
        <v>2405</v>
      </c>
      <c r="BW77" s="206">
        <f t="shared" si="71"/>
        <v>18917.36</v>
      </c>
      <c r="BZ77" s="206">
        <f t="shared" si="72"/>
        <v>18917.36</v>
      </c>
      <c r="CC77" s="418" t="str">
        <f t="shared" si="79"/>
        <v>CU0898001</v>
      </c>
      <c r="CD77" s="442" t="str">
        <f t="shared" si="80"/>
        <v>2019年11月</v>
      </c>
      <c r="CE77" s="418" t="str">
        <f t="shared" si="81"/>
        <v>凯易讯网络clife服务费暂估</v>
      </c>
      <c r="CF77" s="418" t="str">
        <f t="shared" si="82"/>
        <v>2019年11月凯易讯网络clife服务费暂估</v>
      </c>
    </row>
    <row r="78" spans="2:84" s="418" customFormat="1" ht="21.75" customHeight="1">
      <c r="B78" s="418" t="str">
        <f t="shared" si="78"/>
        <v>CU1163</v>
      </c>
      <c r="C78" s="259" t="s">
        <v>208</v>
      </c>
      <c r="D78" s="410" t="s">
        <v>1632</v>
      </c>
      <c r="E78" s="410" t="s">
        <v>1631</v>
      </c>
      <c r="F78" s="330">
        <v>43770</v>
      </c>
      <c r="G78" s="449">
        <v>18432</v>
      </c>
      <c r="H78" s="421"/>
      <c r="I78" s="427"/>
      <c r="J78" s="421"/>
      <c r="L78" s="206"/>
      <c r="M78" s="206"/>
      <c r="O78" s="206"/>
      <c r="R78" s="206"/>
      <c r="U78" s="206"/>
      <c r="X78" s="206"/>
      <c r="AA78" s="206"/>
      <c r="AD78" s="206"/>
      <c r="AG78" s="206"/>
      <c r="AJ78" s="206">
        <v>18432</v>
      </c>
      <c r="AM78" s="206">
        <f t="shared" si="59"/>
        <v>18432</v>
      </c>
      <c r="AN78" s="418" t="s">
        <v>1979</v>
      </c>
      <c r="AP78" s="206">
        <f t="shared" si="60"/>
        <v>18432</v>
      </c>
      <c r="AQ78" s="418" t="s">
        <v>2017</v>
      </c>
      <c r="AS78" s="206">
        <f t="shared" si="61"/>
        <v>18432</v>
      </c>
      <c r="AV78" s="206">
        <f t="shared" si="62"/>
        <v>18432</v>
      </c>
      <c r="AW78" s="418" t="s">
        <v>2066</v>
      </c>
      <c r="AY78" s="206">
        <f t="shared" si="63"/>
        <v>18432</v>
      </c>
      <c r="AZ78" s="418" t="s">
        <v>2131</v>
      </c>
      <c r="BB78" s="206">
        <f t="shared" si="64"/>
        <v>18432</v>
      </c>
      <c r="BC78" s="418" t="s">
        <v>2226</v>
      </c>
      <c r="BE78" s="206">
        <f t="shared" si="65"/>
        <v>18432</v>
      </c>
      <c r="BF78" s="418" t="s">
        <v>2261</v>
      </c>
      <c r="BH78" s="206">
        <f t="shared" si="66"/>
        <v>18432</v>
      </c>
      <c r="BI78" s="418" t="s">
        <v>2306</v>
      </c>
      <c r="BK78" s="206">
        <f t="shared" si="67"/>
        <v>18432</v>
      </c>
      <c r="BL78" s="418" t="s">
        <v>2344</v>
      </c>
      <c r="BN78" s="206">
        <f t="shared" si="68"/>
        <v>18432</v>
      </c>
      <c r="BO78" s="418" t="s">
        <v>2366</v>
      </c>
      <c r="BQ78" s="206">
        <f t="shared" si="69"/>
        <v>18432</v>
      </c>
      <c r="BT78" s="206">
        <f t="shared" si="70"/>
        <v>18432</v>
      </c>
      <c r="BU78" s="418" t="s">
        <v>2405</v>
      </c>
      <c r="BW78" s="206">
        <f t="shared" si="71"/>
        <v>18432</v>
      </c>
      <c r="BZ78" s="206">
        <f t="shared" si="72"/>
        <v>18432</v>
      </c>
      <c r="CC78" s="418" t="str">
        <f t="shared" si="79"/>
        <v>CU1163001</v>
      </c>
      <c r="CD78" s="442" t="str">
        <f t="shared" si="80"/>
        <v>2019年11月</v>
      </c>
      <c r="CE78" s="418" t="str">
        <f t="shared" si="81"/>
        <v>泰利福医疗clife服务费暂估</v>
      </c>
      <c r="CF78" s="418" t="str">
        <f t="shared" si="82"/>
        <v>2019年11月泰利福医疗clife服务费暂估</v>
      </c>
    </row>
    <row r="79" spans="2:84" s="447" customFormat="1" ht="21.75" customHeight="1">
      <c r="B79" s="447" t="str">
        <f t="shared" si="78"/>
        <v>CU1230</v>
      </c>
      <c r="C79" s="431" t="s">
        <v>208</v>
      </c>
      <c r="D79" s="67" t="s">
        <v>1978</v>
      </c>
      <c r="E79" s="67" t="s">
        <v>1610</v>
      </c>
      <c r="F79" s="439">
        <v>43770</v>
      </c>
      <c r="G79" s="449">
        <v>4178648.0830188673</v>
      </c>
      <c r="H79" s="421"/>
      <c r="I79" s="427"/>
      <c r="J79" s="421"/>
      <c r="K79" s="418"/>
      <c r="L79" s="206"/>
      <c r="M79" s="206"/>
      <c r="N79" s="418"/>
      <c r="O79" s="206"/>
      <c r="P79" s="418"/>
      <c r="Q79" s="418"/>
      <c r="R79" s="206"/>
      <c r="S79" s="418"/>
      <c r="T79" s="418"/>
      <c r="U79" s="206"/>
      <c r="V79" s="418"/>
      <c r="W79" s="418"/>
      <c r="X79" s="206"/>
      <c r="Y79" s="418"/>
      <c r="Z79" s="418"/>
      <c r="AA79" s="206"/>
      <c r="AB79" s="418"/>
      <c r="AC79" s="418"/>
      <c r="AD79" s="206"/>
      <c r="AE79" s="418"/>
      <c r="AF79" s="418"/>
      <c r="AG79" s="206"/>
      <c r="AH79" s="418"/>
      <c r="AJ79" s="491">
        <v>4178648.0830188673</v>
      </c>
      <c r="AM79" s="491">
        <f t="shared" si="59"/>
        <v>4178648.0830188673</v>
      </c>
      <c r="AN79" s="447" t="s">
        <v>1979</v>
      </c>
      <c r="AO79" s="447">
        <f>ROUND(894608/1.06,2)-431624.12+500000+13199</f>
        <v>925544.69000000006</v>
      </c>
      <c r="AP79" s="491">
        <f t="shared" si="60"/>
        <v>3253103.3930188674</v>
      </c>
      <c r="AQ79" s="447" t="s">
        <v>2017</v>
      </c>
      <c r="AR79" s="444">
        <f>ROUND(916441/1.06,2)+ROUND((318000+95400)/1.06,2)+36915.1</f>
        <v>1291482.08</v>
      </c>
      <c r="AS79" s="491">
        <f t="shared" si="61"/>
        <v>1961621.3130188673</v>
      </c>
      <c r="AU79" s="447">
        <v>1886792.45</v>
      </c>
      <c r="AV79" s="491">
        <f t="shared" si="62"/>
        <v>74828.863018867327</v>
      </c>
      <c r="AW79" s="447" t="s">
        <v>2066</v>
      </c>
      <c r="AX79" s="444">
        <f>31405</f>
        <v>31405</v>
      </c>
      <c r="AY79" s="491">
        <f t="shared" si="63"/>
        <v>43423.863018867327</v>
      </c>
      <c r="AZ79" s="447" t="s">
        <v>2131</v>
      </c>
      <c r="BA79" s="491">
        <f>AY79</f>
        <v>43423.863018867327</v>
      </c>
      <c r="BB79" s="491">
        <f t="shared" si="64"/>
        <v>0</v>
      </c>
      <c r="BE79" s="491">
        <f t="shared" si="65"/>
        <v>0</v>
      </c>
      <c r="BH79" s="491">
        <f t="shared" si="66"/>
        <v>0</v>
      </c>
      <c r="BK79" s="206">
        <f t="shared" si="67"/>
        <v>0</v>
      </c>
      <c r="BN79" s="206">
        <f t="shared" si="68"/>
        <v>0</v>
      </c>
      <c r="BQ79" s="206">
        <f t="shared" si="69"/>
        <v>0</v>
      </c>
      <c r="BT79" s="206">
        <f t="shared" si="70"/>
        <v>0</v>
      </c>
      <c r="BW79" s="206">
        <f t="shared" si="71"/>
        <v>0</v>
      </c>
      <c r="BZ79" s="206">
        <f t="shared" si="72"/>
        <v>0</v>
      </c>
    </row>
    <row r="80" spans="2:84" s="418" customFormat="1" ht="21.75" customHeight="1">
      <c r="B80" s="27" t="s">
        <v>2030</v>
      </c>
      <c r="C80" s="259" t="s">
        <v>208</v>
      </c>
      <c r="D80" s="28" t="s">
        <v>2030</v>
      </c>
      <c r="E80" s="184" t="s">
        <v>13</v>
      </c>
      <c r="F80" s="330">
        <v>43800</v>
      </c>
      <c r="G80" s="503">
        <v>184344.6</v>
      </c>
      <c r="H80" s="421"/>
      <c r="I80" s="427"/>
      <c r="J80" s="421"/>
      <c r="L80" s="206"/>
      <c r="M80" s="206"/>
      <c r="O80" s="206"/>
      <c r="R80" s="206"/>
      <c r="U80" s="206"/>
      <c r="X80" s="206"/>
      <c r="AA80" s="206"/>
      <c r="AD80" s="206"/>
      <c r="AG80" s="206"/>
      <c r="AJ80" s="206">
        <f>G80</f>
        <v>184344.6</v>
      </c>
      <c r="AM80" s="206">
        <f t="shared" si="59"/>
        <v>184344.6</v>
      </c>
      <c r="AP80" s="206">
        <f t="shared" si="60"/>
        <v>184344.6</v>
      </c>
      <c r="AR80" s="206">
        <f>ROUND(318000/1.06,2)-110243.1-AR75+75000+15000</f>
        <v>97063.1</v>
      </c>
      <c r="AS80" s="206">
        <f t="shared" si="61"/>
        <v>87281.5</v>
      </c>
      <c r="AV80" s="206">
        <f t="shared" si="62"/>
        <v>87281.5</v>
      </c>
      <c r="AW80" s="418" t="s">
        <v>2066</v>
      </c>
      <c r="AX80" s="206">
        <f>AV80</f>
        <v>87281.5</v>
      </c>
      <c r="AY80" s="206">
        <f t="shared" si="63"/>
        <v>0</v>
      </c>
      <c r="BB80" s="206">
        <f t="shared" si="64"/>
        <v>0</v>
      </c>
      <c r="BE80" s="206">
        <f t="shared" si="65"/>
        <v>0</v>
      </c>
      <c r="BH80" s="206">
        <f t="shared" si="66"/>
        <v>0</v>
      </c>
      <c r="BK80" s="206">
        <f t="shared" si="67"/>
        <v>0</v>
      </c>
      <c r="BN80" s="206">
        <f t="shared" si="68"/>
        <v>0</v>
      </c>
      <c r="BQ80" s="206">
        <f t="shared" si="69"/>
        <v>0</v>
      </c>
      <c r="BT80" s="206">
        <f t="shared" si="70"/>
        <v>0</v>
      </c>
      <c r="BW80" s="206">
        <f t="shared" si="71"/>
        <v>0</v>
      </c>
      <c r="BZ80" s="206">
        <f t="shared" si="72"/>
        <v>0</v>
      </c>
    </row>
    <row r="81" spans="2:84" s="418" customFormat="1" ht="21.75" customHeight="1">
      <c r="B81" s="27" t="s">
        <v>2031</v>
      </c>
      <c r="C81" s="259" t="s">
        <v>208</v>
      </c>
      <c r="D81" s="28" t="s">
        <v>2031</v>
      </c>
      <c r="E81" s="28" t="s">
        <v>229</v>
      </c>
      <c r="F81" s="330">
        <v>43800</v>
      </c>
      <c r="G81" s="503">
        <v>43684.3</v>
      </c>
      <c r="H81" s="421"/>
      <c r="I81" s="427"/>
      <c r="J81" s="421"/>
      <c r="L81" s="206"/>
      <c r="M81" s="206"/>
      <c r="O81" s="206"/>
      <c r="R81" s="206"/>
      <c r="U81" s="206"/>
      <c r="X81" s="206"/>
      <c r="AA81" s="206"/>
      <c r="AD81" s="206"/>
      <c r="AG81" s="206"/>
      <c r="AJ81" s="206">
        <f t="shared" ref="AJ81:AJ90" si="83">G81</f>
        <v>43684.3</v>
      </c>
      <c r="AM81" s="206">
        <f t="shared" ref="AM81:AM103" si="84">AJ81-AL81</f>
        <v>43684.3</v>
      </c>
      <c r="AP81" s="206">
        <f t="shared" ref="AP81:AP103" si="85">AM81-AO81</f>
        <v>43684.3</v>
      </c>
      <c r="AS81" s="206">
        <f t="shared" si="61"/>
        <v>43684.3</v>
      </c>
      <c r="AV81" s="206">
        <f t="shared" si="62"/>
        <v>43684.3</v>
      </c>
      <c r="AW81" s="418" t="s">
        <v>2066</v>
      </c>
      <c r="AY81" s="206">
        <f t="shared" si="63"/>
        <v>43684.3</v>
      </c>
      <c r="AZ81" s="418" t="s">
        <v>2131</v>
      </c>
      <c r="BB81" s="206">
        <f t="shared" si="64"/>
        <v>43684.3</v>
      </c>
      <c r="BC81" s="418" t="s">
        <v>2226</v>
      </c>
      <c r="BE81" s="206">
        <f t="shared" si="65"/>
        <v>43684.3</v>
      </c>
      <c r="BF81" s="418" t="s">
        <v>2261</v>
      </c>
      <c r="BH81" s="206">
        <f t="shared" si="66"/>
        <v>43684.3</v>
      </c>
      <c r="BI81" s="418" t="s">
        <v>2306</v>
      </c>
      <c r="BJ81" s="206">
        <f>BH81</f>
        <v>43684.3</v>
      </c>
      <c r="BK81" s="206">
        <f t="shared" si="67"/>
        <v>0</v>
      </c>
      <c r="BN81" s="206">
        <f t="shared" si="68"/>
        <v>0</v>
      </c>
      <c r="BQ81" s="206">
        <f t="shared" si="69"/>
        <v>0</v>
      </c>
      <c r="BT81" s="206">
        <f t="shared" si="70"/>
        <v>0</v>
      </c>
      <c r="BW81" s="206">
        <f t="shared" si="71"/>
        <v>0</v>
      </c>
      <c r="BZ81" s="206">
        <f t="shared" si="72"/>
        <v>0</v>
      </c>
      <c r="CC81" s="418" t="str">
        <f t="shared" ref="CC81:CC82" si="86">B81&amp;$B$1</f>
        <v>CU0669001</v>
      </c>
      <c r="CD81" s="442" t="str">
        <f t="shared" ref="CD81:CD82" si="87">YEAR(F81)&amp;"年"&amp;MONTH(F81)&amp;"月"</f>
        <v>2019年12月</v>
      </c>
      <c r="CE81" s="418" t="str">
        <f t="shared" ref="CE81:CE82" si="88">LEFT(E81,5)&amp;$E$1</f>
        <v>北京博禹国clife服务费暂估</v>
      </c>
      <c r="CF81" s="418" t="str">
        <f t="shared" ref="CF81:CF82" si="89">CD81&amp;CE81</f>
        <v>2019年12月北京博禹国clife服务费暂估</v>
      </c>
    </row>
    <row r="82" spans="2:84" s="418" customFormat="1" ht="21.75" customHeight="1">
      <c r="B82" s="27" t="s">
        <v>2032</v>
      </c>
      <c r="C82" s="259" t="s">
        <v>208</v>
      </c>
      <c r="D82" s="28" t="s">
        <v>2032</v>
      </c>
      <c r="E82" s="28" t="s">
        <v>1631</v>
      </c>
      <c r="F82" s="330">
        <v>43800</v>
      </c>
      <c r="G82" s="503">
        <v>17958.29</v>
      </c>
      <c r="H82" s="421"/>
      <c r="I82" s="427"/>
      <c r="J82" s="421"/>
      <c r="L82" s="206"/>
      <c r="M82" s="206"/>
      <c r="O82" s="206"/>
      <c r="R82" s="206"/>
      <c r="U82" s="206"/>
      <c r="X82" s="206"/>
      <c r="AA82" s="206"/>
      <c r="AD82" s="206"/>
      <c r="AG82" s="206"/>
      <c r="AJ82" s="206">
        <f t="shared" si="83"/>
        <v>17958.29</v>
      </c>
      <c r="AM82" s="206">
        <f t="shared" si="84"/>
        <v>17958.29</v>
      </c>
      <c r="AP82" s="206">
        <f t="shared" si="85"/>
        <v>17958.29</v>
      </c>
      <c r="AS82" s="206">
        <f t="shared" si="61"/>
        <v>17958.29</v>
      </c>
      <c r="AV82" s="206">
        <f t="shared" si="62"/>
        <v>17958.29</v>
      </c>
      <c r="AW82" s="418" t="s">
        <v>2066</v>
      </c>
      <c r="AY82" s="206">
        <f t="shared" si="63"/>
        <v>17958.29</v>
      </c>
      <c r="AZ82" s="418" t="s">
        <v>2131</v>
      </c>
      <c r="BB82" s="206">
        <f t="shared" si="64"/>
        <v>17958.29</v>
      </c>
      <c r="BC82" s="418" t="s">
        <v>2226</v>
      </c>
      <c r="BE82" s="206">
        <f t="shared" si="65"/>
        <v>17958.29</v>
      </c>
      <c r="BF82" s="418" t="s">
        <v>2261</v>
      </c>
      <c r="BH82" s="206">
        <f t="shared" si="66"/>
        <v>17958.29</v>
      </c>
      <c r="BI82" s="418" t="s">
        <v>2306</v>
      </c>
      <c r="BK82" s="206">
        <f t="shared" si="67"/>
        <v>17958.29</v>
      </c>
      <c r="BL82" s="418" t="s">
        <v>2344</v>
      </c>
      <c r="BN82" s="206">
        <f t="shared" si="68"/>
        <v>17958.29</v>
      </c>
      <c r="BO82" s="418" t="s">
        <v>2366</v>
      </c>
      <c r="BQ82" s="206">
        <f t="shared" si="69"/>
        <v>17958.29</v>
      </c>
      <c r="BT82" s="206">
        <f t="shared" si="70"/>
        <v>17958.29</v>
      </c>
      <c r="BU82" s="418" t="s">
        <v>2405</v>
      </c>
      <c r="BW82" s="206">
        <f t="shared" si="71"/>
        <v>17958.29</v>
      </c>
      <c r="BZ82" s="206">
        <f t="shared" si="72"/>
        <v>17958.29</v>
      </c>
      <c r="CC82" s="418" t="str">
        <f t="shared" si="86"/>
        <v>CU1163001</v>
      </c>
      <c r="CD82" s="442" t="str">
        <f t="shared" si="87"/>
        <v>2019年12月</v>
      </c>
      <c r="CE82" s="418" t="str">
        <f t="shared" si="88"/>
        <v>泰利福医疗clife服务费暂估</v>
      </c>
      <c r="CF82" s="418" t="str">
        <f t="shared" si="89"/>
        <v>2019年12月泰利福医疗clife服务费暂估</v>
      </c>
    </row>
    <row r="83" spans="2:84" s="447" customFormat="1" ht="21.75" customHeight="1">
      <c r="B83" s="493" t="s">
        <v>2033</v>
      </c>
      <c r="C83" s="431" t="s">
        <v>208</v>
      </c>
      <c r="D83" s="184" t="s">
        <v>2033</v>
      </c>
      <c r="E83" s="184" t="s">
        <v>1610</v>
      </c>
      <c r="F83" s="439">
        <v>43800</v>
      </c>
      <c r="G83" s="503">
        <v>3474311.08</v>
      </c>
      <c r="H83" s="421"/>
      <c r="I83" s="427"/>
      <c r="J83" s="421"/>
      <c r="K83" s="418"/>
      <c r="L83" s="206"/>
      <c r="M83" s="206"/>
      <c r="N83" s="418"/>
      <c r="O83" s="206"/>
      <c r="P83" s="418"/>
      <c r="Q83" s="418"/>
      <c r="R83" s="206"/>
      <c r="S83" s="418"/>
      <c r="T83" s="418"/>
      <c r="U83" s="206"/>
      <c r="V83" s="418"/>
      <c r="W83" s="418"/>
      <c r="X83" s="206"/>
      <c r="Y83" s="418"/>
      <c r="Z83" s="418"/>
      <c r="AA83" s="206"/>
      <c r="AB83" s="418"/>
      <c r="AC83" s="418"/>
      <c r="AD83" s="206"/>
      <c r="AE83" s="418"/>
      <c r="AF83" s="418"/>
      <c r="AG83" s="206"/>
      <c r="AH83" s="418"/>
      <c r="AJ83" s="491">
        <f t="shared" si="83"/>
        <v>3474311.08</v>
      </c>
      <c r="AM83" s="491">
        <f t="shared" si="84"/>
        <v>3474311.08</v>
      </c>
      <c r="AP83" s="491">
        <f t="shared" si="85"/>
        <v>3474311.08</v>
      </c>
      <c r="AR83" s="444">
        <v>357106.12</v>
      </c>
      <c r="AS83" s="491">
        <f t="shared" si="61"/>
        <v>3117204.96</v>
      </c>
      <c r="AV83" s="491">
        <f t="shared" si="62"/>
        <v>3117204.96</v>
      </c>
      <c r="AW83" s="447" t="s">
        <v>2066</v>
      </c>
      <c r="AX83" s="444">
        <f>ROUND(1121590.4/1.06,2)</f>
        <v>1058104.1499999999</v>
      </c>
      <c r="AY83" s="491">
        <f t="shared" si="63"/>
        <v>2059100.81</v>
      </c>
      <c r="AZ83" s="447" t="s">
        <v>2131</v>
      </c>
      <c r="BA83" s="491">
        <f>AY83</f>
        <v>2059100.81</v>
      </c>
      <c r="BB83" s="491">
        <f t="shared" si="64"/>
        <v>0</v>
      </c>
      <c r="BE83" s="491">
        <f t="shared" si="65"/>
        <v>0</v>
      </c>
      <c r="BH83" s="491">
        <f t="shared" si="66"/>
        <v>0</v>
      </c>
      <c r="BK83" s="206">
        <f t="shared" si="67"/>
        <v>0</v>
      </c>
      <c r="BN83" s="206">
        <f t="shared" si="68"/>
        <v>0</v>
      </c>
      <c r="BQ83" s="206">
        <f t="shared" si="69"/>
        <v>0</v>
      </c>
      <c r="BT83" s="206">
        <f t="shared" si="70"/>
        <v>0</v>
      </c>
      <c r="BW83" s="206">
        <f t="shared" si="71"/>
        <v>0</v>
      </c>
      <c r="BZ83" s="206">
        <f t="shared" si="72"/>
        <v>0</v>
      </c>
    </row>
    <row r="84" spans="2:84" s="418" customFormat="1" ht="21.75" customHeight="1">
      <c r="B84" s="27" t="s">
        <v>2034</v>
      </c>
      <c r="C84" s="259" t="s">
        <v>208</v>
      </c>
      <c r="D84" s="28" t="s">
        <v>2034</v>
      </c>
      <c r="E84" s="28" t="s">
        <v>1870</v>
      </c>
      <c r="F84" s="330">
        <v>43800</v>
      </c>
      <c r="G84" s="503">
        <v>95715.82</v>
      </c>
      <c r="H84" s="421"/>
      <c r="I84" s="427"/>
      <c r="J84" s="421"/>
      <c r="L84" s="206"/>
      <c r="M84" s="206"/>
      <c r="O84" s="206"/>
      <c r="R84" s="206"/>
      <c r="U84" s="206"/>
      <c r="X84" s="206"/>
      <c r="AA84" s="206"/>
      <c r="AD84" s="206"/>
      <c r="AG84" s="206"/>
      <c r="AJ84" s="206">
        <f t="shared" si="83"/>
        <v>95715.82</v>
      </c>
      <c r="AM84" s="206">
        <f t="shared" si="84"/>
        <v>95715.82</v>
      </c>
      <c r="AP84" s="206">
        <f t="shared" si="85"/>
        <v>95715.82</v>
      </c>
      <c r="AS84" s="206">
        <f t="shared" si="61"/>
        <v>95715.82</v>
      </c>
      <c r="AV84" s="206">
        <f t="shared" si="62"/>
        <v>95715.82</v>
      </c>
      <c r="AW84" s="418" t="s">
        <v>2066</v>
      </c>
      <c r="AY84" s="206">
        <f t="shared" si="63"/>
        <v>95715.82</v>
      </c>
      <c r="AZ84" s="418" t="s">
        <v>2131</v>
      </c>
      <c r="BB84" s="206">
        <f t="shared" si="64"/>
        <v>95715.82</v>
      </c>
      <c r="BC84" s="418" t="s">
        <v>2226</v>
      </c>
      <c r="BE84" s="206">
        <f t="shared" si="65"/>
        <v>95715.82</v>
      </c>
      <c r="BF84" s="418" t="s">
        <v>2261</v>
      </c>
      <c r="BG84" s="206">
        <f>BE84</f>
        <v>95715.82</v>
      </c>
      <c r="BH84" s="206">
        <f t="shared" si="66"/>
        <v>0</v>
      </c>
      <c r="BK84" s="206">
        <f t="shared" si="67"/>
        <v>0</v>
      </c>
      <c r="BN84" s="206">
        <f t="shared" si="68"/>
        <v>0</v>
      </c>
      <c r="BQ84" s="206">
        <f t="shared" si="69"/>
        <v>0</v>
      </c>
      <c r="BT84" s="206">
        <f t="shared" si="70"/>
        <v>0</v>
      </c>
      <c r="BW84" s="206">
        <f t="shared" si="71"/>
        <v>0</v>
      </c>
      <c r="BZ84" s="206">
        <f t="shared" si="72"/>
        <v>0</v>
      </c>
    </row>
    <row r="85" spans="2:84" s="418" customFormat="1" ht="21.75" customHeight="1">
      <c r="B85" s="418" t="str">
        <f>LEFT(D85,6)</f>
        <v>CU0669</v>
      </c>
      <c r="C85" s="259" t="s">
        <v>208</v>
      </c>
      <c r="D85" s="410" t="s">
        <v>2079</v>
      </c>
      <c r="E85" s="410" t="s">
        <v>229</v>
      </c>
      <c r="F85" s="330">
        <v>43801</v>
      </c>
      <c r="G85" s="503">
        <v>10744.87</v>
      </c>
      <c r="H85" s="421"/>
      <c r="I85" s="427"/>
      <c r="J85" s="421"/>
      <c r="L85" s="206"/>
      <c r="M85" s="206"/>
      <c r="O85" s="206"/>
      <c r="R85" s="206"/>
      <c r="U85" s="206"/>
      <c r="X85" s="206"/>
      <c r="AA85" s="206"/>
      <c r="AD85" s="206"/>
      <c r="AG85" s="206"/>
      <c r="AJ85" s="206">
        <f t="shared" si="83"/>
        <v>10744.87</v>
      </c>
      <c r="AM85" s="206">
        <f t="shared" si="84"/>
        <v>10744.87</v>
      </c>
      <c r="AP85" s="206">
        <f t="shared" si="85"/>
        <v>10744.87</v>
      </c>
      <c r="AS85" s="206">
        <f t="shared" si="61"/>
        <v>10744.87</v>
      </c>
      <c r="AV85" s="206">
        <f t="shared" si="62"/>
        <v>10744.87</v>
      </c>
      <c r="AW85" s="418" t="s">
        <v>2066</v>
      </c>
      <c r="AY85" s="206">
        <f t="shared" si="63"/>
        <v>10744.87</v>
      </c>
      <c r="AZ85" s="418" t="s">
        <v>2131</v>
      </c>
      <c r="BB85" s="206">
        <f t="shared" si="64"/>
        <v>10744.87</v>
      </c>
      <c r="BC85" s="418" t="s">
        <v>2226</v>
      </c>
      <c r="BE85" s="206">
        <f t="shared" si="65"/>
        <v>10744.87</v>
      </c>
      <c r="BF85" s="418" t="s">
        <v>2261</v>
      </c>
      <c r="BH85" s="206">
        <f t="shared" si="66"/>
        <v>10744.87</v>
      </c>
      <c r="BI85" s="418" t="s">
        <v>2306</v>
      </c>
      <c r="BJ85" s="206">
        <f t="shared" ref="BJ85:BJ86" si="90">BH85</f>
        <v>10744.87</v>
      </c>
      <c r="BK85" s="206">
        <f t="shared" si="67"/>
        <v>0</v>
      </c>
      <c r="BN85" s="206">
        <f t="shared" si="68"/>
        <v>0</v>
      </c>
      <c r="BQ85" s="206">
        <f t="shared" si="69"/>
        <v>0</v>
      </c>
      <c r="BT85" s="206">
        <f t="shared" si="70"/>
        <v>0</v>
      </c>
      <c r="BW85" s="206">
        <f t="shared" si="71"/>
        <v>0</v>
      </c>
      <c r="BZ85" s="206">
        <f t="shared" si="72"/>
        <v>0</v>
      </c>
      <c r="CC85" s="418" t="str">
        <f t="shared" ref="CC85:CC89" si="91">B85&amp;$B$1</f>
        <v>CU0669001</v>
      </c>
      <c r="CD85" s="442" t="str">
        <f t="shared" ref="CD85:CD89" si="92">YEAR(F85)&amp;"年"&amp;MONTH(F85)&amp;"月"</f>
        <v>2019年12月</v>
      </c>
      <c r="CE85" s="418" t="str">
        <f t="shared" ref="CE85:CE89" si="93">LEFT(E85,5)&amp;$E$1</f>
        <v>北京博禹国clife服务费暂估</v>
      </c>
      <c r="CF85" s="418" t="str">
        <f t="shared" ref="CF85:CF89" si="94">CD85&amp;CE85</f>
        <v>2019年12月北京博禹国clife服务费暂估</v>
      </c>
    </row>
    <row r="86" spans="2:84" s="418" customFormat="1" ht="21.75" customHeight="1">
      <c r="B86" s="418" t="str">
        <f t="shared" ref="B86:B89" si="95">LEFT(D86,6)</f>
        <v>CU0669</v>
      </c>
      <c r="C86" s="259" t="s">
        <v>208</v>
      </c>
      <c r="D86" s="410" t="s">
        <v>2080</v>
      </c>
      <c r="E86" s="410" t="s">
        <v>229</v>
      </c>
      <c r="F86" s="330">
        <v>43802</v>
      </c>
      <c r="G86" s="503">
        <v>3548.34</v>
      </c>
      <c r="H86" s="421"/>
      <c r="I86" s="427"/>
      <c r="J86" s="421"/>
      <c r="L86" s="206"/>
      <c r="M86" s="206"/>
      <c r="O86" s="206"/>
      <c r="R86" s="206"/>
      <c r="U86" s="206"/>
      <c r="X86" s="206"/>
      <c r="AA86" s="206"/>
      <c r="AD86" s="206"/>
      <c r="AG86" s="206"/>
      <c r="AJ86" s="206">
        <f t="shared" si="83"/>
        <v>3548.34</v>
      </c>
      <c r="AM86" s="206">
        <f t="shared" si="84"/>
        <v>3548.34</v>
      </c>
      <c r="AP86" s="206">
        <f t="shared" si="85"/>
        <v>3548.34</v>
      </c>
      <c r="AS86" s="206">
        <f t="shared" si="61"/>
        <v>3548.34</v>
      </c>
      <c r="AV86" s="206">
        <f t="shared" si="62"/>
        <v>3548.34</v>
      </c>
      <c r="AW86" s="418" t="s">
        <v>2066</v>
      </c>
      <c r="AY86" s="206">
        <f t="shared" si="63"/>
        <v>3548.34</v>
      </c>
      <c r="AZ86" s="418" t="s">
        <v>2131</v>
      </c>
      <c r="BB86" s="206">
        <f t="shared" si="64"/>
        <v>3548.34</v>
      </c>
      <c r="BC86" s="418" t="s">
        <v>2226</v>
      </c>
      <c r="BE86" s="206">
        <f t="shared" si="65"/>
        <v>3548.34</v>
      </c>
      <c r="BF86" s="418" t="s">
        <v>2261</v>
      </c>
      <c r="BH86" s="206">
        <f t="shared" si="66"/>
        <v>3548.34</v>
      </c>
      <c r="BI86" s="418" t="s">
        <v>2306</v>
      </c>
      <c r="BJ86" s="206">
        <f t="shared" si="90"/>
        <v>3548.34</v>
      </c>
      <c r="BK86" s="206">
        <f t="shared" si="67"/>
        <v>0</v>
      </c>
      <c r="BN86" s="206">
        <f t="shared" si="68"/>
        <v>0</v>
      </c>
      <c r="BQ86" s="206">
        <f t="shared" si="69"/>
        <v>0</v>
      </c>
      <c r="BT86" s="206">
        <f t="shared" si="70"/>
        <v>0</v>
      </c>
      <c r="BW86" s="206">
        <f t="shared" si="71"/>
        <v>0</v>
      </c>
      <c r="BZ86" s="206">
        <f t="shared" si="72"/>
        <v>0</v>
      </c>
      <c r="CC86" s="418" t="str">
        <f t="shared" si="91"/>
        <v>CU0669001</v>
      </c>
      <c r="CD86" s="442" t="str">
        <f t="shared" si="92"/>
        <v>2019年12月</v>
      </c>
      <c r="CE86" s="418" t="str">
        <f t="shared" si="93"/>
        <v>北京博禹国clife服务费暂估</v>
      </c>
      <c r="CF86" s="418" t="str">
        <f t="shared" si="94"/>
        <v>2019年12月北京博禹国clife服务费暂估</v>
      </c>
    </row>
    <row r="87" spans="2:84" s="418" customFormat="1" ht="21.75" customHeight="1">
      <c r="B87" s="418" t="str">
        <f t="shared" si="95"/>
        <v>CU0898</v>
      </c>
      <c r="C87" s="259" t="s">
        <v>208</v>
      </c>
      <c r="D87" s="410" t="s">
        <v>1609</v>
      </c>
      <c r="E87" s="410" t="s">
        <v>2081</v>
      </c>
      <c r="F87" s="330">
        <v>43831</v>
      </c>
      <c r="G87" s="503">
        <v>52598.01</v>
      </c>
      <c r="H87" s="421"/>
      <c r="I87" s="427"/>
      <c r="J87" s="421"/>
      <c r="L87" s="206"/>
      <c r="M87" s="206"/>
      <c r="O87" s="206"/>
      <c r="R87" s="206"/>
      <c r="U87" s="206"/>
      <c r="X87" s="206"/>
      <c r="AA87" s="206"/>
      <c r="AD87" s="206"/>
      <c r="AG87" s="206"/>
      <c r="AJ87" s="206">
        <f t="shared" si="83"/>
        <v>52598.01</v>
      </c>
      <c r="AM87" s="206">
        <f t="shared" si="84"/>
        <v>52598.01</v>
      </c>
      <c r="AP87" s="206">
        <f t="shared" si="85"/>
        <v>52598.01</v>
      </c>
      <c r="AS87" s="206">
        <f t="shared" si="61"/>
        <v>52598.01</v>
      </c>
      <c r="AT87" s="418" t="s">
        <v>2066</v>
      </c>
      <c r="AV87" s="206">
        <f t="shared" si="62"/>
        <v>52598.01</v>
      </c>
      <c r="AW87" s="418" t="s">
        <v>2108</v>
      </c>
      <c r="AY87" s="206">
        <f t="shared" si="63"/>
        <v>52598.01</v>
      </c>
      <c r="AZ87" s="418" t="s">
        <v>2135</v>
      </c>
      <c r="BB87" s="206">
        <f t="shared" si="64"/>
        <v>52598.01</v>
      </c>
      <c r="BC87" s="418" t="s">
        <v>2227</v>
      </c>
      <c r="BE87" s="206">
        <f t="shared" si="65"/>
        <v>52598.01</v>
      </c>
      <c r="BF87" s="418" t="s">
        <v>2262</v>
      </c>
      <c r="BH87" s="206">
        <f t="shared" si="66"/>
        <v>52598.01</v>
      </c>
      <c r="BI87" s="418" t="s">
        <v>2307</v>
      </c>
      <c r="BK87" s="206">
        <f t="shared" si="67"/>
        <v>52598.01</v>
      </c>
      <c r="BL87" s="418" t="s">
        <v>2340</v>
      </c>
      <c r="BN87" s="206">
        <f t="shared" si="68"/>
        <v>52598.01</v>
      </c>
      <c r="BO87" s="418" t="s">
        <v>2367</v>
      </c>
      <c r="BQ87" s="206">
        <f t="shared" si="69"/>
        <v>52598.01</v>
      </c>
      <c r="BT87" s="206">
        <f t="shared" si="70"/>
        <v>52598.01</v>
      </c>
      <c r="BU87" s="418" t="s">
        <v>2405</v>
      </c>
      <c r="BW87" s="206">
        <f t="shared" si="71"/>
        <v>52598.01</v>
      </c>
      <c r="BZ87" s="206">
        <f t="shared" si="72"/>
        <v>52598.01</v>
      </c>
      <c r="CC87" s="418" t="str">
        <f t="shared" si="91"/>
        <v>CU0898001</v>
      </c>
      <c r="CD87" s="442" t="str">
        <f t="shared" si="92"/>
        <v>2020年1月</v>
      </c>
      <c r="CE87" s="418" t="str">
        <f t="shared" si="93"/>
        <v>凯易讯网络clife服务费暂估</v>
      </c>
      <c r="CF87" s="418" t="str">
        <f t="shared" si="94"/>
        <v>2020年1月凯易讯网络clife服务费暂估</v>
      </c>
    </row>
    <row r="88" spans="2:84" s="418" customFormat="1" ht="21.75" customHeight="1">
      <c r="B88" s="418" t="str">
        <f t="shared" si="95"/>
        <v>CU1163</v>
      </c>
      <c r="C88" s="259" t="s">
        <v>208</v>
      </c>
      <c r="D88" s="410" t="s">
        <v>1632</v>
      </c>
      <c r="E88" s="410" t="s">
        <v>2083</v>
      </c>
      <c r="F88" s="330">
        <v>43832</v>
      </c>
      <c r="G88" s="503">
        <v>17871.13</v>
      </c>
      <c r="H88" s="421"/>
      <c r="I88" s="427"/>
      <c r="J88" s="421"/>
      <c r="L88" s="206"/>
      <c r="M88" s="206"/>
      <c r="O88" s="206"/>
      <c r="R88" s="206"/>
      <c r="U88" s="206"/>
      <c r="X88" s="206"/>
      <c r="AA88" s="206"/>
      <c r="AD88" s="206"/>
      <c r="AG88" s="206"/>
      <c r="AJ88" s="206">
        <f t="shared" si="83"/>
        <v>17871.13</v>
      </c>
      <c r="AM88" s="206">
        <f t="shared" si="84"/>
        <v>17871.13</v>
      </c>
      <c r="AP88" s="206">
        <f t="shared" si="85"/>
        <v>17871.13</v>
      </c>
      <c r="AS88" s="206">
        <f t="shared" si="61"/>
        <v>17871.13</v>
      </c>
      <c r="AT88" s="418" t="s">
        <v>2066</v>
      </c>
      <c r="AV88" s="206">
        <f t="shared" si="62"/>
        <v>17871.13</v>
      </c>
      <c r="AW88" s="418" t="s">
        <v>2108</v>
      </c>
      <c r="AY88" s="206">
        <f t="shared" si="63"/>
        <v>17871.13</v>
      </c>
      <c r="AZ88" s="418" t="s">
        <v>2135</v>
      </c>
      <c r="BB88" s="206">
        <f t="shared" si="64"/>
        <v>17871.13</v>
      </c>
      <c r="BC88" s="418" t="s">
        <v>2227</v>
      </c>
      <c r="BE88" s="206">
        <f t="shared" si="65"/>
        <v>17871.13</v>
      </c>
      <c r="BF88" s="418" t="s">
        <v>2262</v>
      </c>
      <c r="BH88" s="206">
        <f t="shared" si="66"/>
        <v>17871.13</v>
      </c>
      <c r="BI88" s="418" t="s">
        <v>2307</v>
      </c>
      <c r="BK88" s="206">
        <f t="shared" si="67"/>
        <v>17871.13</v>
      </c>
      <c r="BL88" s="418" t="s">
        <v>2340</v>
      </c>
      <c r="BN88" s="206">
        <f t="shared" si="68"/>
        <v>17871.13</v>
      </c>
      <c r="BO88" s="418" t="s">
        <v>2367</v>
      </c>
      <c r="BQ88" s="206">
        <f t="shared" si="69"/>
        <v>17871.13</v>
      </c>
      <c r="BT88" s="206">
        <f t="shared" si="70"/>
        <v>17871.13</v>
      </c>
      <c r="BU88" s="418" t="s">
        <v>2405</v>
      </c>
      <c r="BW88" s="206">
        <f t="shared" si="71"/>
        <v>17871.13</v>
      </c>
      <c r="BZ88" s="206">
        <f t="shared" si="72"/>
        <v>17871.13</v>
      </c>
      <c r="CC88" s="418" t="str">
        <f t="shared" si="91"/>
        <v>CU1163001</v>
      </c>
      <c r="CD88" s="442" t="str">
        <f t="shared" si="92"/>
        <v>2020年1月</v>
      </c>
      <c r="CE88" s="418" t="str">
        <f t="shared" si="93"/>
        <v>泰利福医疗clife服务费暂估</v>
      </c>
      <c r="CF88" s="418" t="str">
        <f t="shared" si="94"/>
        <v>2020年1月泰利福医疗clife服务费暂估</v>
      </c>
    </row>
    <row r="89" spans="2:84" s="447" customFormat="1" ht="21.75" customHeight="1">
      <c r="B89" s="447" t="str">
        <f t="shared" si="95"/>
        <v>CU1230</v>
      </c>
      <c r="C89" s="431" t="s">
        <v>208</v>
      </c>
      <c r="D89" s="67" t="s">
        <v>1611</v>
      </c>
      <c r="E89" s="67" t="s">
        <v>2084</v>
      </c>
      <c r="F89" s="439">
        <v>43833</v>
      </c>
      <c r="G89" s="503">
        <v>1883222.81</v>
      </c>
      <c r="H89" s="421"/>
      <c r="I89" s="427"/>
      <c r="J89" s="421"/>
      <c r="K89" s="418"/>
      <c r="L89" s="206"/>
      <c r="M89" s="206"/>
      <c r="N89" s="418"/>
      <c r="O89" s="206"/>
      <c r="P89" s="418"/>
      <c r="Q89" s="418"/>
      <c r="R89" s="206"/>
      <c r="S89" s="418"/>
      <c r="T89" s="418"/>
      <c r="U89" s="206"/>
      <c r="V89" s="418"/>
      <c r="W89" s="418"/>
      <c r="X89" s="206"/>
      <c r="Y89" s="418"/>
      <c r="Z89" s="418"/>
      <c r="AA89" s="206"/>
      <c r="AB89" s="418"/>
      <c r="AC89" s="418"/>
      <c r="AD89" s="206"/>
      <c r="AE89" s="418"/>
      <c r="AF89" s="418"/>
      <c r="AG89" s="206"/>
      <c r="AH89" s="418"/>
      <c r="AJ89" s="491">
        <f t="shared" si="83"/>
        <v>1883222.81</v>
      </c>
      <c r="AM89" s="491">
        <f t="shared" si="84"/>
        <v>1883222.81</v>
      </c>
      <c r="AP89" s="491">
        <f t="shared" si="85"/>
        <v>1883222.81</v>
      </c>
      <c r="AS89" s="491">
        <f t="shared" si="61"/>
        <v>1883222.81</v>
      </c>
      <c r="AT89" s="447" t="s">
        <v>2066</v>
      </c>
      <c r="AV89" s="491">
        <f t="shared" si="62"/>
        <v>1883222.81</v>
      </c>
      <c r="AW89" s="447" t="s">
        <v>2108</v>
      </c>
      <c r="AY89" s="491">
        <f t="shared" si="63"/>
        <v>1883222.81</v>
      </c>
      <c r="AZ89" s="447" t="s">
        <v>2135</v>
      </c>
      <c r="BA89" s="491">
        <v>896108.05</v>
      </c>
      <c r="BB89" s="491">
        <f t="shared" si="64"/>
        <v>987114.76</v>
      </c>
      <c r="BC89" s="447" t="s">
        <v>2227</v>
      </c>
      <c r="BE89" s="491">
        <f t="shared" si="65"/>
        <v>987114.76</v>
      </c>
      <c r="BF89" s="418" t="s">
        <v>2262</v>
      </c>
      <c r="BG89" s="447">
        <f>300000+8918</f>
        <v>308918</v>
      </c>
      <c r="BH89" s="491">
        <f t="shared" si="66"/>
        <v>678196.76</v>
      </c>
      <c r="BI89" s="418" t="s">
        <v>2307</v>
      </c>
      <c r="BJ89" s="447">
        <v>300000</v>
      </c>
      <c r="BK89" s="206">
        <f t="shared" si="67"/>
        <v>378196.76</v>
      </c>
      <c r="BL89" s="418" t="s">
        <v>2340</v>
      </c>
      <c r="BM89" s="447">
        <f>4978+4641+3306</f>
        <v>12925</v>
      </c>
      <c r="BN89" s="206">
        <f t="shared" si="68"/>
        <v>365271.76</v>
      </c>
      <c r="BO89" s="418" t="s">
        <v>2367</v>
      </c>
      <c r="BP89" s="418">
        <f>ROUND(9/1.06,2)+4703+30000</f>
        <v>34711.49</v>
      </c>
      <c r="BQ89" s="206">
        <f t="shared" si="69"/>
        <v>330560.27</v>
      </c>
      <c r="BR89" s="418"/>
      <c r="BS89" s="206">
        <f>BQ89</f>
        <v>330560.27</v>
      </c>
      <c r="BT89" s="206">
        <f t="shared" si="70"/>
        <v>0</v>
      </c>
      <c r="BU89" s="418"/>
      <c r="BV89" s="418"/>
      <c r="BW89" s="206">
        <f t="shared" si="71"/>
        <v>0</v>
      </c>
      <c r="BX89" s="418"/>
      <c r="BY89" s="418"/>
      <c r="BZ89" s="206">
        <f t="shared" si="72"/>
        <v>0</v>
      </c>
      <c r="CA89" s="418"/>
      <c r="CC89" s="418" t="str">
        <f t="shared" si="91"/>
        <v>CU1230001</v>
      </c>
      <c r="CD89" s="442" t="str">
        <f t="shared" si="92"/>
        <v>2020年1月</v>
      </c>
      <c r="CE89" s="418" t="str">
        <f t="shared" si="93"/>
        <v>汉庭星空（clife服务费暂估</v>
      </c>
      <c r="CF89" s="418" t="str">
        <f t="shared" si="94"/>
        <v>2020年1月汉庭星空（clife服务费暂估</v>
      </c>
    </row>
    <row r="90" spans="2:84" s="418" customFormat="1" ht="21.75" customHeight="1">
      <c r="B90" s="27" t="s">
        <v>1797</v>
      </c>
      <c r="C90" s="259" t="s">
        <v>208</v>
      </c>
      <c r="D90" s="28" t="s">
        <v>1797</v>
      </c>
      <c r="E90" s="458" t="s">
        <v>2082</v>
      </c>
      <c r="F90" s="330">
        <v>43834</v>
      </c>
      <c r="G90" s="503">
        <v>192806.37</v>
      </c>
      <c r="H90" s="421"/>
      <c r="I90" s="427"/>
      <c r="J90" s="421"/>
      <c r="L90" s="206"/>
      <c r="M90" s="206"/>
      <c r="O90" s="206"/>
      <c r="R90" s="206"/>
      <c r="U90" s="206"/>
      <c r="X90" s="206"/>
      <c r="AA90" s="206"/>
      <c r="AD90" s="206"/>
      <c r="AG90" s="206"/>
      <c r="AJ90" s="206">
        <f t="shared" si="83"/>
        <v>192806.37</v>
      </c>
      <c r="AM90" s="206">
        <f t="shared" si="84"/>
        <v>192806.37</v>
      </c>
      <c r="AP90" s="206">
        <f t="shared" si="85"/>
        <v>192806.37</v>
      </c>
      <c r="AS90" s="206">
        <f t="shared" si="61"/>
        <v>192806.37</v>
      </c>
      <c r="AT90" s="418" t="s">
        <v>2066</v>
      </c>
      <c r="AV90" s="206">
        <f t="shared" si="62"/>
        <v>192806.37</v>
      </c>
      <c r="AW90" s="418" t="s">
        <v>2108</v>
      </c>
      <c r="AX90" s="206">
        <f>100000-AX80+16880+163207.87</f>
        <v>192806.37</v>
      </c>
      <c r="AY90" s="206">
        <f t="shared" si="63"/>
        <v>0</v>
      </c>
      <c r="BB90" s="206">
        <f t="shared" si="64"/>
        <v>0</v>
      </c>
      <c r="BE90" s="206">
        <f t="shared" si="65"/>
        <v>0</v>
      </c>
      <c r="BH90" s="206">
        <f t="shared" si="66"/>
        <v>0</v>
      </c>
      <c r="BK90" s="206">
        <f t="shared" si="67"/>
        <v>0</v>
      </c>
      <c r="BN90" s="206">
        <f t="shared" si="68"/>
        <v>0</v>
      </c>
      <c r="BQ90" s="206">
        <f t="shared" si="69"/>
        <v>0</v>
      </c>
      <c r="BT90" s="206">
        <f t="shared" si="70"/>
        <v>0</v>
      </c>
      <c r="BW90" s="206">
        <f t="shared" si="71"/>
        <v>0</v>
      </c>
      <c r="BZ90" s="206">
        <f t="shared" si="72"/>
        <v>0</v>
      </c>
      <c r="CC90" s="418" t="str">
        <f t="shared" ref="CC90:CC127" si="96">B90&amp;$B$1</f>
        <v>CU0207001</v>
      </c>
      <c r="CD90" s="442" t="str">
        <f t="shared" ref="CD90:CD127" si="97">YEAR(F90)&amp;"年"&amp;MONTH(F90)&amp;"月"</f>
        <v>2020年1月</v>
      </c>
      <c r="CE90" s="418" t="str">
        <f t="shared" ref="CE90:CE127" si="98">LEFT(E90,5)&amp;$E$1</f>
        <v>达信（中国clife服务费暂估</v>
      </c>
      <c r="CF90" s="418" t="str">
        <f t="shared" ref="CF90:CF127" si="99">CD90&amp;CE90</f>
        <v>2020年1月达信（中国clife服务费暂估</v>
      </c>
    </row>
    <row r="91" spans="2:84" s="418" customFormat="1" ht="21.75" customHeight="1">
      <c r="B91" s="450" t="s">
        <v>1607</v>
      </c>
      <c r="C91" s="259" t="s">
        <v>208</v>
      </c>
      <c r="D91" s="452" t="s">
        <v>1607</v>
      </c>
      <c r="E91" s="463" t="s">
        <v>2093</v>
      </c>
      <c r="F91" s="330">
        <v>43862</v>
      </c>
      <c r="G91" s="474">
        <v>187489.57</v>
      </c>
      <c r="H91" s="421"/>
      <c r="I91" s="427"/>
      <c r="J91" s="421"/>
      <c r="L91" s="206"/>
      <c r="M91" s="206"/>
      <c r="O91" s="206"/>
      <c r="R91" s="206"/>
      <c r="U91" s="206"/>
      <c r="X91" s="206"/>
      <c r="AA91" s="206"/>
      <c r="AD91" s="206"/>
      <c r="AG91" s="206"/>
      <c r="AJ91" s="206">
        <f t="shared" ref="AJ91:AJ103" si="100">G91</f>
        <v>187489.57</v>
      </c>
      <c r="AM91" s="206">
        <f t="shared" si="84"/>
        <v>187489.57</v>
      </c>
      <c r="AP91" s="206">
        <f t="shared" si="85"/>
        <v>187489.57</v>
      </c>
      <c r="AS91" s="206">
        <f t="shared" si="61"/>
        <v>187489.57</v>
      </c>
      <c r="AV91" s="206">
        <f t="shared" si="62"/>
        <v>187489.57</v>
      </c>
      <c r="AW91" s="418" t="s">
        <v>2095</v>
      </c>
      <c r="AX91" s="206">
        <f>+ROUND(178265/1.06,2)-163207.87</f>
        <v>4966.6600000000035</v>
      </c>
      <c r="AY91" s="206">
        <f t="shared" si="63"/>
        <v>182522.91</v>
      </c>
      <c r="AZ91" s="418" t="s">
        <v>2133</v>
      </c>
      <c r="BA91" s="206">
        <f>AY91</f>
        <v>182522.91</v>
      </c>
      <c r="BB91" s="206">
        <f t="shared" si="64"/>
        <v>0</v>
      </c>
      <c r="BE91" s="206">
        <f t="shared" si="65"/>
        <v>0</v>
      </c>
      <c r="BH91" s="206">
        <f t="shared" si="66"/>
        <v>0</v>
      </c>
      <c r="BK91" s="206">
        <f t="shared" si="67"/>
        <v>0</v>
      </c>
      <c r="BN91" s="206">
        <f t="shared" si="68"/>
        <v>0</v>
      </c>
      <c r="BQ91" s="206">
        <f t="shared" si="69"/>
        <v>0</v>
      </c>
      <c r="BT91" s="206">
        <f t="shared" si="70"/>
        <v>0</v>
      </c>
      <c r="BW91" s="206">
        <f t="shared" si="71"/>
        <v>0</v>
      </c>
      <c r="BZ91" s="206">
        <f t="shared" si="72"/>
        <v>0</v>
      </c>
      <c r="CC91" s="418" t="str">
        <f t="shared" si="96"/>
        <v>CU0207001</v>
      </c>
      <c r="CD91" s="442" t="str">
        <f t="shared" si="97"/>
        <v>2020年2月</v>
      </c>
      <c r="CE91" s="418" t="str">
        <f t="shared" si="98"/>
        <v>达信（中国clife服务费暂估</v>
      </c>
      <c r="CF91" s="418" t="str">
        <f t="shared" si="99"/>
        <v>2020年2月达信（中国clife服务费暂估</v>
      </c>
    </row>
    <row r="92" spans="2:84" s="418" customFormat="1" ht="21.75" customHeight="1">
      <c r="B92" s="450" t="s">
        <v>1632</v>
      </c>
      <c r="C92" s="259" t="s">
        <v>208</v>
      </c>
      <c r="D92" s="452" t="s">
        <v>1632</v>
      </c>
      <c r="E92" s="463" t="s">
        <v>2094</v>
      </c>
      <c r="F92" s="330">
        <v>43863</v>
      </c>
      <c r="G92" s="474">
        <v>17225.3</v>
      </c>
      <c r="H92" s="421"/>
      <c r="I92" s="427"/>
      <c r="J92" s="421"/>
      <c r="L92" s="206"/>
      <c r="M92" s="206"/>
      <c r="O92" s="206"/>
      <c r="R92" s="206"/>
      <c r="U92" s="206"/>
      <c r="X92" s="206"/>
      <c r="AA92" s="206"/>
      <c r="AD92" s="206"/>
      <c r="AG92" s="206"/>
      <c r="AJ92" s="206">
        <f t="shared" si="100"/>
        <v>17225.3</v>
      </c>
      <c r="AM92" s="206">
        <f t="shared" si="84"/>
        <v>17225.3</v>
      </c>
      <c r="AP92" s="206">
        <f t="shared" si="85"/>
        <v>17225.3</v>
      </c>
      <c r="AS92" s="206">
        <f t="shared" si="61"/>
        <v>17225.3</v>
      </c>
      <c r="AV92" s="206">
        <f t="shared" si="62"/>
        <v>17225.3</v>
      </c>
      <c r="AW92" s="418" t="s">
        <v>2095</v>
      </c>
      <c r="AX92" s="206"/>
      <c r="AY92" s="206">
        <f t="shared" si="63"/>
        <v>17225.3</v>
      </c>
      <c r="AZ92" s="418" t="s">
        <v>2133</v>
      </c>
      <c r="BB92" s="206">
        <f t="shared" si="64"/>
        <v>17225.3</v>
      </c>
      <c r="BC92" s="418" t="s">
        <v>2228</v>
      </c>
      <c r="BE92" s="206">
        <f t="shared" si="65"/>
        <v>17225.3</v>
      </c>
      <c r="BF92" s="418" t="s">
        <v>2263</v>
      </c>
      <c r="BH92" s="206">
        <f t="shared" si="66"/>
        <v>17225.3</v>
      </c>
      <c r="BI92" s="418" t="s">
        <v>2308</v>
      </c>
      <c r="BK92" s="206">
        <f t="shared" si="67"/>
        <v>17225.3</v>
      </c>
      <c r="BL92" s="418" t="s">
        <v>2340</v>
      </c>
      <c r="BN92" s="206">
        <f t="shared" si="68"/>
        <v>17225.3</v>
      </c>
      <c r="BO92" s="418" t="s">
        <v>2367</v>
      </c>
      <c r="BQ92" s="206">
        <f t="shared" si="69"/>
        <v>17225.3</v>
      </c>
      <c r="BT92" s="206">
        <f t="shared" si="70"/>
        <v>17225.3</v>
      </c>
      <c r="BU92" s="418" t="s">
        <v>2405</v>
      </c>
      <c r="BW92" s="206">
        <f t="shared" si="71"/>
        <v>17225.3</v>
      </c>
      <c r="BZ92" s="206">
        <f t="shared" si="72"/>
        <v>17225.3</v>
      </c>
      <c r="CC92" s="418" t="str">
        <f t="shared" si="96"/>
        <v>CU1163001</v>
      </c>
      <c r="CD92" s="442" t="str">
        <f t="shared" si="97"/>
        <v>2020年2月</v>
      </c>
      <c r="CE92" s="418" t="str">
        <f t="shared" si="98"/>
        <v>泰利福医疗clife服务费暂估</v>
      </c>
      <c r="CF92" s="418" t="str">
        <f t="shared" si="99"/>
        <v>2020年2月泰利福医疗clife服务费暂估</v>
      </c>
    </row>
    <row r="93" spans="2:84" s="418" customFormat="1" ht="21.75" customHeight="1">
      <c r="B93" s="450" t="s">
        <v>2137</v>
      </c>
      <c r="C93" s="259" t="s">
        <v>208</v>
      </c>
      <c r="D93" s="452" t="s">
        <v>2137</v>
      </c>
      <c r="E93" s="463" t="s">
        <v>2092</v>
      </c>
      <c r="F93" s="330">
        <v>43864</v>
      </c>
      <c r="G93" s="474">
        <v>86879.64</v>
      </c>
      <c r="H93" s="421"/>
      <c r="I93" s="427"/>
      <c r="J93" s="421"/>
      <c r="L93" s="206"/>
      <c r="M93" s="206"/>
      <c r="O93" s="206"/>
      <c r="R93" s="206"/>
      <c r="U93" s="206"/>
      <c r="X93" s="206"/>
      <c r="AA93" s="206"/>
      <c r="AD93" s="206"/>
      <c r="AG93" s="206"/>
      <c r="AJ93" s="206">
        <f t="shared" si="100"/>
        <v>86879.64</v>
      </c>
      <c r="AM93" s="206">
        <f t="shared" si="84"/>
        <v>86879.64</v>
      </c>
      <c r="AP93" s="206">
        <f t="shared" si="85"/>
        <v>86879.64</v>
      </c>
      <c r="AS93" s="206">
        <f t="shared" si="61"/>
        <v>86879.64</v>
      </c>
      <c r="AV93" s="206">
        <f t="shared" si="62"/>
        <v>86879.64</v>
      </c>
      <c r="AW93" s="418" t="s">
        <v>2095</v>
      </c>
      <c r="AX93" s="206"/>
      <c r="AY93" s="206">
        <f t="shared" si="63"/>
        <v>86879.64</v>
      </c>
      <c r="AZ93" s="418" t="s">
        <v>2133</v>
      </c>
      <c r="BB93" s="206">
        <f t="shared" si="64"/>
        <v>86879.64</v>
      </c>
      <c r="BC93" s="418" t="s">
        <v>2228</v>
      </c>
      <c r="BE93" s="206">
        <f t="shared" si="65"/>
        <v>86879.64</v>
      </c>
      <c r="BF93" s="418" t="s">
        <v>2263</v>
      </c>
      <c r="BG93" s="206">
        <f>BE93</f>
        <v>86879.64</v>
      </c>
      <c r="BH93" s="206">
        <f t="shared" si="66"/>
        <v>0</v>
      </c>
      <c r="BK93" s="206">
        <f t="shared" si="67"/>
        <v>0</v>
      </c>
      <c r="BN93" s="206">
        <f t="shared" si="68"/>
        <v>0</v>
      </c>
      <c r="BQ93" s="206">
        <f t="shared" si="69"/>
        <v>0</v>
      </c>
      <c r="BT93" s="206">
        <f t="shared" si="70"/>
        <v>0</v>
      </c>
      <c r="BW93" s="206">
        <f t="shared" si="71"/>
        <v>0</v>
      </c>
      <c r="BZ93" s="206">
        <f t="shared" si="72"/>
        <v>0</v>
      </c>
      <c r="CC93" s="418" t="str">
        <f t="shared" si="96"/>
        <v>CU1610001</v>
      </c>
      <c r="CD93" s="442" t="str">
        <f t="shared" si="97"/>
        <v>2020年2月</v>
      </c>
      <c r="CE93" s="418" t="str">
        <f t="shared" si="98"/>
        <v>健是医疗科clife服务费暂估</v>
      </c>
      <c r="CF93" s="418" t="str">
        <f t="shared" si="99"/>
        <v>2020年2月健是医疗科clife服务费暂估</v>
      </c>
    </row>
    <row r="94" spans="2:84" s="418" customFormat="1" ht="21.75" customHeight="1">
      <c r="B94" s="450" t="s">
        <v>1608</v>
      </c>
      <c r="C94" s="259" t="s">
        <v>208</v>
      </c>
      <c r="D94" s="452" t="s">
        <v>2102</v>
      </c>
      <c r="E94" s="463" t="s">
        <v>2104</v>
      </c>
      <c r="F94" s="330">
        <v>43865</v>
      </c>
      <c r="G94" s="474">
        <v>41346.269999999997</v>
      </c>
      <c r="H94" s="421"/>
      <c r="I94" s="427"/>
      <c r="J94" s="421"/>
      <c r="L94" s="206"/>
      <c r="M94" s="206"/>
      <c r="O94" s="206"/>
      <c r="R94" s="206"/>
      <c r="U94" s="206"/>
      <c r="X94" s="206"/>
      <c r="AA94" s="206"/>
      <c r="AD94" s="206"/>
      <c r="AG94" s="206"/>
      <c r="AJ94" s="206">
        <f t="shared" si="100"/>
        <v>41346.269999999997</v>
      </c>
      <c r="AM94" s="206">
        <f t="shared" si="84"/>
        <v>41346.269999999997</v>
      </c>
      <c r="AP94" s="206">
        <f t="shared" si="85"/>
        <v>41346.269999999997</v>
      </c>
      <c r="AS94" s="206">
        <f t="shared" si="61"/>
        <v>41346.269999999997</v>
      </c>
      <c r="AV94" s="206">
        <f t="shared" si="62"/>
        <v>41346.269999999997</v>
      </c>
      <c r="AW94" s="418" t="s">
        <v>2095</v>
      </c>
      <c r="AX94" s="206"/>
      <c r="AY94" s="206">
        <f t="shared" si="63"/>
        <v>41346.269999999997</v>
      </c>
      <c r="AZ94" s="418" t="s">
        <v>2133</v>
      </c>
      <c r="BB94" s="206">
        <f t="shared" si="64"/>
        <v>41346.269999999997</v>
      </c>
      <c r="BC94" s="418" t="s">
        <v>2228</v>
      </c>
      <c r="BE94" s="206">
        <f t="shared" si="65"/>
        <v>41346.269999999997</v>
      </c>
      <c r="BF94" s="418" t="s">
        <v>2263</v>
      </c>
      <c r="BH94" s="206">
        <f t="shared" si="66"/>
        <v>41346.269999999997</v>
      </c>
      <c r="BI94" s="418" t="s">
        <v>2308</v>
      </c>
      <c r="BJ94" s="206">
        <f>BH94</f>
        <v>41346.269999999997</v>
      </c>
      <c r="BK94" s="206">
        <f t="shared" si="67"/>
        <v>0</v>
      </c>
      <c r="BN94" s="206">
        <f t="shared" si="68"/>
        <v>0</v>
      </c>
      <c r="BQ94" s="206">
        <f t="shared" si="69"/>
        <v>0</v>
      </c>
      <c r="BT94" s="206">
        <f t="shared" si="70"/>
        <v>0</v>
      </c>
      <c r="BW94" s="206">
        <f t="shared" si="71"/>
        <v>0</v>
      </c>
      <c r="BZ94" s="206">
        <f t="shared" si="72"/>
        <v>0</v>
      </c>
      <c r="CC94" s="418" t="str">
        <f t="shared" si="96"/>
        <v>CU0669001</v>
      </c>
      <c r="CD94" s="442" t="str">
        <f t="shared" si="97"/>
        <v>2020年2月</v>
      </c>
      <c r="CE94" s="418" t="str">
        <f t="shared" si="98"/>
        <v>北京博禹国clife服务费暂估</v>
      </c>
      <c r="CF94" s="418" t="str">
        <f t="shared" si="99"/>
        <v>2020年2月北京博禹国clife服务费暂估</v>
      </c>
    </row>
    <row r="95" spans="2:84" s="418" customFormat="1" ht="21.75" customHeight="1">
      <c r="B95" s="450" t="s">
        <v>1609</v>
      </c>
      <c r="C95" s="259" t="s">
        <v>208</v>
      </c>
      <c r="D95" s="452" t="s">
        <v>2103</v>
      </c>
      <c r="E95" s="463" t="s">
        <v>2105</v>
      </c>
      <c r="F95" s="330">
        <v>43866</v>
      </c>
      <c r="G95" s="474">
        <v>18282.75</v>
      </c>
      <c r="H95" s="421"/>
      <c r="I95" s="427"/>
      <c r="J95" s="421"/>
      <c r="L95" s="206"/>
      <c r="M95" s="206"/>
      <c r="O95" s="206"/>
      <c r="R95" s="206"/>
      <c r="U95" s="206"/>
      <c r="X95" s="206"/>
      <c r="AA95" s="206"/>
      <c r="AD95" s="206"/>
      <c r="AG95" s="206"/>
      <c r="AJ95" s="206">
        <f t="shared" si="100"/>
        <v>18282.75</v>
      </c>
      <c r="AM95" s="206">
        <f t="shared" si="84"/>
        <v>18282.75</v>
      </c>
      <c r="AP95" s="206">
        <f t="shared" si="85"/>
        <v>18282.75</v>
      </c>
      <c r="AS95" s="206">
        <f t="shared" si="61"/>
        <v>18282.75</v>
      </c>
      <c r="AV95" s="206">
        <f t="shared" si="62"/>
        <v>18282.75</v>
      </c>
      <c r="AW95" s="418" t="s">
        <v>2095</v>
      </c>
      <c r="AX95" s="206"/>
      <c r="AY95" s="206">
        <f t="shared" si="63"/>
        <v>18282.75</v>
      </c>
      <c r="AZ95" s="418" t="s">
        <v>2133</v>
      </c>
      <c r="BB95" s="206">
        <f t="shared" si="64"/>
        <v>18282.75</v>
      </c>
      <c r="BC95" s="418" t="s">
        <v>2228</v>
      </c>
      <c r="BE95" s="206">
        <f t="shared" si="65"/>
        <v>18282.75</v>
      </c>
      <c r="BF95" s="418" t="s">
        <v>2263</v>
      </c>
      <c r="BH95" s="206">
        <f t="shared" si="66"/>
        <v>18282.75</v>
      </c>
      <c r="BI95" s="418" t="s">
        <v>2308</v>
      </c>
      <c r="BK95" s="206">
        <f t="shared" si="67"/>
        <v>18282.75</v>
      </c>
      <c r="BL95" s="418" t="s">
        <v>2340</v>
      </c>
      <c r="BN95" s="206">
        <f t="shared" si="68"/>
        <v>18282.75</v>
      </c>
      <c r="BO95" s="418" t="s">
        <v>2367</v>
      </c>
      <c r="BQ95" s="206">
        <f t="shared" si="69"/>
        <v>18282.75</v>
      </c>
      <c r="BT95" s="206">
        <f t="shared" si="70"/>
        <v>18282.75</v>
      </c>
      <c r="BU95" s="418" t="s">
        <v>2405</v>
      </c>
      <c r="BW95" s="206">
        <f t="shared" si="71"/>
        <v>18282.75</v>
      </c>
      <c r="BZ95" s="206">
        <f t="shared" si="72"/>
        <v>18282.75</v>
      </c>
      <c r="CC95" s="418" t="str">
        <f t="shared" si="96"/>
        <v>CU0898001</v>
      </c>
      <c r="CD95" s="442" t="str">
        <f t="shared" si="97"/>
        <v>2020年2月</v>
      </c>
      <c r="CE95" s="418" t="str">
        <f t="shared" si="98"/>
        <v>凯易讯网络clife服务费暂估</v>
      </c>
      <c r="CF95" s="418" t="str">
        <f t="shared" si="99"/>
        <v>2020年2月凯易讯网络clife服务费暂估</v>
      </c>
    </row>
    <row r="96" spans="2:84" s="418" customFormat="1" ht="21.75" customHeight="1">
      <c r="B96" s="410" t="s">
        <v>1611</v>
      </c>
      <c r="C96" s="259" t="s">
        <v>208</v>
      </c>
      <c r="D96" s="410" t="s">
        <v>1611</v>
      </c>
      <c r="E96" s="410" t="s">
        <v>2084</v>
      </c>
      <c r="F96" s="330">
        <v>43867</v>
      </c>
      <c r="G96" s="474">
        <v>649990.97</v>
      </c>
      <c r="H96" s="421"/>
      <c r="I96" s="427"/>
      <c r="J96" s="421"/>
      <c r="L96" s="206"/>
      <c r="M96" s="206"/>
      <c r="O96" s="206"/>
      <c r="R96" s="206"/>
      <c r="U96" s="206"/>
      <c r="X96" s="206"/>
      <c r="AA96" s="206"/>
      <c r="AD96" s="206"/>
      <c r="AG96" s="206"/>
      <c r="AJ96" s="206">
        <f t="shared" si="100"/>
        <v>649990.97</v>
      </c>
      <c r="AM96" s="206">
        <f t="shared" si="84"/>
        <v>649990.97</v>
      </c>
      <c r="AP96" s="206">
        <f t="shared" si="85"/>
        <v>649990.97</v>
      </c>
      <c r="AS96" s="206">
        <f t="shared" si="61"/>
        <v>649990.97</v>
      </c>
      <c r="AV96" s="206">
        <f t="shared" si="62"/>
        <v>649990.97</v>
      </c>
      <c r="AW96" s="418" t="s">
        <v>2095</v>
      </c>
      <c r="AX96" s="206"/>
      <c r="AY96" s="206">
        <f t="shared" si="63"/>
        <v>649990.97</v>
      </c>
      <c r="AZ96" s="418" t="s">
        <v>2133</v>
      </c>
      <c r="BB96" s="206">
        <f t="shared" si="64"/>
        <v>649990.97</v>
      </c>
      <c r="BC96" s="418" t="s">
        <v>2228</v>
      </c>
      <c r="BE96" s="206">
        <f t="shared" si="65"/>
        <v>649990.97</v>
      </c>
      <c r="BF96" s="418" t="s">
        <v>2263</v>
      </c>
      <c r="BH96" s="206">
        <f t="shared" si="66"/>
        <v>649990.97</v>
      </c>
      <c r="BI96" s="418" t="s">
        <v>2308</v>
      </c>
      <c r="BK96" s="206">
        <f t="shared" si="67"/>
        <v>649990.97</v>
      </c>
      <c r="BL96" s="418" t="s">
        <v>2340</v>
      </c>
      <c r="BN96" s="206">
        <f t="shared" si="68"/>
        <v>649990.97</v>
      </c>
      <c r="BO96" s="418" t="s">
        <v>2367</v>
      </c>
      <c r="BQ96" s="206">
        <f t="shared" si="69"/>
        <v>649990.97</v>
      </c>
      <c r="BS96" s="206">
        <f>ROUND(718632.85/1.06,2)-BS89+1200+250000+51395.72</f>
        <v>649990.97</v>
      </c>
      <c r="BT96" s="206">
        <f t="shared" si="70"/>
        <v>0</v>
      </c>
      <c r="BW96" s="206">
        <f t="shared" si="71"/>
        <v>0</v>
      </c>
      <c r="BZ96" s="206">
        <f t="shared" si="72"/>
        <v>0</v>
      </c>
      <c r="CC96" s="418" t="str">
        <f t="shared" si="96"/>
        <v>CU1230001</v>
      </c>
      <c r="CD96" s="442" t="str">
        <f t="shared" si="97"/>
        <v>2020年2月</v>
      </c>
      <c r="CE96" s="418" t="str">
        <f t="shared" si="98"/>
        <v>汉庭星空（clife服务费暂估</v>
      </c>
      <c r="CF96" s="418" t="str">
        <f t="shared" si="99"/>
        <v>2020年2月汉庭星空（clife服务费暂估</v>
      </c>
    </row>
    <row r="97" spans="2:84" s="418" customFormat="1" ht="21.75" customHeight="1">
      <c r="B97" s="410" t="s">
        <v>1607</v>
      </c>
      <c r="C97" s="259" t="s">
        <v>208</v>
      </c>
      <c r="D97" s="410" t="s">
        <v>1607</v>
      </c>
      <c r="E97" s="410" t="s">
        <v>13</v>
      </c>
      <c r="F97" s="330">
        <v>43891</v>
      </c>
      <c r="G97" s="474">
        <v>188985.51</v>
      </c>
      <c r="H97" s="421"/>
      <c r="I97" s="427"/>
      <c r="J97" s="421"/>
      <c r="L97" s="206"/>
      <c r="M97" s="206"/>
      <c r="O97" s="206"/>
      <c r="R97" s="206"/>
      <c r="U97" s="206"/>
      <c r="X97" s="206"/>
      <c r="AA97" s="206"/>
      <c r="AD97" s="206"/>
      <c r="AG97" s="206"/>
      <c r="AJ97" s="206">
        <f t="shared" si="100"/>
        <v>188985.51</v>
      </c>
      <c r="AM97" s="206">
        <f t="shared" si="84"/>
        <v>188985.51</v>
      </c>
      <c r="AP97" s="206">
        <f t="shared" si="85"/>
        <v>188985.51</v>
      </c>
      <c r="AS97" s="206">
        <f t="shared" si="61"/>
        <v>188985.51</v>
      </c>
      <c r="AV97" s="206">
        <f t="shared" si="62"/>
        <v>188985.51</v>
      </c>
      <c r="AX97" s="206"/>
      <c r="AY97" s="206">
        <f t="shared" si="63"/>
        <v>188985.51</v>
      </c>
      <c r="AZ97" s="418" t="s">
        <v>2182</v>
      </c>
      <c r="BB97" s="206">
        <f t="shared" si="64"/>
        <v>188985.51</v>
      </c>
      <c r="BC97" s="418" t="s">
        <v>2229</v>
      </c>
      <c r="BE97" s="206">
        <f t="shared" si="65"/>
        <v>188985.51</v>
      </c>
      <c r="BF97" s="418" t="s">
        <v>2264</v>
      </c>
      <c r="BH97" s="206">
        <f t="shared" si="66"/>
        <v>188985.51</v>
      </c>
      <c r="BI97" s="418" t="s">
        <v>2309</v>
      </c>
      <c r="BJ97" s="418">
        <f>ROUND(142425/1.06,2)+54622.3</f>
        <v>188985.51</v>
      </c>
      <c r="BK97" s="206">
        <f t="shared" si="67"/>
        <v>0</v>
      </c>
      <c r="BN97" s="206">
        <f t="shared" si="68"/>
        <v>0</v>
      </c>
      <c r="BQ97" s="206">
        <f t="shared" si="69"/>
        <v>0</v>
      </c>
      <c r="BT97" s="206">
        <f t="shared" si="70"/>
        <v>0</v>
      </c>
      <c r="BW97" s="206">
        <f t="shared" si="71"/>
        <v>0</v>
      </c>
      <c r="BZ97" s="206">
        <f t="shared" si="72"/>
        <v>0</v>
      </c>
      <c r="CC97" s="418" t="str">
        <f t="shared" si="96"/>
        <v>CU0207001</v>
      </c>
      <c r="CD97" s="442" t="str">
        <f t="shared" si="97"/>
        <v>2020年3月</v>
      </c>
      <c r="CE97" s="418" t="str">
        <f t="shared" si="98"/>
        <v>达信（中国clife服务费暂估</v>
      </c>
      <c r="CF97" s="418" t="str">
        <f t="shared" si="99"/>
        <v>2020年3月达信（中国clife服务费暂估</v>
      </c>
    </row>
    <row r="98" spans="2:84" s="418" customFormat="1" ht="21.75" customHeight="1">
      <c r="B98" s="410" t="s">
        <v>1609</v>
      </c>
      <c r="C98" s="259" t="s">
        <v>208</v>
      </c>
      <c r="D98" s="410" t="s">
        <v>1609</v>
      </c>
      <c r="E98" s="410" t="s">
        <v>948</v>
      </c>
      <c r="F98" s="330">
        <v>43892</v>
      </c>
      <c r="G98" s="474">
        <v>5212.87</v>
      </c>
      <c r="H98" s="421"/>
      <c r="I98" s="427"/>
      <c r="J98" s="421"/>
      <c r="L98" s="206"/>
      <c r="M98" s="206"/>
      <c r="O98" s="206"/>
      <c r="R98" s="206"/>
      <c r="U98" s="206"/>
      <c r="X98" s="206"/>
      <c r="AA98" s="206"/>
      <c r="AD98" s="206"/>
      <c r="AG98" s="206"/>
      <c r="AJ98" s="206">
        <f t="shared" si="100"/>
        <v>5212.87</v>
      </c>
      <c r="AM98" s="206">
        <f t="shared" si="84"/>
        <v>5212.87</v>
      </c>
      <c r="AP98" s="206">
        <f t="shared" si="85"/>
        <v>5212.87</v>
      </c>
      <c r="AS98" s="206">
        <f t="shared" si="61"/>
        <v>5212.87</v>
      </c>
      <c r="AV98" s="206">
        <f t="shared" si="62"/>
        <v>5212.87</v>
      </c>
      <c r="AX98" s="206"/>
      <c r="AY98" s="206">
        <f t="shared" si="63"/>
        <v>5212.87</v>
      </c>
      <c r="AZ98" s="418" t="s">
        <v>2182</v>
      </c>
      <c r="BB98" s="206">
        <f t="shared" si="64"/>
        <v>5212.87</v>
      </c>
      <c r="BC98" s="418" t="s">
        <v>2229</v>
      </c>
      <c r="BE98" s="206">
        <f t="shared" si="65"/>
        <v>5212.87</v>
      </c>
      <c r="BF98" s="418" t="s">
        <v>2264</v>
      </c>
      <c r="BH98" s="206">
        <f t="shared" si="66"/>
        <v>5212.87</v>
      </c>
      <c r="BI98" s="418" t="s">
        <v>2309</v>
      </c>
      <c r="BK98" s="206">
        <f t="shared" si="67"/>
        <v>5212.87</v>
      </c>
      <c r="BL98" s="418" t="s">
        <v>2340</v>
      </c>
      <c r="BN98" s="206">
        <f t="shared" si="68"/>
        <v>5212.87</v>
      </c>
      <c r="BO98" s="418" t="s">
        <v>2367</v>
      </c>
      <c r="BQ98" s="206">
        <f t="shared" si="69"/>
        <v>5212.87</v>
      </c>
      <c r="BT98" s="206">
        <f t="shared" si="70"/>
        <v>5212.87</v>
      </c>
      <c r="BU98" s="418" t="s">
        <v>2405</v>
      </c>
      <c r="BW98" s="206">
        <f t="shared" si="71"/>
        <v>5212.87</v>
      </c>
      <c r="BZ98" s="206">
        <f t="shared" si="72"/>
        <v>5212.87</v>
      </c>
      <c r="CC98" s="418" t="str">
        <f t="shared" si="96"/>
        <v>CU0898001</v>
      </c>
      <c r="CD98" s="442" t="str">
        <f t="shared" si="97"/>
        <v>2020年3月</v>
      </c>
      <c r="CE98" s="418" t="str">
        <f t="shared" si="98"/>
        <v>凯易讯网络clife服务费暂估</v>
      </c>
      <c r="CF98" s="418" t="str">
        <f t="shared" si="99"/>
        <v>2020年3月凯易讯网络clife服务费暂估</v>
      </c>
    </row>
    <row r="99" spans="2:84" s="418" customFormat="1" ht="21.75" customHeight="1">
      <c r="B99" s="410" t="s">
        <v>1632</v>
      </c>
      <c r="C99" s="259" t="s">
        <v>208</v>
      </c>
      <c r="D99" s="410" t="s">
        <v>1632</v>
      </c>
      <c r="E99" s="410" t="s">
        <v>1631</v>
      </c>
      <c r="F99" s="330">
        <v>43893</v>
      </c>
      <c r="G99" s="474">
        <v>16945.97</v>
      </c>
      <c r="H99" s="421"/>
      <c r="I99" s="427"/>
      <c r="J99" s="421"/>
      <c r="L99" s="206"/>
      <c r="M99" s="206"/>
      <c r="O99" s="206"/>
      <c r="R99" s="206"/>
      <c r="U99" s="206"/>
      <c r="X99" s="206"/>
      <c r="AA99" s="206"/>
      <c r="AD99" s="206"/>
      <c r="AG99" s="206"/>
      <c r="AJ99" s="206">
        <f t="shared" si="100"/>
        <v>16945.97</v>
      </c>
      <c r="AM99" s="206">
        <f t="shared" si="84"/>
        <v>16945.97</v>
      </c>
      <c r="AP99" s="206">
        <f t="shared" si="85"/>
        <v>16945.97</v>
      </c>
      <c r="AS99" s="206">
        <f t="shared" si="61"/>
        <v>16945.97</v>
      </c>
      <c r="AV99" s="206">
        <f t="shared" si="62"/>
        <v>16945.97</v>
      </c>
      <c r="AX99" s="206"/>
      <c r="AY99" s="206">
        <f t="shared" si="63"/>
        <v>16945.97</v>
      </c>
      <c r="AZ99" s="418" t="s">
        <v>2182</v>
      </c>
      <c r="BB99" s="206">
        <f t="shared" si="64"/>
        <v>16945.97</v>
      </c>
      <c r="BC99" s="418" t="s">
        <v>2229</v>
      </c>
      <c r="BE99" s="206">
        <f t="shared" si="65"/>
        <v>16945.97</v>
      </c>
      <c r="BF99" s="418" t="s">
        <v>2264</v>
      </c>
      <c r="BH99" s="206">
        <f t="shared" si="66"/>
        <v>16945.97</v>
      </c>
      <c r="BI99" s="418" t="s">
        <v>2309</v>
      </c>
      <c r="BK99" s="206">
        <f t="shared" si="67"/>
        <v>16945.97</v>
      </c>
      <c r="BL99" s="418" t="s">
        <v>2340</v>
      </c>
      <c r="BN99" s="206">
        <f t="shared" si="68"/>
        <v>16945.97</v>
      </c>
      <c r="BO99" s="418" t="s">
        <v>2367</v>
      </c>
      <c r="BQ99" s="206">
        <f t="shared" si="69"/>
        <v>16945.97</v>
      </c>
      <c r="BT99" s="206">
        <f t="shared" si="70"/>
        <v>16945.97</v>
      </c>
      <c r="BU99" s="418" t="s">
        <v>2405</v>
      </c>
      <c r="BW99" s="206">
        <f t="shared" si="71"/>
        <v>16945.97</v>
      </c>
      <c r="BZ99" s="206">
        <f t="shared" si="72"/>
        <v>16945.97</v>
      </c>
      <c r="CC99" s="418" t="str">
        <f t="shared" si="96"/>
        <v>CU1163001</v>
      </c>
      <c r="CD99" s="442" t="str">
        <f t="shared" si="97"/>
        <v>2020年3月</v>
      </c>
      <c r="CE99" s="418" t="str">
        <f t="shared" si="98"/>
        <v>泰利福医疗clife服务费暂估</v>
      </c>
      <c r="CF99" s="418" t="str">
        <f t="shared" si="99"/>
        <v>2020年3月泰利福医疗clife服务费暂估</v>
      </c>
    </row>
    <row r="100" spans="2:84" s="418" customFormat="1" ht="21.75" customHeight="1">
      <c r="B100" s="410" t="s">
        <v>2137</v>
      </c>
      <c r="C100" s="259" t="s">
        <v>208</v>
      </c>
      <c r="D100" s="410" t="s">
        <v>2137</v>
      </c>
      <c r="E100" s="410" t="s">
        <v>2176</v>
      </c>
      <c r="F100" s="330">
        <v>43894</v>
      </c>
      <c r="G100" s="474">
        <v>112399.54</v>
      </c>
      <c r="H100" s="421"/>
      <c r="I100" s="427"/>
      <c r="J100" s="421"/>
      <c r="L100" s="206"/>
      <c r="M100" s="206"/>
      <c r="O100" s="206"/>
      <c r="R100" s="206"/>
      <c r="U100" s="206"/>
      <c r="X100" s="206"/>
      <c r="AA100" s="206"/>
      <c r="AD100" s="206"/>
      <c r="AG100" s="206"/>
      <c r="AJ100" s="206">
        <f t="shared" si="100"/>
        <v>112399.54</v>
      </c>
      <c r="AM100" s="206">
        <f t="shared" si="84"/>
        <v>112399.54</v>
      </c>
      <c r="AP100" s="206">
        <f t="shared" si="85"/>
        <v>112399.54</v>
      </c>
      <c r="AS100" s="206">
        <f t="shared" si="61"/>
        <v>112399.54</v>
      </c>
      <c r="AV100" s="206">
        <f t="shared" si="62"/>
        <v>112399.54</v>
      </c>
      <c r="AX100" s="206"/>
      <c r="AY100" s="206">
        <f t="shared" si="63"/>
        <v>112399.54</v>
      </c>
      <c r="AZ100" s="418" t="s">
        <v>2182</v>
      </c>
      <c r="BB100" s="206">
        <f t="shared" si="64"/>
        <v>112399.54</v>
      </c>
      <c r="BC100" s="418" t="s">
        <v>2229</v>
      </c>
      <c r="BE100" s="206">
        <f t="shared" si="65"/>
        <v>112399.54</v>
      </c>
      <c r="BF100" s="418" t="s">
        <v>2264</v>
      </c>
      <c r="BG100" s="206">
        <f>BE100</f>
        <v>112399.54</v>
      </c>
      <c r="BH100" s="206">
        <f t="shared" si="66"/>
        <v>0</v>
      </c>
      <c r="BK100" s="206">
        <f t="shared" si="67"/>
        <v>0</v>
      </c>
      <c r="BN100" s="206">
        <f t="shared" si="68"/>
        <v>0</v>
      </c>
      <c r="BQ100" s="206">
        <f t="shared" si="69"/>
        <v>0</v>
      </c>
      <c r="BT100" s="206">
        <f t="shared" si="70"/>
        <v>0</v>
      </c>
      <c r="BW100" s="206">
        <f t="shared" si="71"/>
        <v>0</v>
      </c>
      <c r="BZ100" s="206">
        <f t="shared" si="72"/>
        <v>0</v>
      </c>
      <c r="CC100" s="418" t="str">
        <f t="shared" si="96"/>
        <v>CU1610001</v>
      </c>
      <c r="CD100" s="442" t="str">
        <f t="shared" si="97"/>
        <v>2020年3月</v>
      </c>
      <c r="CE100" s="418" t="str">
        <f t="shared" si="98"/>
        <v>健适医疗科clife服务费暂估</v>
      </c>
      <c r="CF100" s="418" t="str">
        <f t="shared" si="99"/>
        <v>2020年3月健适医疗科clife服务费暂估</v>
      </c>
    </row>
    <row r="101" spans="2:84" s="418" customFormat="1" ht="21.75" customHeight="1">
      <c r="B101" s="410" t="s">
        <v>2179</v>
      </c>
      <c r="C101" s="259" t="s">
        <v>208</v>
      </c>
      <c r="D101" s="410" t="s">
        <v>2187</v>
      </c>
      <c r="E101" s="410" t="s">
        <v>2188</v>
      </c>
      <c r="F101" s="330">
        <v>43895</v>
      </c>
      <c r="G101" s="474">
        <v>1238420.96</v>
      </c>
      <c r="H101" s="421"/>
      <c r="I101" s="427"/>
      <c r="J101" s="421"/>
      <c r="L101" s="206"/>
      <c r="M101" s="206"/>
      <c r="O101" s="206"/>
      <c r="R101" s="206"/>
      <c r="U101" s="206"/>
      <c r="X101" s="206"/>
      <c r="AA101" s="206"/>
      <c r="AD101" s="206"/>
      <c r="AG101" s="206"/>
      <c r="AJ101" s="206">
        <f t="shared" si="100"/>
        <v>1238420.96</v>
      </c>
      <c r="AM101" s="206">
        <f t="shared" si="84"/>
        <v>1238420.96</v>
      </c>
      <c r="AP101" s="206">
        <f t="shared" si="85"/>
        <v>1238420.96</v>
      </c>
      <c r="AS101" s="206">
        <f t="shared" si="61"/>
        <v>1238420.96</v>
      </c>
      <c r="AV101" s="206">
        <f t="shared" si="62"/>
        <v>1238420.96</v>
      </c>
      <c r="AX101" s="206"/>
      <c r="AY101" s="206">
        <f t="shared" si="63"/>
        <v>1238420.96</v>
      </c>
      <c r="AZ101" s="418" t="s">
        <v>2182</v>
      </c>
      <c r="BB101" s="206">
        <f t="shared" si="64"/>
        <v>1238420.96</v>
      </c>
      <c r="BC101" s="418" t="s">
        <v>2229</v>
      </c>
      <c r="BE101" s="206">
        <f t="shared" si="65"/>
        <v>1238420.96</v>
      </c>
      <c r="BF101" s="418" t="s">
        <v>2264</v>
      </c>
      <c r="BG101" s="418">
        <f>ROUND((107600+509646.35)/1.06,2)+200000</f>
        <v>782307.88</v>
      </c>
      <c r="BH101" s="206">
        <f t="shared" si="66"/>
        <v>456113.07999999996</v>
      </c>
      <c r="BI101" s="418" t="s">
        <v>2309</v>
      </c>
      <c r="BK101" s="206">
        <f t="shared" si="67"/>
        <v>456113.07999999996</v>
      </c>
      <c r="BL101" s="418" t="s">
        <v>2340</v>
      </c>
      <c r="BN101" s="206">
        <f t="shared" si="68"/>
        <v>456113.07999999996</v>
      </c>
      <c r="BO101" s="418" t="s">
        <v>2367</v>
      </c>
      <c r="BP101" s="418">
        <f>9945+2000</f>
        <v>11945</v>
      </c>
      <c r="BQ101" s="206">
        <f t="shared" si="69"/>
        <v>444168.08</v>
      </c>
      <c r="BT101" s="206">
        <f t="shared" si="70"/>
        <v>444168.08</v>
      </c>
      <c r="BU101" s="418" t="s">
        <v>2405</v>
      </c>
      <c r="BW101" s="206">
        <f t="shared" si="71"/>
        <v>444168.08</v>
      </c>
      <c r="BZ101" s="206">
        <f t="shared" si="72"/>
        <v>444168.08</v>
      </c>
      <c r="CC101" s="418" t="str">
        <f t="shared" si="96"/>
        <v>CU1854001</v>
      </c>
      <c r="CD101" s="442" t="str">
        <f t="shared" si="97"/>
        <v>2020年3月</v>
      </c>
      <c r="CE101" s="418" t="str">
        <f t="shared" si="98"/>
        <v>广汽菲亚特clife服务费暂估</v>
      </c>
      <c r="CF101" s="418" t="str">
        <f t="shared" si="99"/>
        <v>2020年3月广汽菲亚特clife服务费暂估</v>
      </c>
    </row>
    <row r="102" spans="2:84" s="418" customFormat="1" ht="21.75" customHeight="1">
      <c r="B102" s="410" t="s">
        <v>2180</v>
      </c>
      <c r="C102" s="259" t="s">
        <v>208</v>
      </c>
      <c r="D102" s="410" t="s">
        <v>2189</v>
      </c>
      <c r="E102" s="410" t="s">
        <v>2181</v>
      </c>
      <c r="F102" s="330">
        <v>43896</v>
      </c>
      <c r="G102" s="474">
        <v>14264.21</v>
      </c>
      <c r="H102" s="421"/>
      <c r="I102" s="427"/>
      <c r="J102" s="421"/>
      <c r="L102" s="206"/>
      <c r="M102" s="206"/>
      <c r="O102" s="206"/>
      <c r="R102" s="206"/>
      <c r="U102" s="206"/>
      <c r="X102" s="206"/>
      <c r="AA102" s="206"/>
      <c r="AD102" s="206"/>
      <c r="AG102" s="206"/>
      <c r="AJ102" s="206">
        <f t="shared" si="100"/>
        <v>14264.21</v>
      </c>
      <c r="AM102" s="206">
        <f t="shared" si="84"/>
        <v>14264.21</v>
      </c>
      <c r="AP102" s="206">
        <f t="shared" si="85"/>
        <v>14264.21</v>
      </c>
      <c r="AS102" s="206">
        <f t="shared" si="61"/>
        <v>14264.21</v>
      </c>
      <c r="AV102" s="206">
        <f t="shared" si="62"/>
        <v>14264.21</v>
      </c>
      <c r="AX102" s="206"/>
      <c r="AY102" s="206">
        <f t="shared" si="63"/>
        <v>14264.21</v>
      </c>
      <c r="AZ102" s="418" t="s">
        <v>2182</v>
      </c>
      <c r="BB102" s="206">
        <f t="shared" si="64"/>
        <v>14264.21</v>
      </c>
      <c r="BC102" s="418" t="s">
        <v>2229</v>
      </c>
      <c r="BE102" s="206">
        <f t="shared" si="65"/>
        <v>14264.21</v>
      </c>
      <c r="BF102" s="418" t="s">
        <v>2264</v>
      </c>
      <c r="BH102" s="206">
        <f t="shared" si="66"/>
        <v>14264.21</v>
      </c>
      <c r="BI102" s="418" t="s">
        <v>2309</v>
      </c>
      <c r="BK102" s="206">
        <f t="shared" si="67"/>
        <v>14264.21</v>
      </c>
      <c r="BL102" s="418" t="s">
        <v>2340</v>
      </c>
      <c r="BN102" s="206">
        <f t="shared" si="68"/>
        <v>14264.21</v>
      </c>
      <c r="BO102" s="418" t="s">
        <v>2367</v>
      </c>
      <c r="BQ102" s="206">
        <f t="shared" si="69"/>
        <v>14264.21</v>
      </c>
      <c r="BT102" s="206">
        <f t="shared" si="70"/>
        <v>14264.21</v>
      </c>
      <c r="BU102" s="418" t="s">
        <v>2405</v>
      </c>
      <c r="BV102" s="418">
        <v>4800</v>
      </c>
      <c r="BW102" s="206">
        <f t="shared" si="71"/>
        <v>9464.2099999999991</v>
      </c>
      <c r="BZ102" s="206">
        <f t="shared" si="72"/>
        <v>9464.2099999999991</v>
      </c>
      <c r="CC102" s="418" t="str">
        <f t="shared" si="96"/>
        <v>CU0886001</v>
      </c>
      <c r="CD102" s="442" t="str">
        <f t="shared" si="97"/>
        <v>2020年3月</v>
      </c>
      <c r="CE102" s="418" t="str">
        <f t="shared" si="98"/>
        <v>德利富信息clife服务费暂估</v>
      </c>
      <c r="CF102" s="418" t="str">
        <f t="shared" si="99"/>
        <v>2020年3月德利富信息clife服务费暂估</v>
      </c>
    </row>
    <row r="103" spans="2:84" s="418" customFormat="1" ht="21.75" customHeight="1">
      <c r="B103" s="67" t="s">
        <v>2186</v>
      </c>
      <c r="C103" s="431" t="s">
        <v>208</v>
      </c>
      <c r="D103" s="67" t="s">
        <v>2190</v>
      </c>
      <c r="E103" s="67" t="s">
        <v>2191</v>
      </c>
      <c r="F103" s="439">
        <v>43897</v>
      </c>
      <c r="G103" s="474">
        <v>683.61</v>
      </c>
      <c r="H103" s="421"/>
      <c r="I103" s="427"/>
      <c r="J103" s="421"/>
      <c r="L103" s="206"/>
      <c r="M103" s="206"/>
      <c r="O103" s="206"/>
      <c r="R103" s="206"/>
      <c r="U103" s="206"/>
      <c r="X103" s="206"/>
      <c r="AA103" s="206"/>
      <c r="AD103" s="206"/>
      <c r="AG103" s="206"/>
      <c r="AJ103" s="206">
        <f t="shared" si="100"/>
        <v>683.61</v>
      </c>
      <c r="AM103" s="206">
        <f t="shared" si="84"/>
        <v>683.61</v>
      </c>
      <c r="AP103" s="206">
        <f t="shared" si="85"/>
        <v>683.61</v>
      </c>
      <c r="AS103" s="206">
        <f t="shared" si="61"/>
        <v>683.61</v>
      </c>
      <c r="AV103" s="206">
        <f t="shared" si="62"/>
        <v>683.61</v>
      </c>
      <c r="AX103" s="206"/>
      <c r="AY103" s="206">
        <f t="shared" si="63"/>
        <v>683.61</v>
      </c>
      <c r="AZ103" s="418" t="s">
        <v>1465</v>
      </c>
      <c r="BB103" s="206">
        <f t="shared" si="64"/>
        <v>683.61</v>
      </c>
      <c r="BC103" s="418" t="s">
        <v>2229</v>
      </c>
      <c r="BE103" s="206">
        <f t="shared" si="65"/>
        <v>683.61</v>
      </c>
      <c r="BF103" s="418" t="s">
        <v>2264</v>
      </c>
      <c r="BH103" s="206">
        <f t="shared" si="66"/>
        <v>683.61</v>
      </c>
      <c r="BI103" s="418" t="s">
        <v>2309</v>
      </c>
      <c r="BK103" s="206">
        <f t="shared" si="67"/>
        <v>683.61</v>
      </c>
      <c r="BL103" s="418" t="s">
        <v>2340</v>
      </c>
      <c r="BN103" s="206">
        <f t="shared" si="68"/>
        <v>683.61</v>
      </c>
      <c r="BO103" s="418" t="s">
        <v>2367</v>
      </c>
      <c r="BQ103" s="206">
        <f t="shared" si="69"/>
        <v>683.61</v>
      </c>
      <c r="BT103" s="206">
        <f t="shared" si="70"/>
        <v>683.61</v>
      </c>
      <c r="BU103" s="418" t="s">
        <v>2405</v>
      </c>
      <c r="BW103" s="206">
        <f t="shared" si="71"/>
        <v>683.61</v>
      </c>
      <c r="BZ103" s="206">
        <f t="shared" si="72"/>
        <v>683.61</v>
      </c>
      <c r="CC103" s="418" t="str">
        <f t="shared" si="96"/>
        <v>CU1858001</v>
      </c>
      <c r="CD103" s="442" t="str">
        <f t="shared" si="97"/>
        <v>2020年3月</v>
      </c>
      <c r="CE103" s="418" t="str">
        <f t="shared" si="98"/>
        <v>东海岸(上clife服务费暂估</v>
      </c>
      <c r="CF103" s="418" t="str">
        <f t="shared" si="99"/>
        <v>2020年3月东海岸(上clife服务费暂估</v>
      </c>
    </row>
    <row r="104" spans="2:84" s="447" customFormat="1" ht="21.75" customHeight="1">
      <c r="B104" s="463" t="s">
        <v>1607</v>
      </c>
      <c r="C104" s="431" t="s">
        <v>208</v>
      </c>
      <c r="D104" s="463" t="s">
        <v>1607</v>
      </c>
      <c r="E104" s="490" t="s">
        <v>13</v>
      </c>
      <c r="F104" s="439">
        <v>43922</v>
      </c>
      <c r="G104" s="474">
        <v>465708.43</v>
      </c>
      <c r="H104" s="421"/>
      <c r="I104" s="427"/>
      <c r="J104" s="421"/>
      <c r="K104" s="418"/>
      <c r="L104" s="206"/>
      <c r="M104" s="206"/>
      <c r="N104" s="418"/>
      <c r="O104" s="206"/>
      <c r="P104" s="418"/>
      <c r="Q104" s="418"/>
      <c r="R104" s="206"/>
      <c r="S104" s="418"/>
      <c r="T104" s="418"/>
      <c r="U104" s="206"/>
      <c r="V104" s="418"/>
      <c r="W104" s="418"/>
      <c r="X104" s="206"/>
      <c r="Y104" s="418"/>
      <c r="Z104" s="418"/>
      <c r="AA104" s="206"/>
      <c r="AB104" s="418"/>
      <c r="AC104" s="418"/>
      <c r="AD104" s="206"/>
      <c r="AE104" s="418"/>
      <c r="AF104" s="418"/>
      <c r="AG104" s="206"/>
      <c r="AH104" s="418"/>
      <c r="AJ104" s="491"/>
      <c r="AM104" s="491"/>
      <c r="AP104" s="491"/>
      <c r="AS104" s="491"/>
      <c r="AV104" s="474">
        <v>465708.43</v>
      </c>
      <c r="AX104" s="491"/>
      <c r="AY104" s="491">
        <f t="shared" si="63"/>
        <v>465708.43</v>
      </c>
      <c r="BB104" s="491">
        <f t="shared" si="64"/>
        <v>465708.43</v>
      </c>
      <c r="BC104" s="447" t="s">
        <v>2230</v>
      </c>
      <c r="BD104" s="447">
        <v>299056.59999999998</v>
      </c>
      <c r="BE104" s="509">
        <f t="shared" si="65"/>
        <v>166651.83000000002</v>
      </c>
      <c r="BF104" s="447" t="s">
        <v>2266</v>
      </c>
      <c r="BH104" s="491">
        <f t="shared" si="66"/>
        <v>166651.83000000002</v>
      </c>
      <c r="BI104" s="447" t="s">
        <v>2310</v>
      </c>
      <c r="BJ104" s="491">
        <f>BH104</f>
        <v>166651.83000000002</v>
      </c>
      <c r="BK104" s="206">
        <f t="shared" si="67"/>
        <v>0</v>
      </c>
      <c r="BN104" s="206">
        <f t="shared" si="68"/>
        <v>0</v>
      </c>
      <c r="BQ104" s="206">
        <f t="shared" si="69"/>
        <v>0</v>
      </c>
      <c r="BT104" s="206">
        <f t="shared" si="70"/>
        <v>0</v>
      </c>
      <c r="BW104" s="206">
        <f t="shared" si="71"/>
        <v>0</v>
      </c>
      <c r="BZ104" s="206">
        <f t="shared" si="72"/>
        <v>0</v>
      </c>
      <c r="CC104" s="418" t="str">
        <f t="shared" si="96"/>
        <v>CU0207001</v>
      </c>
      <c r="CD104" s="442" t="str">
        <f t="shared" si="97"/>
        <v>2020年4月</v>
      </c>
      <c r="CE104" s="418" t="str">
        <f t="shared" si="98"/>
        <v>达信（中国clife服务费暂估</v>
      </c>
      <c r="CF104" s="418" t="str">
        <f t="shared" si="99"/>
        <v>2020年4月达信（中国clife服务费暂估</v>
      </c>
    </row>
    <row r="105" spans="2:84" s="447" customFormat="1" ht="21.75" customHeight="1">
      <c r="B105" s="463" t="s">
        <v>1608</v>
      </c>
      <c r="C105" s="431" t="s">
        <v>208</v>
      </c>
      <c r="D105" s="463" t="s">
        <v>2222</v>
      </c>
      <c r="E105" s="490" t="s">
        <v>2223</v>
      </c>
      <c r="F105" s="439">
        <v>43923</v>
      </c>
      <c r="G105" s="474">
        <v>75634.02</v>
      </c>
      <c r="H105" s="421"/>
      <c r="I105" s="427"/>
      <c r="J105" s="421"/>
      <c r="K105" s="418"/>
      <c r="L105" s="206"/>
      <c r="M105" s="206"/>
      <c r="N105" s="418"/>
      <c r="O105" s="206"/>
      <c r="P105" s="418"/>
      <c r="Q105" s="418"/>
      <c r="R105" s="206"/>
      <c r="S105" s="418"/>
      <c r="T105" s="418"/>
      <c r="U105" s="206"/>
      <c r="V105" s="418"/>
      <c r="W105" s="418"/>
      <c r="X105" s="206"/>
      <c r="Y105" s="418"/>
      <c r="Z105" s="418"/>
      <c r="AA105" s="206"/>
      <c r="AB105" s="418"/>
      <c r="AC105" s="418"/>
      <c r="AD105" s="206"/>
      <c r="AE105" s="418"/>
      <c r="AF105" s="418"/>
      <c r="AG105" s="206"/>
      <c r="AH105" s="418"/>
      <c r="AJ105" s="491"/>
      <c r="AM105" s="491"/>
      <c r="AP105" s="491"/>
      <c r="AS105" s="491"/>
      <c r="AV105" s="474">
        <v>75634.02</v>
      </c>
      <c r="AX105" s="491"/>
      <c r="AY105" s="491">
        <f t="shared" si="63"/>
        <v>75634.02</v>
      </c>
      <c r="BB105" s="491">
        <f t="shared" si="64"/>
        <v>75634.02</v>
      </c>
      <c r="BC105" s="447" t="s">
        <v>2230</v>
      </c>
      <c r="BE105" s="509">
        <f t="shared" si="65"/>
        <v>75634.02</v>
      </c>
      <c r="BF105" s="447" t="s">
        <v>2266</v>
      </c>
      <c r="BH105" s="491">
        <f t="shared" si="66"/>
        <v>75634.02</v>
      </c>
      <c r="BI105" s="447" t="s">
        <v>2310</v>
      </c>
      <c r="BJ105" s="206">
        <f>BH105</f>
        <v>75634.02</v>
      </c>
      <c r="BK105" s="206">
        <f t="shared" si="67"/>
        <v>0</v>
      </c>
      <c r="BN105" s="206">
        <f t="shared" si="68"/>
        <v>0</v>
      </c>
      <c r="BQ105" s="206">
        <f t="shared" si="69"/>
        <v>0</v>
      </c>
      <c r="BT105" s="206">
        <f t="shared" si="70"/>
        <v>0</v>
      </c>
      <c r="BW105" s="206">
        <f t="shared" si="71"/>
        <v>0</v>
      </c>
      <c r="BZ105" s="206">
        <f t="shared" si="72"/>
        <v>0</v>
      </c>
      <c r="CC105" s="418" t="str">
        <f t="shared" si="96"/>
        <v>CU0669001</v>
      </c>
      <c r="CD105" s="442" t="str">
        <f t="shared" si="97"/>
        <v>2020年4月</v>
      </c>
      <c r="CE105" s="418" t="str">
        <f t="shared" si="98"/>
        <v>北京博禹国clife服务费暂估</v>
      </c>
      <c r="CF105" s="418" t="str">
        <f t="shared" si="99"/>
        <v>2020年4月北京博禹国clife服务费暂估</v>
      </c>
    </row>
    <row r="106" spans="2:84" s="447" customFormat="1" ht="21.75" customHeight="1">
      <c r="B106" s="463" t="s">
        <v>1609</v>
      </c>
      <c r="C106" s="431" t="s">
        <v>208</v>
      </c>
      <c r="D106" s="463" t="s">
        <v>1609</v>
      </c>
      <c r="E106" s="490" t="s">
        <v>948</v>
      </c>
      <c r="F106" s="439">
        <v>43924</v>
      </c>
      <c r="G106" s="474">
        <v>18588.91</v>
      </c>
      <c r="H106" s="421"/>
      <c r="I106" s="427"/>
      <c r="J106" s="421"/>
      <c r="K106" s="418"/>
      <c r="L106" s="206"/>
      <c r="M106" s="206"/>
      <c r="N106" s="418"/>
      <c r="O106" s="206"/>
      <c r="P106" s="418"/>
      <c r="Q106" s="418"/>
      <c r="R106" s="206"/>
      <c r="S106" s="418"/>
      <c r="T106" s="418"/>
      <c r="U106" s="206"/>
      <c r="V106" s="418"/>
      <c r="W106" s="418"/>
      <c r="X106" s="206"/>
      <c r="Y106" s="418"/>
      <c r="Z106" s="418"/>
      <c r="AA106" s="206"/>
      <c r="AB106" s="418"/>
      <c r="AC106" s="418"/>
      <c r="AD106" s="206"/>
      <c r="AE106" s="418"/>
      <c r="AF106" s="418"/>
      <c r="AG106" s="206"/>
      <c r="AH106" s="418"/>
      <c r="AJ106" s="491"/>
      <c r="AM106" s="491"/>
      <c r="AP106" s="491"/>
      <c r="AS106" s="491"/>
      <c r="AV106" s="474">
        <v>18588.91</v>
      </c>
      <c r="AX106" s="491"/>
      <c r="AY106" s="491">
        <f t="shared" si="63"/>
        <v>18588.91</v>
      </c>
      <c r="BB106" s="491">
        <f t="shared" si="64"/>
        <v>18588.91</v>
      </c>
      <c r="BC106" s="447" t="s">
        <v>2230</v>
      </c>
      <c r="BE106" s="509">
        <f t="shared" si="65"/>
        <v>18588.91</v>
      </c>
      <c r="BF106" s="447" t="s">
        <v>2266</v>
      </c>
      <c r="BH106" s="491">
        <f t="shared" si="66"/>
        <v>18588.91</v>
      </c>
      <c r="BI106" s="447" t="s">
        <v>2310</v>
      </c>
      <c r="BK106" s="206">
        <f t="shared" si="67"/>
        <v>18588.91</v>
      </c>
      <c r="BL106" s="418" t="s">
        <v>2340</v>
      </c>
      <c r="BN106" s="206">
        <f t="shared" si="68"/>
        <v>18588.91</v>
      </c>
      <c r="BO106" s="418" t="s">
        <v>2367</v>
      </c>
      <c r="BP106" s="418"/>
      <c r="BQ106" s="206">
        <f t="shared" si="69"/>
        <v>18588.91</v>
      </c>
      <c r="BR106" s="418"/>
      <c r="BS106" s="418"/>
      <c r="BT106" s="206">
        <f t="shared" si="70"/>
        <v>18588.91</v>
      </c>
      <c r="BU106" s="418" t="s">
        <v>2405</v>
      </c>
      <c r="BV106" s="418"/>
      <c r="BW106" s="206">
        <f t="shared" si="71"/>
        <v>18588.91</v>
      </c>
      <c r="BX106" s="418"/>
      <c r="BY106" s="418"/>
      <c r="BZ106" s="206">
        <f t="shared" si="72"/>
        <v>18588.91</v>
      </c>
      <c r="CA106" s="418"/>
      <c r="CC106" s="418" t="str">
        <f t="shared" si="96"/>
        <v>CU0898001</v>
      </c>
      <c r="CD106" s="442" t="str">
        <f t="shared" si="97"/>
        <v>2020年4月</v>
      </c>
      <c r="CE106" s="418" t="str">
        <f t="shared" si="98"/>
        <v>凯易讯网络clife服务费暂估</v>
      </c>
      <c r="CF106" s="418" t="str">
        <f t="shared" si="99"/>
        <v>2020年4月凯易讯网络clife服务费暂估</v>
      </c>
    </row>
    <row r="107" spans="2:84" s="447" customFormat="1" ht="21.75" customHeight="1">
      <c r="B107" s="463" t="s">
        <v>1632</v>
      </c>
      <c r="C107" s="431" t="s">
        <v>208</v>
      </c>
      <c r="D107" s="463" t="s">
        <v>1632</v>
      </c>
      <c r="E107" s="490" t="s">
        <v>1631</v>
      </c>
      <c r="F107" s="439">
        <v>43925</v>
      </c>
      <c r="G107" s="474">
        <v>16666.64</v>
      </c>
      <c r="H107" s="421"/>
      <c r="I107" s="427"/>
      <c r="J107" s="421"/>
      <c r="K107" s="418"/>
      <c r="L107" s="206"/>
      <c r="M107" s="206"/>
      <c r="N107" s="418"/>
      <c r="O107" s="206"/>
      <c r="P107" s="418"/>
      <c r="Q107" s="418"/>
      <c r="R107" s="206"/>
      <c r="S107" s="418"/>
      <c r="T107" s="418"/>
      <c r="U107" s="206"/>
      <c r="V107" s="418"/>
      <c r="W107" s="418"/>
      <c r="X107" s="206"/>
      <c r="Y107" s="418"/>
      <c r="Z107" s="418"/>
      <c r="AA107" s="206"/>
      <c r="AB107" s="418"/>
      <c r="AC107" s="418"/>
      <c r="AD107" s="206"/>
      <c r="AE107" s="418"/>
      <c r="AF107" s="418"/>
      <c r="AG107" s="206"/>
      <c r="AH107" s="418"/>
      <c r="AJ107" s="491"/>
      <c r="AM107" s="491"/>
      <c r="AP107" s="491"/>
      <c r="AS107" s="491"/>
      <c r="AV107" s="474">
        <v>16666.64</v>
      </c>
      <c r="AX107" s="491"/>
      <c r="AY107" s="491">
        <f t="shared" si="63"/>
        <v>16666.64</v>
      </c>
      <c r="BB107" s="491">
        <f t="shared" si="64"/>
        <v>16666.64</v>
      </c>
      <c r="BC107" s="447" t="s">
        <v>2230</v>
      </c>
      <c r="BE107" s="509">
        <f t="shared" si="65"/>
        <v>16666.64</v>
      </c>
      <c r="BF107" s="447" t="s">
        <v>2266</v>
      </c>
      <c r="BH107" s="491">
        <f t="shared" si="66"/>
        <v>16666.64</v>
      </c>
      <c r="BI107" s="447" t="s">
        <v>2310</v>
      </c>
      <c r="BK107" s="206">
        <f t="shared" si="67"/>
        <v>16666.64</v>
      </c>
      <c r="BL107" s="418" t="s">
        <v>2340</v>
      </c>
      <c r="BN107" s="206">
        <f t="shared" si="68"/>
        <v>16666.64</v>
      </c>
      <c r="BO107" s="418" t="s">
        <v>2367</v>
      </c>
      <c r="BP107" s="418"/>
      <c r="BQ107" s="206">
        <f t="shared" si="69"/>
        <v>16666.64</v>
      </c>
      <c r="BR107" s="418"/>
      <c r="BS107" s="418"/>
      <c r="BT107" s="206">
        <f t="shared" si="70"/>
        <v>16666.64</v>
      </c>
      <c r="BU107" s="418" t="s">
        <v>2405</v>
      </c>
      <c r="BV107" s="418"/>
      <c r="BW107" s="206">
        <f t="shared" si="71"/>
        <v>16666.64</v>
      </c>
      <c r="BX107" s="418"/>
      <c r="BY107" s="418"/>
      <c r="BZ107" s="206">
        <f t="shared" si="72"/>
        <v>16666.64</v>
      </c>
      <c r="CA107" s="418"/>
      <c r="CC107" s="418" t="str">
        <f t="shared" si="96"/>
        <v>CU1163001</v>
      </c>
      <c r="CD107" s="442" t="str">
        <f t="shared" si="97"/>
        <v>2020年4月</v>
      </c>
      <c r="CE107" s="418" t="str">
        <f t="shared" si="98"/>
        <v>泰利福医疗clife服务费暂估</v>
      </c>
      <c r="CF107" s="418" t="str">
        <f t="shared" si="99"/>
        <v>2020年4月泰利福医疗clife服务费暂估</v>
      </c>
    </row>
    <row r="108" spans="2:84" s="447" customFormat="1" ht="21.75" customHeight="1">
      <c r="B108" s="463" t="s">
        <v>1674</v>
      </c>
      <c r="C108" s="431" t="s">
        <v>208</v>
      </c>
      <c r="D108" s="463" t="s">
        <v>2224</v>
      </c>
      <c r="E108" s="490" t="s">
        <v>2225</v>
      </c>
      <c r="F108" s="439">
        <v>43926</v>
      </c>
      <c r="G108" s="474">
        <v>1045286.56</v>
      </c>
      <c r="H108" s="421"/>
      <c r="I108" s="427"/>
      <c r="J108" s="421"/>
      <c r="K108" s="418"/>
      <c r="L108" s="206"/>
      <c r="M108" s="206"/>
      <c r="N108" s="418"/>
      <c r="O108" s="206"/>
      <c r="P108" s="418"/>
      <c r="Q108" s="418"/>
      <c r="R108" s="206"/>
      <c r="S108" s="418"/>
      <c r="T108" s="418"/>
      <c r="U108" s="206"/>
      <c r="V108" s="418"/>
      <c r="W108" s="418"/>
      <c r="X108" s="206"/>
      <c r="Y108" s="418"/>
      <c r="Z108" s="418"/>
      <c r="AA108" s="206"/>
      <c r="AB108" s="418"/>
      <c r="AC108" s="418"/>
      <c r="AD108" s="206"/>
      <c r="AE108" s="418"/>
      <c r="AF108" s="418"/>
      <c r="AG108" s="206"/>
      <c r="AH108" s="418"/>
      <c r="AJ108" s="491"/>
      <c r="AM108" s="491"/>
      <c r="AP108" s="491"/>
      <c r="AS108" s="491"/>
      <c r="AV108" s="474">
        <v>1045286.56</v>
      </c>
      <c r="AX108" s="491"/>
      <c r="AY108" s="491">
        <f t="shared" si="63"/>
        <v>1045286.56</v>
      </c>
      <c r="BB108" s="491">
        <f t="shared" si="64"/>
        <v>1045286.56</v>
      </c>
      <c r="BC108" s="447" t="s">
        <v>2230</v>
      </c>
      <c r="BE108" s="509">
        <f t="shared" si="65"/>
        <v>1045286.56</v>
      </c>
      <c r="BF108" s="447" t="s">
        <v>2266</v>
      </c>
      <c r="BH108" s="491">
        <f t="shared" si="66"/>
        <v>1045286.56</v>
      </c>
      <c r="BI108" s="447" t="s">
        <v>2310</v>
      </c>
      <c r="BK108" s="206">
        <f t="shared" si="67"/>
        <v>1045286.56</v>
      </c>
      <c r="BL108" s="418" t="s">
        <v>2340</v>
      </c>
      <c r="BN108" s="206">
        <f t="shared" si="68"/>
        <v>1045286.56</v>
      </c>
      <c r="BO108" s="418" t="s">
        <v>2367</v>
      </c>
      <c r="BP108" s="418"/>
      <c r="BQ108" s="206">
        <f t="shared" si="69"/>
        <v>1045286.56</v>
      </c>
      <c r="BR108" s="418"/>
      <c r="BS108" s="418">
        <f>100000-51395.72+1922</f>
        <v>50526.28</v>
      </c>
      <c r="BT108" s="206">
        <f t="shared" si="70"/>
        <v>994760.28</v>
      </c>
      <c r="BU108" s="418" t="s">
        <v>2405</v>
      </c>
      <c r="BV108" s="418">
        <f>30000+ROUND((557664.65+10648+376775)/1.06,2)+73168.16</f>
        <v>994760.28</v>
      </c>
      <c r="BW108" s="206">
        <f t="shared" si="71"/>
        <v>0</v>
      </c>
      <c r="BX108" s="418"/>
      <c r="BY108" s="418"/>
      <c r="BZ108" s="206">
        <f t="shared" si="72"/>
        <v>0</v>
      </c>
      <c r="CA108" s="418"/>
      <c r="CC108" s="418" t="str">
        <f t="shared" si="96"/>
        <v>CU1230001</v>
      </c>
      <c r="CD108" s="442" t="str">
        <f t="shared" si="97"/>
        <v>2020年4月</v>
      </c>
      <c r="CE108" s="418" t="str">
        <f t="shared" si="98"/>
        <v>汉庭星空（clife服务费暂估</v>
      </c>
      <c r="CF108" s="418" t="str">
        <f t="shared" si="99"/>
        <v>2020年4月汉庭星空（clife服务费暂估</v>
      </c>
    </row>
    <row r="109" spans="2:84" s="447" customFormat="1" ht="21.75" customHeight="1">
      <c r="B109" s="463" t="s">
        <v>2137</v>
      </c>
      <c r="C109" s="431" t="s">
        <v>208</v>
      </c>
      <c r="D109" s="463" t="s">
        <v>2137</v>
      </c>
      <c r="E109" s="490" t="s">
        <v>2176</v>
      </c>
      <c r="F109" s="439">
        <v>43927</v>
      </c>
      <c r="G109" s="474">
        <v>112399.54</v>
      </c>
      <c r="H109" s="421"/>
      <c r="I109" s="427"/>
      <c r="J109" s="421"/>
      <c r="K109" s="418"/>
      <c r="L109" s="206"/>
      <c r="M109" s="206"/>
      <c r="N109" s="418"/>
      <c r="O109" s="206"/>
      <c r="P109" s="418"/>
      <c r="Q109" s="418"/>
      <c r="R109" s="206"/>
      <c r="S109" s="418"/>
      <c r="T109" s="418"/>
      <c r="U109" s="206"/>
      <c r="V109" s="418"/>
      <c r="W109" s="418"/>
      <c r="X109" s="206"/>
      <c r="Y109" s="418"/>
      <c r="Z109" s="418"/>
      <c r="AA109" s="206"/>
      <c r="AB109" s="418"/>
      <c r="AC109" s="418"/>
      <c r="AD109" s="206"/>
      <c r="AE109" s="418"/>
      <c r="AF109" s="418"/>
      <c r="AG109" s="206"/>
      <c r="AH109" s="418"/>
      <c r="AJ109" s="491"/>
      <c r="AM109" s="491"/>
      <c r="AP109" s="491"/>
      <c r="AS109" s="491"/>
      <c r="AV109" s="474">
        <v>112399.54</v>
      </c>
      <c r="AX109" s="491"/>
      <c r="AY109" s="491">
        <f t="shared" si="63"/>
        <v>112399.54</v>
      </c>
      <c r="BB109" s="491">
        <f t="shared" si="64"/>
        <v>112399.54</v>
      </c>
      <c r="BC109" s="447" t="s">
        <v>2230</v>
      </c>
      <c r="BE109" s="509">
        <f t="shared" si="65"/>
        <v>112399.54</v>
      </c>
      <c r="BF109" s="447" t="s">
        <v>2266</v>
      </c>
      <c r="BG109" s="491">
        <f>ROUND(445391.92/1.06,2)-BG74-BG84-BG93-BG100</f>
        <v>62206.7</v>
      </c>
      <c r="BH109" s="491">
        <f t="shared" si="66"/>
        <v>50192.84</v>
      </c>
      <c r="BI109" s="447" t="s">
        <v>2310</v>
      </c>
      <c r="BJ109" s="491"/>
      <c r="BK109" s="206">
        <f t="shared" si="67"/>
        <v>50192.84</v>
      </c>
      <c r="BL109" s="418" t="s">
        <v>2340</v>
      </c>
      <c r="BN109" s="206">
        <f t="shared" si="68"/>
        <v>50192.84</v>
      </c>
      <c r="BO109" s="418" t="s">
        <v>2367</v>
      </c>
      <c r="BP109" s="206">
        <f>BN109</f>
        <v>50192.84</v>
      </c>
      <c r="BQ109" s="206">
        <f t="shared" si="69"/>
        <v>0</v>
      </c>
      <c r="BR109" s="418"/>
      <c r="BS109" s="418"/>
      <c r="BT109" s="206">
        <f t="shared" si="70"/>
        <v>0</v>
      </c>
      <c r="BU109" s="418"/>
      <c r="BV109" s="418"/>
      <c r="BW109" s="206">
        <f t="shared" si="71"/>
        <v>0</v>
      </c>
      <c r="BX109" s="418"/>
      <c r="BY109" s="418"/>
      <c r="BZ109" s="206">
        <f t="shared" si="72"/>
        <v>0</v>
      </c>
      <c r="CA109" s="418"/>
      <c r="CC109" s="418" t="str">
        <f t="shared" si="96"/>
        <v>CU1610001</v>
      </c>
      <c r="CD109" s="442" t="str">
        <f t="shared" si="97"/>
        <v>2020年4月</v>
      </c>
      <c r="CE109" s="418" t="str">
        <f t="shared" si="98"/>
        <v>健适医疗科clife服务费暂估</v>
      </c>
      <c r="CF109" s="418" t="str">
        <f t="shared" si="99"/>
        <v>2020年4月健适医疗科clife服务费暂估</v>
      </c>
    </row>
    <row r="110" spans="2:84" s="447" customFormat="1" ht="21.75" customHeight="1">
      <c r="B110" s="463" t="s">
        <v>2220</v>
      </c>
      <c r="C110" s="431" t="s">
        <v>208</v>
      </c>
      <c r="D110" s="463" t="s">
        <v>2220</v>
      </c>
      <c r="E110" s="490" t="s">
        <v>2221</v>
      </c>
      <c r="F110" s="439">
        <v>43928</v>
      </c>
      <c r="G110" s="474">
        <v>459.1</v>
      </c>
      <c r="H110" s="421"/>
      <c r="I110" s="427"/>
      <c r="J110" s="421"/>
      <c r="K110" s="418"/>
      <c r="L110" s="206"/>
      <c r="M110" s="206"/>
      <c r="N110" s="418"/>
      <c r="O110" s="206"/>
      <c r="P110" s="418"/>
      <c r="Q110" s="418"/>
      <c r="R110" s="206"/>
      <c r="S110" s="418"/>
      <c r="T110" s="418"/>
      <c r="U110" s="206"/>
      <c r="V110" s="418"/>
      <c r="W110" s="418"/>
      <c r="X110" s="206"/>
      <c r="Y110" s="418"/>
      <c r="Z110" s="418"/>
      <c r="AA110" s="206"/>
      <c r="AB110" s="418"/>
      <c r="AC110" s="418"/>
      <c r="AD110" s="206"/>
      <c r="AE110" s="418"/>
      <c r="AF110" s="418"/>
      <c r="AG110" s="206"/>
      <c r="AH110" s="418"/>
      <c r="AJ110" s="491"/>
      <c r="AM110" s="491"/>
      <c r="AP110" s="491"/>
      <c r="AS110" s="491"/>
      <c r="AV110" s="474">
        <v>459.1</v>
      </c>
      <c r="AX110" s="491"/>
      <c r="AY110" s="491">
        <f t="shared" si="63"/>
        <v>459.1</v>
      </c>
      <c r="BB110" s="491">
        <f t="shared" si="64"/>
        <v>459.1</v>
      </c>
      <c r="BC110" s="447" t="s">
        <v>2230</v>
      </c>
      <c r="BE110" s="509">
        <f t="shared" si="65"/>
        <v>459.1</v>
      </c>
      <c r="BF110" s="447" t="s">
        <v>2266</v>
      </c>
      <c r="BH110" s="491">
        <f t="shared" si="66"/>
        <v>459.1</v>
      </c>
      <c r="BI110" s="447" t="s">
        <v>2310</v>
      </c>
      <c r="BK110" s="206">
        <f t="shared" si="67"/>
        <v>459.1</v>
      </c>
      <c r="BL110" s="418" t="s">
        <v>2340</v>
      </c>
      <c r="BN110" s="206">
        <f t="shared" si="68"/>
        <v>459.1</v>
      </c>
      <c r="BO110" s="418" t="s">
        <v>2367</v>
      </c>
      <c r="BP110" s="418"/>
      <c r="BQ110" s="206">
        <f t="shared" si="69"/>
        <v>459.1</v>
      </c>
      <c r="BR110" s="418"/>
      <c r="BS110" s="418"/>
      <c r="BT110" s="206">
        <f t="shared" si="70"/>
        <v>459.1</v>
      </c>
      <c r="BU110" s="418" t="s">
        <v>2405</v>
      </c>
      <c r="BV110" s="418"/>
      <c r="BW110" s="206">
        <f t="shared" si="71"/>
        <v>459.1</v>
      </c>
      <c r="BX110" s="418"/>
      <c r="BY110" s="418"/>
      <c r="BZ110" s="206">
        <f t="shared" si="72"/>
        <v>459.1</v>
      </c>
      <c r="CA110" s="418"/>
      <c r="CC110" s="418" t="str">
        <f t="shared" si="96"/>
        <v>CU1858001</v>
      </c>
      <c r="CD110" s="442" t="str">
        <f t="shared" si="97"/>
        <v>2020年4月</v>
      </c>
      <c r="CE110" s="418" t="str">
        <f t="shared" si="98"/>
        <v>东海岸(上clife服务费暂估</v>
      </c>
      <c r="CF110" s="418" t="str">
        <f t="shared" si="99"/>
        <v>2020年4月东海岸(上clife服务费暂估</v>
      </c>
    </row>
    <row r="111" spans="2:84" s="418" customFormat="1" ht="21.75" customHeight="1">
      <c r="B111" s="463" t="s">
        <v>2251</v>
      </c>
      <c r="C111" s="431" t="s">
        <v>208</v>
      </c>
      <c r="D111" s="463" t="s">
        <v>1607</v>
      </c>
      <c r="E111" s="490" t="s">
        <v>13</v>
      </c>
      <c r="F111" s="457">
        <v>43952</v>
      </c>
      <c r="G111" s="474">
        <v>193329.57</v>
      </c>
      <c r="H111" s="421"/>
      <c r="I111" s="427"/>
      <c r="J111" s="421"/>
      <c r="L111" s="206"/>
      <c r="M111" s="206"/>
      <c r="O111" s="206"/>
      <c r="R111" s="206"/>
      <c r="U111" s="206"/>
      <c r="X111" s="206"/>
      <c r="AA111" s="206"/>
      <c r="AD111" s="206"/>
      <c r="AG111" s="206"/>
      <c r="AJ111" s="206"/>
      <c r="AM111" s="206"/>
      <c r="AP111" s="206"/>
      <c r="AS111" s="206"/>
      <c r="AV111" s="501"/>
      <c r="AX111" s="206"/>
      <c r="AY111" s="206"/>
      <c r="BB111" s="206">
        <f>G111</f>
        <v>193329.57</v>
      </c>
      <c r="BE111" s="206">
        <f t="shared" si="65"/>
        <v>193329.57</v>
      </c>
      <c r="BF111" s="418" t="s">
        <v>2265</v>
      </c>
      <c r="BH111" s="206">
        <f t="shared" si="66"/>
        <v>193329.57</v>
      </c>
      <c r="BI111" s="418" t="s">
        <v>2311</v>
      </c>
      <c r="BJ111" s="206">
        <f>BH111</f>
        <v>193329.57</v>
      </c>
      <c r="BK111" s="206">
        <f t="shared" si="67"/>
        <v>0</v>
      </c>
      <c r="BN111" s="206">
        <f t="shared" si="68"/>
        <v>0</v>
      </c>
      <c r="BQ111" s="206">
        <f t="shared" si="69"/>
        <v>0</v>
      </c>
      <c r="BT111" s="206">
        <f t="shared" si="70"/>
        <v>0</v>
      </c>
      <c r="BW111" s="206">
        <f t="shared" si="71"/>
        <v>0</v>
      </c>
      <c r="BZ111" s="206">
        <f t="shared" si="72"/>
        <v>0</v>
      </c>
      <c r="CC111" s="418" t="str">
        <f t="shared" si="96"/>
        <v>CU0207001</v>
      </c>
      <c r="CD111" s="442" t="str">
        <f t="shared" si="97"/>
        <v>2020年5月</v>
      </c>
      <c r="CE111" s="418" t="str">
        <f t="shared" si="98"/>
        <v>达信（中国clife服务费暂估</v>
      </c>
      <c r="CF111" s="418" t="str">
        <f t="shared" si="99"/>
        <v>2020年5月达信（中国clife服务费暂估</v>
      </c>
    </row>
    <row r="112" spans="2:84" s="418" customFormat="1" ht="21.75" customHeight="1">
      <c r="B112" s="463" t="s">
        <v>1608</v>
      </c>
      <c r="C112" s="431" t="s">
        <v>208</v>
      </c>
      <c r="D112" s="463" t="s">
        <v>1608</v>
      </c>
      <c r="E112" s="490" t="s">
        <v>229</v>
      </c>
      <c r="F112" s="457">
        <v>43953</v>
      </c>
      <c r="G112" s="474">
        <v>71738.92</v>
      </c>
      <c r="H112" s="421"/>
      <c r="I112" s="427"/>
      <c r="J112" s="421"/>
      <c r="L112" s="206"/>
      <c r="M112" s="206"/>
      <c r="O112" s="206"/>
      <c r="R112" s="206"/>
      <c r="U112" s="206"/>
      <c r="X112" s="206"/>
      <c r="AA112" s="206"/>
      <c r="AD112" s="206"/>
      <c r="AG112" s="206"/>
      <c r="AJ112" s="206"/>
      <c r="AM112" s="206"/>
      <c r="AP112" s="206"/>
      <c r="AS112" s="206"/>
      <c r="AV112" s="501"/>
      <c r="AX112" s="206"/>
      <c r="AY112" s="206"/>
      <c r="BB112" s="206">
        <f t="shared" ref="BB112:BB119" si="101">G112</f>
        <v>71738.92</v>
      </c>
      <c r="BE112" s="206">
        <f t="shared" si="65"/>
        <v>71738.92</v>
      </c>
      <c r="BF112" s="418" t="s">
        <v>2265</v>
      </c>
      <c r="BH112" s="206">
        <f t="shared" si="66"/>
        <v>71738.92</v>
      </c>
      <c r="BI112" s="418" t="s">
        <v>2311</v>
      </c>
      <c r="BJ112" s="206">
        <f>BH112</f>
        <v>71738.92</v>
      </c>
      <c r="BK112" s="206">
        <f t="shared" si="67"/>
        <v>0</v>
      </c>
      <c r="BN112" s="206">
        <f t="shared" si="68"/>
        <v>0</v>
      </c>
      <c r="BQ112" s="206">
        <f t="shared" si="69"/>
        <v>0</v>
      </c>
      <c r="BT112" s="206">
        <f t="shared" si="70"/>
        <v>0</v>
      </c>
      <c r="BW112" s="206">
        <f t="shared" si="71"/>
        <v>0</v>
      </c>
      <c r="BZ112" s="206">
        <f t="shared" si="72"/>
        <v>0</v>
      </c>
      <c r="CC112" s="418" t="str">
        <f t="shared" si="96"/>
        <v>CU0669001</v>
      </c>
      <c r="CD112" s="442" t="str">
        <f t="shared" si="97"/>
        <v>2020年5月</v>
      </c>
      <c r="CE112" s="418" t="str">
        <f t="shared" si="98"/>
        <v>北京博禹国clife服务费暂估</v>
      </c>
      <c r="CF112" s="418" t="str">
        <f t="shared" si="99"/>
        <v>2020年5月北京博禹国clife服务费暂估</v>
      </c>
    </row>
    <row r="113" spans="2:84" s="418" customFormat="1" ht="21.75" customHeight="1">
      <c r="B113" s="463" t="s">
        <v>1609</v>
      </c>
      <c r="C113" s="431" t="s">
        <v>208</v>
      </c>
      <c r="D113" s="463" t="s">
        <v>1609</v>
      </c>
      <c r="E113" s="490" t="s">
        <v>948</v>
      </c>
      <c r="F113" s="457">
        <v>43954</v>
      </c>
      <c r="G113" s="474">
        <v>17957.259999999998</v>
      </c>
      <c r="H113" s="421"/>
      <c r="I113" s="427"/>
      <c r="J113" s="421"/>
      <c r="L113" s="206"/>
      <c r="M113" s="206"/>
      <c r="O113" s="206"/>
      <c r="R113" s="206"/>
      <c r="U113" s="206"/>
      <c r="X113" s="206"/>
      <c r="AA113" s="206"/>
      <c r="AD113" s="206"/>
      <c r="AG113" s="206"/>
      <c r="AJ113" s="206"/>
      <c r="AM113" s="206"/>
      <c r="AP113" s="206"/>
      <c r="AS113" s="206"/>
      <c r="AV113" s="501"/>
      <c r="AX113" s="206"/>
      <c r="AY113" s="206"/>
      <c r="BB113" s="206">
        <f t="shared" si="101"/>
        <v>17957.259999999998</v>
      </c>
      <c r="BE113" s="206">
        <f t="shared" si="65"/>
        <v>17957.259999999998</v>
      </c>
      <c r="BF113" s="418" t="s">
        <v>2265</v>
      </c>
      <c r="BH113" s="206">
        <f t="shared" si="66"/>
        <v>17957.259999999998</v>
      </c>
      <c r="BI113" s="418" t="s">
        <v>2311</v>
      </c>
      <c r="BK113" s="206">
        <f t="shared" si="67"/>
        <v>17957.259999999998</v>
      </c>
      <c r="BL113" s="418" t="s">
        <v>2340</v>
      </c>
      <c r="BN113" s="206">
        <f t="shared" si="68"/>
        <v>17957.259999999998</v>
      </c>
      <c r="BO113" s="418" t="s">
        <v>2367</v>
      </c>
      <c r="BQ113" s="206">
        <f t="shared" si="69"/>
        <v>17957.259999999998</v>
      </c>
      <c r="BT113" s="206">
        <f t="shared" si="70"/>
        <v>17957.259999999998</v>
      </c>
      <c r="BU113" s="418" t="s">
        <v>2405</v>
      </c>
      <c r="BW113" s="206">
        <f t="shared" si="71"/>
        <v>17957.259999999998</v>
      </c>
      <c r="BZ113" s="206">
        <f t="shared" si="72"/>
        <v>17957.259999999998</v>
      </c>
      <c r="CC113" s="418" t="str">
        <f t="shared" si="96"/>
        <v>CU0898001</v>
      </c>
      <c r="CD113" s="442" t="str">
        <f t="shared" si="97"/>
        <v>2020年5月</v>
      </c>
      <c r="CE113" s="418" t="str">
        <f t="shared" si="98"/>
        <v>凯易讯网络clife服务费暂估</v>
      </c>
      <c r="CF113" s="418" t="str">
        <f t="shared" si="99"/>
        <v>2020年5月凯易讯网络clife服务费暂估</v>
      </c>
    </row>
    <row r="114" spans="2:84" s="418" customFormat="1" ht="21.75" customHeight="1">
      <c r="B114" s="463" t="s">
        <v>2145</v>
      </c>
      <c r="C114" s="431" t="s">
        <v>208</v>
      </c>
      <c r="D114" s="463" t="s">
        <v>2145</v>
      </c>
      <c r="E114" s="490" t="s">
        <v>2255</v>
      </c>
      <c r="F114" s="457">
        <v>43955</v>
      </c>
      <c r="G114" s="474">
        <v>3017.66</v>
      </c>
      <c r="H114" s="421"/>
      <c r="I114" s="427"/>
      <c r="J114" s="421"/>
      <c r="L114" s="206"/>
      <c r="M114" s="206"/>
      <c r="O114" s="206"/>
      <c r="R114" s="206"/>
      <c r="U114" s="206"/>
      <c r="X114" s="206"/>
      <c r="AA114" s="206"/>
      <c r="AD114" s="206"/>
      <c r="AG114" s="206"/>
      <c r="AJ114" s="206"/>
      <c r="AM114" s="206"/>
      <c r="AP114" s="206"/>
      <c r="AS114" s="206"/>
      <c r="AV114" s="501"/>
      <c r="AX114" s="206"/>
      <c r="AY114" s="206"/>
      <c r="BB114" s="206">
        <f t="shared" si="101"/>
        <v>3017.66</v>
      </c>
      <c r="BE114" s="206">
        <f t="shared" si="65"/>
        <v>3017.66</v>
      </c>
      <c r="BF114" s="418" t="s">
        <v>2265</v>
      </c>
      <c r="BG114" s="418">
        <v>2651.42</v>
      </c>
      <c r="BH114" s="206">
        <f t="shared" si="66"/>
        <v>366.23999999999978</v>
      </c>
      <c r="BI114" s="418" t="s">
        <v>2311</v>
      </c>
      <c r="BK114" s="206">
        <f t="shared" si="67"/>
        <v>366.23999999999978</v>
      </c>
      <c r="BL114" s="418" t="s">
        <v>2340</v>
      </c>
      <c r="BN114" s="206">
        <f t="shared" si="68"/>
        <v>366.23999999999978</v>
      </c>
      <c r="BO114" s="418" t="s">
        <v>2367</v>
      </c>
      <c r="BQ114" s="206">
        <f t="shared" si="69"/>
        <v>366.24</v>
      </c>
      <c r="BT114" s="206">
        <f t="shared" si="70"/>
        <v>366.24</v>
      </c>
      <c r="BU114" s="418" t="s">
        <v>2405</v>
      </c>
      <c r="BW114" s="206">
        <f t="shared" si="71"/>
        <v>366.24</v>
      </c>
      <c r="BZ114" s="206">
        <f t="shared" si="72"/>
        <v>366.24</v>
      </c>
      <c r="CC114" s="418" t="str">
        <f t="shared" si="96"/>
        <v>CU0990001</v>
      </c>
      <c r="CD114" s="442" t="str">
        <f t="shared" si="97"/>
        <v>2020年5月</v>
      </c>
      <c r="CE114" s="418" t="str">
        <f t="shared" si="98"/>
        <v>依工玳纳特clife服务费暂估</v>
      </c>
      <c r="CF114" s="418" t="str">
        <f t="shared" si="99"/>
        <v>2020年5月依工玳纳特clife服务费暂估</v>
      </c>
    </row>
    <row r="115" spans="2:84" s="418" customFormat="1" ht="21.75" customHeight="1">
      <c r="B115" s="463" t="s">
        <v>1632</v>
      </c>
      <c r="C115" s="431" t="s">
        <v>208</v>
      </c>
      <c r="D115" s="463" t="s">
        <v>1632</v>
      </c>
      <c r="E115" s="490" t="s">
        <v>1631</v>
      </c>
      <c r="F115" s="457">
        <v>43956</v>
      </c>
      <c r="G115" s="474">
        <v>16480.43</v>
      </c>
      <c r="H115" s="421"/>
      <c r="I115" s="427"/>
      <c r="J115" s="421"/>
      <c r="L115" s="206"/>
      <c r="M115" s="206"/>
      <c r="O115" s="206"/>
      <c r="R115" s="206"/>
      <c r="U115" s="206"/>
      <c r="X115" s="206"/>
      <c r="AA115" s="206"/>
      <c r="AD115" s="206"/>
      <c r="AG115" s="206"/>
      <c r="AJ115" s="206"/>
      <c r="AM115" s="206"/>
      <c r="AP115" s="206"/>
      <c r="AS115" s="206"/>
      <c r="AV115" s="501"/>
      <c r="AX115" s="206"/>
      <c r="AY115" s="206"/>
      <c r="BB115" s="206">
        <f t="shared" si="101"/>
        <v>16480.43</v>
      </c>
      <c r="BE115" s="206">
        <f t="shared" si="65"/>
        <v>16480.43</v>
      </c>
      <c r="BF115" s="418" t="s">
        <v>2265</v>
      </c>
      <c r="BH115" s="206">
        <f t="shared" si="66"/>
        <v>16480.43</v>
      </c>
      <c r="BI115" s="418" t="s">
        <v>2311</v>
      </c>
      <c r="BK115" s="206">
        <f t="shared" si="67"/>
        <v>16480.43</v>
      </c>
      <c r="BL115" s="418" t="s">
        <v>2340</v>
      </c>
      <c r="BN115" s="206">
        <f t="shared" si="68"/>
        <v>16480.43</v>
      </c>
      <c r="BO115" s="418" t="s">
        <v>2367</v>
      </c>
      <c r="BQ115" s="206">
        <f t="shared" si="69"/>
        <v>16480.43</v>
      </c>
      <c r="BT115" s="206">
        <f t="shared" si="70"/>
        <v>16480.43</v>
      </c>
      <c r="BU115" s="418" t="s">
        <v>2405</v>
      </c>
      <c r="BW115" s="206">
        <f t="shared" si="71"/>
        <v>16480.43</v>
      </c>
      <c r="BZ115" s="206">
        <f t="shared" si="72"/>
        <v>16480.43</v>
      </c>
      <c r="CC115" s="418" t="str">
        <f t="shared" si="96"/>
        <v>CU1163001</v>
      </c>
      <c r="CD115" s="442" t="str">
        <f t="shared" si="97"/>
        <v>2020年5月</v>
      </c>
      <c r="CE115" s="418" t="str">
        <f t="shared" si="98"/>
        <v>泰利福医疗clife服务费暂估</v>
      </c>
      <c r="CF115" s="418" t="str">
        <f t="shared" si="99"/>
        <v>2020年5月泰利福医疗clife服务费暂估</v>
      </c>
    </row>
    <row r="116" spans="2:84" s="418" customFormat="1" ht="21.75" customHeight="1">
      <c r="B116" s="463" t="s">
        <v>1674</v>
      </c>
      <c r="C116" s="431" t="s">
        <v>208</v>
      </c>
      <c r="D116" s="463" t="s">
        <v>1674</v>
      </c>
      <c r="E116" s="490" t="s">
        <v>1610</v>
      </c>
      <c r="F116" s="457">
        <v>43957</v>
      </c>
      <c r="G116" s="474">
        <v>1043512.25</v>
      </c>
      <c r="H116" s="421"/>
      <c r="I116" s="427"/>
      <c r="J116" s="421"/>
      <c r="L116" s="206"/>
      <c r="M116" s="206"/>
      <c r="O116" s="206"/>
      <c r="R116" s="206"/>
      <c r="U116" s="206"/>
      <c r="X116" s="206"/>
      <c r="AA116" s="206"/>
      <c r="AD116" s="206"/>
      <c r="AG116" s="206"/>
      <c r="AJ116" s="206"/>
      <c r="AM116" s="206"/>
      <c r="AP116" s="206"/>
      <c r="AS116" s="206"/>
      <c r="AV116" s="501"/>
      <c r="AX116" s="206"/>
      <c r="AY116" s="206"/>
      <c r="BB116" s="206">
        <f t="shared" si="101"/>
        <v>1043512.25</v>
      </c>
      <c r="BE116" s="206">
        <f t="shared" si="65"/>
        <v>1043512.25</v>
      </c>
      <c r="BF116" s="418" t="s">
        <v>2265</v>
      </c>
      <c r="BH116" s="206">
        <f t="shared" si="66"/>
        <v>1043512.25</v>
      </c>
      <c r="BI116" s="418" t="s">
        <v>2311</v>
      </c>
      <c r="BK116" s="206">
        <f t="shared" si="67"/>
        <v>1043512.25</v>
      </c>
      <c r="BL116" s="418" t="s">
        <v>2340</v>
      </c>
      <c r="BN116" s="206">
        <f t="shared" si="68"/>
        <v>1043512.25</v>
      </c>
      <c r="BO116" s="418" t="s">
        <v>2367</v>
      </c>
      <c r="BQ116" s="206">
        <f t="shared" si="69"/>
        <v>1043512.25</v>
      </c>
      <c r="BT116" s="206">
        <f t="shared" si="70"/>
        <v>1043512.25</v>
      </c>
      <c r="BU116" s="418" t="s">
        <v>2405</v>
      </c>
      <c r="BV116" s="418">
        <f>ROUND(300000/1.06,2)-73168.16+6102</f>
        <v>215952.71</v>
      </c>
      <c r="BW116" s="206">
        <f t="shared" si="71"/>
        <v>827559.54</v>
      </c>
      <c r="BY116" s="418">
        <f>300000+30000+ROUND(339733.3/1.06,2)+177056.43</f>
        <v>827559.54</v>
      </c>
      <c r="BZ116" s="206">
        <f t="shared" si="72"/>
        <v>0</v>
      </c>
      <c r="CC116" s="418" t="str">
        <f t="shared" si="96"/>
        <v>CU1230001</v>
      </c>
      <c r="CD116" s="442" t="str">
        <f t="shared" si="97"/>
        <v>2020年5月</v>
      </c>
      <c r="CE116" s="418" t="str">
        <f t="shared" si="98"/>
        <v>汉庭星空（clife服务费暂估</v>
      </c>
      <c r="CF116" s="418" t="str">
        <f t="shared" si="99"/>
        <v>2020年5月汉庭星空（clife服务费暂估</v>
      </c>
    </row>
    <row r="117" spans="2:84" s="418" customFormat="1" ht="21.75" customHeight="1">
      <c r="B117" s="463" t="s">
        <v>2137</v>
      </c>
      <c r="C117" s="431" t="s">
        <v>208</v>
      </c>
      <c r="D117" s="463" t="s">
        <v>2137</v>
      </c>
      <c r="E117" s="490" t="s">
        <v>2176</v>
      </c>
      <c r="F117" s="457">
        <v>43958</v>
      </c>
      <c r="G117" s="474">
        <v>112399.54</v>
      </c>
      <c r="H117" s="421"/>
      <c r="I117" s="427"/>
      <c r="J117" s="421"/>
      <c r="L117" s="206"/>
      <c r="M117" s="206"/>
      <c r="O117" s="206"/>
      <c r="R117" s="206"/>
      <c r="U117" s="206"/>
      <c r="X117" s="206"/>
      <c r="AA117" s="206"/>
      <c r="AD117" s="206"/>
      <c r="AG117" s="206"/>
      <c r="AJ117" s="206"/>
      <c r="AM117" s="206"/>
      <c r="AP117" s="206"/>
      <c r="AS117" s="206"/>
      <c r="AV117" s="501"/>
      <c r="AX117" s="206"/>
      <c r="AY117" s="206"/>
      <c r="BB117" s="206">
        <f t="shared" si="101"/>
        <v>112399.54</v>
      </c>
      <c r="BE117" s="206">
        <f t="shared" si="65"/>
        <v>112399.54</v>
      </c>
      <c r="BF117" s="418" t="s">
        <v>2265</v>
      </c>
      <c r="BH117" s="206">
        <f t="shared" si="66"/>
        <v>112399.54</v>
      </c>
      <c r="BI117" s="418" t="s">
        <v>2311</v>
      </c>
      <c r="BK117" s="206">
        <f t="shared" si="67"/>
        <v>112399.54</v>
      </c>
      <c r="BL117" s="418" t="s">
        <v>2340</v>
      </c>
      <c r="BN117" s="206">
        <f t="shared" si="68"/>
        <v>112399.54</v>
      </c>
      <c r="BO117" s="418" t="s">
        <v>2367</v>
      </c>
      <c r="BP117" s="206">
        <f>ROUND(172347.92/1.06,2)-BP109</f>
        <v>112399.54000000001</v>
      </c>
      <c r="BQ117" s="206">
        <f t="shared" si="69"/>
        <v>0</v>
      </c>
      <c r="BT117" s="206">
        <f t="shared" si="70"/>
        <v>0</v>
      </c>
      <c r="BW117" s="206">
        <f t="shared" si="71"/>
        <v>0</v>
      </c>
      <c r="BZ117" s="206">
        <f t="shared" si="72"/>
        <v>0</v>
      </c>
      <c r="CC117" s="418" t="str">
        <f t="shared" si="96"/>
        <v>CU1610001</v>
      </c>
      <c r="CD117" s="442" t="str">
        <f t="shared" si="97"/>
        <v>2020年5月</v>
      </c>
      <c r="CE117" s="418" t="str">
        <f t="shared" si="98"/>
        <v>健适医疗科clife服务费暂估</v>
      </c>
      <c r="CF117" s="418" t="str">
        <f t="shared" si="99"/>
        <v>2020年5月健适医疗科clife服务费暂估</v>
      </c>
    </row>
    <row r="118" spans="2:84" s="418" customFormat="1" ht="21.75" customHeight="1">
      <c r="B118" s="463" t="s">
        <v>1875</v>
      </c>
      <c r="C118" s="431" t="s">
        <v>208</v>
      </c>
      <c r="D118" s="463" t="s">
        <v>1875</v>
      </c>
      <c r="E118" s="490" t="s">
        <v>2256</v>
      </c>
      <c r="F118" s="457">
        <v>43959</v>
      </c>
      <c r="G118" s="474">
        <v>1505.66</v>
      </c>
      <c r="H118" s="421"/>
      <c r="I118" s="427"/>
      <c r="J118" s="421"/>
      <c r="L118" s="206"/>
      <c r="M118" s="206"/>
      <c r="O118" s="206"/>
      <c r="R118" s="206"/>
      <c r="U118" s="206"/>
      <c r="X118" s="206"/>
      <c r="AA118" s="206"/>
      <c r="AD118" s="206"/>
      <c r="AG118" s="206"/>
      <c r="AJ118" s="206"/>
      <c r="AM118" s="206"/>
      <c r="AP118" s="206"/>
      <c r="AS118" s="206"/>
      <c r="AV118" s="501"/>
      <c r="AX118" s="206"/>
      <c r="AY118" s="206"/>
      <c r="BB118" s="206">
        <f t="shared" si="101"/>
        <v>1505.66</v>
      </c>
      <c r="BE118" s="206">
        <f t="shared" si="65"/>
        <v>1505.66</v>
      </c>
      <c r="BF118" s="418" t="s">
        <v>2265</v>
      </c>
      <c r="BH118" s="206">
        <f t="shared" si="66"/>
        <v>1505.66</v>
      </c>
      <c r="BI118" s="418" t="s">
        <v>2311</v>
      </c>
      <c r="BK118" s="206">
        <f t="shared" si="67"/>
        <v>1505.66</v>
      </c>
      <c r="BL118" s="418" t="s">
        <v>2340</v>
      </c>
      <c r="BN118" s="206">
        <f t="shared" si="68"/>
        <v>1505.66</v>
      </c>
      <c r="BO118" s="418" t="s">
        <v>2367</v>
      </c>
      <c r="BQ118" s="206">
        <f t="shared" si="69"/>
        <v>1505.66</v>
      </c>
      <c r="BT118" s="206">
        <f t="shared" si="70"/>
        <v>1505.66</v>
      </c>
      <c r="BU118" s="418" t="s">
        <v>2405</v>
      </c>
      <c r="BW118" s="206">
        <f t="shared" si="71"/>
        <v>1505.66</v>
      </c>
      <c r="BZ118" s="206">
        <f t="shared" si="72"/>
        <v>1505.66</v>
      </c>
      <c r="CC118" s="418" t="str">
        <f t="shared" si="96"/>
        <v>CU1745001</v>
      </c>
      <c r="CD118" s="442" t="str">
        <f t="shared" si="97"/>
        <v>2020年5月</v>
      </c>
      <c r="CE118" s="418" t="str">
        <f t="shared" si="98"/>
        <v>格林机床（clife服务费暂估</v>
      </c>
      <c r="CF118" s="418" t="str">
        <f t="shared" si="99"/>
        <v>2020年5月格林机床（clife服务费暂估</v>
      </c>
    </row>
    <row r="119" spans="2:84" s="418" customFormat="1" ht="21.75" customHeight="1">
      <c r="B119" s="463" t="s">
        <v>2220</v>
      </c>
      <c r="C119" s="431" t="s">
        <v>208</v>
      </c>
      <c r="D119" s="463" t="s">
        <v>2220</v>
      </c>
      <c r="E119" s="490" t="s">
        <v>2221</v>
      </c>
      <c r="F119" s="457">
        <v>43960</v>
      </c>
      <c r="G119" s="474">
        <v>459.1</v>
      </c>
      <c r="H119" s="421"/>
      <c r="I119" s="427"/>
      <c r="J119" s="421"/>
      <c r="L119" s="206"/>
      <c r="M119" s="206"/>
      <c r="O119" s="206"/>
      <c r="R119" s="206"/>
      <c r="U119" s="206"/>
      <c r="X119" s="206"/>
      <c r="AA119" s="206"/>
      <c r="AD119" s="206"/>
      <c r="AG119" s="206"/>
      <c r="AJ119" s="206"/>
      <c r="AM119" s="206"/>
      <c r="AP119" s="206"/>
      <c r="AS119" s="206"/>
      <c r="AV119" s="501"/>
      <c r="AX119" s="206"/>
      <c r="AY119" s="206"/>
      <c r="BB119" s="206">
        <f t="shared" si="101"/>
        <v>459.1</v>
      </c>
      <c r="BE119" s="206">
        <f t="shared" si="65"/>
        <v>459.1</v>
      </c>
      <c r="BF119" s="418" t="s">
        <v>2265</v>
      </c>
      <c r="BH119" s="206">
        <f t="shared" si="66"/>
        <v>459.1</v>
      </c>
      <c r="BI119" s="418" t="s">
        <v>2311</v>
      </c>
      <c r="BK119" s="206">
        <f t="shared" si="67"/>
        <v>459.1</v>
      </c>
      <c r="BL119" s="418" t="s">
        <v>2340</v>
      </c>
      <c r="BN119" s="206">
        <f t="shared" si="68"/>
        <v>459.1</v>
      </c>
      <c r="BO119" s="418" t="s">
        <v>2367</v>
      </c>
      <c r="BQ119" s="206">
        <f t="shared" si="69"/>
        <v>459.1</v>
      </c>
      <c r="BT119" s="206">
        <f t="shared" si="70"/>
        <v>459.1</v>
      </c>
      <c r="BU119" s="418" t="s">
        <v>2405</v>
      </c>
      <c r="BW119" s="206">
        <f t="shared" si="71"/>
        <v>459.1</v>
      </c>
      <c r="BZ119" s="206">
        <f t="shared" si="72"/>
        <v>459.1</v>
      </c>
      <c r="CC119" s="418" t="str">
        <f t="shared" si="96"/>
        <v>CU1858001</v>
      </c>
      <c r="CD119" s="442" t="str">
        <f t="shared" si="97"/>
        <v>2020年5月</v>
      </c>
      <c r="CE119" s="418" t="str">
        <f t="shared" si="98"/>
        <v>东海岸(上clife服务费暂估</v>
      </c>
      <c r="CF119" s="418" t="str">
        <f t="shared" si="99"/>
        <v>2020年5月东海岸(上clife服务费暂估</v>
      </c>
    </row>
    <row r="120" spans="2:84" s="418" customFormat="1" ht="21.75" customHeight="1">
      <c r="B120" s="539" t="s">
        <v>1607</v>
      </c>
      <c r="C120" s="431" t="s">
        <v>208</v>
      </c>
      <c r="D120" s="539" t="s">
        <v>1607</v>
      </c>
      <c r="E120" s="487" t="s">
        <v>13</v>
      </c>
      <c r="F120" s="537">
        <v>43983</v>
      </c>
      <c r="G120" s="538">
        <v>195217.53</v>
      </c>
      <c r="H120" s="421"/>
      <c r="I120" s="427"/>
      <c r="J120" s="421"/>
      <c r="L120" s="206"/>
      <c r="M120" s="206"/>
      <c r="O120" s="206"/>
      <c r="R120" s="206"/>
      <c r="U120" s="206"/>
      <c r="X120" s="206"/>
      <c r="AA120" s="206"/>
      <c r="AD120" s="206"/>
      <c r="AG120" s="206"/>
      <c r="AJ120" s="206"/>
      <c r="AM120" s="206"/>
      <c r="AP120" s="206"/>
      <c r="AS120" s="206"/>
      <c r="AV120" s="501"/>
      <c r="AX120" s="206"/>
      <c r="AY120" s="206"/>
      <c r="BB120" s="206"/>
      <c r="BE120" s="206">
        <f>G120</f>
        <v>195217.53</v>
      </c>
      <c r="BH120" s="206">
        <f t="shared" si="66"/>
        <v>195217.53</v>
      </c>
      <c r="BJ120" s="206">
        <f>ROUND(555202.3/1.06,2)-54622.3-BJ104-BJ111</f>
        <v>109172.04999999999</v>
      </c>
      <c r="BK120" s="206">
        <f t="shared" si="67"/>
        <v>86045.48000000001</v>
      </c>
      <c r="BL120" s="418" t="s">
        <v>2340</v>
      </c>
      <c r="BM120" s="418">
        <f>15000+59000</f>
        <v>74000</v>
      </c>
      <c r="BN120" s="206">
        <f t="shared" si="68"/>
        <v>12045.48000000001</v>
      </c>
      <c r="BO120" s="418" t="s">
        <v>2367</v>
      </c>
      <c r="BQ120" s="206">
        <f t="shared" si="69"/>
        <v>12045.48</v>
      </c>
      <c r="BS120" s="206">
        <f>BQ120</f>
        <v>12045.48</v>
      </c>
      <c r="BT120" s="206">
        <f t="shared" si="70"/>
        <v>0</v>
      </c>
      <c r="BW120" s="206">
        <f t="shared" si="71"/>
        <v>0</v>
      </c>
      <c r="BZ120" s="206">
        <f t="shared" si="72"/>
        <v>0</v>
      </c>
      <c r="CC120" s="418" t="str">
        <f t="shared" si="96"/>
        <v>CU0207001</v>
      </c>
      <c r="CD120" s="442" t="str">
        <f t="shared" si="97"/>
        <v>2020年6月</v>
      </c>
      <c r="CE120" s="418" t="str">
        <f t="shared" si="98"/>
        <v>达信（中国clife服务费暂估</v>
      </c>
      <c r="CF120" s="418" t="str">
        <f t="shared" si="99"/>
        <v>2020年6月达信（中国clife服务费暂估</v>
      </c>
    </row>
    <row r="121" spans="2:84" s="418" customFormat="1" ht="21.75" customHeight="1">
      <c r="B121" s="539" t="s">
        <v>1608</v>
      </c>
      <c r="C121" s="431" t="s">
        <v>208</v>
      </c>
      <c r="D121" s="539" t="s">
        <v>1608</v>
      </c>
      <c r="E121" s="487" t="s">
        <v>229</v>
      </c>
      <c r="F121" s="537">
        <v>43984</v>
      </c>
      <c r="G121" s="538">
        <v>78395.11</v>
      </c>
      <c r="H121" s="421"/>
      <c r="I121" s="427"/>
      <c r="J121" s="421"/>
      <c r="L121" s="206"/>
      <c r="M121" s="206"/>
      <c r="O121" s="206"/>
      <c r="R121" s="206"/>
      <c r="U121" s="206"/>
      <c r="X121" s="206"/>
      <c r="AA121" s="206"/>
      <c r="AD121" s="206"/>
      <c r="AG121" s="206"/>
      <c r="AJ121" s="206"/>
      <c r="AM121" s="206"/>
      <c r="AP121" s="206"/>
      <c r="AS121" s="206"/>
      <c r="AV121" s="501"/>
      <c r="AX121" s="206"/>
      <c r="AY121" s="206"/>
      <c r="BB121" s="206"/>
      <c r="BE121" s="206">
        <f t="shared" ref="BE121:BE127" si="102">G121</f>
        <v>78395.11</v>
      </c>
      <c r="BH121" s="206">
        <f t="shared" si="66"/>
        <v>78395.11</v>
      </c>
      <c r="BJ121" s="206">
        <f>357106.12-BJ66-BJ70-BJ76-BJ81-BJ85-BJ86-BJ94-BJ105-BJ112</f>
        <v>13704.040188679239</v>
      </c>
      <c r="BK121" s="206">
        <f t="shared" si="67"/>
        <v>64691.069811320762</v>
      </c>
      <c r="BL121" s="418" t="s">
        <v>2340</v>
      </c>
      <c r="BN121" s="206">
        <f t="shared" si="68"/>
        <v>64691.069811320762</v>
      </c>
      <c r="BO121" s="418" t="s">
        <v>2367</v>
      </c>
      <c r="BQ121" s="206">
        <f t="shared" si="69"/>
        <v>64691.07</v>
      </c>
      <c r="BS121" s="418">
        <f>ROUND((25556.6+14198.12)/1.06,2)+27186.62</f>
        <v>64691.069999999992</v>
      </c>
      <c r="BT121" s="206">
        <f t="shared" si="70"/>
        <v>0</v>
      </c>
      <c r="BW121" s="206">
        <f t="shared" si="71"/>
        <v>0</v>
      </c>
      <c r="BZ121" s="206">
        <f t="shared" si="72"/>
        <v>0</v>
      </c>
      <c r="CC121" s="418" t="str">
        <f t="shared" si="96"/>
        <v>CU0669001</v>
      </c>
      <c r="CD121" s="442" t="str">
        <f t="shared" si="97"/>
        <v>2020年6月</v>
      </c>
      <c r="CE121" s="418" t="str">
        <f t="shared" si="98"/>
        <v>北京博禹国clife服务费暂估</v>
      </c>
      <c r="CF121" s="418" t="str">
        <f t="shared" si="99"/>
        <v>2020年6月北京博禹国clife服务费暂估</v>
      </c>
    </row>
    <row r="122" spans="2:84" s="418" customFormat="1" ht="21.75" customHeight="1">
      <c r="B122" s="539" t="s">
        <v>1609</v>
      </c>
      <c r="C122" s="431" t="s">
        <v>208</v>
      </c>
      <c r="D122" s="539" t="s">
        <v>1609</v>
      </c>
      <c r="E122" s="487" t="s">
        <v>948</v>
      </c>
      <c r="F122" s="537">
        <v>43985</v>
      </c>
      <c r="G122" s="538">
        <v>18588.91</v>
      </c>
      <c r="H122" s="421"/>
      <c r="I122" s="427"/>
      <c r="J122" s="421"/>
      <c r="L122" s="206"/>
      <c r="M122" s="206"/>
      <c r="O122" s="206"/>
      <c r="R122" s="206"/>
      <c r="U122" s="206"/>
      <c r="X122" s="206"/>
      <c r="AA122" s="206"/>
      <c r="AD122" s="206"/>
      <c r="AG122" s="206"/>
      <c r="AJ122" s="206"/>
      <c r="AM122" s="206"/>
      <c r="AP122" s="206"/>
      <c r="AS122" s="206"/>
      <c r="AV122" s="501"/>
      <c r="AX122" s="206"/>
      <c r="AY122" s="206"/>
      <c r="BB122" s="206"/>
      <c r="BE122" s="206">
        <f t="shared" si="102"/>
        <v>18588.91</v>
      </c>
      <c r="BH122" s="206">
        <f t="shared" si="66"/>
        <v>18588.91</v>
      </c>
      <c r="BK122" s="206">
        <f t="shared" si="67"/>
        <v>18588.91</v>
      </c>
      <c r="BL122" s="418" t="s">
        <v>2340</v>
      </c>
      <c r="BN122" s="206">
        <f t="shared" si="68"/>
        <v>18588.91</v>
      </c>
      <c r="BO122" s="418" t="s">
        <v>2367</v>
      </c>
      <c r="BQ122" s="206">
        <f t="shared" si="69"/>
        <v>18588.91</v>
      </c>
      <c r="BT122" s="206">
        <f t="shared" si="70"/>
        <v>18588.91</v>
      </c>
      <c r="BU122" s="418" t="s">
        <v>2405</v>
      </c>
      <c r="BW122" s="206">
        <f t="shared" si="71"/>
        <v>18588.91</v>
      </c>
      <c r="BZ122" s="206">
        <f t="shared" si="72"/>
        <v>18588.91</v>
      </c>
      <c r="CC122" s="418" t="str">
        <f t="shared" si="96"/>
        <v>CU0898001</v>
      </c>
      <c r="CD122" s="442" t="str">
        <f t="shared" si="97"/>
        <v>2020年6月</v>
      </c>
      <c r="CE122" s="418" t="str">
        <f t="shared" si="98"/>
        <v>凯易讯网络clife服务费暂估</v>
      </c>
      <c r="CF122" s="418" t="str">
        <f t="shared" si="99"/>
        <v>2020年6月凯易讯网络clife服务费暂估</v>
      </c>
    </row>
    <row r="123" spans="2:84" s="418" customFormat="1" ht="21.75" customHeight="1">
      <c r="B123" s="539" t="s">
        <v>2145</v>
      </c>
      <c r="C123" s="431" t="s">
        <v>208</v>
      </c>
      <c r="D123" s="539" t="s">
        <v>2145</v>
      </c>
      <c r="E123" s="487" t="s">
        <v>2290</v>
      </c>
      <c r="F123" s="537">
        <v>43986</v>
      </c>
      <c r="G123" s="538">
        <v>19141.14</v>
      </c>
      <c r="H123" s="421"/>
      <c r="I123" s="427"/>
      <c r="J123" s="421"/>
      <c r="L123" s="206"/>
      <c r="M123" s="206"/>
      <c r="O123" s="206"/>
      <c r="R123" s="206"/>
      <c r="U123" s="206"/>
      <c r="X123" s="206"/>
      <c r="AA123" s="206"/>
      <c r="AD123" s="206"/>
      <c r="AG123" s="206"/>
      <c r="AJ123" s="206"/>
      <c r="AM123" s="206"/>
      <c r="AP123" s="206"/>
      <c r="AS123" s="206"/>
      <c r="AV123" s="501"/>
      <c r="AX123" s="206"/>
      <c r="AY123" s="206"/>
      <c r="BB123" s="206"/>
      <c r="BE123" s="206">
        <f t="shared" si="102"/>
        <v>19141.14</v>
      </c>
      <c r="BH123" s="206">
        <f t="shared" si="66"/>
        <v>19141.14</v>
      </c>
      <c r="BI123" s="418" t="s">
        <v>2312</v>
      </c>
      <c r="BK123" s="206">
        <f t="shared" si="67"/>
        <v>19141.14</v>
      </c>
      <c r="BL123" s="418" t="s">
        <v>2340</v>
      </c>
      <c r="BN123" s="206">
        <f t="shared" si="68"/>
        <v>19141.14</v>
      </c>
      <c r="BO123" s="418" t="s">
        <v>2367</v>
      </c>
      <c r="BQ123" s="206">
        <f t="shared" si="69"/>
        <v>19141.14</v>
      </c>
      <c r="BT123" s="206">
        <f t="shared" si="70"/>
        <v>19141.14</v>
      </c>
      <c r="BU123" s="418" t="s">
        <v>2405</v>
      </c>
      <c r="BW123" s="206">
        <f t="shared" si="71"/>
        <v>19141.14</v>
      </c>
      <c r="BZ123" s="206">
        <f t="shared" si="72"/>
        <v>19141.14</v>
      </c>
      <c r="CC123" s="418" t="str">
        <f t="shared" si="96"/>
        <v>CU0990001</v>
      </c>
      <c r="CD123" s="442" t="str">
        <f t="shared" si="97"/>
        <v>2020年6月</v>
      </c>
      <c r="CE123" s="418" t="str">
        <f t="shared" si="98"/>
        <v>依工玳纳特clife服务费暂估</v>
      </c>
      <c r="CF123" s="418" t="str">
        <f t="shared" si="99"/>
        <v>2020年6月依工玳纳特clife服务费暂估</v>
      </c>
    </row>
    <row r="124" spans="2:84" s="418" customFormat="1" ht="21.75" customHeight="1">
      <c r="B124" s="539" t="s">
        <v>1632</v>
      </c>
      <c r="C124" s="431" t="s">
        <v>208</v>
      </c>
      <c r="D124" s="539" t="s">
        <v>1632</v>
      </c>
      <c r="E124" s="487" t="s">
        <v>1631</v>
      </c>
      <c r="F124" s="537">
        <v>43987</v>
      </c>
      <c r="G124" s="538">
        <v>16387.310000000001</v>
      </c>
      <c r="H124" s="421"/>
      <c r="I124" s="427"/>
      <c r="J124" s="421"/>
      <c r="L124" s="206"/>
      <c r="M124" s="206"/>
      <c r="O124" s="206"/>
      <c r="R124" s="206"/>
      <c r="U124" s="206"/>
      <c r="X124" s="206"/>
      <c r="AA124" s="206"/>
      <c r="AD124" s="206"/>
      <c r="AG124" s="206"/>
      <c r="AJ124" s="206"/>
      <c r="AM124" s="206"/>
      <c r="AP124" s="206"/>
      <c r="AS124" s="206"/>
      <c r="AV124" s="501"/>
      <c r="AX124" s="206"/>
      <c r="AY124" s="206"/>
      <c r="BB124" s="206"/>
      <c r="BE124" s="206">
        <f t="shared" si="102"/>
        <v>16387.310000000001</v>
      </c>
      <c r="BH124" s="206">
        <f t="shared" si="66"/>
        <v>16387.310000000001</v>
      </c>
      <c r="BI124" s="418" t="s">
        <v>2312</v>
      </c>
      <c r="BK124" s="206">
        <f t="shared" si="67"/>
        <v>16387.310000000001</v>
      </c>
      <c r="BL124" s="418" t="s">
        <v>2340</v>
      </c>
      <c r="BN124" s="206">
        <f t="shared" si="68"/>
        <v>16387.310000000001</v>
      </c>
      <c r="BO124" s="418" t="s">
        <v>2367</v>
      </c>
      <c r="BQ124" s="206">
        <f t="shared" si="69"/>
        <v>16387.310000000001</v>
      </c>
      <c r="BT124" s="206">
        <f t="shared" si="70"/>
        <v>16387.310000000001</v>
      </c>
      <c r="BU124" s="418" t="s">
        <v>2405</v>
      </c>
      <c r="BW124" s="206">
        <f t="shared" si="71"/>
        <v>16387.310000000001</v>
      </c>
      <c r="BZ124" s="206">
        <f t="shared" si="72"/>
        <v>16387.310000000001</v>
      </c>
      <c r="CC124" s="418" t="str">
        <f t="shared" si="96"/>
        <v>CU1163001</v>
      </c>
      <c r="CD124" s="442" t="str">
        <f t="shared" si="97"/>
        <v>2020年6月</v>
      </c>
      <c r="CE124" s="418" t="str">
        <f t="shared" si="98"/>
        <v>泰利福医疗clife服务费暂估</v>
      </c>
      <c r="CF124" s="418" t="str">
        <f t="shared" si="99"/>
        <v>2020年6月泰利福医疗clife服务费暂估</v>
      </c>
    </row>
    <row r="125" spans="2:84" s="418" customFormat="1" ht="21.75" customHeight="1">
      <c r="B125" s="493" t="s">
        <v>1674</v>
      </c>
      <c r="C125" s="431" t="s">
        <v>208</v>
      </c>
      <c r="D125" s="493" t="s">
        <v>1674</v>
      </c>
      <c r="E125" s="539" t="s">
        <v>1610</v>
      </c>
      <c r="F125" s="537">
        <v>43988</v>
      </c>
      <c r="G125" s="538">
        <v>640173.22</v>
      </c>
      <c r="H125" s="421"/>
      <c r="I125" s="427"/>
      <c r="J125" s="421"/>
      <c r="L125" s="206"/>
      <c r="M125" s="206"/>
      <c r="O125" s="206"/>
      <c r="R125" s="206"/>
      <c r="U125" s="206"/>
      <c r="X125" s="206"/>
      <c r="AA125" s="206"/>
      <c r="AD125" s="206"/>
      <c r="AG125" s="206"/>
      <c r="AJ125" s="206"/>
      <c r="AM125" s="206"/>
      <c r="AP125" s="206"/>
      <c r="AS125" s="206"/>
      <c r="AV125" s="501"/>
      <c r="AX125" s="206"/>
      <c r="AY125" s="206"/>
      <c r="BB125" s="206"/>
      <c r="BE125" s="206">
        <f t="shared" si="102"/>
        <v>640173.22</v>
      </c>
      <c r="BH125" s="206">
        <f t="shared" si="66"/>
        <v>640173.22</v>
      </c>
      <c r="BI125" s="418" t="s">
        <v>2312</v>
      </c>
      <c r="BK125" s="206">
        <f t="shared" si="67"/>
        <v>640173.22</v>
      </c>
      <c r="BL125" s="418" t="s">
        <v>2340</v>
      </c>
      <c r="BN125" s="206">
        <f t="shared" si="68"/>
        <v>640173.22</v>
      </c>
      <c r="BO125" s="418" t="s">
        <v>2367</v>
      </c>
      <c r="BQ125" s="206">
        <f t="shared" si="69"/>
        <v>640173.22</v>
      </c>
      <c r="BT125" s="206">
        <f t="shared" si="70"/>
        <v>640173.22</v>
      </c>
      <c r="BU125" s="418" t="s">
        <v>2405</v>
      </c>
      <c r="BW125" s="206">
        <f t="shared" si="71"/>
        <v>640173.22</v>
      </c>
      <c r="BY125" s="418">
        <f>ROUND(213000/1.06,2)-177056.43</f>
        <v>23886.97</v>
      </c>
      <c r="BZ125" s="206">
        <f t="shared" si="72"/>
        <v>616286.25</v>
      </c>
      <c r="CC125" s="418" t="str">
        <f t="shared" si="96"/>
        <v>CU1230001</v>
      </c>
      <c r="CD125" s="442" t="str">
        <f t="shared" si="97"/>
        <v>2020年6月</v>
      </c>
      <c r="CE125" s="418" t="str">
        <f t="shared" si="98"/>
        <v>汉庭星空（clife服务费暂估</v>
      </c>
      <c r="CF125" s="418" t="str">
        <f t="shared" si="99"/>
        <v>2020年6月汉庭星空（clife服务费暂估</v>
      </c>
    </row>
    <row r="126" spans="2:84" s="418" customFormat="1" ht="21.75" customHeight="1">
      <c r="B126" s="493" t="s">
        <v>1875</v>
      </c>
      <c r="C126" s="431" t="s">
        <v>208</v>
      </c>
      <c r="D126" s="493" t="s">
        <v>1875</v>
      </c>
      <c r="E126" s="539" t="s">
        <v>2211</v>
      </c>
      <c r="F126" s="537">
        <v>43989</v>
      </c>
      <c r="G126" s="538">
        <v>107.55</v>
      </c>
      <c r="H126" s="421"/>
      <c r="I126" s="427"/>
      <c r="J126" s="421"/>
      <c r="L126" s="206"/>
      <c r="M126" s="206"/>
      <c r="O126" s="206"/>
      <c r="R126" s="206"/>
      <c r="U126" s="206"/>
      <c r="X126" s="206"/>
      <c r="AA126" s="206"/>
      <c r="AD126" s="206"/>
      <c r="AG126" s="206"/>
      <c r="AJ126" s="206"/>
      <c r="AM126" s="206"/>
      <c r="AP126" s="206"/>
      <c r="AS126" s="206"/>
      <c r="AV126" s="501"/>
      <c r="AX126" s="206"/>
      <c r="AY126" s="206"/>
      <c r="BB126" s="206"/>
      <c r="BE126" s="206">
        <f t="shared" si="102"/>
        <v>107.55</v>
      </c>
      <c r="BH126" s="206">
        <f t="shared" si="66"/>
        <v>107.55</v>
      </c>
      <c r="BI126" s="418" t="s">
        <v>2312</v>
      </c>
      <c r="BK126" s="206">
        <f t="shared" si="67"/>
        <v>107.55</v>
      </c>
      <c r="BL126" s="418" t="s">
        <v>2340</v>
      </c>
      <c r="BN126" s="206">
        <f t="shared" si="68"/>
        <v>107.55</v>
      </c>
      <c r="BO126" s="418" t="s">
        <v>2367</v>
      </c>
      <c r="BQ126" s="206">
        <f t="shared" si="69"/>
        <v>107.55</v>
      </c>
      <c r="BT126" s="206">
        <f t="shared" si="70"/>
        <v>107.55</v>
      </c>
      <c r="BU126" s="418" t="s">
        <v>2405</v>
      </c>
      <c r="BW126" s="206">
        <f t="shared" si="71"/>
        <v>107.55</v>
      </c>
      <c r="BZ126" s="206">
        <f t="shared" si="72"/>
        <v>107.55</v>
      </c>
      <c r="CC126" s="418" t="str">
        <f t="shared" si="96"/>
        <v>CU1745001</v>
      </c>
      <c r="CD126" s="442" t="str">
        <f t="shared" si="97"/>
        <v>2020年6月</v>
      </c>
      <c r="CE126" s="418" t="str">
        <f t="shared" si="98"/>
        <v>格林机床（clife服务费暂估</v>
      </c>
      <c r="CF126" s="418" t="str">
        <f t="shared" si="99"/>
        <v>2020年6月格林机床（clife服务费暂估</v>
      </c>
    </row>
    <row r="127" spans="2:84" s="418" customFormat="1" ht="21.75" customHeight="1">
      <c r="B127" s="493" t="s">
        <v>2220</v>
      </c>
      <c r="C127" s="431" t="s">
        <v>208</v>
      </c>
      <c r="D127" s="493" t="s">
        <v>2220</v>
      </c>
      <c r="E127" s="539" t="s">
        <v>2221</v>
      </c>
      <c r="F127" s="537">
        <v>43990</v>
      </c>
      <c r="G127" s="538">
        <v>573.88</v>
      </c>
      <c r="H127" s="421"/>
      <c r="I127" s="427"/>
      <c r="J127" s="421"/>
      <c r="L127" s="206"/>
      <c r="M127" s="206"/>
      <c r="O127" s="206"/>
      <c r="R127" s="206"/>
      <c r="U127" s="206"/>
      <c r="X127" s="206"/>
      <c r="AA127" s="206"/>
      <c r="AD127" s="206"/>
      <c r="AG127" s="206"/>
      <c r="AJ127" s="206"/>
      <c r="AM127" s="206"/>
      <c r="AP127" s="206"/>
      <c r="AS127" s="206"/>
      <c r="AV127" s="501"/>
      <c r="AX127" s="206"/>
      <c r="AY127" s="206"/>
      <c r="BB127" s="206"/>
      <c r="BE127" s="206">
        <f t="shared" si="102"/>
        <v>573.88</v>
      </c>
      <c r="BH127" s="206">
        <f t="shared" si="66"/>
        <v>573.88</v>
      </c>
      <c r="BI127" s="418" t="s">
        <v>2312</v>
      </c>
      <c r="BK127" s="206">
        <f t="shared" si="67"/>
        <v>573.88</v>
      </c>
      <c r="BL127" s="418" t="s">
        <v>2340</v>
      </c>
      <c r="BN127" s="206">
        <f t="shared" si="68"/>
        <v>573.88</v>
      </c>
      <c r="BO127" s="418" t="s">
        <v>2367</v>
      </c>
      <c r="BQ127" s="206">
        <f t="shared" si="69"/>
        <v>573.88</v>
      </c>
      <c r="BT127" s="206">
        <f t="shared" si="70"/>
        <v>573.88</v>
      </c>
      <c r="BU127" s="418" t="s">
        <v>2405</v>
      </c>
      <c r="BW127" s="206">
        <f t="shared" si="71"/>
        <v>573.88</v>
      </c>
      <c r="BZ127" s="206">
        <f t="shared" si="72"/>
        <v>573.88</v>
      </c>
      <c r="CC127" s="418" t="str">
        <f t="shared" si="96"/>
        <v>CU1858001</v>
      </c>
      <c r="CD127" s="442" t="str">
        <f t="shared" si="97"/>
        <v>2020年6月</v>
      </c>
      <c r="CE127" s="418" t="str">
        <f t="shared" si="98"/>
        <v>东海岸(上clife服务费暂估</v>
      </c>
      <c r="CF127" s="418" t="str">
        <f t="shared" si="99"/>
        <v>2020年6月东海岸(上clife服务费暂估</v>
      </c>
    </row>
    <row r="128" spans="2:84" s="418" customFormat="1" ht="21.75" customHeight="1">
      <c r="B128" s="493" t="str">
        <f>D128</f>
        <v>CU0207</v>
      </c>
      <c r="C128" s="431" t="s">
        <v>208</v>
      </c>
      <c r="D128" s="493" t="s">
        <v>1607</v>
      </c>
      <c r="E128" s="539" t="s">
        <v>13</v>
      </c>
      <c r="F128" s="537">
        <v>44013</v>
      </c>
      <c r="G128" s="538">
        <v>197462.43</v>
      </c>
      <c r="H128" s="421"/>
      <c r="I128" s="427"/>
      <c r="J128" s="421"/>
      <c r="L128" s="206"/>
      <c r="M128" s="206"/>
      <c r="O128" s="206"/>
      <c r="R128" s="206"/>
      <c r="U128" s="206"/>
      <c r="X128" s="206"/>
      <c r="AA128" s="206"/>
      <c r="AD128" s="206"/>
      <c r="AG128" s="206"/>
      <c r="AJ128" s="206"/>
      <c r="AM128" s="206"/>
      <c r="AP128" s="206"/>
      <c r="AS128" s="206"/>
      <c r="AV128" s="501"/>
      <c r="AX128" s="206"/>
      <c r="AY128" s="206"/>
      <c r="BB128" s="206"/>
      <c r="BE128" s="206">
        <f>G128</f>
        <v>197462.43</v>
      </c>
      <c r="BH128" s="206">
        <f t="shared" si="66"/>
        <v>197462.43</v>
      </c>
      <c r="BK128" s="206">
        <f t="shared" si="67"/>
        <v>197462.43</v>
      </c>
      <c r="BL128" s="418" t="s">
        <v>2340</v>
      </c>
      <c r="BN128" s="206">
        <f t="shared" si="68"/>
        <v>197462.43</v>
      </c>
      <c r="BO128" s="418" t="s">
        <v>2367</v>
      </c>
      <c r="BQ128" s="206">
        <f t="shared" si="69"/>
        <v>197462.43</v>
      </c>
      <c r="BS128" s="418">
        <f>102000-BS120</f>
        <v>89954.52</v>
      </c>
      <c r="BT128" s="206">
        <f t="shared" si="70"/>
        <v>107507.91</v>
      </c>
      <c r="BU128" s="418" t="s">
        <v>2405</v>
      </c>
      <c r="BW128" s="206">
        <f t="shared" si="71"/>
        <v>107507.91</v>
      </c>
      <c r="BZ128" s="206">
        <f t="shared" si="72"/>
        <v>107507.91</v>
      </c>
      <c r="CC128" s="418" t="str">
        <f t="shared" ref="CC128" si="103">B128&amp;$B$1</f>
        <v>CU0207001</v>
      </c>
      <c r="CD128" s="442" t="str">
        <f t="shared" ref="CD128" si="104">YEAR(F128)&amp;"年"&amp;MONTH(F128)&amp;"月"</f>
        <v>2020年7月</v>
      </c>
      <c r="CE128" s="418" t="str">
        <f t="shared" ref="CE128" si="105">LEFT(E128,5)&amp;$E$1</f>
        <v>达信（中国clife服务费暂估</v>
      </c>
      <c r="CF128" s="418" t="str">
        <f t="shared" ref="CF128" si="106">CD128&amp;CE128</f>
        <v>2020年7月达信（中国clife服务费暂估</v>
      </c>
    </row>
    <row r="129" spans="2:84" s="418" customFormat="1" ht="21.75" customHeight="1">
      <c r="B129" s="493" t="str">
        <f t="shared" ref="B129:B142" si="107">D129</f>
        <v>CU0669</v>
      </c>
      <c r="C129" s="431" t="s">
        <v>208</v>
      </c>
      <c r="D129" s="493" t="s">
        <v>1608</v>
      </c>
      <c r="E129" s="539" t="s">
        <v>229</v>
      </c>
      <c r="F129" s="537">
        <v>44013</v>
      </c>
      <c r="G129" s="538">
        <v>48216.362300000001</v>
      </c>
      <c r="H129" s="421"/>
      <c r="I129" s="427"/>
      <c r="J129" s="421"/>
      <c r="L129" s="206"/>
      <c r="M129" s="206"/>
      <c r="O129" s="206"/>
      <c r="R129" s="206"/>
      <c r="U129" s="206"/>
      <c r="X129" s="206"/>
      <c r="AA129" s="206"/>
      <c r="AD129" s="206"/>
      <c r="AG129" s="206"/>
      <c r="AJ129" s="206"/>
      <c r="AM129" s="206"/>
      <c r="AP129" s="206"/>
      <c r="AS129" s="206"/>
      <c r="AV129" s="501"/>
      <c r="AX129" s="206"/>
      <c r="AY129" s="206"/>
      <c r="BB129" s="206"/>
      <c r="BE129" s="206">
        <f t="shared" ref="BE129:BE135" si="108">G129</f>
        <v>48216.362300000001</v>
      </c>
      <c r="BH129" s="206">
        <f t="shared" si="66"/>
        <v>48216.362300000001</v>
      </c>
      <c r="BK129" s="206">
        <f t="shared" si="67"/>
        <v>48216.362300000001</v>
      </c>
      <c r="BL129" s="418" t="s">
        <v>2340</v>
      </c>
      <c r="BN129" s="206">
        <f t="shared" si="68"/>
        <v>48216.362300000001</v>
      </c>
      <c r="BO129" s="418" t="s">
        <v>2367</v>
      </c>
      <c r="BQ129" s="206">
        <f t="shared" si="69"/>
        <v>48216.36</v>
      </c>
      <c r="BS129" s="418">
        <f>ROUND(49757.29/1.06,2)-27186.62</f>
        <v>19754.219999999998</v>
      </c>
      <c r="BT129" s="206">
        <f t="shared" si="70"/>
        <v>28462.14</v>
      </c>
      <c r="BU129" s="418" t="s">
        <v>2405</v>
      </c>
      <c r="BW129" s="206">
        <f t="shared" si="71"/>
        <v>28462.14</v>
      </c>
      <c r="BZ129" s="206">
        <f t="shared" si="72"/>
        <v>28462.14</v>
      </c>
      <c r="CC129" s="418" t="str">
        <f t="shared" ref="CC129:CC135" si="109">B129&amp;$B$1</f>
        <v>CU0669001</v>
      </c>
      <c r="CD129" s="442" t="str">
        <f t="shared" ref="CD129:CD135" si="110">YEAR(F129)&amp;"年"&amp;MONTH(F129)&amp;"月"</f>
        <v>2020年7月</v>
      </c>
      <c r="CE129" s="418" t="str">
        <f t="shared" ref="CE129:CE135" si="111">LEFT(E129,5)&amp;$E$1</f>
        <v>北京博禹国clife服务费暂估</v>
      </c>
      <c r="CF129" s="418" t="str">
        <f t="shared" ref="CF129:CF135" si="112">CD129&amp;CE129</f>
        <v>2020年7月北京博禹国clife服务费暂估</v>
      </c>
    </row>
    <row r="130" spans="2:84" s="418" customFormat="1" ht="21.75" customHeight="1">
      <c r="B130" s="493" t="str">
        <f t="shared" si="107"/>
        <v>CU0898</v>
      </c>
      <c r="C130" s="431" t="s">
        <v>208</v>
      </c>
      <c r="D130" s="493" t="s">
        <v>1609</v>
      </c>
      <c r="E130" s="539" t="s">
        <v>948</v>
      </c>
      <c r="F130" s="537">
        <v>44013</v>
      </c>
      <c r="G130" s="538">
        <v>18588.91</v>
      </c>
      <c r="H130" s="421"/>
      <c r="I130" s="427"/>
      <c r="J130" s="421"/>
      <c r="L130" s="206"/>
      <c r="M130" s="206"/>
      <c r="O130" s="206"/>
      <c r="R130" s="206"/>
      <c r="U130" s="206"/>
      <c r="X130" s="206"/>
      <c r="AA130" s="206"/>
      <c r="AD130" s="206"/>
      <c r="AG130" s="206"/>
      <c r="AJ130" s="206"/>
      <c r="AM130" s="206"/>
      <c r="AP130" s="206"/>
      <c r="AS130" s="206"/>
      <c r="AV130" s="501"/>
      <c r="AX130" s="206"/>
      <c r="AY130" s="206"/>
      <c r="BB130" s="206"/>
      <c r="BE130" s="206">
        <f t="shared" si="108"/>
        <v>18588.91</v>
      </c>
      <c r="BH130" s="206">
        <f t="shared" si="66"/>
        <v>18588.91</v>
      </c>
      <c r="BK130" s="206">
        <f t="shared" si="67"/>
        <v>18588.91</v>
      </c>
      <c r="BL130" s="418" t="s">
        <v>2340</v>
      </c>
      <c r="BN130" s="206">
        <f t="shared" si="68"/>
        <v>18588.91</v>
      </c>
      <c r="BO130" s="418" t="s">
        <v>2367</v>
      </c>
      <c r="BQ130" s="206">
        <f t="shared" si="69"/>
        <v>18588.91</v>
      </c>
      <c r="BT130" s="206">
        <f t="shared" si="70"/>
        <v>18588.91</v>
      </c>
      <c r="BU130" s="418" t="s">
        <v>2405</v>
      </c>
      <c r="BW130" s="206">
        <f t="shared" si="71"/>
        <v>18588.91</v>
      </c>
      <c r="BZ130" s="206">
        <f t="shared" si="72"/>
        <v>18588.91</v>
      </c>
      <c r="CC130" s="418" t="str">
        <f t="shared" si="109"/>
        <v>CU0898001</v>
      </c>
      <c r="CD130" s="442" t="str">
        <f t="shared" si="110"/>
        <v>2020年7月</v>
      </c>
      <c r="CE130" s="418" t="str">
        <f t="shared" si="111"/>
        <v>凯易讯网络clife服务费暂估</v>
      </c>
      <c r="CF130" s="418" t="str">
        <f t="shared" si="112"/>
        <v>2020年7月凯易讯网络clife服务费暂估</v>
      </c>
    </row>
    <row r="131" spans="2:84" s="418" customFormat="1" ht="21.75" customHeight="1">
      <c r="B131" s="493" t="str">
        <f t="shared" si="107"/>
        <v>CU1163</v>
      </c>
      <c r="C131" s="431" t="s">
        <v>208</v>
      </c>
      <c r="D131" s="493" t="s">
        <v>1632</v>
      </c>
      <c r="E131" s="539" t="s">
        <v>1631</v>
      </c>
      <c r="F131" s="537">
        <v>44013</v>
      </c>
      <c r="G131" s="538">
        <v>16852.87</v>
      </c>
      <c r="H131" s="421"/>
      <c r="I131" s="427"/>
      <c r="J131" s="421"/>
      <c r="L131" s="206"/>
      <c r="M131" s="206"/>
      <c r="O131" s="206"/>
      <c r="R131" s="206"/>
      <c r="U131" s="206"/>
      <c r="X131" s="206"/>
      <c r="AA131" s="206"/>
      <c r="AD131" s="206"/>
      <c r="AG131" s="206"/>
      <c r="AJ131" s="206"/>
      <c r="AM131" s="206"/>
      <c r="AP131" s="206"/>
      <c r="AS131" s="206"/>
      <c r="AV131" s="501"/>
      <c r="AX131" s="206"/>
      <c r="AY131" s="206"/>
      <c r="BB131" s="206"/>
      <c r="BE131" s="206">
        <f t="shared" si="108"/>
        <v>16852.87</v>
      </c>
      <c r="BH131" s="206">
        <f t="shared" si="66"/>
        <v>16852.87</v>
      </c>
      <c r="BK131" s="206">
        <f t="shared" si="67"/>
        <v>16852.87</v>
      </c>
      <c r="BL131" s="418" t="s">
        <v>2340</v>
      </c>
      <c r="BN131" s="206">
        <f t="shared" si="68"/>
        <v>16852.87</v>
      </c>
      <c r="BO131" s="418" t="s">
        <v>2367</v>
      </c>
      <c r="BQ131" s="206">
        <f t="shared" si="69"/>
        <v>16852.87</v>
      </c>
      <c r="BT131" s="206">
        <f t="shared" si="70"/>
        <v>16852.87</v>
      </c>
      <c r="BU131" s="418" t="s">
        <v>2405</v>
      </c>
      <c r="BW131" s="206">
        <f t="shared" si="71"/>
        <v>16852.87</v>
      </c>
      <c r="BZ131" s="206">
        <f t="shared" si="72"/>
        <v>16852.87</v>
      </c>
      <c r="CC131" s="418" t="str">
        <f t="shared" si="109"/>
        <v>CU1163001</v>
      </c>
      <c r="CD131" s="442" t="str">
        <f t="shared" si="110"/>
        <v>2020年7月</v>
      </c>
      <c r="CE131" s="418" t="str">
        <f t="shared" si="111"/>
        <v>泰利福医疗clife服务费暂估</v>
      </c>
      <c r="CF131" s="418" t="str">
        <f t="shared" si="112"/>
        <v>2020年7月泰利福医疗clife服务费暂估</v>
      </c>
    </row>
    <row r="132" spans="2:84" s="418" customFormat="1" ht="21.75" customHeight="1">
      <c r="B132" s="493" t="str">
        <f t="shared" si="107"/>
        <v>CU1745</v>
      </c>
      <c r="C132" s="431" t="s">
        <v>208</v>
      </c>
      <c r="D132" s="493" t="s">
        <v>1875</v>
      </c>
      <c r="E132" s="539" t="s">
        <v>2211</v>
      </c>
      <c r="F132" s="537">
        <v>44013</v>
      </c>
      <c r="G132" s="538">
        <v>6488.68</v>
      </c>
      <c r="H132" s="421"/>
      <c r="I132" s="427"/>
      <c r="J132" s="421"/>
      <c r="L132" s="206"/>
      <c r="M132" s="206"/>
      <c r="O132" s="206"/>
      <c r="R132" s="206"/>
      <c r="U132" s="206"/>
      <c r="X132" s="206"/>
      <c r="AA132" s="206"/>
      <c r="AD132" s="206"/>
      <c r="AG132" s="206"/>
      <c r="AJ132" s="206"/>
      <c r="AM132" s="206"/>
      <c r="AP132" s="206"/>
      <c r="AS132" s="206"/>
      <c r="AV132" s="501"/>
      <c r="AX132" s="206"/>
      <c r="AY132" s="206"/>
      <c r="BB132" s="206"/>
      <c r="BE132" s="206">
        <f t="shared" si="108"/>
        <v>6488.68</v>
      </c>
      <c r="BH132" s="206">
        <f t="shared" ref="BH132:BH135" si="113">BE132-BG132</f>
        <v>6488.68</v>
      </c>
      <c r="BK132" s="206">
        <f t="shared" ref="BK132:BK135" si="114">BH132-BJ132</f>
        <v>6488.68</v>
      </c>
      <c r="BL132" s="418" t="s">
        <v>2340</v>
      </c>
      <c r="BN132" s="206">
        <f t="shared" ref="BN132:BN135" si="115">BK132-BM132</f>
        <v>6488.68</v>
      </c>
      <c r="BO132" s="418" t="s">
        <v>2367</v>
      </c>
      <c r="BQ132" s="206">
        <f t="shared" ref="BQ132:BQ142" si="116">ROUND((BN132-BP132),2)</f>
        <v>6488.68</v>
      </c>
      <c r="BT132" s="206">
        <f t="shared" ref="BT132:BT154" si="117">ROUND((BQ132-BS132),2)</f>
        <v>6488.68</v>
      </c>
      <c r="BU132" s="418" t="s">
        <v>2405</v>
      </c>
      <c r="BW132" s="206">
        <f t="shared" ref="BW132:BW166" si="118">ROUND((BT132-BV132),2)</f>
        <v>6488.68</v>
      </c>
      <c r="BZ132" s="206">
        <f t="shared" ref="BZ132:BZ178" si="119">ROUND((BW132-BY132),2)</f>
        <v>6488.68</v>
      </c>
      <c r="CC132" s="418" t="str">
        <f t="shared" si="109"/>
        <v>CU1745001</v>
      </c>
      <c r="CD132" s="442" t="str">
        <f t="shared" si="110"/>
        <v>2020年7月</v>
      </c>
      <c r="CE132" s="418" t="str">
        <f t="shared" si="111"/>
        <v>格林机床（clife服务费暂估</v>
      </c>
      <c r="CF132" s="418" t="str">
        <f t="shared" si="112"/>
        <v>2020年7月格林机床（clife服务费暂估</v>
      </c>
    </row>
    <row r="133" spans="2:84" s="418" customFormat="1" ht="21.75" customHeight="1">
      <c r="B133" s="493" t="str">
        <f t="shared" si="107"/>
        <v>CU1854</v>
      </c>
      <c r="C133" s="431" t="s">
        <v>208</v>
      </c>
      <c r="D133" s="493" t="s">
        <v>2329</v>
      </c>
      <c r="E133" s="539" t="s">
        <v>2327</v>
      </c>
      <c r="F133" s="537">
        <v>44013</v>
      </c>
      <c r="G133" s="538">
        <v>9333.9599999999991</v>
      </c>
      <c r="H133" s="421"/>
      <c r="I133" s="427"/>
      <c r="J133" s="421"/>
      <c r="L133" s="206"/>
      <c r="M133" s="206"/>
      <c r="O133" s="206"/>
      <c r="R133" s="206"/>
      <c r="U133" s="206"/>
      <c r="X133" s="206"/>
      <c r="AA133" s="206"/>
      <c r="AD133" s="206"/>
      <c r="AG133" s="206"/>
      <c r="AJ133" s="206"/>
      <c r="AM133" s="206"/>
      <c r="AP133" s="206"/>
      <c r="AS133" s="206"/>
      <c r="AV133" s="501"/>
      <c r="AX133" s="206"/>
      <c r="AY133" s="206"/>
      <c r="BB133" s="206"/>
      <c r="BE133" s="206">
        <f t="shared" si="108"/>
        <v>9333.9599999999991</v>
      </c>
      <c r="BH133" s="206">
        <f t="shared" si="113"/>
        <v>9333.9599999999991</v>
      </c>
      <c r="BK133" s="206">
        <f t="shared" si="114"/>
        <v>9333.9599999999991</v>
      </c>
      <c r="BL133" s="418" t="s">
        <v>2340</v>
      </c>
      <c r="BN133" s="206">
        <f t="shared" si="115"/>
        <v>9333.9599999999991</v>
      </c>
      <c r="BO133" s="418" t="s">
        <v>2367</v>
      </c>
      <c r="BQ133" s="206">
        <f t="shared" si="116"/>
        <v>9333.9599999999991</v>
      </c>
      <c r="BT133" s="206">
        <f t="shared" si="117"/>
        <v>9333.9599999999991</v>
      </c>
      <c r="BU133" s="418" t="s">
        <v>2405</v>
      </c>
      <c r="BW133" s="206">
        <f t="shared" si="118"/>
        <v>9333.9599999999991</v>
      </c>
      <c r="BZ133" s="206">
        <f t="shared" si="119"/>
        <v>9333.9599999999991</v>
      </c>
      <c r="CC133" s="418" t="str">
        <f t="shared" si="109"/>
        <v>CU1854001</v>
      </c>
      <c r="CD133" s="442" t="str">
        <f t="shared" si="110"/>
        <v>2020年7月</v>
      </c>
      <c r="CE133" s="418" t="str">
        <f t="shared" si="111"/>
        <v>广汽菲亚特clife服务费暂估</v>
      </c>
      <c r="CF133" s="418" t="str">
        <f t="shared" si="112"/>
        <v>2020年7月广汽菲亚特clife服务费暂估</v>
      </c>
    </row>
    <row r="134" spans="2:84" s="418" customFormat="1" ht="21.75" customHeight="1">
      <c r="B134" s="493" t="str">
        <f t="shared" si="107"/>
        <v>CU1858</v>
      </c>
      <c r="C134" s="431" t="s">
        <v>208</v>
      </c>
      <c r="D134" s="493" t="s">
        <v>2220</v>
      </c>
      <c r="E134" s="539" t="s">
        <v>2221</v>
      </c>
      <c r="F134" s="537">
        <v>44013</v>
      </c>
      <c r="G134" s="538">
        <v>573.88</v>
      </c>
      <c r="H134" s="421"/>
      <c r="I134" s="427"/>
      <c r="J134" s="421"/>
      <c r="L134" s="206"/>
      <c r="M134" s="206"/>
      <c r="O134" s="206"/>
      <c r="R134" s="206"/>
      <c r="U134" s="206"/>
      <c r="X134" s="206"/>
      <c r="AA134" s="206"/>
      <c r="AD134" s="206"/>
      <c r="AG134" s="206"/>
      <c r="AJ134" s="206"/>
      <c r="AM134" s="206"/>
      <c r="AP134" s="206"/>
      <c r="AS134" s="206"/>
      <c r="AV134" s="501"/>
      <c r="AX134" s="206"/>
      <c r="AY134" s="206"/>
      <c r="BB134" s="206"/>
      <c r="BE134" s="206">
        <f t="shared" si="108"/>
        <v>573.88</v>
      </c>
      <c r="BH134" s="206">
        <f t="shared" si="113"/>
        <v>573.88</v>
      </c>
      <c r="BK134" s="206">
        <f t="shared" si="114"/>
        <v>573.88</v>
      </c>
      <c r="BL134" s="418" t="s">
        <v>2340</v>
      </c>
      <c r="BN134" s="206">
        <f t="shared" si="115"/>
        <v>573.88</v>
      </c>
      <c r="BO134" s="418" t="s">
        <v>2367</v>
      </c>
      <c r="BQ134" s="206">
        <f t="shared" si="116"/>
        <v>573.88</v>
      </c>
      <c r="BT134" s="206">
        <f t="shared" si="117"/>
        <v>573.88</v>
      </c>
      <c r="BU134" s="418" t="s">
        <v>2405</v>
      </c>
      <c r="BW134" s="206">
        <f t="shared" si="118"/>
        <v>573.88</v>
      </c>
      <c r="BZ134" s="206">
        <f t="shared" si="119"/>
        <v>573.88</v>
      </c>
      <c r="CC134" s="418" t="str">
        <f t="shared" si="109"/>
        <v>CU1858001</v>
      </c>
      <c r="CD134" s="442" t="str">
        <f t="shared" si="110"/>
        <v>2020年7月</v>
      </c>
      <c r="CE134" s="418" t="str">
        <f t="shared" si="111"/>
        <v>东海岸(上clife服务费暂估</v>
      </c>
      <c r="CF134" s="418" t="str">
        <f t="shared" si="112"/>
        <v>2020年7月东海岸(上clife服务费暂估</v>
      </c>
    </row>
    <row r="135" spans="2:84" s="418" customFormat="1" ht="21.75" customHeight="1">
      <c r="B135" s="493" t="str">
        <f t="shared" si="107"/>
        <v>CU1910</v>
      </c>
      <c r="C135" s="431" t="s">
        <v>208</v>
      </c>
      <c r="D135" s="493" t="s">
        <v>2330</v>
      </c>
      <c r="E135" s="539" t="s">
        <v>2328</v>
      </c>
      <c r="F135" s="537">
        <v>44013</v>
      </c>
      <c r="G135" s="538">
        <v>181200</v>
      </c>
      <c r="H135" s="421"/>
      <c r="I135" s="427"/>
      <c r="J135" s="421"/>
      <c r="L135" s="206"/>
      <c r="M135" s="206"/>
      <c r="O135" s="206"/>
      <c r="R135" s="206"/>
      <c r="U135" s="206"/>
      <c r="X135" s="206"/>
      <c r="AA135" s="206"/>
      <c r="AD135" s="206"/>
      <c r="AG135" s="206"/>
      <c r="AJ135" s="206"/>
      <c r="AM135" s="206"/>
      <c r="AP135" s="206"/>
      <c r="AS135" s="206"/>
      <c r="AV135" s="501"/>
      <c r="AX135" s="206"/>
      <c r="AY135" s="206"/>
      <c r="BB135" s="206"/>
      <c r="BE135" s="206">
        <f t="shared" si="108"/>
        <v>181200</v>
      </c>
      <c r="BH135" s="206">
        <f t="shared" si="113"/>
        <v>181200</v>
      </c>
      <c r="BK135" s="206">
        <f t="shared" si="114"/>
        <v>181200</v>
      </c>
      <c r="BL135" s="418" t="s">
        <v>2340</v>
      </c>
      <c r="BN135" s="206">
        <f t="shared" si="115"/>
        <v>181200</v>
      </c>
      <c r="BO135" s="418" t="s">
        <v>2367</v>
      </c>
      <c r="BP135" s="418">
        <v>100000</v>
      </c>
      <c r="BQ135" s="206">
        <f t="shared" si="116"/>
        <v>81200</v>
      </c>
      <c r="BT135" s="206">
        <f t="shared" si="117"/>
        <v>81200</v>
      </c>
      <c r="BU135" s="418" t="s">
        <v>2405</v>
      </c>
      <c r="BW135" s="206">
        <f t="shared" si="118"/>
        <v>81200</v>
      </c>
      <c r="BZ135" s="206">
        <f t="shared" si="119"/>
        <v>81200</v>
      </c>
      <c r="CC135" s="418" t="str">
        <f t="shared" si="109"/>
        <v>CU1910001</v>
      </c>
      <c r="CD135" s="442" t="str">
        <f t="shared" si="110"/>
        <v>2020年7月</v>
      </c>
      <c r="CE135" s="418" t="str">
        <f t="shared" si="111"/>
        <v>达索析统（clife服务费暂估</v>
      </c>
      <c r="CF135" s="418" t="str">
        <f t="shared" si="112"/>
        <v>2020年7月达索析统（clife服务费暂估</v>
      </c>
    </row>
    <row r="136" spans="2:84" s="418" customFormat="1" ht="21.75" customHeight="1">
      <c r="B136" s="493" t="str">
        <f t="shared" si="107"/>
        <v>CU0207</v>
      </c>
      <c r="C136" s="431" t="s">
        <v>208</v>
      </c>
      <c r="D136" s="493" t="s">
        <v>1607</v>
      </c>
      <c r="E136" s="539" t="s">
        <v>13</v>
      </c>
      <c r="F136" s="537">
        <v>44044</v>
      </c>
      <c r="G136" s="538">
        <v>218042.76</v>
      </c>
      <c r="H136" s="421"/>
      <c r="I136" s="427"/>
      <c r="J136" s="421"/>
      <c r="L136" s="206"/>
      <c r="M136" s="206"/>
      <c r="O136" s="206"/>
      <c r="R136" s="206"/>
      <c r="U136" s="206"/>
      <c r="X136" s="206"/>
      <c r="AA136" s="206"/>
      <c r="AD136" s="206"/>
      <c r="AG136" s="206"/>
      <c r="AJ136" s="206"/>
      <c r="AM136" s="206"/>
      <c r="AP136" s="206"/>
      <c r="AS136" s="206"/>
      <c r="AV136" s="501"/>
      <c r="AX136" s="206"/>
      <c r="AY136" s="206"/>
      <c r="BB136" s="206"/>
      <c r="BE136" s="206"/>
      <c r="BH136" s="206"/>
      <c r="BK136" s="206"/>
      <c r="BN136" s="206">
        <v>218042.76</v>
      </c>
      <c r="BO136" s="418" t="s">
        <v>2368</v>
      </c>
      <c r="BQ136" s="206">
        <f t="shared" si="116"/>
        <v>218042.76</v>
      </c>
      <c r="BT136" s="206">
        <f t="shared" si="117"/>
        <v>218042.76</v>
      </c>
      <c r="BU136" s="418" t="s">
        <v>2405</v>
      </c>
      <c r="BW136" s="206">
        <f t="shared" si="118"/>
        <v>218042.76</v>
      </c>
      <c r="BZ136" s="206">
        <f t="shared" si="119"/>
        <v>218042.76</v>
      </c>
      <c r="CC136" s="418" t="str">
        <f t="shared" ref="CC136:CC142" si="120">B136&amp;$B$1</f>
        <v>CU0207001</v>
      </c>
      <c r="CD136" s="442" t="str">
        <f t="shared" ref="CD136:CD142" si="121">YEAR(F136)&amp;"年"&amp;MONTH(F136)&amp;"月"</f>
        <v>2020年8月</v>
      </c>
      <c r="CE136" s="418" t="str">
        <f t="shared" ref="CE136:CE142" si="122">LEFT(E136,5)&amp;$E$1</f>
        <v>达信（中国clife服务费暂估</v>
      </c>
      <c r="CF136" s="418" t="str">
        <f t="shared" ref="CF136:CF142" si="123">CD136&amp;CE136</f>
        <v>2020年8月达信（中国clife服务费暂估</v>
      </c>
    </row>
    <row r="137" spans="2:84" s="418" customFormat="1" ht="21.75" customHeight="1">
      <c r="B137" s="493" t="str">
        <f t="shared" si="107"/>
        <v>CU0669</v>
      </c>
      <c r="C137" s="431" t="s">
        <v>208</v>
      </c>
      <c r="D137" s="493" t="s">
        <v>1608</v>
      </c>
      <c r="E137" s="539" t="s">
        <v>229</v>
      </c>
      <c r="F137" s="537">
        <v>44044</v>
      </c>
      <c r="G137" s="538">
        <v>57192.4</v>
      </c>
      <c r="H137" s="421"/>
      <c r="I137" s="427"/>
      <c r="J137" s="421"/>
      <c r="L137" s="206"/>
      <c r="M137" s="206"/>
      <c r="O137" s="206"/>
      <c r="R137" s="206"/>
      <c r="U137" s="206"/>
      <c r="X137" s="206"/>
      <c r="AA137" s="206"/>
      <c r="AD137" s="206"/>
      <c r="AG137" s="206"/>
      <c r="AJ137" s="206"/>
      <c r="AM137" s="206"/>
      <c r="AP137" s="206"/>
      <c r="AS137" s="206"/>
      <c r="AV137" s="501"/>
      <c r="AX137" s="206"/>
      <c r="AY137" s="206"/>
      <c r="BB137" s="206"/>
      <c r="BE137" s="206"/>
      <c r="BH137" s="206"/>
      <c r="BK137" s="206"/>
      <c r="BN137" s="206">
        <v>57192.4</v>
      </c>
      <c r="BO137" s="418" t="s">
        <v>2368</v>
      </c>
      <c r="BQ137" s="206">
        <f t="shared" si="116"/>
        <v>57192.4</v>
      </c>
      <c r="BT137" s="206">
        <f t="shared" si="117"/>
        <v>57192.4</v>
      </c>
      <c r="BU137" s="418" t="s">
        <v>2405</v>
      </c>
      <c r="BW137" s="206">
        <f t="shared" si="118"/>
        <v>57192.4</v>
      </c>
      <c r="BZ137" s="206">
        <f t="shared" si="119"/>
        <v>57192.4</v>
      </c>
      <c r="CC137" s="418" t="str">
        <f t="shared" si="120"/>
        <v>CU0669001</v>
      </c>
      <c r="CD137" s="442" t="str">
        <f t="shared" si="121"/>
        <v>2020年8月</v>
      </c>
      <c r="CE137" s="418" t="str">
        <f t="shared" si="122"/>
        <v>北京博禹国clife服务费暂估</v>
      </c>
      <c r="CF137" s="418" t="str">
        <f t="shared" si="123"/>
        <v>2020年8月北京博禹国clife服务费暂估</v>
      </c>
    </row>
    <row r="138" spans="2:84" s="418" customFormat="1" ht="21.75" customHeight="1">
      <c r="B138" s="493" t="str">
        <f t="shared" si="107"/>
        <v>CU0898</v>
      </c>
      <c r="C138" s="431" t="s">
        <v>208</v>
      </c>
      <c r="D138" s="493" t="s">
        <v>1609</v>
      </c>
      <c r="E138" s="539" t="s">
        <v>948</v>
      </c>
      <c r="F138" s="537">
        <v>44044</v>
      </c>
      <c r="G138" s="538">
        <v>18385.79</v>
      </c>
      <c r="H138" s="421"/>
      <c r="I138" s="427"/>
      <c r="J138" s="421"/>
      <c r="L138" s="206"/>
      <c r="M138" s="206"/>
      <c r="O138" s="206"/>
      <c r="R138" s="206"/>
      <c r="U138" s="206"/>
      <c r="X138" s="206"/>
      <c r="AA138" s="206"/>
      <c r="AD138" s="206"/>
      <c r="AG138" s="206"/>
      <c r="AJ138" s="206"/>
      <c r="AM138" s="206"/>
      <c r="AP138" s="206"/>
      <c r="AS138" s="206"/>
      <c r="AV138" s="501"/>
      <c r="AX138" s="206"/>
      <c r="AY138" s="206"/>
      <c r="BB138" s="206"/>
      <c r="BE138" s="206"/>
      <c r="BH138" s="206"/>
      <c r="BK138" s="206"/>
      <c r="BN138" s="206">
        <v>18385.79</v>
      </c>
      <c r="BO138" s="418" t="s">
        <v>2368</v>
      </c>
      <c r="BQ138" s="206">
        <f t="shared" si="116"/>
        <v>18385.79</v>
      </c>
      <c r="BT138" s="206">
        <f t="shared" si="117"/>
        <v>18385.79</v>
      </c>
      <c r="BU138" s="418" t="s">
        <v>2405</v>
      </c>
      <c r="BW138" s="206">
        <f t="shared" si="118"/>
        <v>18385.79</v>
      </c>
      <c r="BZ138" s="206">
        <f t="shared" si="119"/>
        <v>18385.79</v>
      </c>
      <c r="CC138" s="418" t="str">
        <f t="shared" si="120"/>
        <v>CU0898001</v>
      </c>
      <c r="CD138" s="442" t="str">
        <f t="shared" si="121"/>
        <v>2020年8月</v>
      </c>
      <c r="CE138" s="418" t="str">
        <f t="shared" si="122"/>
        <v>凯易讯网络clife服务费暂估</v>
      </c>
      <c r="CF138" s="418" t="str">
        <f t="shared" si="123"/>
        <v>2020年8月凯易讯网络clife服务费暂估</v>
      </c>
    </row>
    <row r="139" spans="2:84" s="418" customFormat="1" ht="21.75" customHeight="1">
      <c r="B139" s="493" t="str">
        <f t="shared" si="107"/>
        <v>CU1163</v>
      </c>
      <c r="C139" s="431" t="s">
        <v>208</v>
      </c>
      <c r="D139" s="493" t="s">
        <v>1632</v>
      </c>
      <c r="E139" s="539" t="s">
        <v>1631</v>
      </c>
      <c r="F139" s="537">
        <v>44044</v>
      </c>
      <c r="G139" s="538">
        <v>16767.189999999999</v>
      </c>
      <c r="H139" s="421"/>
      <c r="I139" s="427"/>
      <c r="J139" s="421"/>
      <c r="L139" s="206"/>
      <c r="M139" s="206"/>
      <c r="O139" s="206"/>
      <c r="R139" s="206"/>
      <c r="U139" s="206"/>
      <c r="X139" s="206"/>
      <c r="AA139" s="206"/>
      <c r="AD139" s="206"/>
      <c r="AG139" s="206"/>
      <c r="AJ139" s="206"/>
      <c r="AM139" s="206"/>
      <c r="AP139" s="206"/>
      <c r="AS139" s="206"/>
      <c r="AV139" s="501"/>
      <c r="AX139" s="206"/>
      <c r="AY139" s="206"/>
      <c r="BB139" s="206"/>
      <c r="BE139" s="206"/>
      <c r="BH139" s="206"/>
      <c r="BK139" s="206"/>
      <c r="BN139" s="206">
        <v>16767.189999999999</v>
      </c>
      <c r="BO139" s="418" t="s">
        <v>2368</v>
      </c>
      <c r="BQ139" s="206">
        <f t="shared" si="116"/>
        <v>16767.189999999999</v>
      </c>
      <c r="BT139" s="206">
        <f t="shared" si="117"/>
        <v>16767.189999999999</v>
      </c>
      <c r="BU139" s="418" t="s">
        <v>2405</v>
      </c>
      <c r="BW139" s="206">
        <f t="shared" si="118"/>
        <v>16767.189999999999</v>
      </c>
      <c r="BZ139" s="206">
        <f t="shared" si="119"/>
        <v>16767.189999999999</v>
      </c>
      <c r="CC139" s="418" t="str">
        <f t="shared" si="120"/>
        <v>CU1163001</v>
      </c>
      <c r="CD139" s="442" t="str">
        <f t="shared" si="121"/>
        <v>2020年8月</v>
      </c>
      <c r="CE139" s="418" t="str">
        <f t="shared" si="122"/>
        <v>泰利福医疗clife服务费暂估</v>
      </c>
      <c r="CF139" s="418" t="str">
        <f t="shared" si="123"/>
        <v>2020年8月泰利福医疗clife服务费暂估</v>
      </c>
    </row>
    <row r="140" spans="2:84" s="418" customFormat="1" ht="21.75" customHeight="1">
      <c r="B140" s="493" t="str">
        <f t="shared" si="107"/>
        <v>CU1745</v>
      </c>
      <c r="C140" s="431" t="s">
        <v>208</v>
      </c>
      <c r="D140" s="493" t="s">
        <v>1875</v>
      </c>
      <c r="E140" s="539" t="s">
        <v>2211</v>
      </c>
      <c r="F140" s="537">
        <v>44044</v>
      </c>
      <c r="G140" s="538">
        <v>317.54000000000002</v>
      </c>
      <c r="H140" s="421"/>
      <c r="I140" s="427"/>
      <c r="J140" s="421"/>
      <c r="L140" s="206"/>
      <c r="M140" s="206"/>
      <c r="O140" s="206"/>
      <c r="R140" s="206"/>
      <c r="U140" s="206"/>
      <c r="X140" s="206"/>
      <c r="AA140" s="206"/>
      <c r="AD140" s="206"/>
      <c r="AG140" s="206"/>
      <c r="AJ140" s="206"/>
      <c r="AM140" s="206"/>
      <c r="AP140" s="206"/>
      <c r="AS140" s="206"/>
      <c r="AV140" s="501"/>
      <c r="AX140" s="206"/>
      <c r="AY140" s="206"/>
      <c r="BB140" s="206"/>
      <c r="BE140" s="206"/>
      <c r="BH140" s="206"/>
      <c r="BK140" s="206"/>
      <c r="BN140" s="206">
        <v>317.54000000000002</v>
      </c>
      <c r="BO140" s="418" t="s">
        <v>2368</v>
      </c>
      <c r="BQ140" s="206">
        <f t="shared" si="116"/>
        <v>317.54000000000002</v>
      </c>
      <c r="BT140" s="206">
        <f t="shared" si="117"/>
        <v>317.54000000000002</v>
      </c>
      <c r="BU140" s="418" t="s">
        <v>2405</v>
      </c>
      <c r="BW140" s="206">
        <f t="shared" si="118"/>
        <v>317.54000000000002</v>
      </c>
      <c r="BZ140" s="206">
        <f t="shared" si="119"/>
        <v>317.54000000000002</v>
      </c>
      <c r="CC140" s="418" t="str">
        <f t="shared" si="120"/>
        <v>CU1745001</v>
      </c>
      <c r="CD140" s="442" t="str">
        <f t="shared" si="121"/>
        <v>2020年8月</v>
      </c>
      <c r="CE140" s="418" t="str">
        <f t="shared" si="122"/>
        <v>格林机床（clife服务费暂估</v>
      </c>
      <c r="CF140" s="418" t="str">
        <f t="shared" si="123"/>
        <v>2020年8月格林机床（clife服务费暂估</v>
      </c>
    </row>
    <row r="141" spans="2:84" s="418" customFormat="1" ht="21.75" customHeight="1">
      <c r="B141" s="493" t="str">
        <f t="shared" si="107"/>
        <v>CU1858</v>
      </c>
      <c r="C141" s="431" t="s">
        <v>208</v>
      </c>
      <c r="D141" s="493" t="s">
        <v>2220</v>
      </c>
      <c r="E141" s="539" t="s">
        <v>2221</v>
      </c>
      <c r="F141" s="537">
        <v>44044</v>
      </c>
      <c r="G141" s="538">
        <v>564.80999999999995</v>
      </c>
      <c r="H141" s="421"/>
      <c r="I141" s="427"/>
      <c r="J141" s="421"/>
      <c r="L141" s="206"/>
      <c r="M141" s="206"/>
      <c r="O141" s="206"/>
      <c r="R141" s="206"/>
      <c r="U141" s="206"/>
      <c r="X141" s="206"/>
      <c r="AA141" s="206"/>
      <c r="AD141" s="206"/>
      <c r="AG141" s="206"/>
      <c r="AJ141" s="206"/>
      <c r="AM141" s="206"/>
      <c r="AP141" s="206"/>
      <c r="AS141" s="206"/>
      <c r="AV141" s="501"/>
      <c r="AX141" s="206"/>
      <c r="AY141" s="206"/>
      <c r="BB141" s="206"/>
      <c r="BE141" s="206"/>
      <c r="BH141" s="206"/>
      <c r="BK141" s="206"/>
      <c r="BN141" s="206">
        <v>564.80999999999995</v>
      </c>
      <c r="BO141" s="418" t="s">
        <v>2368</v>
      </c>
      <c r="BQ141" s="206">
        <f t="shared" si="116"/>
        <v>564.80999999999995</v>
      </c>
      <c r="BT141" s="206">
        <f t="shared" si="117"/>
        <v>564.80999999999995</v>
      </c>
      <c r="BU141" s="418" t="s">
        <v>2405</v>
      </c>
      <c r="BW141" s="206">
        <f t="shared" si="118"/>
        <v>564.80999999999995</v>
      </c>
      <c r="BZ141" s="206">
        <f t="shared" si="119"/>
        <v>564.80999999999995</v>
      </c>
      <c r="CC141" s="418" t="str">
        <f t="shared" si="120"/>
        <v>CU1858001</v>
      </c>
      <c r="CD141" s="442" t="str">
        <f t="shared" si="121"/>
        <v>2020年8月</v>
      </c>
      <c r="CE141" s="418" t="str">
        <f t="shared" si="122"/>
        <v>东海岸(上clife服务费暂估</v>
      </c>
      <c r="CF141" s="418" t="str">
        <f t="shared" si="123"/>
        <v>2020年8月东海岸(上clife服务费暂估</v>
      </c>
    </row>
    <row r="142" spans="2:84" s="418" customFormat="1" ht="21.75" customHeight="1">
      <c r="B142" s="493" t="str">
        <f t="shared" si="107"/>
        <v>CU2014</v>
      </c>
      <c r="C142" s="431" t="s">
        <v>208</v>
      </c>
      <c r="D142" s="493" t="s">
        <v>2357</v>
      </c>
      <c r="E142" s="539" t="s">
        <v>2356</v>
      </c>
      <c r="F142" s="537">
        <v>44044</v>
      </c>
      <c r="G142" s="538">
        <v>2946.53</v>
      </c>
      <c r="H142" s="421"/>
      <c r="I142" s="427"/>
      <c r="J142" s="421"/>
      <c r="L142" s="206"/>
      <c r="M142" s="206"/>
      <c r="O142" s="206"/>
      <c r="R142" s="206"/>
      <c r="U142" s="206"/>
      <c r="X142" s="206"/>
      <c r="AA142" s="206"/>
      <c r="AD142" s="206"/>
      <c r="AG142" s="206"/>
      <c r="AJ142" s="206"/>
      <c r="AM142" s="206"/>
      <c r="AP142" s="206"/>
      <c r="AS142" s="206"/>
      <c r="AV142" s="501"/>
      <c r="AX142" s="206"/>
      <c r="AY142" s="206"/>
      <c r="BB142" s="206"/>
      <c r="BE142" s="206"/>
      <c r="BH142" s="206"/>
      <c r="BK142" s="206"/>
      <c r="BN142" s="206">
        <v>2946.53</v>
      </c>
      <c r="BO142" s="418" t="s">
        <v>2368</v>
      </c>
      <c r="BQ142" s="206">
        <f t="shared" si="116"/>
        <v>2946.53</v>
      </c>
      <c r="BT142" s="206">
        <f t="shared" si="117"/>
        <v>2946.53</v>
      </c>
      <c r="BU142" s="418" t="s">
        <v>2405</v>
      </c>
      <c r="BW142" s="206">
        <f t="shared" si="118"/>
        <v>2946.53</v>
      </c>
      <c r="BZ142" s="206">
        <f t="shared" si="119"/>
        <v>2946.53</v>
      </c>
      <c r="CC142" s="418" t="str">
        <f t="shared" si="120"/>
        <v>CU2014001</v>
      </c>
      <c r="CD142" s="442" t="str">
        <f t="shared" si="121"/>
        <v>2020年8月</v>
      </c>
      <c r="CE142" s="418" t="str">
        <f t="shared" si="122"/>
        <v>达信评（北clife服务费暂估</v>
      </c>
      <c r="CF142" s="418" t="str">
        <f t="shared" si="123"/>
        <v>2020年8月达信评（北clife服务费暂估</v>
      </c>
    </row>
    <row r="143" spans="2:84" s="418" customFormat="1" ht="21.75" customHeight="1">
      <c r="B143" s="493" t="str">
        <f t="shared" ref="B143:B183" si="124">D143</f>
        <v>CU0207</v>
      </c>
      <c r="C143" s="431" t="s">
        <v>208</v>
      </c>
      <c r="D143" s="493" t="s">
        <v>1607</v>
      </c>
      <c r="E143" s="539" t="s">
        <v>13</v>
      </c>
      <c r="F143" s="537">
        <v>44075</v>
      </c>
      <c r="G143" s="538">
        <v>238236.95</v>
      </c>
      <c r="H143" s="421"/>
      <c r="I143" s="427"/>
      <c r="J143" s="421"/>
      <c r="L143" s="206"/>
      <c r="M143" s="206"/>
      <c r="O143" s="206"/>
      <c r="R143" s="206"/>
      <c r="U143" s="206"/>
      <c r="X143" s="206"/>
      <c r="AA143" s="206"/>
      <c r="AD143" s="206"/>
      <c r="AG143" s="206"/>
      <c r="AJ143" s="206"/>
      <c r="AM143" s="206"/>
      <c r="AP143" s="206"/>
      <c r="AS143" s="206"/>
      <c r="AV143" s="501"/>
      <c r="AX143" s="206"/>
      <c r="AY143" s="206"/>
      <c r="BB143" s="206"/>
      <c r="BE143" s="206"/>
      <c r="BH143" s="206"/>
      <c r="BK143" s="206"/>
      <c r="BN143" s="206"/>
      <c r="BQ143" s="206">
        <f>G143</f>
        <v>238236.95</v>
      </c>
      <c r="BT143" s="206">
        <f t="shared" si="117"/>
        <v>238236.95</v>
      </c>
      <c r="BU143" s="418" t="s">
        <v>2405</v>
      </c>
      <c r="BW143" s="206">
        <f t="shared" si="118"/>
        <v>238236.95</v>
      </c>
      <c r="BZ143" s="206">
        <f t="shared" si="119"/>
        <v>238236.95</v>
      </c>
      <c r="CC143" s="418" t="str">
        <f t="shared" ref="CC143:CC155" si="125">B143&amp;$B$1</f>
        <v>CU0207001</v>
      </c>
      <c r="CD143" s="442" t="str">
        <f t="shared" ref="CD143:CD155" si="126">YEAR(F143)&amp;"年"&amp;MONTH(F143)&amp;"月"</f>
        <v>2020年9月</v>
      </c>
      <c r="CE143" s="418" t="str">
        <f t="shared" ref="CE143:CE155" si="127">LEFT(E143,5)&amp;$E$1</f>
        <v>达信（中国clife服务费暂估</v>
      </c>
      <c r="CF143" s="418" t="str">
        <f t="shared" ref="CF143:CF155" si="128">CD143&amp;CE143</f>
        <v>2020年9月达信（中国clife服务费暂估</v>
      </c>
    </row>
    <row r="144" spans="2:84" s="418" customFormat="1" ht="21.75" customHeight="1">
      <c r="B144" s="493" t="str">
        <f t="shared" si="124"/>
        <v>CU0669</v>
      </c>
      <c r="C144" s="431" t="s">
        <v>208</v>
      </c>
      <c r="D144" s="493" t="s">
        <v>1608</v>
      </c>
      <c r="E144" s="539" t="s">
        <v>229</v>
      </c>
      <c r="F144" s="537">
        <v>44075</v>
      </c>
      <c r="G144" s="538">
        <v>57884.18</v>
      </c>
      <c r="H144" s="421"/>
      <c r="I144" s="427"/>
      <c r="J144" s="421"/>
      <c r="L144" s="206"/>
      <c r="M144" s="206"/>
      <c r="O144" s="206"/>
      <c r="R144" s="206"/>
      <c r="U144" s="206"/>
      <c r="X144" s="206"/>
      <c r="AA144" s="206"/>
      <c r="AD144" s="206"/>
      <c r="AG144" s="206"/>
      <c r="AJ144" s="206"/>
      <c r="AM144" s="206"/>
      <c r="AP144" s="206"/>
      <c r="AS144" s="206"/>
      <c r="AV144" s="501"/>
      <c r="AX144" s="206"/>
      <c r="AY144" s="206"/>
      <c r="BB144" s="206"/>
      <c r="BE144" s="206"/>
      <c r="BH144" s="206"/>
      <c r="BK144" s="206"/>
      <c r="BN144" s="206"/>
      <c r="BQ144" s="206">
        <f t="shared" ref="BQ144:BQ154" si="129">G144</f>
        <v>57884.18</v>
      </c>
      <c r="BT144" s="206">
        <f t="shared" si="117"/>
        <v>57884.18</v>
      </c>
      <c r="BU144" s="418" t="s">
        <v>2405</v>
      </c>
      <c r="BW144" s="206">
        <f t="shared" si="118"/>
        <v>57884.18</v>
      </c>
      <c r="BZ144" s="206">
        <f t="shared" si="119"/>
        <v>57884.18</v>
      </c>
      <c r="CC144" s="418" t="str">
        <f t="shared" si="125"/>
        <v>CU0669001</v>
      </c>
      <c r="CD144" s="442" t="str">
        <f t="shared" si="126"/>
        <v>2020年9月</v>
      </c>
      <c r="CE144" s="418" t="str">
        <f t="shared" si="127"/>
        <v>北京博禹国clife服务费暂估</v>
      </c>
      <c r="CF144" s="418" t="str">
        <f t="shared" si="128"/>
        <v>2020年9月北京博禹国clife服务费暂估</v>
      </c>
    </row>
    <row r="145" spans="2:84" s="418" customFormat="1" ht="21.75" customHeight="1">
      <c r="B145" s="493" t="str">
        <f t="shared" si="124"/>
        <v>CU0898</v>
      </c>
      <c r="C145" s="431" t="s">
        <v>208</v>
      </c>
      <c r="D145" s="493" t="s">
        <v>1609</v>
      </c>
      <c r="E145" s="539" t="s">
        <v>948</v>
      </c>
      <c r="F145" s="537">
        <v>44075</v>
      </c>
      <c r="G145" s="538">
        <v>10833.49</v>
      </c>
      <c r="H145" s="421"/>
      <c r="I145" s="427"/>
      <c r="J145" s="421"/>
      <c r="L145" s="206"/>
      <c r="M145" s="206"/>
      <c r="O145" s="206"/>
      <c r="R145" s="206"/>
      <c r="U145" s="206"/>
      <c r="X145" s="206"/>
      <c r="AA145" s="206"/>
      <c r="AD145" s="206"/>
      <c r="AG145" s="206"/>
      <c r="AJ145" s="206"/>
      <c r="AM145" s="206"/>
      <c r="AP145" s="206"/>
      <c r="AS145" s="206"/>
      <c r="AV145" s="501"/>
      <c r="AX145" s="206"/>
      <c r="AY145" s="206"/>
      <c r="BB145" s="206"/>
      <c r="BE145" s="206"/>
      <c r="BH145" s="206"/>
      <c r="BK145" s="206"/>
      <c r="BN145" s="206"/>
      <c r="BQ145" s="206">
        <f t="shared" si="129"/>
        <v>10833.49</v>
      </c>
      <c r="BT145" s="206">
        <f t="shared" si="117"/>
        <v>10833.49</v>
      </c>
      <c r="BU145" s="418" t="s">
        <v>2405</v>
      </c>
      <c r="BW145" s="206">
        <f t="shared" si="118"/>
        <v>10833.49</v>
      </c>
      <c r="BZ145" s="206">
        <f t="shared" si="119"/>
        <v>10833.49</v>
      </c>
      <c r="CC145" s="418" t="str">
        <f t="shared" si="125"/>
        <v>CU0898001</v>
      </c>
      <c r="CD145" s="442" t="str">
        <f t="shared" si="126"/>
        <v>2020年9月</v>
      </c>
      <c r="CE145" s="418" t="str">
        <f t="shared" si="127"/>
        <v>凯易讯网络clife服务费暂估</v>
      </c>
      <c r="CF145" s="418" t="str">
        <f t="shared" si="128"/>
        <v>2020年9月凯易讯网络clife服务费暂估</v>
      </c>
    </row>
    <row r="146" spans="2:84" s="418" customFormat="1" ht="21.75" customHeight="1">
      <c r="B146" s="493" t="str">
        <f t="shared" si="124"/>
        <v>CU0990</v>
      </c>
      <c r="C146" s="431" t="s">
        <v>208</v>
      </c>
      <c r="D146" s="493" t="s">
        <v>2145</v>
      </c>
      <c r="E146" s="539" t="s">
        <v>2290</v>
      </c>
      <c r="F146" s="537">
        <v>44075</v>
      </c>
      <c r="G146" s="538">
        <v>9179.93</v>
      </c>
      <c r="H146" s="421"/>
      <c r="I146" s="427"/>
      <c r="J146" s="421"/>
      <c r="L146" s="206"/>
      <c r="M146" s="206"/>
      <c r="O146" s="206"/>
      <c r="R146" s="206"/>
      <c r="U146" s="206"/>
      <c r="X146" s="206"/>
      <c r="AA146" s="206"/>
      <c r="AD146" s="206"/>
      <c r="AG146" s="206"/>
      <c r="AJ146" s="206"/>
      <c r="AM146" s="206"/>
      <c r="AP146" s="206"/>
      <c r="AS146" s="206"/>
      <c r="AV146" s="501"/>
      <c r="AX146" s="206"/>
      <c r="AY146" s="206"/>
      <c r="BB146" s="206"/>
      <c r="BE146" s="206"/>
      <c r="BH146" s="206"/>
      <c r="BK146" s="206"/>
      <c r="BN146" s="206"/>
      <c r="BQ146" s="206">
        <f t="shared" si="129"/>
        <v>9179.93</v>
      </c>
      <c r="BT146" s="206">
        <f t="shared" si="117"/>
        <v>9179.93</v>
      </c>
      <c r="BU146" s="418" t="s">
        <v>2405</v>
      </c>
      <c r="BW146" s="206">
        <f t="shared" si="118"/>
        <v>9179.93</v>
      </c>
      <c r="BZ146" s="206">
        <f t="shared" si="119"/>
        <v>9179.93</v>
      </c>
      <c r="CC146" s="418" t="str">
        <f t="shared" si="125"/>
        <v>CU0990001</v>
      </c>
      <c r="CD146" s="442" t="str">
        <f t="shared" si="126"/>
        <v>2020年9月</v>
      </c>
      <c r="CE146" s="418" t="str">
        <f t="shared" si="127"/>
        <v>依工玳纳特clife服务费暂估</v>
      </c>
      <c r="CF146" s="418" t="str">
        <f t="shared" si="128"/>
        <v>2020年9月依工玳纳特clife服务费暂估</v>
      </c>
    </row>
    <row r="147" spans="2:84" s="418" customFormat="1" ht="21.75" customHeight="1">
      <c r="B147" s="493" t="str">
        <f t="shared" si="124"/>
        <v>CU1070</v>
      </c>
      <c r="C147" s="431" t="s">
        <v>208</v>
      </c>
      <c r="D147" s="493" t="s">
        <v>2393</v>
      </c>
      <c r="E147" s="539" t="s">
        <v>2392</v>
      </c>
      <c r="F147" s="537">
        <v>44075</v>
      </c>
      <c r="G147" s="538">
        <v>249668.51</v>
      </c>
      <c r="H147" s="421"/>
      <c r="I147" s="427"/>
      <c r="J147" s="421"/>
      <c r="L147" s="206"/>
      <c r="M147" s="206"/>
      <c r="O147" s="206"/>
      <c r="R147" s="206"/>
      <c r="U147" s="206"/>
      <c r="X147" s="206"/>
      <c r="AA147" s="206"/>
      <c r="AD147" s="206"/>
      <c r="AG147" s="206"/>
      <c r="AJ147" s="206"/>
      <c r="AM147" s="206"/>
      <c r="AP147" s="206"/>
      <c r="AS147" s="206"/>
      <c r="AV147" s="501"/>
      <c r="AX147" s="206"/>
      <c r="AY147" s="206"/>
      <c r="BB147" s="206"/>
      <c r="BE147" s="206"/>
      <c r="BH147" s="206"/>
      <c r="BK147" s="206"/>
      <c r="BN147" s="206"/>
      <c r="BQ147" s="206">
        <f t="shared" si="129"/>
        <v>249668.51</v>
      </c>
      <c r="BT147" s="206">
        <f t="shared" si="117"/>
        <v>249668.51</v>
      </c>
      <c r="BU147" s="418" t="s">
        <v>2405</v>
      </c>
      <c r="BW147" s="206">
        <f t="shared" si="118"/>
        <v>249668.51</v>
      </c>
      <c r="BZ147" s="206">
        <f t="shared" si="119"/>
        <v>249668.51</v>
      </c>
      <c r="CC147" s="418" t="str">
        <f t="shared" si="125"/>
        <v>CU1070001</v>
      </c>
      <c r="CD147" s="442" t="str">
        <f t="shared" si="126"/>
        <v>2020年9月</v>
      </c>
      <c r="CE147" s="418" t="str">
        <f t="shared" si="127"/>
        <v>上海依视路clife服务费暂估</v>
      </c>
      <c r="CF147" s="418" t="str">
        <f t="shared" si="128"/>
        <v>2020年9月上海依视路clife服务费暂估</v>
      </c>
    </row>
    <row r="148" spans="2:84" s="418" customFormat="1" ht="21.75" customHeight="1">
      <c r="B148" s="493" t="str">
        <f t="shared" si="124"/>
        <v>CU1163</v>
      </c>
      <c r="C148" s="431" t="s">
        <v>208</v>
      </c>
      <c r="D148" s="493" t="s">
        <v>1632</v>
      </c>
      <c r="E148" s="539" t="s">
        <v>1631</v>
      </c>
      <c r="F148" s="537">
        <v>44075</v>
      </c>
      <c r="G148" s="538">
        <v>16852.87</v>
      </c>
      <c r="H148" s="421"/>
      <c r="I148" s="427"/>
      <c r="J148" s="421"/>
      <c r="L148" s="206"/>
      <c r="M148" s="206"/>
      <c r="O148" s="206"/>
      <c r="R148" s="206"/>
      <c r="U148" s="206"/>
      <c r="X148" s="206"/>
      <c r="AA148" s="206"/>
      <c r="AD148" s="206"/>
      <c r="AG148" s="206"/>
      <c r="AJ148" s="206"/>
      <c r="AM148" s="206"/>
      <c r="AP148" s="206"/>
      <c r="AS148" s="206"/>
      <c r="AV148" s="501"/>
      <c r="AX148" s="206"/>
      <c r="AY148" s="206"/>
      <c r="BB148" s="206"/>
      <c r="BE148" s="206"/>
      <c r="BH148" s="206"/>
      <c r="BK148" s="206"/>
      <c r="BN148" s="206"/>
      <c r="BQ148" s="206">
        <f t="shared" si="129"/>
        <v>16852.87</v>
      </c>
      <c r="BT148" s="206">
        <f t="shared" si="117"/>
        <v>16852.87</v>
      </c>
      <c r="BU148" s="418" t="s">
        <v>2405</v>
      </c>
      <c r="BW148" s="206">
        <f t="shared" si="118"/>
        <v>16852.87</v>
      </c>
      <c r="BZ148" s="206">
        <f t="shared" si="119"/>
        <v>16852.87</v>
      </c>
      <c r="CC148" s="418" t="str">
        <f t="shared" si="125"/>
        <v>CU1163001</v>
      </c>
      <c r="CD148" s="442" t="str">
        <f t="shared" si="126"/>
        <v>2020年9月</v>
      </c>
      <c r="CE148" s="418" t="str">
        <f t="shared" si="127"/>
        <v>泰利福医疗clife服务费暂估</v>
      </c>
      <c r="CF148" s="418" t="str">
        <f t="shared" si="128"/>
        <v>2020年9月泰利福医疗clife服务费暂估</v>
      </c>
    </row>
    <row r="149" spans="2:84" s="418" customFormat="1" ht="21.75" customHeight="1">
      <c r="B149" s="493" t="str">
        <f t="shared" si="124"/>
        <v>CU1230</v>
      </c>
      <c r="C149" s="431" t="s">
        <v>208</v>
      </c>
      <c r="D149" s="493" t="s">
        <v>1674</v>
      </c>
      <c r="E149" s="539" t="s">
        <v>1610</v>
      </c>
      <c r="F149" s="537">
        <v>44075</v>
      </c>
      <c r="G149" s="538">
        <v>800085.92</v>
      </c>
      <c r="H149" s="421"/>
      <c r="I149" s="427"/>
      <c r="J149" s="421"/>
      <c r="L149" s="206"/>
      <c r="M149" s="206"/>
      <c r="O149" s="206"/>
      <c r="R149" s="206"/>
      <c r="U149" s="206"/>
      <c r="X149" s="206"/>
      <c r="AA149" s="206"/>
      <c r="AD149" s="206"/>
      <c r="AG149" s="206"/>
      <c r="AJ149" s="206"/>
      <c r="AM149" s="206"/>
      <c r="AP149" s="206"/>
      <c r="AS149" s="206"/>
      <c r="AV149" s="501"/>
      <c r="AX149" s="206"/>
      <c r="AY149" s="206"/>
      <c r="BB149" s="206"/>
      <c r="BE149" s="206"/>
      <c r="BH149" s="206"/>
      <c r="BK149" s="206"/>
      <c r="BN149" s="206"/>
      <c r="BQ149" s="206">
        <f t="shared" si="129"/>
        <v>800085.92</v>
      </c>
      <c r="BT149" s="206">
        <f t="shared" si="117"/>
        <v>800085.92</v>
      </c>
      <c r="BU149" s="418" t="s">
        <v>2405</v>
      </c>
      <c r="BW149" s="206">
        <f t="shared" si="118"/>
        <v>800085.92</v>
      </c>
      <c r="BZ149" s="206">
        <f t="shared" si="119"/>
        <v>800085.92</v>
      </c>
      <c r="CC149" s="418" t="str">
        <f t="shared" si="125"/>
        <v>CU1230001</v>
      </c>
      <c r="CD149" s="442" t="str">
        <f t="shared" si="126"/>
        <v>2020年9月</v>
      </c>
      <c r="CE149" s="418" t="str">
        <f t="shared" si="127"/>
        <v>汉庭星空（clife服务费暂估</v>
      </c>
      <c r="CF149" s="418" t="str">
        <f t="shared" si="128"/>
        <v>2020年9月汉庭星空（clife服务费暂估</v>
      </c>
    </row>
    <row r="150" spans="2:84" s="418" customFormat="1" ht="21.75" customHeight="1">
      <c r="B150" s="493" t="str">
        <f t="shared" si="124"/>
        <v>CU1610</v>
      </c>
      <c r="C150" s="431" t="s">
        <v>208</v>
      </c>
      <c r="D150" s="493" t="s">
        <v>2137</v>
      </c>
      <c r="E150" s="539" t="s">
        <v>2176</v>
      </c>
      <c r="F150" s="537">
        <v>44075</v>
      </c>
      <c r="G150" s="538">
        <v>86879.64</v>
      </c>
      <c r="H150" s="421"/>
      <c r="I150" s="427"/>
      <c r="J150" s="421"/>
      <c r="L150" s="206"/>
      <c r="M150" s="206"/>
      <c r="O150" s="206"/>
      <c r="R150" s="206"/>
      <c r="U150" s="206"/>
      <c r="X150" s="206"/>
      <c r="AA150" s="206"/>
      <c r="AD150" s="206"/>
      <c r="AG150" s="206"/>
      <c r="AJ150" s="206"/>
      <c r="AM150" s="206"/>
      <c r="AP150" s="206"/>
      <c r="AS150" s="206"/>
      <c r="AV150" s="501"/>
      <c r="AX150" s="206"/>
      <c r="AY150" s="206"/>
      <c r="BB150" s="206"/>
      <c r="BE150" s="206"/>
      <c r="BH150" s="206"/>
      <c r="BK150" s="206"/>
      <c r="BN150" s="206"/>
      <c r="BQ150" s="206">
        <f t="shared" si="129"/>
        <v>86879.64</v>
      </c>
      <c r="BS150" s="418">
        <f>ROUND((55878.5+8170)/1.06,2)</f>
        <v>60423.11</v>
      </c>
      <c r="BT150" s="206">
        <f t="shared" si="117"/>
        <v>26456.53</v>
      </c>
      <c r="BU150" s="418" t="s">
        <v>2405</v>
      </c>
      <c r="BV150" s="206">
        <f>BT150</f>
        <v>26456.53</v>
      </c>
      <c r="BW150" s="206">
        <f t="shared" si="118"/>
        <v>0</v>
      </c>
      <c r="BZ150" s="206">
        <f t="shared" si="119"/>
        <v>0</v>
      </c>
      <c r="CC150" s="418" t="str">
        <f t="shared" si="125"/>
        <v>CU1610001</v>
      </c>
      <c r="CD150" s="442" t="str">
        <f t="shared" si="126"/>
        <v>2020年9月</v>
      </c>
      <c r="CE150" s="418" t="str">
        <f t="shared" si="127"/>
        <v>健适医疗科clife服务费暂估</v>
      </c>
      <c r="CF150" s="418" t="str">
        <f t="shared" si="128"/>
        <v>2020年9月健适医疗科clife服务费暂估</v>
      </c>
    </row>
    <row r="151" spans="2:84" s="418" customFormat="1" ht="21.75" customHeight="1">
      <c r="B151" s="493" t="str">
        <f t="shared" si="124"/>
        <v>CU1745</v>
      </c>
      <c r="C151" s="431" t="s">
        <v>208</v>
      </c>
      <c r="D151" s="493" t="s">
        <v>1875</v>
      </c>
      <c r="E151" s="539" t="s">
        <v>2211</v>
      </c>
      <c r="F151" s="537">
        <v>44075</v>
      </c>
      <c r="G151" s="538">
        <v>6022.64</v>
      </c>
      <c r="H151" s="421"/>
      <c r="I151" s="427"/>
      <c r="J151" s="421"/>
      <c r="L151" s="206"/>
      <c r="M151" s="206"/>
      <c r="O151" s="206"/>
      <c r="R151" s="206"/>
      <c r="U151" s="206"/>
      <c r="X151" s="206"/>
      <c r="AA151" s="206"/>
      <c r="AD151" s="206"/>
      <c r="AG151" s="206"/>
      <c r="AJ151" s="206"/>
      <c r="AM151" s="206"/>
      <c r="AP151" s="206"/>
      <c r="AS151" s="206"/>
      <c r="AV151" s="501"/>
      <c r="AX151" s="206"/>
      <c r="AY151" s="206"/>
      <c r="BB151" s="206"/>
      <c r="BE151" s="206"/>
      <c r="BH151" s="206"/>
      <c r="BK151" s="206"/>
      <c r="BN151" s="206"/>
      <c r="BQ151" s="206">
        <f t="shared" si="129"/>
        <v>6022.64</v>
      </c>
      <c r="BT151" s="206">
        <f t="shared" si="117"/>
        <v>6022.64</v>
      </c>
      <c r="BU151" s="418" t="s">
        <v>2405</v>
      </c>
      <c r="BW151" s="206">
        <f t="shared" si="118"/>
        <v>6022.64</v>
      </c>
      <c r="BZ151" s="206">
        <f t="shared" si="119"/>
        <v>6022.64</v>
      </c>
      <c r="CC151" s="418" t="str">
        <f t="shared" si="125"/>
        <v>CU1745001</v>
      </c>
      <c r="CD151" s="442" t="str">
        <f t="shared" si="126"/>
        <v>2020年9月</v>
      </c>
      <c r="CE151" s="418" t="str">
        <f t="shared" si="127"/>
        <v>格林机床（clife服务费暂估</v>
      </c>
      <c r="CF151" s="418" t="str">
        <f t="shared" si="128"/>
        <v>2020年9月格林机床（clife服务费暂估</v>
      </c>
    </row>
    <row r="152" spans="2:84" s="418" customFormat="1" ht="21.75" customHeight="1">
      <c r="B152" s="493" t="str">
        <f t="shared" si="124"/>
        <v>CU1858</v>
      </c>
      <c r="C152" s="431" t="s">
        <v>208</v>
      </c>
      <c r="D152" s="493" t="s">
        <v>2220</v>
      </c>
      <c r="E152" s="539" t="s">
        <v>2221</v>
      </c>
      <c r="F152" s="537">
        <v>44075</v>
      </c>
      <c r="G152" s="538">
        <v>573.88</v>
      </c>
      <c r="H152" s="421"/>
      <c r="I152" s="427"/>
      <c r="J152" s="421"/>
      <c r="L152" s="206"/>
      <c r="M152" s="206"/>
      <c r="O152" s="206"/>
      <c r="R152" s="206"/>
      <c r="U152" s="206"/>
      <c r="X152" s="206"/>
      <c r="AA152" s="206"/>
      <c r="AD152" s="206"/>
      <c r="AG152" s="206"/>
      <c r="AJ152" s="206"/>
      <c r="AM152" s="206"/>
      <c r="AP152" s="206"/>
      <c r="AS152" s="206"/>
      <c r="AV152" s="501"/>
      <c r="AX152" s="206"/>
      <c r="AY152" s="206"/>
      <c r="BB152" s="206"/>
      <c r="BE152" s="206"/>
      <c r="BH152" s="206"/>
      <c r="BK152" s="206"/>
      <c r="BN152" s="206"/>
      <c r="BQ152" s="206">
        <f t="shared" si="129"/>
        <v>573.88</v>
      </c>
      <c r="BT152" s="206">
        <f t="shared" si="117"/>
        <v>573.88</v>
      </c>
      <c r="BU152" s="418" t="s">
        <v>2405</v>
      </c>
      <c r="BW152" s="206">
        <f t="shared" si="118"/>
        <v>573.88</v>
      </c>
      <c r="BZ152" s="206">
        <f t="shared" si="119"/>
        <v>573.88</v>
      </c>
      <c r="CC152" s="418" t="str">
        <f t="shared" si="125"/>
        <v>CU1858001</v>
      </c>
      <c r="CD152" s="442" t="str">
        <f t="shared" si="126"/>
        <v>2020年9月</v>
      </c>
      <c r="CE152" s="418" t="str">
        <f t="shared" si="127"/>
        <v>东海岸(上clife服务费暂估</v>
      </c>
      <c r="CF152" s="418" t="str">
        <f t="shared" si="128"/>
        <v>2020年9月东海岸(上clife服务费暂估</v>
      </c>
    </row>
    <row r="153" spans="2:84" s="418" customFormat="1" ht="21.75" customHeight="1">
      <c r="B153" s="493" t="str">
        <f t="shared" si="124"/>
        <v>CU1910</v>
      </c>
      <c r="C153" s="431" t="s">
        <v>208</v>
      </c>
      <c r="D153" s="493" t="s">
        <v>2330</v>
      </c>
      <c r="E153" s="539" t="s">
        <v>2328</v>
      </c>
      <c r="F153" s="537">
        <v>44075</v>
      </c>
      <c r="G153" s="538">
        <v>163704.45000000001</v>
      </c>
      <c r="H153" s="421"/>
      <c r="I153" s="427"/>
      <c r="J153" s="421"/>
      <c r="L153" s="206"/>
      <c r="M153" s="206"/>
      <c r="O153" s="206"/>
      <c r="R153" s="206"/>
      <c r="U153" s="206"/>
      <c r="X153" s="206"/>
      <c r="AA153" s="206"/>
      <c r="AD153" s="206"/>
      <c r="AG153" s="206"/>
      <c r="AJ153" s="206"/>
      <c r="AM153" s="206"/>
      <c r="AP153" s="206"/>
      <c r="AS153" s="206"/>
      <c r="AV153" s="501"/>
      <c r="AX153" s="206"/>
      <c r="AY153" s="206"/>
      <c r="BB153" s="206"/>
      <c r="BE153" s="206"/>
      <c r="BH153" s="206"/>
      <c r="BK153" s="206"/>
      <c r="BN153" s="206"/>
      <c r="BQ153" s="206">
        <f t="shared" si="129"/>
        <v>163704.45000000001</v>
      </c>
      <c r="BT153" s="206">
        <f t="shared" si="117"/>
        <v>163704.45000000001</v>
      </c>
      <c r="BU153" s="418" t="s">
        <v>2405</v>
      </c>
      <c r="BW153" s="206">
        <f t="shared" si="118"/>
        <v>163704.45000000001</v>
      </c>
      <c r="BZ153" s="206">
        <f t="shared" si="119"/>
        <v>163704.45000000001</v>
      </c>
      <c r="CC153" s="418" t="str">
        <f t="shared" si="125"/>
        <v>CU1910001</v>
      </c>
      <c r="CD153" s="442" t="str">
        <f t="shared" si="126"/>
        <v>2020年9月</v>
      </c>
      <c r="CE153" s="418" t="str">
        <f t="shared" si="127"/>
        <v>达索析统（clife服务费暂估</v>
      </c>
      <c r="CF153" s="418" t="str">
        <f t="shared" si="128"/>
        <v>2020年9月达索析统（clife服务费暂估</v>
      </c>
    </row>
    <row r="154" spans="2:84" s="418" customFormat="1" ht="21.75" customHeight="1">
      <c r="B154" s="493" t="str">
        <f t="shared" si="124"/>
        <v>CU2014</v>
      </c>
      <c r="C154" s="431" t="s">
        <v>208</v>
      </c>
      <c r="D154" s="493" t="s">
        <v>2357</v>
      </c>
      <c r="E154" s="539" t="s">
        <v>2356</v>
      </c>
      <c r="F154" s="537">
        <v>44075</v>
      </c>
      <c r="G154" s="538">
        <v>5048.87</v>
      </c>
      <c r="H154" s="421"/>
      <c r="I154" s="427"/>
      <c r="J154" s="421"/>
      <c r="L154" s="206"/>
      <c r="M154" s="206"/>
      <c r="O154" s="206"/>
      <c r="R154" s="206"/>
      <c r="U154" s="206"/>
      <c r="X154" s="206"/>
      <c r="AA154" s="206"/>
      <c r="AD154" s="206"/>
      <c r="AG154" s="206"/>
      <c r="AJ154" s="206"/>
      <c r="AM154" s="206"/>
      <c r="AP154" s="206"/>
      <c r="AS154" s="206"/>
      <c r="AV154" s="501"/>
      <c r="AX154" s="206"/>
      <c r="AY154" s="206"/>
      <c r="BB154" s="206"/>
      <c r="BE154" s="206"/>
      <c r="BH154" s="206"/>
      <c r="BK154" s="206"/>
      <c r="BN154" s="206"/>
      <c r="BQ154" s="206">
        <f t="shared" si="129"/>
        <v>5048.87</v>
      </c>
      <c r="BT154" s="206">
        <f t="shared" si="117"/>
        <v>5048.87</v>
      </c>
      <c r="BU154" s="418" t="s">
        <v>2405</v>
      </c>
      <c r="BW154" s="206">
        <f t="shared" si="118"/>
        <v>5048.87</v>
      </c>
      <c r="BZ154" s="206">
        <f t="shared" si="119"/>
        <v>5048.87</v>
      </c>
      <c r="CC154" s="418" t="str">
        <f t="shared" si="125"/>
        <v>CU2014001</v>
      </c>
      <c r="CD154" s="442" t="str">
        <f t="shared" si="126"/>
        <v>2020年9月</v>
      </c>
      <c r="CE154" s="418" t="str">
        <f t="shared" si="127"/>
        <v>达信评（北clife服务费暂估</v>
      </c>
      <c r="CF154" s="418" t="str">
        <f t="shared" si="128"/>
        <v>2020年9月达信评（北clife服务费暂估</v>
      </c>
    </row>
    <row r="155" spans="2:84" s="418" customFormat="1" ht="21.75" customHeight="1">
      <c r="B155" s="493" t="str">
        <f t="shared" si="124"/>
        <v>CU0207</v>
      </c>
      <c r="C155" s="431" t="s">
        <v>208</v>
      </c>
      <c r="D155" s="493" t="s">
        <v>1607</v>
      </c>
      <c r="E155" s="539" t="s">
        <v>13</v>
      </c>
      <c r="F155" s="537">
        <v>44105</v>
      </c>
      <c r="G155" s="538">
        <v>228754.35</v>
      </c>
      <c r="H155" s="421"/>
      <c r="I155" s="427"/>
      <c r="J155" s="421"/>
      <c r="L155" s="206"/>
      <c r="M155" s="206"/>
      <c r="O155" s="206"/>
      <c r="R155" s="206"/>
      <c r="U155" s="206"/>
      <c r="X155" s="206"/>
      <c r="AA155" s="206"/>
      <c r="AD155" s="206"/>
      <c r="AG155" s="206"/>
      <c r="AJ155" s="206"/>
      <c r="AM155" s="206"/>
      <c r="AP155" s="206"/>
      <c r="AS155" s="206"/>
      <c r="AV155" s="501"/>
      <c r="AX155" s="206"/>
      <c r="AY155" s="206"/>
      <c r="BB155" s="206"/>
      <c r="BE155" s="206"/>
      <c r="BH155" s="206"/>
      <c r="BK155" s="206"/>
      <c r="BN155" s="206"/>
      <c r="BQ155" s="206"/>
      <c r="BT155" s="206">
        <f>G155</f>
        <v>228754.35</v>
      </c>
      <c r="BU155" s="418" t="s">
        <v>2404</v>
      </c>
      <c r="BW155" s="206">
        <f t="shared" si="118"/>
        <v>228754.35</v>
      </c>
      <c r="BZ155" s="206">
        <f t="shared" si="119"/>
        <v>228754.35</v>
      </c>
      <c r="CC155" s="418" t="str">
        <f t="shared" si="125"/>
        <v>CU0207001</v>
      </c>
      <c r="CD155" s="442" t="str">
        <f t="shared" si="126"/>
        <v>2020年10月</v>
      </c>
      <c r="CE155" s="418" t="str">
        <f t="shared" si="127"/>
        <v>达信（中国clife服务费暂估</v>
      </c>
      <c r="CF155" s="418" t="str">
        <f t="shared" si="128"/>
        <v>2020年10月达信（中国clife服务费暂估</v>
      </c>
    </row>
    <row r="156" spans="2:84" s="418" customFormat="1" ht="21.75" customHeight="1">
      <c r="B156" s="493" t="str">
        <f t="shared" si="124"/>
        <v>CU0898</v>
      </c>
      <c r="C156" s="431" t="s">
        <v>208</v>
      </c>
      <c r="D156" s="493" t="s">
        <v>1609</v>
      </c>
      <c r="E156" s="539" t="s">
        <v>948</v>
      </c>
      <c r="F156" s="537">
        <v>44105</v>
      </c>
      <c r="G156" s="538">
        <v>11124.36</v>
      </c>
      <c r="H156" s="421"/>
      <c r="I156" s="427"/>
      <c r="J156" s="421"/>
      <c r="L156" s="206"/>
      <c r="M156" s="206"/>
      <c r="O156" s="206"/>
      <c r="R156" s="206"/>
      <c r="U156" s="206"/>
      <c r="X156" s="206"/>
      <c r="AA156" s="206"/>
      <c r="AD156" s="206"/>
      <c r="AG156" s="206"/>
      <c r="AJ156" s="206"/>
      <c r="AM156" s="206"/>
      <c r="AP156" s="206"/>
      <c r="AS156" s="206"/>
      <c r="AV156" s="501"/>
      <c r="AX156" s="206"/>
      <c r="AY156" s="206"/>
      <c r="BB156" s="206"/>
      <c r="BE156" s="206"/>
      <c r="BH156" s="206"/>
      <c r="BK156" s="206"/>
      <c r="BN156" s="206"/>
      <c r="BQ156" s="206"/>
      <c r="BT156" s="206">
        <f t="shared" ref="BT156:BT166" si="130">G156</f>
        <v>11124.36</v>
      </c>
      <c r="BU156" s="418" t="s">
        <v>2404</v>
      </c>
      <c r="BW156" s="206">
        <f t="shared" si="118"/>
        <v>11124.36</v>
      </c>
      <c r="BZ156" s="206">
        <f t="shared" si="119"/>
        <v>11124.36</v>
      </c>
      <c r="CC156" s="418" t="str">
        <f t="shared" ref="CC156:CC166" si="131">B156&amp;$B$1</f>
        <v>CU0898001</v>
      </c>
      <c r="CD156" s="442" t="str">
        <f t="shared" ref="CD156:CD166" si="132">YEAR(F156)&amp;"年"&amp;MONTH(F156)&amp;"月"</f>
        <v>2020年10月</v>
      </c>
      <c r="CE156" s="418" t="str">
        <f t="shared" ref="CE156:CE166" si="133">LEFT(E156,5)&amp;$E$1</f>
        <v>凯易讯网络clife服务费暂估</v>
      </c>
      <c r="CF156" s="418" t="str">
        <f t="shared" ref="CF156:CF166" si="134">CD156&amp;CE156</f>
        <v>2020年10月凯易讯网络clife服务费暂估</v>
      </c>
    </row>
    <row r="157" spans="2:84" s="418" customFormat="1" ht="21.75" customHeight="1">
      <c r="B157" s="493" t="str">
        <f t="shared" si="124"/>
        <v>CU0990</v>
      </c>
      <c r="C157" s="431" t="s">
        <v>208</v>
      </c>
      <c r="D157" s="493" t="s">
        <v>2145</v>
      </c>
      <c r="E157" s="539" t="s">
        <v>2290</v>
      </c>
      <c r="F157" s="537">
        <v>44105</v>
      </c>
      <c r="G157" s="538">
        <v>7.55</v>
      </c>
      <c r="H157" s="421"/>
      <c r="I157" s="427"/>
      <c r="J157" s="421"/>
      <c r="L157" s="206"/>
      <c r="M157" s="206"/>
      <c r="O157" s="206"/>
      <c r="R157" s="206"/>
      <c r="U157" s="206"/>
      <c r="X157" s="206"/>
      <c r="AA157" s="206"/>
      <c r="AD157" s="206"/>
      <c r="AG157" s="206"/>
      <c r="AJ157" s="206"/>
      <c r="AM157" s="206"/>
      <c r="AP157" s="206"/>
      <c r="AS157" s="206"/>
      <c r="AV157" s="501"/>
      <c r="AX157" s="206"/>
      <c r="AY157" s="206"/>
      <c r="BB157" s="206"/>
      <c r="BE157" s="206"/>
      <c r="BH157" s="206"/>
      <c r="BK157" s="206"/>
      <c r="BN157" s="206"/>
      <c r="BQ157" s="206"/>
      <c r="BT157" s="206">
        <f t="shared" si="130"/>
        <v>7.55</v>
      </c>
      <c r="BU157" s="418" t="s">
        <v>2404</v>
      </c>
      <c r="BW157" s="206">
        <f t="shared" si="118"/>
        <v>7.55</v>
      </c>
      <c r="BZ157" s="206">
        <f t="shared" si="119"/>
        <v>7.55</v>
      </c>
      <c r="CC157" s="418" t="str">
        <f t="shared" si="131"/>
        <v>CU0990001</v>
      </c>
      <c r="CD157" s="442" t="str">
        <f t="shared" si="132"/>
        <v>2020年10月</v>
      </c>
      <c r="CE157" s="418" t="str">
        <f t="shared" si="133"/>
        <v>依工玳纳特clife服务费暂估</v>
      </c>
      <c r="CF157" s="418" t="str">
        <f t="shared" si="134"/>
        <v>2020年10月依工玳纳特clife服务费暂估</v>
      </c>
    </row>
    <row r="158" spans="2:84" s="418" customFormat="1" ht="21.75" customHeight="1">
      <c r="B158" s="493" t="str">
        <f t="shared" si="124"/>
        <v>CU1048</v>
      </c>
      <c r="C158" s="431" t="s">
        <v>208</v>
      </c>
      <c r="D158" s="493" t="s">
        <v>1654</v>
      </c>
      <c r="E158" s="539" t="s">
        <v>1317</v>
      </c>
      <c r="F158" s="537">
        <v>44105</v>
      </c>
      <c r="G158" s="538">
        <v>233738.95</v>
      </c>
      <c r="H158" s="421"/>
      <c r="I158" s="427"/>
      <c r="J158" s="421"/>
      <c r="L158" s="206"/>
      <c r="M158" s="206"/>
      <c r="O158" s="206"/>
      <c r="R158" s="206"/>
      <c r="U158" s="206"/>
      <c r="X158" s="206"/>
      <c r="AA158" s="206"/>
      <c r="AD158" s="206"/>
      <c r="AG158" s="206"/>
      <c r="AJ158" s="206"/>
      <c r="AM158" s="206"/>
      <c r="AP158" s="206"/>
      <c r="AS158" s="206"/>
      <c r="AV158" s="501"/>
      <c r="AX158" s="206"/>
      <c r="AY158" s="206"/>
      <c r="BB158" s="206"/>
      <c r="BE158" s="206"/>
      <c r="BH158" s="206"/>
      <c r="BK158" s="206"/>
      <c r="BN158" s="206"/>
      <c r="BQ158" s="206"/>
      <c r="BT158" s="206">
        <f t="shared" si="130"/>
        <v>233738.95</v>
      </c>
      <c r="BU158" s="418" t="s">
        <v>2404</v>
      </c>
      <c r="BV158" s="418">
        <f>ROUND(239200/1.06,2)</f>
        <v>225660.38</v>
      </c>
      <c r="BW158" s="206">
        <f t="shared" si="118"/>
        <v>8078.57</v>
      </c>
      <c r="BY158" s="206">
        <f>BW158</f>
        <v>8078.57</v>
      </c>
      <c r="BZ158" s="206">
        <f t="shared" si="119"/>
        <v>0</v>
      </c>
      <c r="CC158" s="418" t="str">
        <f t="shared" si="131"/>
        <v>CU1048001</v>
      </c>
      <c r="CD158" s="442" t="str">
        <f t="shared" si="132"/>
        <v>2020年10月</v>
      </c>
      <c r="CE158" s="418" t="str">
        <f t="shared" si="133"/>
        <v>奥托博克（clife服务费暂估</v>
      </c>
      <c r="CF158" s="418" t="str">
        <f t="shared" si="134"/>
        <v>2020年10月奥托博克（clife服务费暂估</v>
      </c>
    </row>
    <row r="159" spans="2:84" s="418" customFormat="1" ht="21.75" customHeight="1">
      <c r="B159" s="493" t="str">
        <f t="shared" si="124"/>
        <v>CU1163</v>
      </c>
      <c r="C159" s="431" t="s">
        <v>208</v>
      </c>
      <c r="D159" s="493" t="s">
        <v>1632</v>
      </c>
      <c r="E159" s="539" t="s">
        <v>1631</v>
      </c>
      <c r="F159" s="537">
        <v>44105</v>
      </c>
      <c r="G159" s="538">
        <v>413.24</v>
      </c>
      <c r="H159" s="421"/>
      <c r="I159" s="427"/>
      <c r="J159" s="421"/>
      <c r="L159" s="206"/>
      <c r="M159" s="206"/>
      <c r="O159" s="206"/>
      <c r="R159" s="206"/>
      <c r="U159" s="206"/>
      <c r="X159" s="206"/>
      <c r="AA159" s="206"/>
      <c r="AD159" s="206"/>
      <c r="AG159" s="206"/>
      <c r="AJ159" s="206"/>
      <c r="AM159" s="206"/>
      <c r="AP159" s="206"/>
      <c r="AS159" s="206"/>
      <c r="AV159" s="501"/>
      <c r="AX159" s="206"/>
      <c r="AY159" s="206"/>
      <c r="BB159" s="206"/>
      <c r="BE159" s="206"/>
      <c r="BH159" s="206"/>
      <c r="BK159" s="206"/>
      <c r="BN159" s="206"/>
      <c r="BQ159" s="206"/>
      <c r="BT159" s="206">
        <f t="shared" si="130"/>
        <v>413.24</v>
      </c>
      <c r="BU159" s="418" t="s">
        <v>2404</v>
      </c>
      <c r="BW159" s="206">
        <f t="shared" si="118"/>
        <v>413.24</v>
      </c>
      <c r="BZ159" s="206">
        <f t="shared" si="119"/>
        <v>413.24</v>
      </c>
      <c r="CC159" s="418" t="str">
        <f t="shared" si="131"/>
        <v>CU1163001</v>
      </c>
      <c r="CD159" s="442" t="str">
        <f t="shared" si="132"/>
        <v>2020年10月</v>
      </c>
      <c r="CE159" s="418" t="str">
        <f t="shared" si="133"/>
        <v>泰利福医疗clife服务费暂估</v>
      </c>
      <c r="CF159" s="418" t="str">
        <f t="shared" si="134"/>
        <v>2020年10月泰利福医疗clife服务费暂估</v>
      </c>
    </row>
    <row r="160" spans="2:84" s="418" customFormat="1" ht="21.75" customHeight="1">
      <c r="B160" s="493" t="str">
        <f t="shared" si="124"/>
        <v>CU1230</v>
      </c>
      <c r="C160" s="431" t="s">
        <v>208</v>
      </c>
      <c r="D160" s="493" t="s">
        <v>1674</v>
      </c>
      <c r="E160" s="539" t="s">
        <v>1610</v>
      </c>
      <c r="F160" s="537">
        <v>44105</v>
      </c>
      <c r="G160" s="538">
        <v>22536.720000000001</v>
      </c>
      <c r="H160" s="421"/>
      <c r="I160" s="427"/>
      <c r="J160" s="421"/>
      <c r="L160" s="206"/>
      <c r="M160" s="206"/>
      <c r="O160" s="206"/>
      <c r="R160" s="206"/>
      <c r="U160" s="206"/>
      <c r="X160" s="206"/>
      <c r="AA160" s="206"/>
      <c r="AD160" s="206"/>
      <c r="AG160" s="206"/>
      <c r="AJ160" s="206"/>
      <c r="AM160" s="206"/>
      <c r="AP160" s="206"/>
      <c r="AS160" s="206"/>
      <c r="AV160" s="501"/>
      <c r="AX160" s="206"/>
      <c r="AY160" s="206"/>
      <c r="BB160" s="206"/>
      <c r="BE160" s="206"/>
      <c r="BH160" s="206"/>
      <c r="BK160" s="206"/>
      <c r="BN160" s="206"/>
      <c r="BQ160" s="206"/>
      <c r="BT160" s="206">
        <f t="shared" si="130"/>
        <v>22536.720000000001</v>
      </c>
      <c r="BU160" s="418" t="s">
        <v>2404</v>
      </c>
      <c r="BW160" s="206">
        <f t="shared" si="118"/>
        <v>22536.720000000001</v>
      </c>
      <c r="BZ160" s="206">
        <f t="shared" si="119"/>
        <v>22536.720000000001</v>
      </c>
      <c r="CC160" s="418" t="str">
        <f t="shared" si="131"/>
        <v>CU1230001</v>
      </c>
      <c r="CD160" s="442" t="str">
        <f t="shared" si="132"/>
        <v>2020年10月</v>
      </c>
      <c r="CE160" s="418" t="str">
        <f t="shared" si="133"/>
        <v>汉庭星空（clife服务费暂估</v>
      </c>
      <c r="CF160" s="418" t="str">
        <f t="shared" si="134"/>
        <v>2020年10月汉庭星空（clife服务费暂估</v>
      </c>
    </row>
    <row r="161" spans="2:84" s="418" customFormat="1" ht="21.75" customHeight="1">
      <c r="B161" s="493" t="str">
        <f t="shared" si="124"/>
        <v>CU1610</v>
      </c>
      <c r="C161" s="431" t="s">
        <v>208</v>
      </c>
      <c r="D161" s="493" t="s">
        <v>2137</v>
      </c>
      <c r="E161" s="539" t="s">
        <v>2176</v>
      </c>
      <c r="F161" s="537">
        <v>44105</v>
      </c>
      <c r="G161" s="538">
        <v>90499.61</v>
      </c>
      <c r="H161" s="421"/>
      <c r="I161" s="427"/>
      <c r="J161" s="421"/>
      <c r="L161" s="206"/>
      <c r="M161" s="206"/>
      <c r="O161" s="206"/>
      <c r="R161" s="206"/>
      <c r="U161" s="206"/>
      <c r="X161" s="206"/>
      <c r="AA161" s="206"/>
      <c r="AD161" s="206"/>
      <c r="AG161" s="206"/>
      <c r="AJ161" s="206"/>
      <c r="AM161" s="206"/>
      <c r="AP161" s="206"/>
      <c r="AS161" s="206"/>
      <c r="AV161" s="501"/>
      <c r="AX161" s="206"/>
      <c r="AY161" s="206"/>
      <c r="BB161" s="206"/>
      <c r="BE161" s="206"/>
      <c r="BH161" s="206"/>
      <c r="BK161" s="206"/>
      <c r="BN161" s="206"/>
      <c r="BQ161" s="206"/>
      <c r="BT161" s="206">
        <f t="shared" si="130"/>
        <v>90499.61</v>
      </c>
      <c r="BU161" s="418" t="s">
        <v>2404</v>
      </c>
      <c r="BV161" s="206">
        <f>BT161</f>
        <v>90499.61</v>
      </c>
      <c r="BW161" s="206">
        <f t="shared" si="118"/>
        <v>0</v>
      </c>
      <c r="BZ161" s="206">
        <f t="shared" si="119"/>
        <v>0</v>
      </c>
      <c r="CC161" s="418" t="str">
        <f t="shared" si="131"/>
        <v>CU1610001</v>
      </c>
      <c r="CD161" s="442" t="str">
        <f t="shared" si="132"/>
        <v>2020年10月</v>
      </c>
      <c r="CE161" s="418" t="str">
        <f t="shared" si="133"/>
        <v>健适医疗科clife服务费暂估</v>
      </c>
      <c r="CF161" s="418" t="str">
        <f t="shared" si="134"/>
        <v>2020年10月健适医疗科clife服务费暂估</v>
      </c>
    </row>
    <row r="162" spans="2:84" s="418" customFormat="1" ht="21.75" customHeight="1">
      <c r="B162" s="493" t="str">
        <f t="shared" si="124"/>
        <v>CU1745</v>
      </c>
      <c r="C162" s="431" t="s">
        <v>208</v>
      </c>
      <c r="D162" s="493" t="s">
        <v>1875</v>
      </c>
      <c r="E162" s="539" t="s">
        <v>2211</v>
      </c>
      <c r="F162" s="537">
        <v>44105</v>
      </c>
      <c r="G162" s="538">
        <v>860.38</v>
      </c>
      <c r="H162" s="421"/>
      <c r="I162" s="427"/>
      <c r="J162" s="421"/>
      <c r="L162" s="206"/>
      <c r="M162" s="206"/>
      <c r="O162" s="206"/>
      <c r="R162" s="206"/>
      <c r="U162" s="206"/>
      <c r="X162" s="206"/>
      <c r="AA162" s="206"/>
      <c r="AD162" s="206"/>
      <c r="AG162" s="206"/>
      <c r="AJ162" s="206"/>
      <c r="AM162" s="206"/>
      <c r="AP162" s="206"/>
      <c r="AS162" s="206"/>
      <c r="AV162" s="501"/>
      <c r="AX162" s="206"/>
      <c r="AY162" s="206"/>
      <c r="BB162" s="206"/>
      <c r="BE162" s="206"/>
      <c r="BH162" s="206"/>
      <c r="BK162" s="206"/>
      <c r="BN162" s="206"/>
      <c r="BQ162" s="206"/>
      <c r="BT162" s="206">
        <f t="shared" si="130"/>
        <v>860.38</v>
      </c>
      <c r="BU162" s="418" t="s">
        <v>2404</v>
      </c>
      <c r="BW162" s="206">
        <f t="shared" si="118"/>
        <v>860.38</v>
      </c>
      <c r="BZ162" s="206">
        <f t="shared" si="119"/>
        <v>860.38</v>
      </c>
      <c r="CC162" s="418" t="str">
        <f t="shared" si="131"/>
        <v>CU1745001</v>
      </c>
      <c r="CD162" s="442" t="str">
        <f t="shared" si="132"/>
        <v>2020年10月</v>
      </c>
      <c r="CE162" s="418" t="str">
        <f t="shared" si="133"/>
        <v>格林机床（clife服务费暂估</v>
      </c>
      <c r="CF162" s="418" t="str">
        <f t="shared" si="134"/>
        <v>2020年10月格林机床（clife服务费暂估</v>
      </c>
    </row>
    <row r="163" spans="2:84" s="418" customFormat="1" ht="21.75" customHeight="1">
      <c r="B163" s="493" t="str">
        <f t="shared" si="124"/>
        <v>CU1854</v>
      </c>
      <c r="C163" s="431" t="s">
        <v>208</v>
      </c>
      <c r="D163" s="493" t="s">
        <v>2329</v>
      </c>
      <c r="E163" s="539" t="s">
        <v>2327</v>
      </c>
      <c r="F163" s="537">
        <v>44105</v>
      </c>
      <c r="G163" s="538">
        <v>154.65</v>
      </c>
      <c r="H163" s="421"/>
      <c r="I163" s="427"/>
      <c r="J163" s="421"/>
      <c r="L163" s="206"/>
      <c r="M163" s="206"/>
      <c r="O163" s="206"/>
      <c r="R163" s="206"/>
      <c r="U163" s="206"/>
      <c r="X163" s="206"/>
      <c r="AA163" s="206"/>
      <c r="AD163" s="206"/>
      <c r="AG163" s="206"/>
      <c r="AJ163" s="206"/>
      <c r="AM163" s="206"/>
      <c r="AP163" s="206"/>
      <c r="AS163" s="206"/>
      <c r="AV163" s="501"/>
      <c r="AX163" s="206"/>
      <c r="AY163" s="206"/>
      <c r="BB163" s="206"/>
      <c r="BE163" s="206"/>
      <c r="BH163" s="206"/>
      <c r="BK163" s="206"/>
      <c r="BN163" s="206"/>
      <c r="BQ163" s="206"/>
      <c r="BT163" s="206">
        <f t="shared" si="130"/>
        <v>154.65</v>
      </c>
      <c r="BU163" s="418" t="s">
        <v>2404</v>
      </c>
      <c r="BW163" s="206">
        <f t="shared" si="118"/>
        <v>154.65</v>
      </c>
      <c r="BZ163" s="206">
        <f t="shared" si="119"/>
        <v>154.65</v>
      </c>
      <c r="CC163" s="418" t="str">
        <f t="shared" si="131"/>
        <v>CU1854001</v>
      </c>
      <c r="CD163" s="442" t="str">
        <f t="shared" si="132"/>
        <v>2020年10月</v>
      </c>
      <c r="CE163" s="418" t="str">
        <f t="shared" si="133"/>
        <v>广汽菲亚特clife服务费暂估</v>
      </c>
      <c r="CF163" s="418" t="str">
        <f t="shared" si="134"/>
        <v>2020年10月广汽菲亚特clife服务费暂估</v>
      </c>
    </row>
    <row r="164" spans="2:84" s="418" customFormat="1" ht="21.75" customHeight="1">
      <c r="B164" s="493" t="str">
        <f t="shared" si="124"/>
        <v>CU1858</v>
      </c>
      <c r="C164" s="431" t="s">
        <v>208</v>
      </c>
      <c r="D164" s="493" t="s">
        <v>2220</v>
      </c>
      <c r="E164" s="539" t="s">
        <v>2221</v>
      </c>
      <c r="F164" s="537">
        <v>44105</v>
      </c>
      <c r="G164" s="538">
        <v>573.88</v>
      </c>
      <c r="H164" s="421"/>
      <c r="I164" s="427"/>
      <c r="J164" s="421"/>
      <c r="L164" s="206"/>
      <c r="M164" s="206"/>
      <c r="O164" s="206"/>
      <c r="R164" s="206"/>
      <c r="U164" s="206"/>
      <c r="X164" s="206"/>
      <c r="AA164" s="206"/>
      <c r="AD164" s="206"/>
      <c r="AG164" s="206"/>
      <c r="AJ164" s="206"/>
      <c r="AM164" s="206"/>
      <c r="AP164" s="206"/>
      <c r="AS164" s="206"/>
      <c r="AV164" s="501"/>
      <c r="AX164" s="206"/>
      <c r="AY164" s="206"/>
      <c r="BB164" s="206"/>
      <c r="BE164" s="206"/>
      <c r="BH164" s="206"/>
      <c r="BK164" s="206"/>
      <c r="BN164" s="206"/>
      <c r="BQ164" s="206"/>
      <c r="BT164" s="206">
        <f t="shared" si="130"/>
        <v>573.88</v>
      </c>
      <c r="BU164" s="418" t="s">
        <v>2404</v>
      </c>
      <c r="BW164" s="206">
        <f t="shared" si="118"/>
        <v>573.88</v>
      </c>
      <c r="BZ164" s="206">
        <f t="shared" si="119"/>
        <v>573.88</v>
      </c>
      <c r="CC164" s="418" t="str">
        <f t="shared" si="131"/>
        <v>CU1858001</v>
      </c>
      <c r="CD164" s="442" t="str">
        <f t="shared" si="132"/>
        <v>2020年10月</v>
      </c>
      <c r="CE164" s="418" t="str">
        <f t="shared" si="133"/>
        <v>东海岸(上clife服务费暂估</v>
      </c>
      <c r="CF164" s="418" t="str">
        <f t="shared" si="134"/>
        <v>2020年10月东海岸(上clife服务费暂估</v>
      </c>
    </row>
    <row r="165" spans="2:84" s="418" customFormat="1" ht="21.75" customHeight="1">
      <c r="B165" s="493" t="str">
        <f t="shared" ref="B165:B176" si="135">D165</f>
        <v>CU2014</v>
      </c>
      <c r="C165" s="431" t="s">
        <v>208</v>
      </c>
      <c r="D165" s="493" t="s">
        <v>2357</v>
      </c>
      <c r="E165" s="539" t="s">
        <v>2356</v>
      </c>
      <c r="F165" s="537">
        <v>44105</v>
      </c>
      <c r="G165" s="538">
        <v>2991.86</v>
      </c>
      <c r="H165" s="421"/>
      <c r="I165" s="427"/>
      <c r="J165" s="421"/>
      <c r="L165" s="206"/>
      <c r="M165" s="206"/>
      <c r="O165" s="206"/>
      <c r="R165" s="206"/>
      <c r="U165" s="206"/>
      <c r="X165" s="206"/>
      <c r="AA165" s="206"/>
      <c r="AD165" s="206"/>
      <c r="AG165" s="206"/>
      <c r="AJ165" s="206"/>
      <c r="AM165" s="206"/>
      <c r="AP165" s="206"/>
      <c r="AS165" s="206"/>
      <c r="AV165" s="501"/>
      <c r="AX165" s="206"/>
      <c r="AY165" s="206"/>
      <c r="BB165" s="206"/>
      <c r="BE165" s="206"/>
      <c r="BH165" s="206"/>
      <c r="BK165" s="206"/>
      <c r="BN165" s="206"/>
      <c r="BQ165" s="206"/>
      <c r="BT165" s="206">
        <f t="shared" si="130"/>
        <v>2991.86</v>
      </c>
      <c r="BU165" s="418" t="s">
        <v>2404</v>
      </c>
      <c r="BW165" s="206">
        <f t="shared" si="118"/>
        <v>2991.86</v>
      </c>
      <c r="BZ165" s="206">
        <f t="shared" si="119"/>
        <v>2991.86</v>
      </c>
      <c r="CC165" s="418" t="str">
        <f t="shared" si="131"/>
        <v>CU2014001</v>
      </c>
      <c r="CD165" s="442" t="str">
        <f t="shared" si="132"/>
        <v>2020年10月</v>
      </c>
      <c r="CE165" s="418" t="str">
        <f t="shared" si="133"/>
        <v>达信评（北clife服务费暂估</v>
      </c>
      <c r="CF165" s="418" t="str">
        <f t="shared" si="134"/>
        <v>2020年10月达信评（北clife服务费暂估</v>
      </c>
    </row>
    <row r="166" spans="2:84" s="418" customFormat="1" ht="21.75" customHeight="1">
      <c r="B166" s="493" t="str">
        <f t="shared" si="135"/>
        <v>CU2090</v>
      </c>
      <c r="C166" s="431" t="s">
        <v>208</v>
      </c>
      <c r="D166" s="493" t="s">
        <v>2403</v>
      </c>
      <c r="E166" s="539" t="s">
        <v>2402</v>
      </c>
      <c r="F166" s="537">
        <v>44105</v>
      </c>
      <c r="G166" s="538">
        <v>1408.24</v>
      </c>
      <c r="H166" s="421"/>
      <c r="I166" s="427"/>
      <c r="J166" s="421"/>
      <c r="L166" s="206"/>
      <c r="M166" s="206"/>
      <c r="O166" s="206"/>
      <c r="R166" s="206"/>
      <c r="U166" s="206"/>
      <c r="X166" s="206"/>
      <c r="AA166" s="206"/>
      <c r="AD166" s="206"/>
      <c r="AG166" s="206"/>
      <c r="AJ166" s="206"/>
      <c r="AM166" s="206"/>
      <c r="AP166" s="206"/>
      <c r="AS166" s="206"/>
      <c r="AV166" s="501"/>
      <c r="AX166" s="206"/>
      <c r="AY166" s="206"/>
      <c r="BB166" s="206"/>
      <c r="BE166" s="206"/>
      <c r="BH166" s="206"/>
      <c r="BK166" s="206"/>
      <c r="BN166" s="206"/>
      <c r="BQ166" s="206"/>
      <c r="BT166" s="206">
        <f t="shared" si="130"/>
        <v>1408.24</v>
      </c>
      <c r="BU166" s="418" t="s">
        <v>2404</v>
      </c>
      <c r="BW166" s="206">
        <f t="shared" si="118"/>
        <v>1408.24</v>
      </c>
      <c r="BZ166" s="206">
        <f t="shared" si="119"/>
        <v>1408.24</v>
      </c>
      <c r="CC166" s="418" t="str">
        <f t="shared" si="131"/>
        <v>CU2090001</v>
      </c>
      <c r="CD166" s="442" t="str">
        <f t="shared" si="132"/>
        <v>2020年10月</v>
      </c>
      <c r="CE166" s="418" t="str">
        <f t="shared" si="133"/>
        <v>柯莱恩（上clife服务费暂估</v>
      </c>
      <c r="CF166" s="418" t="str">
        <f t="shared" si="134"/>
        <v>2020年10月柯莱恩（上clife服务费暂估</v>
      </c>
    </row>
    <row r="167" spans="2:84" s="418" customFormat="1" ht="21.75" customHeight="1">
      <c r="B167" s="493" t="str">
        <f t="shared" si="135"/>
        <v>CU0207</v>
      </c>
      <c r="C167" s="431" t="s">
        <v>208</v>
      </c>
      <c r="D167" s="493" t="s">
        <v>1607</v>
      </c>
      <c r="E167" s="539" t="s">
        <v>13</v>
      </c>
      <c r="F167" s="537">
        <v>44136</v>
      </c>
      <c r="G167" s="538">
        <v>229032.53</v>
      </c>
      <c r="H167" s="421"/>
      <c r="I167" s="427"/>
      <c r="J167" s="421"/>
      <c r="L167" s="206"/>
      <c r="M167" s="206"/>
      <c r="O167" s="206"/>
      <c r="R167" s="206"/>
      <c r="U167" s="206"/>
      <c r="X167" s="206"/>
      <c r="AA167" s="206"/>
      <c r="AD167" s="206"/>
      <c r="AG167" s="206"/>
      <c r="AJ167" s="206"/>
      <c r="AM167" s="206"/>
      <c r="AP167" s="206"/>
      <c r="AS167" s="206"/>
      <c r="AV167" s="501"/>
      <c r="AX167" s="206"/>
      <c r="AY167" s="206"/>
      <c r="BB167" s="206"/>
      <c r="BE167" s="206"/>
      <c r="BH167" s="206"/>
      <c r="BK167" s="206"/>
      <c r="BN167" s="206"/>
      <c r="BQ167" s="206"/>
      <c r="BT167" s="206"/>
      <c r="BW167" s="206">
        <f>G167</f>
        <v>229032.53</v>
      </c>
      <c r="BZ167" s="206">
        <f t="shared" si="119"/>
        <v>229032.53</v>
      </c>
      <c r="CC167" s="418" t="str">
        <f t="shared" ref="CC167:CC179" si="136">B167&amp;$B$1</f>
        <v>CU0207001</v>
      </c>
      <c r="CD167" s="442" t="str">
        <f t="shared" ref="CD167:CD179" si="137">YEAR(F167)&amp;"年"&amp;MONTH(F167)&amp;"月"</f>
        <v>2020年11月</v>
      </c>
      <c r="CE167" s="418" t="str">
        <f t="shared" ref="CE167:CE179" si="138">LEFT(E167,5)&amp;$E$1</f>
        <v>达信（中国clife服务费暂估</v>
      </c>
      <c r="CF167" s="418" t="str">
        <f t="shared" ref="CF167:CF179" si="139">CD167&amp;CE167</f>
        <v>2020年11月达信（中国clife服务费暂估</v>
      </c>
    </row>
    <row r="168" spans="2:84" s="418" customFormat="1" ht="21.75" customHeight="1">
      <c r="B168" s="493" t="str">
        <f t="shared" si="135"/>
        <v>CU0669</v>
      </c>
      <c r="C168" s="431" t="s">
        <v>208</v>
      </c>
      <c r="D168" s="493" t="s">
        <v>1608</v>
      </c>
      <c r="E168" s="539" t="s">
        <v>229</v>
      </c>
      <c r="F168" s="537">
        <v>44136</v>
      </c>
      <c r="G168" s="538">
        <v>64950.339399999997</v>
      </c>
      <c r="H168" s="421"/>
      <c r="I168" s="427"/>
      <c r="J168" s="421"/>
      <c r="L168" s="206"/>
      <c r="M168" s="206"/>
      <c r="O168" s="206"/>
      <c r="R168" s="206"/>
      <c r="U168" s="206"/>
      <c r="X168" s="206"/>
      <c r="AA168" s="206"/>
      <c r="AD168" s="206"/>
      <c r="AG168" s="206"/>
      <c r="AJ168" s="206"/>
      <c r="AM168" s="206"/>
      <c r="AP168" s="206"/>
      <c r="AS168" s="206"/>
      <c r="AV168" s="501"/>
      <c r="AX168" s="206"/>
      <c r="AY168" s="206"/>
      <c r="BB168" s="206"/>
      <c r="BE168" s="206"/>
      <c r="BH168" s="206"/>
      <c r="BK168" s="206"/>
      <c r="BN168" s="206"/>
      <c r="BQ168" s="206"/>
      <c r="BT168" s="206"/>
      <c r="BW168" s="206">
        <f t="shared" ref="BW168:BW178" si="140">G168</f>
        <v>64950.339399999997</v>
      </c>
      <c r="BZ168" s="206">
        <f t="shared" si="119"/>
        <v>64950.34</v>
      </c>
      <c r="CC168" s="418" t="str">
        <f t="shared" si="136"/>
        <v>CU0669001</v>
      </c>
      <c r="CD168" s="442" t="str">
        <f t="shared" si="137"/>
        <v>2020年11月</v>
      </c>
      <c r="CE168" s="418" t="str">
        <f t="shared" si="138"/>
        <v>北京博禹国clife服务费暂估</v>
      </c>
      <c r="CF168" s="418" t="str">
        <f t="shared" si="139"/>
        <v>2020年11月北京博禹国clife服务费暂估</v>
      </c>
    </row>
    <row r="169" spans="2:84" s="418" customFormat="1" ht="21.75" customHeight="1">
      <c r="B169" s="493" t="str">
        <f t="shared" si="135"/>
        <v>CU0898</v>
      </c>
      <c r="C169" s="431" t="s">
        <v>208</v>
      </c>
      <c r="D169" s="493" t="s">
        <v>1609</v>
      </c>
      <c r="E169" s="539" t="s">
        <v>948</v>
      </c>
      <c r="F169" s="537">
        <v>44136</v>
      </c>
      <c r="G169" s="538">
        <v>11219.7</v>
      </c>
      <c r="H169" s="421"/>
      <c r="I169" s="427"/>
      <c r="J169" s="421"/>
      <c r="L169" s="206"/>
      <c r="M169" s="206"/>
      <c r="O169" s="206"/>
      <c r="R169" s="206"/>
      <c r="U169" s="206"/>
      <c r="X169" s="206"/>
      <c r="AA169" s="206"/>
      <c r="AD169" s="206"/>
      <c r="AG169" s="206"/>
      <c r="AJ169" s="206"/>
      <c r="AM169" s="206"/>
      <c r="AP169" s="206"/>
      <c r="AS169" s="206"/>
      <c r="AV169" s="501"/>
      <c r="AX169" s="206"/>
      <c r="AY169" s="206"/>
      <c r="BB169" s="206"/>
      <c r="BE169" s="206"/>
      <c r="BH169" s="206"/>
      <c r="BK169" s="206"/>
      <c r="BN169" s="206"/>
      <c r="BQ169" s="206"/>
      <c r="BT169" s="206"/>
      <c r="BW169" s="206">
        <f t="shared" si="140"/>
        <v>11219.7</v>
      </c>
      <c r="BZ169" s="206">
        <f t="shared" si="119"/>
        <v>11219.7</v>
      </c>
      <c r="CC169" s="418" t="str">
        <f t="shared" si="136"/>
        <v>CU0898001</v>
      </c>
      <c r="CD169" s="442" t="str">
        <f t="shared" si="137"/>
        <v>2020年11月</v>
      </c>
      <c r="CE169" s="418" t="str">
        <f t="shared" si="138"/>
        <v>凯易讯网络clife服务费暂估</v>
      </c>
      <c r="CF169" s="418" t="str">
        <f t="shared" si="139"/>
        <v>2020年11月凯易讯网络clife服务费暂估</v>
      </c>
    </row>
    <row r="170" spans="2:84" s="418" customFormat="1" ht="21.75" customHeight="1">
      <c r="B170" s="493" t="str">
        <f t="shared" si="135"/>
        <v>CU1048</v>
      </c>
      <c r="C170" s="431" t="s">
        <v>208</v>
      </c>
      <c r="D170" s="493" t="s">
        <v>1654</v>
      </c>
      <c r="E170" s="539" t="s">
        <v>1317</v>
      </c>
      <c r="F170" s="537">
        <v>44136</v>
      </c>
      <c r="G170" s="538">
        <v>203251.27</v>
      </c>
      <c r="H170" s="421"/>
      <c r="I170" s="427"/>
      <c r="J170" s="421"/>
      <c r="L170" s="206"/>
      <c r="M170" s="206"/>
      <c r="O170" s="206"/>
      <c r="R170" s="206"/>
      <c r="U170" s="206"/>
      <c r="X170" s="206"/>
      <c r="AA170" s="206"/>
      <c r="AD170" s="206"/>
      <c r="AG170" s="206"/>
      <c r="AJ170" s="206"/>
      <c r="AM170" s="206"/>
      <c r="AP170" s="206"/>
      <c r="AS170" s="206"/>
      <c r="AV170" s="501"/>
      <c r="AX170" s="206"/>
      <c r="AY170" s="206"/>
      <c r="BB170" s="206"/>
      <c r="BE170" s="206"/>
      <c r="BH170" s="206"/>
      <c r="BK170" s="206"/>
      <c r="BN170" s="206"/>
      <c r="BQ170" s="206"/>
      <c r="BT170" s="206"/>
      <c r="BW170" s="206">
        <f t="shared" si="140"/>
        <v>203251.27</v>
      </c>
      <c r="BY170" s="206">
        <f>200000-BY158</f>
        <v>191921.43</v>
      </c>
      <c r="BZ170" s="206">
        <f t="shared" si="119"/>
        <v>11329.84</v>
      </c>
      <c r="CC170" s="418" t="str">
        <f t="shared" si="136"/>
        <v>CU1048001</v>
      </c>
      <c r="CD170" s="442" t="str">
        <f t="shared" si="137"/>
        <v>2020年11月</v>
      </c>
      <c r="CE170" s="418" t="str">
        <f t="shared" si="138"/>
        <v>奥托博克（clife服务费暂估</v>
      </c>
      <c r="CF170" s="418" t="str">
        <f t="shared" si="139"/>
        <v>2020年11月奥托博克（clife服务费暂估</v>
      </c>
    </row>
    <row r="171" spans="2:84" s="418" customFormat="1" ht="21.75" customHeight="1">
      <c r="B171" s="493" t="str">
        <f t="shared" si="135"/>
        <v>CU1163</v>
      </c>
      <c r="C171" s="431" t="s">
        <v>208</v>
      </c>
      <c r="D171" s="493" t="s">
        <v>1632</v>
      </c>
      <c r="E171" s="539" t="s">
        <v>1631</v>
      </c>
      <c r="F171" s="537">
        <v>44136</v>
      </c>
      <c r="G171" s="538">
        <v>32681.52</v>
      </c>
      <c r="H171" s="421"/>
      <c r="I171" s="427"/>
      <c r="J171" s="421"/>
      <c r="L171" s="206"/>
      <c r="M171" s="206"/>
      <c r="O171" s="206"/>
      <c r="R171" s="206"/>
      <c r="U171" s="206"/>
      <c r="X171" s="206"/>
      <c r="AA171" s="206"/>
      <c r="AD171" s="206"/>
      <c r="AG171" s="206"/>
      <c r="AJ171" s="206"/>
      <c r="AM171" s="206"/>
      <c r="AP171" s="206"/>
      <c r="AS171" s="206"/>
      <c r="AV171" s="501"/>
      <c r="AX171" s="206"/>
      <c r="AY171" s="206"/>
      <c r="BB171" s="206"/>
      <c r="BE171" s="206"/>
      <c r="BH171" s="206"/>
      <c r="BK171" s="206"/>
      <c r="BN171" s="206"/>
      <c r="BQ171" s="206"/>
      <c r="BT171" s="206"/>
      <c r="BW171" s="206">
        <f t="shared" si="140"/>
        <v>32681.52</v>
      </c>
      <c r="BZ171" s="206">
        <f t="shared" si="119"/>
        <v>32681.52</v>
      </c>
      <c r="CC171" s="418" t="str">
        <f t="shared" si="136"/>
        <v>CU1163001</v>
      </c>
      <c r="CD171" s="442" t="str">
        <f t="shared" si="137"/>
        <v>2020年11月</v>
      </c>
      <c r="CE171" s="418" t="str">
        <f t="shared" si="138"/>
        <v>泰利福医疗clife服务费暂估</v>
      </c>
      <c r="CF171" s="418" t="str">
        <f t="shared" si="139"/>
        <v>2020年11月泰利福医疗clife服务费暂估</v>
      </c>
    </row>
    <row r="172" spans="2:84" s="418" customFormat="1" ht="21.75" customHeight="1">
      <c r="B172" s="493" t="str">
        <f t="shared" si="135"/>
        <v>CU1230</v>
      </c>
      <c r="C172" s="431" t="s">
        <v>208</v>
      </c>
      <c r="D172" s="493" t="s">
        <v>1674</v>
      </c>
      <c r="E172" s="539" t="s">
        <v>1610</v>
      </c>
      <c r="F172" s="537">
        <v>44136</v>
      </c>
      <c r="G172" s="538">
        <v>13541.517</v>
      </c>
      <c r="H172" s="421"/>
      <c r="I172" s="427"/>
      <c r="J172" s="421"/>
      <c r="L172" s="206"/>
      <c r="M172" s="206"/>
      <c r="O172" s="206"/>
      <c r="R172" s="206"/>
      <c r="U172" s="206"/>
      <c r="X172" s="206"/>
      <c r="AA172" s="206"/>
      <c r="AD172" s="206"/>
      <c r="AG172" s="206"/>
      <c r="AJ172" s="206"/>
      <c r="AM172" s="206"/>
      <c r="AP172" s="206"/>
      <c r="AS172" s="206"/>
      <c r="AV172" s="501"/>
      <c r="AX172" s="206"/>
      <c r="AY172" s="206"/>
      <c r="BB172" s="206"/>
      <c r="BE172" s="206"/>
      <c r="BH172" s="206"/>
      <c r="BK172" s="206"/>
      <c r="BN172" s="206"/>
      <c r="BQ172" s="206"/>
      <c r="BT172" s="206"/>
      <c r="BW172" s="206">
        <f t="shared" si="140"/>
        <v>13541.517</v>
      </c>
      <c r="BZ172" s="206">
        <f t="shared" si="119"/>
        <v>13541.52</v>
      </c>
      <c r="CC172" s="418" t="str">
        <f t="shared" si="136"/>
        <v>CU1230001</v>
      </c>
      <c r="CD172" s="442" t="str">
        <f t="shared" si="137"/>
        <v>2020年11月</v>
      </c>
      <c r="CE172" s="418" t="str">
        <f t="shared" si="138"/>
        <v>汉庭星空（clife服务费暂估</v>
      </c>
      <c r="CF172" s="418" t="str">
        <f t="shared" si="139"/>
        <v>2020年11月汉庭星空（clife服务费暂估</v>
      </c>
    </row>
    <row r="173" spans="2:84" s="418" customFormat="1" ht="21.75" customHeight="1">
      <c r="B173" s="493" t="str">
        <f t="shared" si="135"/>
        <v>CU1610</v>
      </c>
      <c r="C173" s="431" t="s">
        <v>208</v>
      </c>
      <c r="D173" s="493" t="s">
        <v>2137</v>
      </c>
      <c r="E173" s="539" t="s">
        <v>2176</v>
      </c>
      <c r="F173" s="537">
        <v>44136</v>
      </c>
      <c r="G173" s="538">
        <v>13887.51</v>
      </c>
      <c r="H173" s="421"/>
      <c r="I173" s="427"/>
      <c r="J173" s="421"/>
      <c r="L173" s="206"/>
      <c r="M173" s="206"/>
      <c r="O173" s="206"/>
      <c r="R173" s="206"/>
      <c r="U173" s="206"/>
      <c r="X173" s="206"/>
      <c r="AA173" s="206"/>
      <c r="AD173" s="206"/>
      <c r="AG173" s="206"/>
      <c r="AJ173" s="206"/>
      <c r="AM173" s="206"/>
      <c r="AP173" s="206"/>
      <c r="AS173" s="206"/>
      <c r="AV173" s="501"/>
      <c r="AX173" s="206"/>
      <c r="AY173" s="206"/>
      <c r="BB173" s="206"/>
      <c r="BE173" s="206"/>
      <c r="BH173" s="206"/>
      <c r="BK173" s="206"/>
      <c r="BN173" s="206"/>
      <c r="BQ173" s="206"/>
      <c r="BT173" s="206"/>
      <c r="BW173" s="206">
        <f t="shared" si="140"/>
        <v>13887.51</v>
      </c>
      <c r="BZ173" s="206">
        <f t="shared" si="119"/>
        <v>13887.51</v>
      </c>
      <c r="CC173" s="418" t="str">
        <f t="shared" si="136"/>
        <v>CU1610001</v>
      </c>
      <c r="CD173" s="442" t="str">
        <f t="shared" si="137"/>
        <v>2020年11月</v>
      </c>
      <c r="CE173" s="418" t="str">
        <f t="shared" si="138"/>
        <v>健适医疗科clife服务费暂估</v>
      </c>
      <c r="CF173" s="418" t="str">
        <f t="shared" si="139"/>
        <v>2020年11月健适医疗科clife服务费暂估</v>
      </c>
    </row>
    <row r="174" spans="2:84" s="418" customFormat="1" ht="21.75" customHeight="1">
      <c r="B174" s="493" t="str">
        <f t="shared" si="135"/>
        <v>CU1745</v>
      </c>
      <c r="C174" s="431" t="s">
        <v>208</v>
      </c>
      <c r="D174" s="493" t="s">
        <v>1875</v>
      </c>
      <c r="E174" s="539" t="s">
        <v>2211</v>
      </c>
      <c r="F174" s="537">
        <v>44136</v>
      </c>
      <c r="G174" s="538">
        <v>650</v>
      </c>
      <c r="H174" s="421"/>
      <c r="I174" s="427"/>
      <c r="J174" s="421"/>
      <c r="L174" s="206"/>
      <c r="M174" s="206"/>
      <c r="O174" s="206"/>
      <c r="R174" s="206"/>
      <c r="U174" s="206"/>
      <c r="X174" s="206"/>
      <c r="AA174" s="206"/>
      <c r="AD174" s="206"/>
      <c r="AG174" s="206"/>
      <c r="AJ174" s="206"/>
      <c r="AM174" s="206"/>
      <c r="AP174" s="206"/>
      <c r="AS174" s="206"/>
      <c r="AV174" s="501"/>
      <c r="AX174" s="206"/>
      <c r="AY174" s="206"/>
      <c r="BB174" s="206"/>
      <c r="BE174" s="206"/>
      <c r="BH174" s="206"/>
      <c r="BK174" s="206"/>
      <c r="BN174" s="206"/>
      <c r="BQ174" s="206"/>
      <c r="BT174" s="206"/>
      <c r="BW174" s="206">
        <f t="shared" si="140"/>
        <v>650</v>
      </c>
      <c r="BZ174" s="206">
        <f t="shared" si="119"/>
        <v>650</v>
      </c>
      <c r="CC174" s="418" t="str">
        <f t="shared" si="136"/>
        <v>CU1745001</v>
      </c>
      <c r="CD174" s="442" t="str">
        <f t="shared" si="137"/>
        <v>2020年11月</v>
      </c>
      <c r="CE174" s="418" t="str">
        <f t="shared" si="138"/>
        <v>格林机床（clife服务费暂估</v>
      </c>
      <c r="CF174" s="418" t="str">
        <f t="shared" si="139"/>
        <v>2020年11月格林机床（clife服务费暂估</v>
      </c>
    </row>
    <row r="175" spans="2:84" s="418" customFormat="1" ht="21.75" customHeight="1">
      <c r="B175" s="493" t="str">
        <f t="shared" si="135"/>
        <v>CU1858</v>
      </c>
      <c r="C175" s="431" t="s">
        <v>208</v>
      </c>
      <c r="D175" s="493" t="s">
        <v>2220</v>
      </c>
      <c r="E175" s="539" t="s">
        <v>2221</v>
      </c>
      <c r="F175" s="537">
        <v>44136</v>
      </c>
      <c r="G175" s="538">
        <v>430.19</v>
      </c>
      <c r="H175" s="421"/>
      <c r="I175" s="427"/>
      <c r="J175" s="421"/>
      <c r="L175" s="206"/>
      <c r="M175" s="206"/>
      <c r="O175" s="206"/>
      <c r="R175" s="206"/>
      <c r="U175" s="206"/>
      <c r="X175" s="206"/>
      <c r="AA175" s="206"/>
      <c r="AD175" s="206"/>
      <c r="AG175" s="206"/>
      <c r="AJ175" s="206"/>
      <c r="AM175" s="206"/>
      <c r="AP175" s="206"/>
      <c r="AS175" s="206"/>
      <c r="AV175" s="501"/>
      <c r="AX175" s="206"/>
      <c r="AY175" s="206"/>
      <c r="BB175" s="206"/>
      <c r="BE175" s="206"/>
      <c r="BH175" s="206"/>
      <c r="BK175" s="206"/>
      <c r="BN175" s="206"/>
      <c r="BQ175" s="206"/>
      <c r="BT175" s="206"/>
      <c r="BW175" s="206">
        <f t="shared" si="140"/>
        <v>430.19</v>
      </c>
      <c r="BZ175" s="206">
        <f t="shared" si="119"/>
        <v>430.19</v>
      </c>
      <c r="CC175" s="418" t="str">
        <f t="shared" si="136"/>
        <v>CU1858001</v>
      </c>
      <c r="CD175" s="442" t="str">
        <f t="shared" si="137"/>
        <v>2020年11月</v>
      </c>
      <c r="CE175" s="418" t="str">
        <f t="shared" si="138"/>
        <v>东海岸(上clife服务费暂估</v>
      </c>
      <c r="CF175" s="418" t="str">
        <f t="shared" si="139"/>
        <v>2020年11月东海岸(上clife服务费暂估</v>
      </c>
    </row>
    <row r="176" spans="2:84" s="418" customFormat="1" ht="21.75" customHeight="1">
      <c r="B176" s="493" t="str">
        <f t="shared" si="135"/>
        <v>CU1910</v>
      </c>
      <c r="C176" s="431" t="s">
        <v>208</v>
      </c>
      <c r="D176" s="493" t="s">
        <v>2330</v>
      </c>
      <c r="E176" s="539" t="s">
        <v>2328</v>
      </c>
      <c r="F176" s="537">
        <v>44136</v>
      </c>
      <c r="G176" s="538">
        <v>62848.01</v>
      </c>
      <c r="H176" s="421"/>
      <c r="I176" s="427"/>
      <c r="J176" s="421"/>
      <c r="L176" s="206"/>
      <c r="M176" s="206"/>
      <c r="O176" s="206"/>
      <c r="R176" s="206"/>
      <c r="U176" s="206"/>
      <c r="X176" s="206"/>
      <c r="AA176" s="206"/>
      <c r="AD176" s="206"/>
      <c r="AG176" s="206"/>
      <c r="AJ176" s="206"/>
      <c r="AM176" s="206"/>
      <c r="AP176" s="206"/>
      <c r="AS176" s="206"/>
      <c r="AV176" s="501"/>
      <c r="AX176" s="206"/>
      <c r="AY176" s="206"/>
      <c r="BB176" s="206"/>
      <c r="BE176" s="206"/>
      <c r="BH176" s="206"/>
      <c r="BK176" s="206"/>
      <c r="BN176" s="206"/>
      <c r="BQ176" s="206"/>
      <c r="BT176" s="206"/>
      <c r="BW176" s="206">
        <f t="shared" si="140"/>
        <v>62848.01</v>
      </c>
      <c r="BZ176" s="206">
        <f t="shared" si="119"/>
        <v>62848.01</v>
      </c>
      <c r="CC176" s="418" t="str">
        <f t="shared" si="136"/>
        <v>CU1910001</v>
      </c>
      <c r="CD176" s="442" t="str">
        <f t="shared" si="137"/>
        <v>2020年11月</v>
      </c>
      <c r="CE176" s="418" t="str">
        <f t="shared" si="138"/>
        <v>达索析统（clife服务费暂估</v>
      </c>
      <c r="CF176" s="418" t="str">
        <f t="shared" si="139"/>
        <v>2020年11月达索析统（clife服务费暂估</v>
      </c>
    </row>
    <row r="177" spans="2:84" s="418" customFormat="1" ht="21.75" customHeight="1">
      <c r="B177" s="493" t="str">
        <f t="shared" si="124"/>
        <v>CU2014</v>
      </c>
      <c r="C177" s="431" t="s">
        <v>208</v>
      </c>
      <c r="D177" s="493" t="s">
        <v>2357</v>
      </c>
      <c r="E177" s="539" t="s">
        <v>2356</v>
      </c>
      <c r="F177" s="537">
        <v>44136</v>
      </c>
      <c r="G177" s="538">
        <v>2991.86</v>
      </c>
      <c r="H177" s="421"/>
      <c r="I177" s="427"/>
      <c r="J177" s="421"/>
      <c r="L177" s="206"/>
      <c r="M177" s="206"/>
      <c r="O177" s="206"/>
      <c r="R177" s="206"/>
      <c r="U177" s="206"/>
      <c r="X177" s="206"/>
      <c r="AA177" s="206"/>
      <c r="AD177" s="206"/>
      <c r="AG177" s="206"/>
      <c r="AJ177" s="206"/>
      <c r="AM177" s="206"/>
      <c r="AP177" s="206"/>
      <c r="AS177" s="206"/>
      <c r="AV177" s="501"/>
      <c r="AX177" s="206"/>
      <c r="AY177" s="206"/>
      <c r="BB177" s="206"/>
      <c r="BE177" s="206"/>
      <c r="BH177" s="206"/>
      <c r="BK177" s="206"/>
      <c r="BN177" s="206"/>
      <c r="BQ177" s="206"/>
      <c r="BT177" s="206"/>
      <c r="BW177" s="206">
        <f t="shared" si="140"/>
        <v>2991.86</v>
      </c>
      <c r="BZ177" s="206">
        <f t="shared" si="119"/>
        <v>2991.86</v>
      </c>
      <c r="CC177" s="418" t="str">
        <f t="shared" si="136"/>
        <v>CU2014001</v>
      </c>
      <c r="CD177" s="442" t="str">
        <f t="shared" si="137"/>
        <v>2020年11月</v>
      </c>
      <c r="CE177" s="418" t="str">
        <f t="shared" si="138"/>
        <v>达信评（北clife服务费暂估</v>
      </c>
      <c r="CF177" s="418" t="str">
        <f t="shared" si="139"/>
        <v>2020年11月达信评（北clife服务费暂估</v>
      </c>
    </row>
    <row r="178" spans="2:84" s="418" customFormat="1" ht="21.75" customHeight="1">
      <c r="B178" s="493" t="str">
        <f t="shared" si="124"/>
        <v>CU2090</v>
      </c>
      <c r="C178" s="431" t="s">
        <v>208</v>
      </c>
      <c r="D178" s="493" t="s">
        <v>2403</v>
      </c>
      <c r="E178" s="539" t="s">
        <v>2402</v>
      </c>
      <c r="F178" s="537">
        <v>44136</v>
      </c>
      <c r="G178" s="538">
        <v>1408.24</v>
      </c>
      <c r="H178" s="421"/>
      <c r="I178" s="427"/>
      <c r="J178" s="421"/>
      <c r="L178" s="206"/>
      <c r="M178" s="206"/>
      <c r="O178" s="206"/>
      <c r="R178" s="206"/>
      <c r="U178" s="206"/>
      <c r="X178" s="206"/>
      <c r="AA178" s="206"/>
      <c r="AD178" s="206"/>
      <c r="AG178" s="206"/>
      <c r="AJ178" s="206"/>
      <c r="AM178" s="206"/>
      <c r="AP178" s="206"/>
      <c r="AS178" s="206"/>
      <c r="AV178" s="501"/>
      <c r="AX178" s="206"/>
      <c r="AY178" s="206"/>
      <c r="BB178" s="206"/>
      <c r="BE178" s="206"/>
      <c r="BH178" s="206"/>
      <c r="BK178" s="206"/>
      <c r="BN178" s="206"/>
      <c r="BQ178" s="206"/>
      <c r="BT178" s="206"/>
      <c r="BW178" s="206">
        <f t="shared" si="140"/>
        <v>1408.24</v>
      </c>
      <c r="BZ178" s="206">
        <f t="shared" si="119"/>
        <v>1408.24</v>
      </c>
      <c r="CC178" s="418" t="str">
        <f t="shared" si="136"/>
        <v>CU2090001</v>
      </c>
      <c r="CD178" s="442" t="str">
        <f t="shared" si="137"/>
        <v>2020年11月</v>
      </c>
      <c r="CE178" s="418" t="str">
        <f t="shared" si="138"/>
        <v>柯莱恩（上clife服务费暂估</v>
      </c>
      <c r="CF178" s="418" t="str">
        <f t="shared" si="139"/>
        <v>2020年11月柯莱恩（上clife服务费暂估</v>
      </c>
    </row>
    <row r="179" spans="2:84" s="418" customFormat="1" ht="21.75" customHeight="1">
      <c r="B179" s="493">
        <f t="shared" si="124"/>
        <v>0</v>
      </c>
      <c r="C179" s="431"/>
      <c r="D179" s="493"/>
      <c r="E179" s="539"/>
      <c r="F179" s="537"/>
      <c r="G179" s="538"/>
      <c r="H179" s="421"/>
      <c r="I179" s="427"/>
      <c r="J179" s="421"/>
      <c r="L179" s="206"/>
      <c r="M179" s="206"/>
      <c r="O179" s="206"/>
      <c r="R179" s="206"/>
      <c r="U179" s="206"/>
      <c r="X179" s="206"/>
      <c r="AA179" s="206"/>
      <c r="AD179" s="206"/>
      <c r="AG179" s="206"/>
      <c r="AJ179" s="206"/>
      <c r="AM179" s="206"/>
      <c r="AP179" s="206"/>
      <c r="AS179" s="206"/>
      <c r="AV179" s="501"/>
      <c r="AX179" s="206"/>
      <c r="AY179" s="206"/>
      <c r="BB179" s="206"/>
      <c r="BE179" s="206"/>
      <c r="BH179" s="206"/>
      <c r="BK179" s="206"/>
      <c r="BN179" s="206"/>
      <c r="BQ179" s="206"/>
      <c r="BT179" s="206"/>
      <c r="BW179" s="206"/>
      <c r="CC179" s="418" t="str">
        <f t="shared" si="136"/>
        <v>0001</v>
      </c>
      <c r="CD179" s="442" t="str">
        <f t="shared" si="137"/>
        <v>1900年1月</v>
      </c>
      <c r="CE179" s="418" t="str">
        <f t="shared" si="138"/>
        <v>clife服务费暂估</v>
      </c>
      <c r="CF179" s="418" t="str">
        <f t="shared" si="139"/>
        <v>1900年1月clife服务费暂估</v>
      </c>
    </row>
    <row r="180" spans="2:84" s="418" customFormat="1" ht="21.75" customHeight="1">
      <c r="B180" s="493">
        <f t="shared" si="124"/>
        <v>0</v>
      </c>
      <c r="C180" s="431"/>
      <c r="D180" s="493"/>
      <c r="E180" s="545"/>
      <c r="F180" s="544"/>
      <c r="G180" s="555"/>
      <c r="H180" s="421"/>
      <c r="I180" s="427"/>
      <c r="J180" s="421"/>
      <c r="L180" s="206"/>
      <c r="M180" s="206"/>
      <c r="O180" s="206"/>
      <c r="R180" s="206"/>
      <c r="U180" s="206"/>
      <c r="X180" s="206"/>
      <c r="AA180" s="206"/>
      <c r="AD180" s="206"/>
      <c r="AG180" s="206"/>
      <c r="AJ180" s="206"/>
      <c r="AM180" s="206"/>
      <c r="AP180" s="206"/>
      <c r="AS180" s="206"/>
      <c r="AV180" s="501"/>
      <c r="AX180" s="206"/>
      <c r="AY180" s="206"/>
      <c r="BB180" s="206"/>
      <c r="BE180" s="206"/>
      <c r="BH180" s="206"/>
      <c r="BK180" s="206"/>
      <c r="BN180" s="206"/>
      <c r="BW180" s="206"/>
      <c r="CD180" s="442"/>
    </row>
    <row r="181" spans="2:84" s="418" customFormat="1" ht="21.75" customHeight="1">
      <c r="B181" s="493">
        <f t="shared" si="124"/>
        <v>0</v>
      </c>
      <c r="C181" s="431"/>
      <c r="D181" s="493"/>
      <c r="E181" s="545"/>
      <c r="F181" s="544"/>
      <c r="G181" s="555"/>
      <c r="H181" s="421"/>
      <c r="I181" s="427"/>
      <c r="J181" s="421"/>
      <c r="L181" s="206"/>
      <c r="M181" s="206"/>
      <c r="O181" s="206"/>
      <c r="R181" s="206"/>
      <c r="U181" s="206"/>
      <c r="X181" s="206"/>
      <c r="AA181" s="206"/>
      <c r="AD181" s="206"/>
      <c r="AG181" s="206"/>
      <c r="AJ181" s="206"/>
      <c r="AM181" s="206"/>
      <c r="AP181" s="206"/>
      <c r="AS181" s="206"/>
      <c r="AV181" s="501"/>
      <c r="AX181" s="206"/>
      <c r="AY181" s="206"/>
      <c r="BB181" s="206"/>
      <c r="BE181" s="206"/>
      <c r="BH181" s="206"/>
      <c r="BK181" s="206"/>
      <c r="BN181" s="206"/>
      <c r="BW181" s="206"/>
      <c r="CD181" s="442"/>
    </row>
    <row r="182" spans="2:84" s="418" customFormat="1" ht="21.75" customHeight="1">
      <c r="B182" s="493">
        <f t="shared" si="124"/>
        <v>0</v>
      </c>
      <c r="C182" s="431"/>
      <c r="D182" s="493"/>
      <c r="E182" s="545"/>
      <c r="F182" s="544"/>
      <c r="G182" s="555"/>
      <c r="H182" s="421"/>
      <c r="I182" s="427"/>
      <c r="J182" s="421"/>
      <c r="L182" s="206"/>
      <c r="M182" s="206"/>
      <c r="O182" s="206"/>
      <c r="R182" s="206"/>
      <c r="U182" s="206"/>
      <c r="X182" s="206"/>
      <c r="AA182" s="206"/>
      <c r="AD182" s="206"/>
      <c r="AG182" s="206"/>
      <c r="AJ182" s="206"/>
      <c r="AM182" s="206"/>
      <c r="AP182" s="206"/>
      <c r="AS182" s="206"/>
      <c r="AV182" s="501"/>
      <c r="AX182" s="206"/>
      <c r="AY182" s="206"/>
      <c r="BB182" s="206"/>
      <c r="BE182" s="206"/>
      <c r="BH182" s="206"/>
      <c r="BK182" s="206"/>
      <c r="BN182" s="206"/>
      <c r="BW182" s="206"/>
      <c r="CD182" s="442"/>
    </row>
    <row r="183" spans="2:84" s="418" customFormat="1" ht="21.75" customHeight="1">
      <c r="B183" s="493">
        <f t="shared" si="124"/>
        <v>0</v>
      </c>
      <c r="C183" s="542"/>
      <c r="D183" s="541"/>
      <c r="E183" s="543"/>
      <c r="F183" s="537"/>
      <c r="G183" s="501"/>
      <c r="H183" s="421"/>
      <c r="I183" s="427"/>
      <c r="J183" s="421"/>
      <c r="L183" s="206"/>
      <c r="M183" s="206"/>
      <c r="O183" s="206"/>
      <c r="R183" s="206"/>
      <c r="U183" s="206"/>
      <c r="X183" s="206"/>
      <c r="AA183" s="206"/>
      <c r="AD183" s="206"/>
      <c r="AG183" s="206"/>
      <c r="AJ183" s="206"/>
      <c r="AM183" s="206"/>
      <c r="AP183" s="206"/>
      <c r="AS183" s="206"/>
      <c r="AV183" s="501"/>
      <c r="AX183" s="206"/>
      <c r="AY183" s="206"/>
      <c r="BB183" s="206"/>
      <c r="BE183" s="206"/>
      <c r="BH183" s="206"/>
      <c r="BW183" s="206"/>
    </row>
    <row r="184" spans="2:84" ht="21.75" customHeight="1">
      <c r="C184" s="404"/>
      <c r="D184" s="404"/>
      <c r="E184" s="404"/>
      <c r="F184" s="404"/>
      <c r="G184" s="505">
        <f>SUBTOTAL(9,G3:G183)</f>
        <v>28860411.879886795</v>
      </c>
      <c r="H184" s="505">
        <f t="shared" ref="H184:BR184" si="141">SUBTOTAL(9,H3:H183)</f>
        <v>374569.24598301889</v>
      </c>
      <c r="I184" s="505">
        <f t="shared" si="141"/>
        <v>730884.1521849056</v>
      </c>
      <c r="J184" s="505">
        <f t="shared" si="141"/>
        <v>0</v>
      </c>
      <c r="K184" s="505">
        <f t="shared" si="141"/>
        <v>36698.113207547169</v>
      </c>
      <c r="L184" s="505">
        <f t="shared" si="141"/>
        <v>694186.03897735849</v>
      </c>
      <c r="M184" s="505">
        <f t="shared" si="141"/>
        <v>0</v>
      </c>
      <c r="N184" s="505">
        <f t="shared" si="141"/>
        <v>8207.5471698113197</v>
      </c>
      <c r="O184" s="505">
        <f t="shared" si="141"/>
        <v>1317713.1618075471</v>
      </c>
      <c r="P184" s="505">
        <f t="shared" si="141"/>
        <v>0</v>
      </c>
      <c r="Q184" s="505">
        <f t="shared" si="141"/>
        <v>67830.188679245286</v>
      </c>
      <c r="R184" s="505">
        <f t="shared" si="141"/>
        <v>1701345.1431283019</v>
      </c>
      <c r="S184" s="505">
        <f t="shared" si="141"/>
        <v>0</v>
      </c>
      <c r="T184" s="505">
        <f t="shared" si="141"/>
        <v>151037.74000000002</v>
      </c>
      <c r="U184" s="505">
        <f t="shared" si="141"/>
        <v>1688049.1331283015</v>
      </c>
      <c r="V184" s="505">
        <f t="shared" si="141"/>
        <v>0</v>
      </c>
      <c r="W184" s="505">
        <f t="shared" si="141"/>
        <v>171037.74339622643</v>
      </c>
      <c r="X184" s="505">
        <f t="shared" si="141"/>
        <v>6504880.7997320751</v>
      </c>
      <c r="Y184" s="505">
        <f t="shared" si="141"/>
        <v>0</v>
      </c>
      <c r="Z184" s="505">
        <f t="shared" si="141"/>
        <v>449834.99</v>
      </c>
      <c r="AA184" s="505">
        <f t="shared" si="141"/>
        <v>6333563.0697320746</v>
      </c>
      <c r="AB184" s="505">
        <f t="shared" si="141"/>
        <v>0</v>
      </c>
      <c r="AC184" s="505">
        <f t="shared" si="141"/>
        <v>414900.00000000006</v>
      </c>
      <c r="AD184" s="505">
        <f t="shared" si="141"/>
        <v>5918663.0697320746</v>
      </c>
      <c r="AE184" s="505">
        <f t="shared" si="141"/>
        <v>0</v>
      </c>
      <c r="AF184" s="505">
        <f t="shared" si="141"/>
        <v>2322790.13</v>
      </c>
      <c r="AG184" s="505">
        <f t="shared" si="141"/>
        <v>3944725.1697320761</v>
      </c>
      <c r="AH184" s="505">
        <f t="shared" si="141"/>
        <v>0</v>
      </c>
      <c r="AI184" s="505">
        <f t="shared" si="141"/>
        <v>1198034.2099999997</v>
      </c>
      <c r="AJ184" s="505">
        <f t="shared" si="141"/>
        <v>15833881.812750943</v>
      </c>
      <c r="AK184" s="505">
        <f t="shared" si="141"/>
        <v>0</v>
      </c>
      <c r="AL184" s="505">
        <f t="shared" si="141"/>
        <v>1279378.0500000003</v>
      </c>
      <c r="AM184" s="505">
        <f t="shared" si="141"/>
        <v>14554503.762750942</v>
      </c>
      <c r="AN184" s="505">
        <f t="shared" si="141"/>
        <v>0</v>
      </c>
      <c r="AO184" s="505">
        <f t="shared" si="141"/>
        <v>1748441.0210000002</v>
      </c>
      <c r="AP184" s="505">
        <f t="shared" si="141"/>
        <v>12806062.741750941</v>
      </c>
      <c r="AQ184" s="505">
        <f t="shared" si="141"/>
        <v>0</v>
      </c>
      <c r="AR184" s="505">
        <f t="shared" si="141"/>
        <v>2306799.14</v>
      </c>
      <c r="AS184" s="505">
        <f t="shared" si="141"/>
        <v>10499263.60175094</v>
      </c>
      <c r="AT184" s="505">
        <f t="shared" si="141"/>
        <v>0</v>
      </c>
      <c r="AU184" s="505">
        <f t="shared" si="141"/>
        <v>1886792.45</v>
      </c>
      <c r="AV184" s="505">
        <f t="shared" si="141"/>
        <v>10347214.35175094</v>
      </c>
      <c r="AW184" s="505">
        <f t="shared" si="141"/>
        <v>0</v>
      </c>
      <c r="AX184" s="505">
        <f t="shared" si="141"/>
        <v>1374563.68</v>
      </c>
      <c r="AY184" s="505">
        <f t="shared" si="141"/>
        <v>8972650.6717509385</v>
      </c>
      <c r="AZ184" s="505">
        <f t="shared" si="141"/>
        <v>0</v>
      </c>
      <c r="BA184" s="505">
        <f t="shared" si="141"/>
        <v>3181155.6330188671</v>
      </c>
      <c r="BB184" s="505">
        <f t="shared" si="141"/>
        <v>7251895.4287320729</v>
      </c>
      <c r="BC184" s="505">
        <f t="shared" si="141"/>
        <v>0</v>
      </c>
      <c r="BD184" s="505">
        <f t="shared" si="141"/>
        <v>299056.59999999998</v>
      </c>
      <c r="BE184" s="505">
        <f t="shared" si="141"/>
        <v>8400140.5710320733</v>
      </c>
      <c r="BF184" s="505">
        <f t="shared" si="141"/>
        <v>0</v>
      </c>
      <c r="BG184" s="505">
        <f t="shared" si="141"/>
        <v>1514058.3599999999</v>
      </c>
      <c r="BH184" s="505">
        <f t="shared" si="141"/>
        <v>6886082.2110320749</v>
      </c>
      <c r="BI184" s="505">
        <f t="shared" si="141"/>
        <v>0</v>
      </c>
      <c r="BJ184" s="505">
        <f t="shared" si="141"/>
        <v>1315245.08</v>
      </c>
      <c r="BK184" s="505">
        <f t="shared" si="141"/>
        <v>5570837.1310320748</v>
      </c>
      <c r="BL184" s="505">
        <f t="shared" si="141"/>
        <v>0</v>
      </c>
      <c r="BM184" s="505">
        <f t="shared" si="141"/>
        <v>154949</v>
      </c>
      <c r="BN184" s="505">
        <f t="shared" si="141"/>
        <v>5730105.1510320753</v>
      </c>
      <c r="BO184" s="505">
        <f t="shared" si="141"/>
        <v>0</v>
      </c>
      <c r="BP184" s="505">
        <f t="shared" si="141"/>
        <v>309248.87</v>
      </c>
      <c r="BQ184" s="505">
        <f>SUBTOTAL(9,BQ3:BQ183)</f>
        <v>7065827.6100000003</v>
      </c>
      <c r="BR184" s="505">
        <f t="shared" si="141"/>
        <v>0</v>
      </c>
      <c r="BS184" s="505">
        <f>SUBTOTAL(9,BS3:BS183)</f>
        <v>1277945.9200000002</v>
      </c>
      <c r="BT184" s="505">
        <f>SUBTOTAL(9,BT3:BT183)</f>
        <v>6380945.4800000014</v>
      </c>
      <c r="BU184" s="505">
        <f t="shared" ref="BU184:CA184" si="142">SUBTOTAL(9,BU3:BU183)</f>
        <v>0</v>
      </c>
      <c r="BV184" s="505">
        <f>SUBTOTAL(9,BV3:BV183)</f>
        <v>1558129.51</v>
      </c>
      <c r="BW184" s="505">
        <f>SUBTOTAL(9,BW3:BW183)</f>
        <v>5459708.6564000007</v>
      </c>
      <c r="BX184" s="505">
        <f t="shared" si="142"/>
        <v>0</v>
      </c>
      <c r="BY184" s="505">
        <f>SUBTOTAL(9,BY3:BY183)</f>
        <v>1051446.51</v>
      </c>
      <c r="BZ184" s="505">
        <f>SUBTOTAL(9,BZ3:BZ183)</f>
        <v>4408262.1500000004</v>
      </c>
      <c r="CA184" s="505">
        <f t="shared" si="142"/>
        <v>0</v>
      </c>
    </row>
    <row r="185" spans="2:84" ht="21.75" customHeight="1">
      <c r="AV185" s="418"/>
    </row>
    <row r="187" spans="2:84" ht="21.75" customHeight="1">
      <c r="C187" s="12"/>
    </row>
    <row r="188" spans="2:84" ht="21.75" customHeight="1">
      <c r="D188" s="418"/>
    </row>
    <row r="189" spans="2:84" ht="21.75" customHeight="1">
      <c r="D189" s="418"/>
    </row>
  </sheetData>
  <autoFilter ref="B2:CA183">
    <filterColumn colId="0"/>
    <filterColumn colId="73"/>
  </autoFilter>
  <phoneticPr fontId="4" type="noConversion"/>
  <pageMargins left="0.7" right="0.7" top="0.75" bottom="0.75" header="0.3" footer="0.3"/>
  <pageSetup paperSize="9" orientation="portrait" horizontalDpi="4294967294" verticalDpi="300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>
  <sheetPr>
    <tabColor rgb="FF00B050"/>
  </sheetPr>
  <dimension ref="B1:Y16"/>
  <sheetViews>
    <sheetView workbookViewId="0">
      <selection activeCell="E24" sqref="E24"/>
    </sheetView>
  </sheetViews>
  <sheetFormatPr defaultRowHeight="12.75"/>
  <cols>
    <col min="5" max="5" width="25.7109375" bestFit="1" customWidth="1"/>
    <col min="6" max="6" width="11.5703125" bestFit="1" customWidth="1"/>
    <col min="7" max="7" width="12.28515625" bestFit="1" customWidth="1"/>
    <col min="8" max="8" width="7.28515625" style="418" bestFit="1" customWidth="1"/>
    <col min="10" max="10" width="12.28515625" bestFit="1" customWidth="1"/>
    <col min="12" max="12" width="9.140625" style="418"/>
    <col min="13" max="13" width="11.140625" style="418" bestFit="1" customWidth="1"/>
    <col min="14" max="15" width="9.140625" style="418"/>
    <col min="16" max="16" width="12.28515625" style="418" bestFit="1" customWidth="1"/>
    <col min="17" max="17" width="9.140625" style="418"/>
    <col min="22" max="22" width="9.28515625" bestFit="1" customWidth="1"/>
  </cols>
  <sheetData>
    <row r="1" spans="2:25">
      <c r="B1" s="107" t="s">
        <v>2322</v>
      </c>
      <c r="C1" s="418"/>
      <c r="D1" s="418"/>
      <c r="E1" s="12" t="s">
        <v>2323</v>
      </c>
    </row>
    <row r="2" spans="2:25" ht="16.5">
      <c r="B2" s="556" t="s">
        <v>1367</v>
      </c>
      <c r="C2" s="557" t="s">
        <v>687</v>
      </c>
      <c r="D2" s="557" t="s">
        <v>719</v>
      </c>
      <c r="E2" s="557" t="s">
        <v>720</v>
      </c>
      <c r="F2" s="558" t="s">
        <v>690</v>
      </c>
      <c r="G2" s="559" t="s">
        <v>2375</v>
      </c>
      <c r="H2" s="230" t="s">
        <v>2315</v>
      </c>
      <c r="I2" s="230" t="s">
        <v>2369</v>
      </c>
      <c r="J2" s="230" t="s">
        <v>2371</v>
      </c>
      <c r="K2" s="230" t="s">
        <v>2315</v>
      </c>
      <c r="L2" s="230" t="s">
        <v>2394</v>
      </c>
      <c r="M2" s="230" t="s">
        <v>2395</v>
      </c>
      <c r="N2" s="230" t="s">
        <v>2315</v>
      </c>
      <c r="O2" s="230" t="s">
        <v>2409</v>
      </c>
      <c r="P2" s="230" t="s">
        <v>2410</v>
      </c>
      <c r="Q2" s="230" t="s">
        <v>2315</v>
      </c>
    </row>
    <row r="3" spans="2:25">
      <c r="B3" s="418" t="str">
        <f t="shared" ref="B3" si="0">LEFT(D3,6)</f>
        <v>CU2023</v>
      </c>
      <c r="C3" s="12" t="s">
        <v>2376</v>
      </c>
      <c r="D3" s="418" t="s">
        <v>2377</v>
      </c>
      <c r="E3" t="s">
        <v>2378</v>
      </c>
      <c r="F3" s="330">
        <v>44075</v>
      </c>
      <c r="G3" s="132">
        <v>21312</v>
      </c>
      <c r="H3" s="132"/>
      <c r="J3" s="206">
        <f t="shared" ref="J3" si="1">ROUND((G3-I3),2)</f>
        <v>21312</v>
      </c>
      <c r="K3" s="418" t="s">
        <v>2406</v>
      </c>
      <c r="M3" s="206">
        <f t="shared" ref="M3" si="2">ROUND((J3-L3),2)</f>
        <v>21312</v>
      </c>
      <c r="P3" s="206">
        <f>ROUND((M3-O3),2)</f>
        <v>21312</v>
      </c>
      <c r="U3" s="418" t="str">
        <f>B3&amp;$B$1</f>
        <v>CU2023001</v>
      </c>
      <c r="V3" s="442" t="str">
        <f>YEAR(F3)&amp;"年"&amp;MONTH(F3)&amp;"月"</f>
        <v>2020年9月</v>
      </c>
      <c r="W3" s="418" t="str">
        <f>LEFT(E3,5)&amp;$E$1</f>
        <v>力克系统（clife服务费暂估</v>
      </c>
      <c r="X3" s="418" t="str">
        <f t="shared" ref="X3" si="3">V3&amp;W3</f>
        <v>2020年9月力克系统（clife服务费暂估</v>
      </c>
    </row>
    <row r="4" spans="2:25">
      <c r="B4" s="418" t="str">
        <f t="shared" ref="B4:B5" si="4">LEFT(D4,6)</f>
        <v>CU2021</v>
      </c>
      <c r="C4" s="12" t="s">
        <v>2376</v>
      </c>
      <c r="D4" s="418" t="s">
        <v>2423</v>
      </c>
      <c r="E4" t="s">
        <v>2422</v>
      </c>
      <c r="F4" s="330">
        <v>44136</v>
      </c>
      <c r="G4">
        <v>1921.71</v>
      </c>
      <c r="M4" s="418">
        <f>G4</f>
        <v>1921.71</v>
      </c>
      <c r="P4" s="206">
        <f t="shared" ref="P4:P5" si="5">ROUND((M4-O4),2)</f>
        <v>1921.71</v>
      </c>
      <c r="U4" s="418" t="str">
        <f t="shared" ref="U4:U6" si="6">B4&amp;$B$1</f>
        <v>CU2021001</v>
      </c>
      <c r="V4" s="442" t="str">
        <f t="shared" ref="V4:V6" si="7">YEAR(F4)&amp;"年"&amp;MONTH(F4)&amp;"月"</f>
        <v>2020年11月</v>
      </c>
      <c r="W4" s="418" t="str">
        <f t="shared" ref="W4:W6" si="8">LEFT(E4,5)&amp;$E$1</f>
        <v>珠海市华翔clife服务费暂估</v>
      </c>
      <c r="X4" s="418" t="str">
        <f t="shared" ref="X4:X6" si="9">V4&amp;W4</f>
        <v>2020年11月珠海市华翔clife服务费暂估</v>
      </c>
      <c r="Y4" s="418"/>
    </row>
    <row r="5" spans="2:25">
      <c r="B5" s="418" t="str">
        <f t="shared" si="4"/>
        <v>CU2023</v>
      </c>
      <c r="C5" s="12" t="s">
        <v>2376</v>
      </c>
      <c r="D5" s="418" t="s">
        <v>2424</v>
      </c>
      <c r="E5" t="s">
        <v>2378</v>
      </c>
      <c r="F5" s="330">
        <v>44136</v>
      </c>
      <c r="G5">
        <v>2280</v>
      </c>
      <c r="M5" s="418">
        <f>G5</f>
        <v>2280</v>
      </c>
      <c r="P5" s="206">
        <f t="shared" si="5"/>
        <v>2280</v>
      </c>
      <c r="U5" s="418" t="str">
        <f t="shared" si="6"/>
        <v>CU2023001</v>
      </c>
      <c r="V5" s="442" t="str">
        <f t="shared" si="7"/>
        <v>2020年11月</v>
      </c>
      <c r="W5" s="418" t="str">
        <f t="shared" si="8"/>
        <v>力克系统（clife服务费暂估</v>
      </c>
      <c r="X5" s="418" t="str">
        <f t="shared" si="9"/>
        <v>2020年11月力克系统（clife服务费暂估</v>
      </c>
      <c r="Y5" s="418"/>
    </row>
    <row r="6" spans="2:25">
      <c r="U6" s="418" t="str">
        <f t="shared" si="6"/>
        <v>001</v>
      </c>
      <c r="V6" s="442" t="str">
        <f t="shared" si="7"/>
        <v>1900年1月</v>
      </c>
      <c r="W6" s="418" t="str">
        <f t="shared" si="8"/>
        <v>clife服务费暂估</v>
      </c>
      <c r="X6" s="418" t="str">
        <f t="shared" si="9"/>
        <v>1900年1月clife服务费暂估</v>
      </c>
      <c r="Y6" s="418"/>
    </row>
    <row r="7" spans="2:25">
      <c r="U7" s="418"/>
      <c r="V7" s="442"/>
      <c r="W7" s="418"/>
      <c r="X7" s="418"/>
      <c r="Y7" s="418"/>
    </row>
    <row r="16" spans="2:25" s="404" customFormat="1">
      <c r="G16" s="505">
        <f>SUBTOTAL(9,G3:G15)</f>
        <v>25513.71</v>
      </c>
      <c r="H16" s="505"/>
      <c r="I16" s="505">
        <f t="shared" ref="I16:Q16" si="10">SUBTOTAL(9,I3:I15)</f>
        <v>0</v>
      </c>
      <c r="J16" s="505">
        <f>SUBTOTAL(9,J3:J15)</f>
        <v>21312</v>
      </c>
      <c r="K16" s="505">
        <f t="shared" si="10"/>
        <v>0</v>
      </c>
      <c r="L16" s="505">
        <f t="shared" si="10"/>
        <v>0</v>
      </c>
      <c r="M16" s="505">
        <f t="shared" si="10"/>
        <v>25513.71</v>
      </c>
      <c r="N16" s="505">
        <f t="shared" si="10"/>
        <v>0</v>
      </c>
      <c r="O16" s="505">
        <f t="shared" si="10"/>
        <v>0</v>
      </c>
      <c r="P16" s="505">
        <f t="shared" si="10"/>
        <v>25513.71</v>
      </c>
      <c r="Q16" s="505">
        <f t="shared" si="10"/>
        <v>0</v>
      </c>
      <c r="R16" s="505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I31"/>
  <sheetViews>
    <sheetView workbookViewId="0">
      <selection activeCell="B2" sqref="B2:B23"/>
    </sheetView>
  </sheetViews>
  <sheetFormatPr defaultRowHeight="12.75"/>
  <cols>
    <col min="2" max="2" width="13.7109375" customWidth="1"/>
    <col min="3" max="4" width="12.5703125" customWidth="1"/>
    <col min="5" max="5" width="29.42578125" customWidth="1"/>
    <col min="6" max="6" width="19.5703125" style="237" customWidth="1"/>
    <col min="7" max="7" width="17.140625" style="237" hidden="1" customWidth="1"/>
    <col min="8" max="8" width="16.5703125" hidden="1" customWidth="1"/>
    <col min="9" max="9" width="13.140625" customWidth="1"/>
  </cols>
  <sheetData>
    <row r="1" spans="2:9">
      <c r="C1" s="233" t="s">
        <v>586</v>
      </c>
      <c r="D1" s="233" t="s">
        <v>588</v>
      </c>
      <c r="E1" s="233" t="s">
        <v>589</v>
      </c>
      <c r="F1" s="236" t="s">
        <v>645</v>
      </c>
      <c r="G1" s="236" t="s">
        <v>669</v>
      </c>
      <c r="I1" s="233" t="s">
        <v>679</v>
      </c>
    </row>
    <row r="2" spans="2:9">
      <c r="B2" s="89" t="s">
        <v>209</v>
      </c>
      <c r="C2" s="234" t="s">
        <v>587</v>
      </c>
      <c r="D2" s="234" t="s">
        <v>646</v>
      </c>
      <c r="E2" s="234" t="s">
        <v>647</v>
      </c>
      <c r="F2" s="237">
        <v>5222.29</v>
      </c>
      <c r="G2" s="237" t="s">
        <v>670</v>
      </c>
    </row>
    <row r="3" spans="2:9">
      <c r="B3" s="89" t="s">
        <v>209</v>
      </c>
      <c r="C3" s="234" t="s">
        <v>587</v>
      </c>
      <c r="D3" s="232" t="s">
        <v>49</v>
      </c>
      <c r="E3" s="234" t="s">
        <v>648</v>
      </c>
      <c r="F3" s="237">
        <v>7289.55</v>
      </c>
      <c r="G3" s="237" t="s">
        <v>670</v>
      </c>
    </row>
    <row r="4" spans="2:9" ht="24">
      <c r="B4" s="89" t="s">
        <v>209</v>
      </c>
      <c r="C4" s="234" t="s">
        <v>587</v>
      </c>
      <c r="D4" s="232" t="s">
        <v>576</v>
      </c>
      <c r="E4" s="234" t="s">
        <v>649</v>
      </c>
      <c r="F4" s="237">
        <v>30432.3</v>
      </c>
      <c r="G4" s="237" t="s">
        <v>670</v>
      </c>
    </row>
    <row r="5" spans="2:9" ht="24">
      <c r="B5" s="89" t="s">
        <v>209</v>
      </c>
      <c r="C5" s="234" t="s">
        <v>587</v>
      </c>
      <c r="D5" s="232" t="s">
        <v>578</v>
      </c>
      <c r="E5" s="234" t="s">
        <v>650</v>
      </c>
      <c r="F5" s="237">
        <v>60255.95</v>
      </c>
      <c r="G5" s="237" t="s">
        <v>670</v>
      </c>
    </row>
    <row r="6" spans="2:9">
      <c r="B6" s="89" t="s">
        <v>209</v>
      </c>
      <c r="C6" s="234" t="s">
        <v>587</v>
      </c>
      <c r="D6" s="232" t="s">
        <v>18</v>
      </c>
      <c r="E6" s="234" t="s">
        <v>651</v>
      </c>
      <c r="F6" s="237">
        <v>124408.77</v>
      </c>
      <c r="G6" s="237" t="s">
        <v>670</v>
      </c>
    </row>
    <row r="7" spans="2:9">
      <c r="B7" s="89" t="s">
        <v>209</v>
      </c>
      <c r="C7" s="234" t="s">
        <v>587</v>
      </c>
      <c r="D7" s="232" t="s">
        <v>75</v>
      </c>
      <c r="E7" s="234" t="s">
        <v>652</v>
      </c>
      <c r="F7" s="237">
        <v>111890.96</v>
      </c>
      <c r="G7" s="237" t="s">
        <v>670</v>
      </c>
    </row>
    <row r="8" spans="2:9">
      <c r="B8" s="89" t="s">
        <v>209</v>
      </c>
      <c r="C8" s="234" t="s">
        <v>587</v>
      </c>
      <c r="D8" s="232" t="s">
        <v>77</v>
      </c>
      <c r="E8" s="234" t="s">
        <v>653</v>
      </c>
      <c r="F8" s="237">
        <v>5264.61</v>
      </c>
      <c r="G8" s="237" t="s">
        <v>670</v>
      </c>
    </row>
    <row r="9" spans="2:9">
      <c r="B9" s="89" t="s">
        <v>209</v>
      </c>
      <c r="C9" s="234" t="s">
        <v>587</v>
      </c>
      <c r="D9" s="232" t="s">
        <v>81</v>
      </c>
      <c r="E9" s="234" t="s">
        <v>654</v>
      </c>
      <c r="F9" s="237">
        <v>24738</v>
      </c>
      <c r="G9" s="237" t="s">
        <v>670</v>
      </c>
    </row>
    <row r="10" spans="2:9">
      <c r="B10" s="89" t="s">
        <v>209</v>
      </c>
      <c r="C10" s="234" t="s">
        <v>587</v>
      </c>
      <c r="D10" s="232" t="s">
        <v>83</v>
      </c>
      <c r="E10" s="234" t="s">
        <v>655</v>
      </c>
      <c r="F10" s="237">
        <v>20947.5</v>
      </c>
      <c r="G10" s="237" t="s">
        <v>670</v>
      </c>
    </row>
    <row r="11" spans="2:9">
      <c r="B11" s="89" t="s">
        <v>209</v>
      </c>
      <c r="C11" s="234" t="s">
        <v>587</v>
      </c>
      <c r="D11" s="232" t="s">
        <v>117</v>
      </c>
      <c r="E11" s="234" t="s">
        <v>656</v>
      </c>
      <c r="F11" s="237">
        <v>985.7</v>
      </c>
      <c r="G11" s="237" t="s">
        <v>670</v>
      </c>
    </row>
    <row r="12" spans="2:9">
      <c r="B12" s="89" t="s">
        <v>209</v>
      </c>
      <c r="C12" s="234" t="s">
        <v>587</v>
      </c>
      <c r="D12" s="232" t="s">
        <v>119</v>
      </c>
      <c r="E12" s="234" t="s">
        <v>657</v>
      </c>
      <c r="F12" s="237">
        <v>197.14</v>
      </c>
      <c r="G12" s="237" t="s">
        <v>670</v>
      </c>
    </row>
    <row r="13" spans="2:9">
      <c r="B13" s="89" t="s">
        <v>209</v>
      </c>
      <c r="C13" s="234" t="s">
        <v>587</v>
      </c>
      <c r="D13" s="232" t="s">
        <v>133</v>
      </c>
      <c r="E13" s="234" t="s">
        <v>658</v>
      </c>
      <c r="F13" s="237">
        <v>16965</v>
      </c>
      <c r="G13" s="237" t="s">
        <v>670</v>
      </c>
    </row>
    <row r="14" spans="2:9">
      <c r="B14" s="89" t="s">
        <v>209</v>
      </c>
      <c r="C14" s="234" t="s">
        <v>587</v>
      </c>
      <c r="D14" s="232" t="s">
        <v>135</v>
      </c>
      <c r="E14" s="234" t="s">
        <v>659</v>
      </c>
      <c r="F14" s="237">
        <v>5055.8</v>
      </c>
      <c r="G14" s="237" t="s">
        <v>670</v>
      </c>
    </row>
    <row r="15" spans="2:9">
      <c r="B15" s="89" t="s">
        <v>209</v>
      </c>
      <c r="C15" s="234" t="s">
        <v>587</v>
      </c>
      <c r="D15" s="232" t="s">
        <v>161</v>
      </c>
      <c r="E15" s="234" t="s">
        <v>660</v>
      </c>
      <c r="F15" s="237">
        <v>78466.789999999994</v>
      </c>
      <c r="G15" s="237" t="s">
        <v>670</v>
      </c>
    </row>
    <row r="16" spans="2:9">
      <c r="B16" s="89" t="s">
        <v>209</v>
      </c>
      <c r="C16" s="234" t="s">
        <v>587</v>
      </c>
      <c r="D16" s="232" t="s">
        <v>167</v>
      </c>
      <c r="E16" s="234" t="s">
        <v>661</v>
      </c>
      <c r="F16" s="237">
        <v>558.89</v>
      </c>
      <c r="G16" s="237" t="s">
        <v>670</v>
      </c>
    </row>
    <row r="17" spans="2:8">
      <c r="B17" s="89" t="s">
        <v>209</v>
      </c>
      <c r="C17" s="234" t="s">
        <v>587</v>
      </c>
      <c r="D17" s="232" t="s">
        <v>187</v>
      </c>
      <c r="E17" s="234" t="s">
        <v>662</v>
      </c>
      <c r="F17" s="237">
        <v>6094.34</v>
      </c>
      <c r="G17" s="237" t="s">
        <v>670</v>
      </c>
    </row>
    <row r="18" spans="2:8">
      <c r="B18" s="89" t="s">
        <v>209</v>
      </c>
      <c r="C18" s="234" t="s">
        <v>587</v>
      </c>
      <c r="D18" s="232" t="s">
        <v>199</v>
      </c>
      <c r="E18" s="234" t="s">
        <v>663</v>
      </c>
      <c r="F18" s="237">
        <v>3112.74</v>
      </c>
      <c r="G18" s="237" t="s">
        <v>670</v>
      </c>
    </row>
    <row r="19" spans="2:8">
      <c r="B19" s="89" t="s">
        <v>209</v>
      </c>
      <c r="C19" s="234" t="s">
        <v>587</v>
      </c>
      <c r="D19" s="232" t="s">
        <v>238</v>
      </c>
      <c r="E19" s="234" t="s">
        <v>664</v>
      </c>
      <c r="F19" s="237">
        <v>31408.27</v>
      </c>
      <c r="G19" s="237" t="s">
        <v>670</v>
      </c>
    </row>
    <row r="20" spans="2:8">
      <c r="B20" s="89" t="s">
        <v>209</v>
      </c>
      <c r="C20" s="234" t="s">
        <v>587</v>
      </c>
      <c r="D20" s="232" t="s">
        <v>580</v>
      </c>
      <c r="E20" s="234" t="s">
        <v>665</v>
      </c>
      <c r="F20" s="237">
        <v>10952.76</v>
      </c>
      <c r="G20" s="237" t="s">
        <v>670</v>
      </c>
    </row>
    <row r="21" spans="2:8">
      <c r="B21" s="89" t="s">
        <v>209</v>
      </c>
      <c r="C21" s="234" t="s">
        <v>587</v>
      </c>
      <c r="D21" s="232" t="s">
        <v>582</v>
      </c>
      <c r="E21" s="234" t="s">
        <v>666</v>
      </c>
      <c r="F21" s="237">
        <v>16479.38</v>
      </c>
      <c r="G21" s="237" t="s">
        <v>670</v>
      </c>
    </row>
    <row r="22" spans="2:8">
      <c r="B22" s="89" t="s">
        <v>209</v>
      </c>
      <c r="C22" s="234" t="s">
        <v>587</v>
      </c>
      <c r="D22" s="232" t="s">
        <v>139</v>
      </c>
      <c r="E22" s="234" t="s">
        <v>667</v>
      </c>
      <c r="F22" s="237">
        <v>22737.13</v>
      </c>
      <c r="G22" s="237" t="s">
        <v>670</v>
      </c>
      <c r="H22" t="s">
        <v>644</v>
      </c>
    </row>
    <row r="23" spans="2:8">
      <c r="B23" s="89" t="s">
        <v>209</v>
      </c>
      <c r="C23" s="234" t="s">
        <v>587</v>
      </c>
      <c r="D23" s="232" t="s">
        <v>159</v>
      </c>
      <c r="E23" s="234" t="s">
        <v>668</v>
      </c>
      <c r="F23" s="237">
        <v>4385.21</v>
      </c>
      <c r="G23" s="237" t="s">
        <v>670</v>
      </c>
      <c r="H23" t="s">
        <v>644</v>
      </c>
    </row>
    <row r="24" spans="2:8">
      <c r="B24" s="230"/>
      <c r="C24" s="235" t="s">
        <v>587</v>
      </c>
      <c r="D24" s="230"/>
      <c r="E24" s="230"/>
      <c r="F24" s="238">
        <f>SUM(F2:F23)</f>
        <v>587849.07999999996</v>
      </c>
      <c r="G24" s="238"/>
    </row>
    <row r="25" spans="2:8">
      <c r="B25" s="89" t="s">
        <v>208</v>
      </c>
      <c r="C25" s="234" t="s">
        <v>587</v>
      </c>
      <c r="D25" s="232" t="s">
        <v>18</v>
      </c>
      <c r="E25" s="234" t="s">
        <v>651</v>
      </c>
      <c r="F25" s="237">
        <v>30000</v>
      </c>
      <c r="G25" s="237" t="s">
        <v>675</v>
      </c>
    </row>
    <row r="26" spans="2:8">
      <c r="B26" s="89" t="s">
        <v>208</v>
      </c>
      <c r="C26" s="234" t="s">
        <v>587</v>
      </c>
      <c r="D26" s="232" t="s">
        <v>584</v>
      </c>
      <c r="E26" s="234" t="s">
        <v>671</v>
      </c>
      <c r="F26" s="237">
        <v>63056.11</v>
      </c>
      <c r="G26" s="237" t="s">
        <v>675</v>
      </c>
    </row>
    <row r="27" spans="2:8">
      <c r="B27" s="89" t="s">
        <v>208</v>
      </c>
      <c r="C27" s="234" t="s">
        <v>587</v>
      </c>
      <c r="D27" s="232" t="s">
        <v>22</v>
      </c>
      <c r="E27" s="234" t="s">
        <v>672</v>
      </c>
      <c r="F27" s="237">
        <v>500</v>
      </c>
      <c r="G27" s="237" t="s">
        <v>675</v>
      </c>
    </row>
    <row r="28" spans="2:8">
      <c r="B28" s="89" t="s">
        <v>208</v>
      </c>
      <c r="C28" s="234" t="s">
        <v>587</v>
      </c>
      <c r="D28" s="232" t="s">
        <v>26</v>
      </c>
      <c r="E28" s="234" t="s">
        <v>673</v>
      </c>
      <c r="F28" s="237">
        <v>26684.71</v>
      </c>
      <c r="G28" s="237" t="s">
        <v>675</v>
      </c>
    </row>
    <row r="29" spans="2:8">
      <c r="B29" s="89" t="s">
        <v>208</v>
      </c>
      <c r="C29" s="234" t="s">
        <v>587</v>
      </c>
      <c r="D29" s="232" t="s">
        <v>230</v>
      </c>
      <c r="E29" s="234" t="s">
        <v>674</v>
      </c>
      <c r="F29" s="237">
        <v>20303.5</v>
      </c>
      <c r="G29" s="237" t="s">
        <v>675</v>
      </c>
    </row>
    <row r="30" spans="2:8">
      <c r="B30" s="230"/>
      <c r="C30" s="230"/>
      <c r="D30" s="230"/>
      <c r="E30" s="230"/>
      <c r="F30" s="238">
        <f>SUM(F25:F29)</f>
        <v>140544.32000000001</v>
      </c>
      <c r="G30" s="238"/>
    </row>
    <row r="31" spans="2:8">
      <c r="F31" s="237">
        <f>F30+'11月暂估数'!Q29+'10月暂估数'!K22+'09月暂估数'!Q97</f>
        <v>1193726.6652000002</v>
      </c>
    </row>
  </sheetData>
  <phoneticPr fontId="17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S30"/>
  <sheetViews>
    <sheetView workbookViewId="0">
      <selection activeCell="B2" sqref="B2:B23"/>
    </sheetView>
  </sheetViews>
  <sheetFormatPr defaultRowHeight="13.5" customHeight="1"/>
  <cols>
    <col min="2" max="2" width="12.7109375" customWidth="1"/>
    <col min="3" max="3" width="32.85546875" customWidth="1"/>
    <col min="4" max="4" width="8.85546875" bestFit="1" customWidth="1"/>
    <col min="5" max="5" width="7.7109375" hidden="1" customWidth="1"/>
    <col min="6" max="6" width="16.5703125" hidden="1" customWidth="1"/>
    <col min="7" max="7" width="16" hidden="1" customWidth="1"/>
    <col min="8" max="8" width="7.7109375" hidden="1" customWidth="1"/>
    <col min="9" max="9" width="10.85546875" hidden="1" customWidth="1"/>
    <col min="10" max="10" width="10.140625" hidden="1" customWidth="1"/>
    <col min="11" max="11" width="11.5703125" hidden="1" customWidth="1"/>
    <col min="12" max="14" width="7.7109375" hidden="1" customWidth="1"/>
    <col min="15" max="15" width="0" hidden="1" customWidth="1"/>
    <col min="16" max="16" width="10.140625" hidden="1" customWidth="1"/>
    <col min="17" max="17" width="12" customWidth="1"/>
    <col min="18" max="18" width="11.28515625" hidden="1" customWidth="1"/>
    <col min="19" max="19" width="12.5703125" customWidth="1"/>
  </cols>
  <sheetData>
    <row r="1" spans="1:19" ht="13.5" customHeight="1">
      <c r="A1" s="188" t="s">
        <v>270</v>
      </c>
      <c r="B1" s="157"/>
    </row>
    <row r="2" spans="1:19" ht="13.5" customHeight="1">
      <c r="A2" s="89" t="s">
        <v>209</v>
      </c>
      <c r="B2" s="89" t="s">
        <v>488</v>
      </c>
      <c r="C2" s="24" t="s">
        <v>465</v>
      </c>
      <c r="D2" s="25" t="s">
        <v>466</v>
      </c>
      <c r="E2" s="24" t="s">
        <v>467</v>
      </c>
      <c r="F2" s="24" t="s">
        <v>468</v>
      </c>
      <c r="G2" s="24" t="s">
        <v>469</v>
      </c>
      <c r="H2" s="24" t="s">
        <v>470</v>
      </c>
      <c r="I2" s="24" t="s">
        <v>537</v>
      </c>
      <c r="J2" s="24" t="s">
        <v>538</v>
      </c>
      <c r="K2" s="205" t="s">
        <v>554</v>
      </c>
      <c r="L2" s="24" t="s">
        <v>472</v>
      </c>
      <c r="M2" s="24" t="s">
        <v>473</v>
      </c>
      <c r="N2" s="26" t="s">
        <v>474</v>
      </c>
      <c r="O2" s="135"/>
      <c r="P2" s="205" t="s">
        <v>552</v>
      </c>
      <c r="Q2" s="216" t="s">
        <v>553</v>
      </c>
      <c r="R2" s="216" t="s">
        <v>561</v>
      </c>
      <c r="S2" s="233" t="s">
        <v>678</v>
      </c>
    </row>
    <row r="3" spans="1:19" ht="13.5" customHeight="1">
      <c r="A3" s="89" t="s">
        <v>209</v>
      </c>
      <c r="B3" s="89" t="s">
        <v>167</v>
      </c>
      <c r="C3" s="154" t="s">
        <v>482</v>
      </c>
      <c r="D3" s="30">
        <v>71</v>
      </c>
      <c r="E3" s="28"/>
      <c r="F3" s="155">
        <v>935.4</v>
      </c>
      <c r="G3" s="151">
        <f t="shared" ref="G3:G14" si="0">F3/1.06</f>
        <v>882.45283018867917</v>
      </c>
      <c r="H3" s="28">
        <v>11</v>
      </c>
      <c r="I3" s="28"/>
      <c r="J3" s="28"/>
      <c r="K3" s="185">
        <f t="shared" ref="K3:K14" si="1">G3*(1-N3)</f>
        <v>838.33018867924523</v>
      </c>
      <c r="L3" s="28"/>
      <c r="M3" s="28"/>
      <c r="N3" s="33">
        <v>0.05</v>
      </c>
      <c r="O3" s="149" t="s">
        <v>489</v>
      </c>
      <c r="P3" s="28"/>
      <c r="Q3" s="148">
        <f>K3-P3</f>
        <v>838.33018867924523</v>
      </c>
      <c r="R3" s="215" t="s">
        <v>560</v>
      </c>
    </row>
    <row r="4" spans="1:19" ht="13.5" customHeight="1">
      <c r="A4" s="89" t="s">
        <v>209</v>
      </c>
      <c r="B4" s="89" t="s">
        <v>135</v>
      </c>
      <c r="C4" s="89" t="s">
        <v>417</v>
      </c>
      <c r="D4" s="30">
        <v>71</v>
      </c>
      <c r="E4" s="28"/>
      <c r="F4" s="155">
        <v>5641.2</v>
      </c>
      <c r="G4" s="151">
        <f t="shared" si="0"/>
        <v>5321.8867924528295</v>
      </c>
      <c r="H4" s="28">
        <v>11</v>
      </c>
      <c r="I4" s="28"/>
      <c r="J4" s="28"/>
      <c r="K4" s="185">
        <f t="shared" si="1"/>
        <v>5109.0113207547165</v>
      </c>
      <c r="L4" s="28"/>
      <c r="M4" s="28"/>
      <c r="N4" s="33">
        <v>0.04</v>
      </c>
      <c r="O4" s="149" t="s">
        <v>489</v>
      </c>
      <c r="P4" s="28"/>
      <c r="Q4" s="148">
        <f t="shared" ref="Q4:Q28" si="2">K4-P4</f>
        <v>5109.0113207547165</v>
      </c>
      <c r="R4" s="215" t="s">
        <v>560</v>
      </c>
    </row>
    <row r="5" spans="1:19" ht="13.5" customHeight="1">
      <c r="A5" s="89" t="s">
        <v>209</v>
      </c>
      <c r="B5" s="89" t="s">
        <v>133</v>
      </c>
      <c r="C5" s="89" t="s">
        <v>363</v>
      </c>
      <c r="D5" s="30">
        <v>71</v>
      </c>
      <c r="E5" s="28"/>
      <c r="F5" s="153">
        <v>18929.36</v>
      </c>
      <c r="G5" s="151">
        <f t="shared" si="0"/>
        <v>17857.886792452831</v>
      </c>
      <c r="H5" s="28">
        <v>11</v>
      </c>
      <c r="I5" s="28"/>
      <c r="J5" s="28"/>
      <c r="K5" s="185">
        <f t="shared" si="1"/>
        <v>17143.571320754716</v>
      </c>
      <c r="L5" s="28"/>
      <c r="M5" s="28"/>
      <c r="N5" s="33">
        <v>0.04</v>
      </c>
      <c r="O5" s="149" t="s">
        <v>489</v>
      </c>
      <c r="P5" s="28"/>
      <c r="Q5" s="148">
        <f t="shared" si="2"/>
        <v>17143.571320754716</v>
      </c>
      <c r="R5" s="215" t="s">
        <v>560</v>
      </c>
    </row>
    <row r="6" spans="1:19" ht="13.5" customHeight="1">
      <c r="A6" s="89" t="s">
        <v>209</v>
      </c>
      <c r="B6" s="89" t="s">
        <v>421</v>
      </c>
      <c r="C6" s="89" t="s">
        <v>269</v>
      </c>
      <c r="D6" s="30">
        <v>71</v>
      </c>
      <c r="E6" s="28"/>
      <c r="F6" s="153">
        <v>3278.59</v>
      </c>
      <c r="G6" s="158">
        <f t="shared" si="0"/>
        <v>3093.0094339622642</v>
      </c>
      <c r="H6" s="28">
        <v>11</v>
      </c>
      <c r="I6" s="28"/>
      <c r="J6" s="28"/>
      <c r="K6" s="185">
        <f t="shared" si="1"/>
        <v>3000.219150943396</v>
      </c>
      <c r="L6" s="28"/>
      <c r="M6" s="28"/>
      <c r="N6" s="33">
        <v>0.03</v>
      </c>
      <c r="O6" s="149" t="s">
        <v>489</v>
      </c>
      <c r="P6" s="28"/>
      <c r="Q6" s="148">
        <f t="shared" si="2"/>
        <v>3000.219150943396</v>
      </c>
      <c r="R6" s="215" t="s">
        <v>560</v>
      </c>
    </row>
    <row r="7" spans="1:19" ht="13.5" customHeight="1">
      <c r="A7" s="89" t="s">
        <v>209</v>
      </c>
      <c r="B7" s="89" t="s">
        <v>421</v>
      </c>
      <c r="C7" s="89" t="s">
        <v>269</v>
      </c>
      <c r="D7" s="30">
        <v>71</v>
      </c>
      <c r="E7" s="28"/>
      <c r="F7" s="153">
        <v>3133.94</v>
      </c>
      <c r="G7" s="158">
        <f t="shared" si="0"/>
        <v>2956.5471698113206</v>
      </c>
      <c r="H7" s="28">
        <v>11</v>
      </c>
      <c r="I7" s="28"/>
      <c r="J7" s="28"/>
      <c r="K7" s="185">
        <f t="shared" si="1"/>
        <v>2867.8507547169811</v>
      </c>
      <c r="L7" s="28"/>
      <c r="M7" s="28"/>
      <c r="N7" s="33">
        <v>0.03</v>
      </c>
      <c r="O7" s="149" t="s">
        <v>489</v>
      </c>
      <c r="P7" s="28"/>
      <c r="Q7" s="148">
        <f t="shared" si="2"/>
        <v>2867.8507547169811</v>
      </c>
      <c r="R7" s="215" t="s">
        <v>560</v>
      </c>
    </row>
    <row r="8" spans="1:19" ht="13.5" customHeight="1">
      <c r="A8" s="89" t="s">
        <v>209</v>
      </c>
      <c r="B8" s="89" t="s">
        <v>420</v>
      </c>
      <c r="C8" s="89" t="s">
        <v>419</v>
      </c>
      <c r="D8" s="30">
        <v>71</v>
      </c>
      <c r="E8" s="28"/>
      <c r="F8" s="151">
        <v>41271.629999999997</v>
      </c>
      <c r="G8" s="158">
        <f t="shared" si="0"/>
        <v>38935.499999999993</v>
      </c>
      <c r="H8" s="28">
        <v>11</v>
      </c>
      <c r="I8" s="28"/>
      <c r="J8" s="28"/>
      <c r="K8" s="185">
        <f t="shared" si="1"/>
        <v>37767.43499999999</v>
      </c>
      <c r="L8" s="28"/>
      <c r="M8" s="28"/>
      <c r="N8" s="33">
        <v>0.03</v>
      </c>
      <c r="O8" s="149" t="s">
        <v>489</v>
      </c>
      <c r="P8" s="28"/>
      <c r="Q8" s="148">
        <f t="shared" si="2"/>
        <v>37767.43499999999</v>
      </c>
      <c r="R8" s="215" t="s">
        <v>560</v>
      </c>
    </row>
    <row r="9" spans="1:19" ht="13.5" customHeight="1">
      <c r="A9" s="89" t="s">
        <v>209</v>
      </c>
      <c r="B9" s="89" t="s">
        <v>420</v>
      </c>
      <c r="C9" s="89" t="s">
        <v>419</v>
      </c>
      <c r="D9" s="30">
        <v>71</v>
      </c>
      <c r="E9" s="28"/>
      <c r="F9" s="153">
        <v>40982.35</v>
      </c>
      <c r="G9" s="158">
        <f t="shared" si="0"/>
        <v>38662.594339622636</v>
      </c>
      <c r="H9" s="28">
        <v>11</v>
      </c>
      <c r="I9" s="28"/>
      <c r="J9" s="28"/>
      <c r="K9" s="185">
        <f t="shared" si="1"/>
        <v>37502.716509433958</v>
      </c>
      <c r="L9" s="28"/>
      <c r="M9" s="28"/>
      <c r="N9" s="33">
        <v>0.03</v>
      </c>
      <c r="O9" s="149" t="s">
        <v>489</v>
      </c>
      <c r="P9" s="28"/>
      <c r="Q9" s="148">
        <f t="shared" si="2"/>
        <v>37502.716509433958</v>
      </c>
      <c r="R9" s="215" t="s">
        <v>560</v>
      </c>
    </row>
    <row r="10" spans="1:19" ht="13.5" customHeight="1">
      <c r="A10" s="89" t="s">
        <v>209</v>
      </c>
      <c r="B10" s="89" t="s">
        <v>420</v>
      </c>
      <c r="C10" s="89" t="s">
        <v>419</v>
      </c>
      <c r="D10" s="30">
        <v>71</v>
      </c>
      <c r="E10" s="28"/>
      <c r="F10" s="153">
        <v>5785.74</v>
      </c>
      <c r="G10" s="158">
        <f t="shared" si="0"/>
        <v>5458.2452830188677</v>
      </c>
      <c r="H10" s="28">
        <v>11</v>
      </c>
      <c r="I10" s="28"/>
      <c r="J10" s="28"/>
      <c r="K10" s="185">
        <f t="shared" si="1"/>
        <v>5294.4979245283012</v>
      </c>
      <c r="L10" s="28"/>
      <c r="M10" s="28"/>
      <c r="N10" s="33">
        <v>0.03</v>
      </c>
      <c r="O10" s="149" t="s">
        <v>489</v>
      </c>
      <c r="P10" s="28"/>
      <c r="Q10" s="148">
        <f t="shared" si="2"/>
        <v>5294.4979245283012</v>
      </c>
      <c r="R10" s="215" t="s">
        <v>560</v>
      </c>
    </row>
    <row r="11" spans="1:19" ht="13.5" customHeight="1">
      <c r="A11" s="89" t="s">
        <v>209</v>
      </c>
      <c r="B11" s="64" t="s">
        <v>33</v>
      </c>
      <c r="C11" s="63" t="s">
        <v>486</v>
      </c>
      <c r="D11" s="30">
        <v>71</v>
      </c>
      <c r="E11" s="28"/>
      <c r="F11" s="153">
        <v>23192.799999999999</v>
      </c>
      <c r="G11" s="151">
        <f t="shared" si="0"/>
        <v>21880</v>
      </c>
      <c r="H11" s="28">
        <v>11</v>
      </c>
      <c r="I11" s="28"/>
      <c r="J11" s="28"/>
      <c r="K11" s="185">
        <f t="shared" si="1"/>
        <v>21442.399999999998</v>
      </c>
      <c r="L11" s="28"/>
      <c r="M11" s="28"/>
      <c r="N11" s="33">
        <v>0.02</v>
      </c>
      <c r="O11" s="149" t="s">
        <v>489</v>
      </c>
      <c r="P11" s="28"/>
      <c r="Q11" s="148">
        <f t="shared" si="2"/>
        <v>21442.399999999998</v>
      </c>
      <c r="R11" s="215" t="s">
        <v>560</v>
      </c>
    </row>
    <row r="12" spans="1:19" ht="13.5" customHeight="1">
      <c r="A12" s="89" t="s">
        <v>209</v>
      </c>
      <c r="B12" s="89" t="s">
        <v>53</v>
      </c>
      <c r="C12" s="154" t="s">
        <v>485</v>
      </c>
      <c r="D12" s="30">
        <v>71</v>
      </c>
      <c r="E12" s="28"/>
      <c r="F12" s="155">
        <v>254.4</v>
      </c>
      <c r="G12" s="151">
        <f t="shared" si="0"/>
        <v>240</v>
      </c>
      <c r="H12" s="28">
        <v>11</v>
      </c>
      <c r="I12" s="28"/>
      <c r="J12" s="28"/>
      <c r="K12" s="185">
        <f t="shared" si="1"/>
        <v>235.2</v>
      </c>
      <c r="L12" s="28"/>
      <c r="M12" s="28"/>
      <c r="N12" s="33">
        <v>0.02</v>
      </c>
      <c r="O12" s="149" t="s">
        <v>489</v>
      </c>
      <c r="P12" s="28"/>
      <c r="Q12" s="148">
        <f t="shared" si="2"/>
        <v>235.2</v>
      </c>
      <c r="R12" s="215" t="s">
        <v>560</v>
      </c>
    </row>
    <row r="13" spans="1:19" ht="13.5" customHeight="1">
      <c r="A13" s="89" t="s">
        <v>209</v>
      </c>
      <c r="B13" s="89" t="s">
        <v>244</v>
      </c>
      <c r="C13" s="89" t="s">
        <v>245</v>
      </c>
      <c r="D13" s="30">
        <v>71</v>
      </c>
      <c r="E13" s="28"/>
      <c r="F13" s="155">
        <v>295140.24</v>
      </c>
      <c r="G13" s="151">
        <f t="shared" si="0"/>
        <v>278434.18867924524</v>
      </c>
      <c r="H13" s="28">
        <v>11</v>
      </c>
      <c r="I13" s="28"/>
      <c r="J13" s="28"/>
      <c r="K13" s="185">
        <f t="shared" si="1"/>
        <v>267296.82113207545</v>
      </c>
      <c r="L13" s="28"/>
      <c r="M13" s="28"/>
      <c r="N13" s="33">
        <v>0.04</v>
      </c>
      <c r="O13" s="149" t="s">
        <v>489</v>
      </c>
      <c r="P13" s="28"/>
      <c r="Q13" s="148">
        <f t="shared" si="2"/>
        <v>267296.82113207545</v>
      </c>
      <c r="R13" s="215" t="s">
        <v>560</v>
      </c>
    </row>
    <row r="14" spans="1:19" ht="13.5" customHeight="1">
      <c r="A14" s="89" t="s">
        <v>209</v>
      </c>
      <c r="B14" s="89" t="s">
        <v>59</v>
      </c>
      <c r="C14" s="154" t="s">
        <v>487</v>
      </c>
      <c r="D14" s="30">
        <v>71</v>
      </c>
      <c r="E14" s="28"/>
      <c r="F14" s="153">
        <v>7800</v>
      </c>
      <c r="G14" s="151">
        <f t="shared" si="0"/>
        <v>7358.4905660377353</v>
      </c>
      <c r="H14" s="28">
        <v>11</v>
      </c>
      <c r="I14" s="28"/>
      <c r="J14" s="28"/>
      <c r="K14" s="185">
        <f t="shared" si="1"/>
        <v>7358.4905660377353</v>
      </c>
      <c r="L14" s="28"/>
      <c r="M14" s="28"/>
      <c r="N14" s="33">
        <v>0</v>
      </c>
      <c r="O14" s="149" t="s">
        <v>489</v>
      </c>
      <c r="P14" s="28"/>
      <c r="Q14" s="148">
        <f t="shared" si="2"/>
        <v>7358.4905660377353</v>
      </c>
      <c r="R14" s="215" t="s">
        <v>560</v>
      </c>
    </row>
    <row r="15" spans="1:19" ht="13.5" customHeight="1">
      <c r="A15" s="89" t="s">
        <v>209</v>
      </c>
      <c r="B15" s="182" t="s">
        <v>536</v>
      </c>
      <c r="C15" s="189" t="s">
        <v>418</v>
      </c>
      <c r="D15" s="30">
        <v>71</v>
      </c>
      <c r="E15" s="135"/>
      <c r="F15" s="135">
        <v>361000</v>
      </c>
      <c r="G15" s="183">
        <f>F15/1.06</f>
        <v>340566.03773584904</v>
      </c>
      <c r="H15" s="184">
        <v>11</v>
      </c>
      <c r="I15" s="184">
        <v>330349.05660377356</v>
      </c>
      <c r="J15" s="184">
        <v>200000</v>
      </c>
      <c r="K15" s="185">
        <f>I15-J15</f>
        <v>130349.05660377356</v>
      </c>
      <c r="L15" s="135"/>
      <c r="M15" s="135"/>
      <c r="N15" s="33">
        <v>0.03</v>
      </c>
      <c r="O15" s="149" t="s">
        <v>489</v>
      </c>
      <c r="P15" s="184"/>
      <c r="Q15" s="148">
        <f t="shared" si="2"/>
        <v>130349.05660377356</v>
      </c>
      <c r="R15" s="215" t="s">
        <v>560</v>
      </c>
    </row>
    <row r="16" spans="1:19" s="181" customFormat="1" ht="13.5" customHeight="1">
      <c r="A16" s="220"/>
      <c r="B16" s="220"/>
      <c r="C16" s="221"/>
      <c r="D16" s="222"/>
      <c r="E16" s="223"/>
      <c r="F16" s="224"/>
      <c r="G16" s="225"/>
      <c r="H16" s="223"/>
      <c r="I16" s="223"/>
      <c r="J16" s="223"/>
      <c r="K16" s="226">
        <f>SUM(K3:K15)</f>
        <v>536205.60047169798</v>
      </c>
      <c r="L16" s="223"/>
      <c r="M16" s="223"/>
      <c r="N16" s="227"/>
      <c r="O16" s="228"/>
      <c r="P16" s="223"/>
      <c r="Q16" s="226">
        <f>SUM(Q3:Q15)</f>
        <v>536205.60047169798</v>
      </c>
      <c r="R16" s="229"/>
    </row>
    <row r="17" spans="1:18" ht="13.5" customHeight="1">
      <c r="A17" s="89" t="s">
        <v>208</v>
      </c>
      <c r="B17" s="89" t="s">
        <v>12</v>
      </c>
      <c r="C17" s="89" t="s">
        <v>436</v>
      </c>
      <c r="D17" s="30">
        <v>71</v>
      </c>
      <c r="E17" s="135"/>
      <c r="F17" s="135"/>
      <c r="G17" s="186">
        <v>50451.54</v>
      </c>
      <c r="H17" s="28">
        <v>11</v>
      </c>
      <c r="I17" s="135"/>
      <c r="J17" s="135"/>
      <c r="K17" s="185">
        <v>48937.99</v>
      </c>
      <c r="L17" s="135"/>
      <c r="M17" s="135"/>
      <c r="N17" s="33">
        <v>0.03</v>
      </c>
      <c r="O17" s="194" t="s">
        <v>542</v>
      </c>
      <c r="P17" s="135"/>
      <c r="Q17" s="161">
        <f t="shared" si="2"/>
        <v>48937.99</v>
      </c>
      <c r="R17" s="219" t="s">
        <v>565</v>
      </c>
    </row>
    <row r="18" spans="1:18" ht="13.5" customHeight="1">
      <c r="A18" s="89" t="s">
        <v>208</v>
      </c>
      <c r="B18" s="89" t="s">
        <v>14</v>
      </c>
      <c r="C18" s="89" t="s">
        <v>566</v>
      </c>
      <c r="D18" s="30">
        <v>71</v>
      </c>
      <c r="E18" s="135"/>
      <c r="F18" s="135"/>
      <c r="G18" s="186">
        <v>62707.06</v>
      </c>
      <c r="H18" s="28">
        <v>11</v>
      </c>
      <c r="I18" s="135"/>
      <c r="J18" s="135"/>
      <c r="K18" s="185">
        <v>60825.85</v>
      </c>
      <c r="L18" s="135"/>
      <c r="M18" s="135"/>
      <c r="N18" s="33">
        <v>0.03</v>
      </c>
      <c r="O18" s="194" t="s">
        <v>542</v>
      </c>
      <c r="P18" s="135"/>
      <c r="Q18" s="161">
        <f t="shared" si="2"/>
        <v>60825.85</v>
      </c>
      <c r="R18" s="219" t="s">
        <v>565</v>
      </c>
    </row>
    <row r="19" spans="1:18" ht="13.5" customHeight="1">
      <c r="A19" s="89" t="s">
        <v>208</v>
      </c>
      <c r="B19" s="89" t="s">
        <v>214</v>
      </c>
      <c r="C19" s="89" t="s">
        <v>567</v>
      </c>
      <c r="D19" s="30">
        <v>71</v>
      </c>
      <c r="E19" s="135"/>
      <c r="F19" s="135"/>
      <c r="G19" s="186">
        <v>32739.15</v>
      </c>
      <c r="H19" s="28">
        <v>11</v>
      </c>
      <c r="I19" s="135"/>
      <c r="J19" s="135"/>
      <c r="K19" s="185">
        <v>31756.98</v>
      </c>
      <c r="L19" s="135"/>
      <c r="M19" s="135"/>
      <c r="N19" s="33">
        <v>0.03</v>
      </c>
      <c r="O19" s="194" t="s">
        <v>542</v>
      </c>
      <c r="P19" s="135"/>
      <c r="Q19" s="161">
        <f t="shared" si="2"/>
        <v>31756.98</v>
      </c>
      <c r="R19" s="219" t="s">
        <v>565</v>
      </c>
    </row>
    <row r="20" spans="1:18" ht="13.5" customHeight="1">
      <c r="A20" s="89" t="s">
        <v>208</v>
      </c>
      <c r="B20" s="89" t="s">
        <v>216</v>
      </c>
      <c r="C20" s="89" t="s">
        <v>568</v>
      </c>
      <c r="D20" s="30">
        <v>71</v>
      </c>
      <c r="E20" s="135"/>
      <c r="F20" s="135"/>
      <c r="G20" s="186">
        <v>2014.72</v>
      </c>
      <c r="H20" s="28">
        <v>11</v>
      </c>
      <c r="I20" s="135"/>
      <c r="J20" s="135"/>
      <c r="K20" s="185">
        <v>1954.28</v>
      </c>
      <c r="L20" s="135"/>
      <c r="M20" s="135"/>
      <c r="N20" s="33">
        <v>0.03</v>
      </c>
      <c r="O20" s="194" t="s">
        <v>542</v>
      </c>
      <c r="P20" s="135"/>
      <c r="Q20" s="161">
        <f t="shared" si="2"/>
        <v>1954.28</v>
      </c>
      <c r="R20" s="219" t="s">
        <v>565</v>
      </c>
    </row>
    <row r="21" spans="1:18" ht="13.5" customHeight="1">
      <c r="A21" s="89" t="s">
        <v>208</v>
      </c>
      <c r="B21" s="89" t="s">
        <v>218</v>
      </c>
      <c r="C21" s="89" t="s">
        <v>569</v>
      </c>
      <c r="D21" s="30">
        <v>71</v>
      </c>
      <c r="E21" s="135"/>
      <c r="F21" s="135"/>
      <c r="G21" s="186">
        <v>3022.08</v>
      </c>
      <c r="H21" s="28">
        <v>11</v>
      </c>
      <c r="I21" s="135"/>
      <c r="J21" s="135"/>
      <c r="K21" s="185">
        <v>2931.42</v>
      </c>
      <c r="L21" s="135"/>
      <c r="M21" s="135"/>
      <c r="N21" s="33">
        <v>0.03</v>
      </c>
      <c r="O21" s="194" t="s">
        <v>542</v>
      </c>
      <c r="P21" s="135"/>
      <c r="Q21" s="161">
        <f t="shared" si="2"/>
        <v>2931.42</v>
      </c>
      <c r="R21" s="219" t="s">
        <v>565</v>
      </c>
    </row>
    <row r="22" spans="1:18" ht="13.5" customHeight="1">
      <c r="A22" s="89" t="s">
        <v>208</v>
      </c>
      <c r="B22" s="89" t="s">
        <v>220</v>
      </c>
      <c r="C22" s="89" t="s">
        <v>570</v>
      </c>
      <c r="D22" s="30">
        <v>71</v>
      </c>
      <c r="E22" s="135"/>
      <c r="F22" s="135"/>
      <c r="G22" s="186">
        <v>2014.72</v>
      </c>
      <c r="H22" s="28">
        <v>11</v>
      </c>
      <c r="I22" s="135"/>
      <c r="J22" s="135"/>
      <c r="K22" s="185">
        <v>1954.28</v>
      </c>
      <c r="L22" s="135"/>
      <c r="M22" s="135"/>
      <c r="N22" s="33">
        <v>0.03</v>
      </c>
      <c r="O22" s="194" t="s">
        <v>542</v>
      </c>
      <c r="P22" s="135"/>
      <c r="Q22" s="161">
        <f t="shared" si="2"/>
        <v>1954.28</v>
      </c>
      <c r="R22" s="219" t="s">
        <v>565</v>
      </c>
    </row>
    <row r="23" spans="1:18" ht="13.5" customHeight="1">
      <c r="A23" s="89" t="s">
        <v>208</v>
      </c>
      <c r="B23" s="89" t="s">
        <v>222</v>
      </c>
      <c r="C23" s="89" t="s">
        <v>571</v>
      </c>
      <c r="D23" s="30">
        <v>71</v>
      </c>
      <c r="E23" s="135"/>
      <c r="F23" s="135"/>
      <c r="G23" s="186">
        <v>2014.72</v>
      </c>
      <c r="H23" s="28">
        <v>11</v>
      </c>
      <c r="I23" s="135"/>
      <c r="J23" s="135"/>
      <c r="K23" s="185">
        <v>1954.28</v>
      </c>
      <c r="L23" s="135"/>
      <c r="M23" s="135"/>
      <c r="N23" s="33">
        <v>0.03</v>
      </c>
      <c r="O23" s="194" t="s">
        <v>542</v>
      </c>
      <c r="P23" s="135"/>
      <c r="Q23" s="161">
        <f t="shared" si="2"/>
        <v>1954.28</v>
      </c>
      <c r="R23" s="219" t="s">
        <v>565</v>
      </c>
    </row>
    <row r="24" spans="1:18" ht="13.5" customHeight="1">
      <c r="A24" s="89" t="s">
        <v>208</v>
      </c>
      <c r="B24" s="89" t="s">
        <v>224</v>
      </c>
      <c r="C24" s="89" t="s">
        <v>572</v>
      </c>
      <c r="D24" s="30">
        <v>71</v>
      </c>
      <c r="E24" s="135"/>
      <c r="F24" s="135"/>
      <c r="G24" s="186">
        <v>503.68</v>
      </c>
      <c r="H24" s="28">
        <v>11</v>
      </c>
      <c r="I24" s="135"/>
      <c r="J24" s="135"/>
      <c r="K24" s="185">
        <v>488.57</v>
      </c>
      <c r="L24" s="135"/>
      <c r="M24" s="135"/>
      <c r="N24" s="33">
        <v>0.03</v>
      </c>
      <c r="O24" s="194" t="s">
        <v>542</v>
      </c>
      <c r="P24" s="135"/>
      <c r="Q24" s="161">
        <f t="shared" si="2"/>
        <v>488.57</v>
      </c>
      <c r="R24" s="219" t="s">
        <v>565</v>
      </c>
    </row>
    <row r="25" spans="1:18" ht="13.5" customHeight="1">
      <c r="A25" s="89" t="s">
        <v>208</v>
      </c>
      <c r="B25" s="89" t="s">
        <v>226</v>
      </c>
      <c r="C25" s="89" t="s">
        <v>573</v>
      </c>
      <c r="D25" s="30">
        <v>71</v>
      </c>
      <c r="E25" s="135"/>
      <c r="F25" s="135"/>
      <c r="G25" s="186">
        <v>503.68</v>
      </c>
      <c r="H25" s="28">
        <v>11</v>
      </c>
      <c r="I25" s="135"/>
      <c r="J25" s="135"/>
      <c r="K25" s="185">
        <v>488.57</v>
      </c>
      <c r="L25" s="135"/>
      <c r="M25" s="135"/>
      <c r="N25" s="33">
        <v>0.03</v>
      </c>
      <c r="O25" s="194" t="s">
        <v>542</v>
      </c>
      <c r="P25" s="135"/>
      <c r="Q25" s="161">
        <f t="shared" si="2"/>
        <v>488.57</v>
      </c>
      <c r="R25" s="219" t="s">
        <v>565</v>
      </c>
    </row>
    <row r="26" spans="1:18" ht="13.5" customHeight="1">
      <c r="A26" s="89" t="s">
        <v>208</v>
      </c>
      <c r="B26" s="89" t="s">
        <v>228</v>
      </c>
      <c r="C26" s="89" t="s">
        <v>267</v>
      </c>
      <c r="D26" s="30">
        <v>71</v>
      </c>
      <c r="E26" s="135"/>
      <c r="F26" s="135"/>
      <c r="G26" s="186">
        <v>10879.47</v>
      </c>
      <c r="H26" s="28">
        <v>11</v>
      </c>
      <c r="I26" s="135"/>
      <c r="J26" s="135"/>
      <c r="K26" s="185">
        <v>10553.08</v>
      </c>
      <c r="L26" s="135"/>
      <c r="M26" s="135"/>
      <c r="N26" s="195">
        <v>0.03</v>
      </c>
      <c r="O26" s="194" t="s">
        <v>542</v>
      </c>
      <c r="P26" s="135"/>
      <c r="Q26" s="161">
        <f t="shared" si="2"/>
        <v>10553.08</v>
      </c>
      <c r="R26" s="219" t="s">
        <v>565</v>
      </c>
    </row>
    <row r="27" spans="1:18" ht="13.5" customHeight="1">
      <c r="A27" s="89" t="s">
        <v>208</v>
      </c>
      <c r="B27" s="89" t="s">
        <v>26</v>
      </c>
      <c r="C27" s="89" t="s">
        <v>360</v>
      </c>
      <c r="D27" s="30">
        <v>71</v>
      </c>
      <c r="E27" s="135"/>
      <c r="F27" s="135"/>
      <c r="G27" s="186">
        <f>28688.45+2345.13-2345.13</f>
        <v>28688.45</v>
      </c>
      <c r="H27" s="28">
        <v>11</v>
      </c>
      <c r="I27" s="135"/>
      <c r="J27" s="135"/>
      <c r="K27" s="185">
        <v>27827.8</v>
      </c>
      <c r="L27" s="135"/>
      <c r="M27" s="135"/>
      <c r="N27" s="195">
        <v>0.03</v>
      </c>
      <c r="O27" s="194" t="s">
        <v>542</v>
      </c>
      <c r="P27" s="135"/>
      <c r="Q27" s="161">
        <f t="shared" si="2"/>
        <v>27827.8</v>
      </c>
      <c r="R27" s="219" t="s">
        <v>565</v>
      </c>
    </row>
    <row r="28" spans="1:18" ht="13.5" customHeight="1">
      <c r="A28" s="89" t="s">
        <v>208</v>
      </c>
      <c r="B28" s="89" t="s">
        <v>230</v>
      </c>
      <c r="C28" s="89" t="s">
        <v>365</v>
      </c>
      <c r="D28" s="30">
        <v>71</v>
      </c>
      <c r="E28" s="135"/>
      <c r="F28" s="135"/>
      <c r="G28" s="186">
        <v>19039.07</v>
      </c>
      <c r="H28" s="28">
        <v>11</v>
      </c>
      <c r="I28" s="135"/>
      <c r="J28" s="135"/>
      <c r="K28" s="185">
        <v>18467.900000000001</v>
      </c>
      <c r="L28" s="135"/>
      <c r="M28" s="135"/>
      <c r="N28" s="195">
        <v>0.03</v>
      </c>
      <c r="O28" s="194" t="s">
        <v>542</v>
      </c>
      <c r="P28" s="135"/>
      <c r="Q28" s="161">
        <f t="shared" si="2"/>
        <v>18467.900000000001</v>
      </c>
      <c r="R28" s="219" t="s">
        <v>565</v>
      </c>
    </row>
    <row r="29" spans="1:18" ht="13.5" customHeight="1">
      <c r="A29" s="211"/>
      <c r="B29" s="211"/>
      <c r="C29" s="211"/>
      <c r="D29" s="211"/>
      <c r="E29" s="211"/>
      <c r="F29" s="211"/>
      <c r="G29" s="211"/>
      <c r="H29" s="211"/>
      <c r="I29" s="211"/>
      <c r="J29" s="211"/>
      <c r="K29" s="211">
        <f>SUM(K17:K28)</f>
        <v>208141</v>
      </c>
      <c r="L29" s="211"/>
      <c r="M29" s="211"/>
      <c r="N29" s="211"/>
      <c r="O29" s="211"/>
      <c r="P29" s="211"/>
      <c r="Q29" s="211">
        <f>SUM(Q17:Q28)</f>
        <v>208141</v>
      </c>
      <c r="R29" s="213"/>
    </row>
    <row r="30" spans="1:18" ht="13.5" customHeight="1">
      <c r="K30" s="161">
        <f>K16+K29</f>
        <v>744346.60047169798</v>
      </c>
    </row>
  </sheetData>
  <autoFilter ref="A2:Q30"/>
  <phoneticPr fontId="4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3"/>
  <sheetViews>
    <sheetView workbookViewId="0">
      <selection activeCell="B2" sqref="B2:B23"/>
    </sheetView>
  </sheetViews>
  <sheetFormatPr defaultRowHeight="15" customHeight="1"/>
  <cols>
    <col min="1" max="1" width="11.28515625" customWidth="1"/>
    <col min="2" max="2" width="18.5703125" customWidth="1"/>
    <col min="3" max="3" width="35" customWidth="1"/>
    <col min="4" max="4" width="12.5703125" hidden="1" customWidth="1"/>
    <col min="5" max="5" width="11.28515625" hidden="1" customWidth="1"/>
    <col min="6" max="6" width="12.5703125" hidden="1" customWidth="1"/>
    <col min="7" max="7" width="13.140625" style="143" hidden="1" customWidth="1"/>
    <col min="8" max="8" width="15.5703125" hidden="1" customWidth="1"/>
    <col min="9" max="9" width="14.42578125" hidden="1" customWidth="1"/>
    <col min="10" max="10" width="11.42578125" hidden="1" customWidth="1"/>
    <col min="11" max="11" width="14.7109375" customWidth="1"/>
    <col min="12" max="12" width="13.42578125" hidden="1" customWidth="1"/>
    <col min="13" max="13" width="11.85546875" customWidth="1"/>
  </cols>
  <sheetData>
    <row r="1" spans="1:13" ht="15" customHeight="1">
      <c r="A1" s="137" t="s">
        <v>270</v>
      </c>
      <c r="B1" s="137" t="s">
        <v>271</v>
      </c>
      <c r="C1" s="137" t="s">
        <v>272</v>
      </c>
      <c r="D1" s="146" t="s">
        <v>457</v>
      </c>
      <c r="E1" s="137" t="s">
        <v>273</v>
      </c>
      <c r="F1" s="96" t="s">
        <v>442</v>
      </c>
      <c r="G1" s="144" t="s">
        <v>459</v>
      </c>
      <c r="H1" s="137" t="s">
        <v>443</v>
      </c>
      <c r="I1" s="137" t="s">
        <v>444</v>
      </c>
      <c r="J1" s="204" t="s">
        <v>551</v>
      </c>
      <c r="K1" s="204" t="s">
        <v>555</v>
      </c>
      <c r="L1" s="214" t="s">
        <v>559</v>
      </c>
      <c r="M1" s="233" t="s">
        <v>677</v>
      </c>
    </row>
    <row r="2" spans="1:13" ht="15" customHeight="1">
      <c r="A2" s="89" t="s">
        <v>209</v>
      </c>
      <c r="B2" s="89" t="s">
        <v>406</v>
      </c>
      <c r="C2" s="89" t="s">
        <v>413</v>
      </c>
      <c r="D2" s="145" t="s">
        <v>458</v>
      </c>
      <c r="E2" s="89" t="s">
        <v>439</v>
      </c>
      <c r="F2" s="138">
        <v>10124.959999999999</v>
      </c>
      <c r="G2" s="145" t="s">
        <v>382</v>
      </c>
      <c r="H2" s="91"/>
      <c r="I2" s="139">
        <f>F2+H2</f>
        <v>10124.959999999999</v>
      </c>
      <c r="K2" s="206">
        <f>I2-J2</f>
        <v>10124.959999999999</v>
      </c>
      <c r="L2" s="145" t="s">
        <v>382</v>
      </c>
    </row>
    <row r="3" spans="1:13" ht="15" customHeight="1">
      <c r="A3" s="89" t="s">
        <v>209</v>
      </c>
      <c r="B3" s="89" t="s">
        <v>415</v>
      </c>
      <c r="C3" s="89" t="s">
        <v>414</v>
      </c>
      <c r="D3" s="145" t="s">
        <v>458</v>
      </c>
      <c r="E3" s="89" t="s">
        <v>439</v>
      </c>
      <c r="F3" s="134">
        <v>847.15471698113197</v>
      </c>
      <c r="G3" s="145" t="s">
        <v>382</v>
      </c>
      <c r="H3" s="91"/>
      <c r="I3" s="139">
        <f t="shared" ref="I3:I15" si="0">F3+H3</f>
        <v>847.15471698113197</v>
      </c>
      <c r="K3" s="206">
        <f t="shared" ref="K3:K21" si="1">I3-J3</f>
        <v>847.15471698113197</v>
      </c>
      <c r="L3" s="145" t="s">
        <v>382</v>
      </c>
    </row>
    <row r="4" spans="1:13" ht="15" customHeight="1">
      <c r="A4" s="89" t="s">
        <v>209</v>
      </c>
      <c r="B4" s="89" t="s">
        <v>431</v>
      </c>
      <c r="C4" s="89" t="s">
        <v>430</v>
      </c>
      <c r="D4" s="145" t="s">
        <v>458</v>
      </c>
      <c r="E4" s="89" t="s">
        <v>439</v>
      </c>
      <c r="F4" s="140">
        <v>16739.55</v>
      </c>
      <c r="G4" s="145" t="s">
        <v>382</v>
      </c>
      <c r="H4" s="91"/>
      <c r="I4" s="139">
        <f t="shared" si="0"/>
        <v>16739.55</v>
      </c>
      <c r="K4" s="206">
        <f t="shared" si="1"/>
        <v>16739.55</v>
      </c>
      <c r="L4" s="145" t="s">
        <v>382</v>
      </c>
    </row>
    <row r="5" spans="1:13" ht="15" customHeight="1">
      <c r="A5" s="89" t="s">
        <v>209</v>
      </c>
      <c r="B5" s="89" t="s">
        <v>416</v>
      </c>
      <c r="C5" s="89" t="s">
        <v>364</v>
      </c>
      <c r="D5" s="145" t="s">
        <v>458</v>
      </c>
      <c r="E5" s="89" t="s">
        <v>439</v>
      </c>
      <c r="F5" s="140">
        <v>25000</v>
      </c>
      <c r="G5" s="145" t="s">
        <v>382</v>
      </c>
      <c r="H5" s="91">
        <v>-25000</v>
      </c>
      <c r="I5" s="139">
        <f t="shared" si="0"/>
        <v>0</v>
      </c>
      <c r="K5" s="206">
        <f t="shared" si="1"/>
        <v>0</v>
      </c>
      <c r="L5" s="145" t="s">
        <v>382</v>
      </c>
    </row>
    <row r="6" spans="1:13" ht="15" customHeight="1">
      <c r="A6" s="89" t="s">
        <v>209</v>
      </c>
      <c r="B6" s="89" t="s">
        <v>422</v>
      </c>
      <c r="C6" s="89" t="s">
        <v>418</v>
      </c>
      <c r="D6" s="145" t="s">
        <v>458</v>
      </c>
      <c r="E6" s="89" t="s">
        <v>439</v>
      </c>
      <c r="F6" s="140">
        <v>41424.301886792498</v>
      </c>
      <c r="G6" s="145" t="s">
        <v>382</v>
      </c>
      <c r="H6" s="91"/>
      <c r="I6" s="139">
        <f t="shared" si="0"/>
        <v>41424.301886792498</v>
      </c>
      <c r="K6" s="206">
        <f t="shared" si="1"/>
        <v>41424.301886792498</v>
      </c>
      <c r="L6" s="145" t="s">
        <v>382</v>
      </c>
    </row>
    <row r="7" spans="1:13" ht="15" customHeight="1">
      <c r="A7" s="89" t="s">
        <v>209</v>
      </c>
      <c r="B7" s="89" t="s">
        <v>244</v>
      </c>
      <c r="C7" s="89" t="s">
        <v>245</v>
      </c>
      <c r="D7" s="145" t="s">
        <v>458</v>
      </c>
      <c r="E7" s="89" t="s">
        <v>439</v>
      </c>
      <c r="F7" s="140">
        <v>271562.62641509401</v>
      </c>
      <c r="G7" s="145" t="s">
        <v>382</v>
      </c>
      <c r="H7" s="91"/>
      <c r="I7" s="139">
        <f t="shared" si="0"/>
        <v>271562.62641509401</v>
      </c>
      <c r="K7" s="206">
        <f t="shared" si="1"/>
        <v>271562.62641509401</v>
      </c>
      <c r="L7" s="145" t="s">
        <v>382</v>
      </c>
    </row>
    <row r="8" spans="1:13" ht="15" customHeight="1">
      <c r="A8" s="89" t="s">
        <v>209</v>
      </c>
      <c r="B8" s="89" t="s">
        <v>421</v>
      </c>
      <c r="C8" s="89" t="s">
        <v>269</v>
      </c>
      <c r="D8" s="145" t="s">
        <v>458</v>
      </c>
      <c r="E8" s="89" t="s">
        <v>439</v>
      </c>
      <c r="F8" s="140">
        <v>4783.1899999999996</v>
      </c>
      <c r="G8" s="145" t="s">
        <v>382</v>
      </c>
      <c r="H8" s="91"/>
      <c r="I8" s="139">
        <f t="shared" si="0"/>
        <v>4783.1899999999996</v>
      </c>
      <c r="K8" s="206">
        <f t="shared" si="1"/>
        <v>4783.1899999999996</v>
      </c>
      <c r="L8" s="145" t="s">
        <v>382</v>
      </c>
    </row>
    <row r="9" spans="1:13" ht="15" customHeight="1">
      <c r="A9" s="89" t="s">
        <v>209</v>
      </c>
      <c r="B9" s="89" t="s">
        <v>135</v>
      </c>
      <c r="C9" s="89" t="s">
        <v>417</v>
      </c>
      <c r="D9" s="145" t="s">
        <v>458</v>
      </c>
      <c r="E9" s="89" t="s">
        <v>439</v>
      </c>
      <c r="F9" s="140">
        <v>4541.3527999999997</v>
      </c>
      <c r="G9" s="145" t="s">
        <v>382</v>
      </c>
      <c r="H9" s="91"/>
      <c r="I9" s="139">
        <f t="shared" si="0"/>
        <v>4541.3527999999997</v>
      </c>
      <c r="K9" s="206">
        <f t="shared" si="1"/>
        <v>4541.3527999999997</v>
      </c>
      <c r="L9" s="145" t="s">
        <v>382</v>
      </c>
    </row>
    <row r="10" spans="1:13" ht="15" customHeight="1">
      <c r="A10" s="89" t="s">
        <v>209</v>
      </c>
      <c r="B10" s="89" t="s">
        <v>133</v>
      </c>
      <c r="C10" s="89" t="s">
        <v>363</v>
      </c>
      <c r="D10" s="145" t="s">
        <v>458</v>
      </c>
      <c r="E10" s="89" t="s">
        <v>439</v>
      </c>
      <c r="F10" s="140">
        <v>17824.771199999999</v>
      </c>
      <c r="G10" s="145" t="s">
        <v>382</v>
      </c>
      <c r="H10" s="91"/>
      <c r="I10" s="139">
        <f t="shared" si="0"/>
        <v>17824.771199999999</v>
      </c>
      <c r="K10" s="206">
        <f t="shared" si="1"/>
        <v>17824.771199999999</v>
      </c>
      <c r="L10" s="145" t="s">
        <v>382</v>
      </c>
    </row>
    <row r="11" spans="1:13" ht="15" customHeight="1">
      <c r="A11" s="89" t="s">
        <v>209</v>
      </c>
      <c r="B11" s="89" t="s">
        <v>420</v>
      </c>
      <c r="C11" s="89" t="s">
        <v>419</v>
      </c>
      <c r="D11" s="145" t="s">
        <v>458</v>
      </c>
      <c r="E11" s="89" t="s">
        <v>439</v>
      </c>
      <c r="F11" s="140">
        <v>56993.52377</v>
      </c>
      <c r="G11" s="145" t="s">
        <v>382</v>
      </c>
      <c r="H11" s="91"/>
      <c r="I11" s="139">
        <f t="shared" si="0"/>
        <v>56993.52377</v>
      </c>
      <c r="K11" s="206">
        <f t="shared" si="1"/>
        <v>56993.52377</v>
      </c>
      <c r="L11" s="145" t="s">
        <v>382</v>
      </c>
    </row>
    <row r="12" spans="1:13" ht="15" customHeight="1">
      <c r="A12" s="89" t="s">
        <v>209</v>
      </c>
      <c r="B12" s="89" t="s">
        <v>424</v>
      </c>
      <c r="C12" s="89" t="s">
        <v>423</v>
      </c>
      <c r="D12" s="145" t="s">
        <v>458</v>
      </c>
      <c r="E12" s="89" t="s">
        <v>439</v>
      </c>
      <c r="F12" s="140">
        <v>8000</v>
      </c>
      <c r="G12" s="145" t="s">
        <v>382</v>
      </c>
      <c r="H12" s="91"/>
      <c r="I12" s="139">
        <f t="shared" si="0"/>
        <v>8000</v>
      </c>
      <c r="J12">
        <v>0</v>
      </c>
      <c r="K12" s="206">
        <f t="shared" si="1"/>
        <v>8000</v>
      </c>
      <c r="L12" s="145" t="s">
        <v>382</v>
      </c>
    </row>
    <row r="13" spans="1:13" ht="15" customHeight="1">
      <c r="A13" s="89" t="s">
        <v>209</v>
      </c>
      <c r="B13" s="89" t="s">
        <v>426</v>
      </c>
      <c r="C13" s="89" t="s">
        <v>425</v>
      </c>
      <c r="D13" s="145" t="s">
        <v>458</v>
      </c>
      <c r="E13" s="89" t="s">
        <v>439</v>
      </c>
      <c r="F13" s="140">
        <v>53507.66</v>
      </c>
      <c r="G13" s="145" t="s">
        <v>382</v>
      </c>
      <c r="H13" s="91">
        <v>-53507.66</v>
      </c>
      <c r="I13" s="139">
        <f t="shared" si="0"/>
        <v>0</v>
      </c>
      <c r="K13" s="206">
        <f t="shared" si="1"/>
        <v>0</v>
      </c>
      <c r="L13" s="145" t="s">
        <v>382</v>
      </c>
    </row>
    <row r="14" spans="1:13" ht="15" customHeight="1">
      <c r="A14" s="89" t="s">
        <v>209</v>
      </c>
      <c r="B14" s="89" t="s">
        <v>429</v>
      </c>
      <c r="C14" s="89" t="s">
        <v>412</v>
      </c>
      <c r="D14" s="145" t="s">
        <v>458</v>
      </c>
      <c r="E14" s="89" t="s">
        <v>439</v>
      </c>
      <c r="F14" s="140">
        <v>54224.31</v>
      </c>
      <c r="G14" s="145" t="s">
        <v>382</v>
      </c>
      <c r="H14" s="141">
        <v>-54224.31</v>
      </c>
      <c r="I14" s="139">
        <f t="shared" si="0"/>
        <v>0</v>
      </c>
      <c r="K14" s="206">
        <f t="shared" si="1"/>
        <v>0</v>
      </c>
      <c r="L14" s="145" t="s">
        <v>382</v>
      </c>
    </row>
    <row r="15" spans="1:13" ht="15" customHeight="1">
      <c r="A15" s="89" t="s">
        <v>209</v>
      </c>
      <c r="B15" s="89" t="s">
        <v>428</v>
      </c>
      <c r="C15" s="89" t="s">
        <v>427</v>
      </c>
      <c r="D15" s="145" t="s">
        <v>458</v>
      </c>
      <c r="E15" s="89" t="s">
        <v>439</v>
      </c>
      <c r="F15" s="140">
        <v>45000</v>
      </c>
      <c r="G15" s="145" t="s">
        <v>382</v>
      </c>
      <c r="H15" s="141">
        <v>-45000</v>
      </c>
      <c r="I15" s="139">
        <f t="shared" si="0"/>
        <v>0</v>
      </c>
      <c r="K15" s="206">
        <f t="shared" si="1"/>
        <v>0</v>
      </c>
      <c r="L15" s="145" t="s">
        <v>382</v>
      </c>
    </row>
    <row r="16" spans="1:13" ht="15" customHeight="1">
      <c r="A16" s="201" t="s">
        <v>545</v>
      </c>
      <c r="B16" s="201"/>
      <c r="C16" s="201"/>
      <c r="D16" s="198"/>
      <c r="E16" s="201" t="s">
        <v>439</v>
      </c>
      <c r="F16" s="202">
        <f>SUM(F2:F15)</f>
        <v>610573.40078886761</v>
      </c>
      <c r="G16" s="200"/>
      <c r="H16" s="197"/>
      <c r="I16" s="202">
        <f>SUM(I2:I15)</f>
        <v>432841.43078886764</v>
      </c>
      <c r="J16" s="202"/>
      <c r="K16" s="202">
        <f t="shared" si="1"/>
        <v>432841.43078886764</v>
      </c>
      <c r="L16" s="202"/>
    </row>
    <row r="17" spans="1:12" ht="15" customHeight="1">
      <c r="A17" s="89" t="s">
        <v>208</v>
      </c>
      <c r="B17" s="89" t="s">
        <v>432</v>
      </c>
      <c r="C17" s="89" t="s">
        <v>360</v>
      </c>
      <c r="D17" s="145" t="s">
        <v>462</v>
      </c>
      <c r="E17" s="89" t="s">
        <v>439</v>
      </c>
      <c r="F17" s="142">
        <v>15720.5952</v>
      </c>
      <c r="G17" s="145" t="s">
        <v>463</v>
      </c>
      <c r="H17" s="91">
        <v>-15720.6</v>
      </c>
      <c r="I17" s="139">
        <f>F17+H17</f>
        <v>-4.8000000006140908E-3</v>
      </c>
      <c r="K17" s="206">
        <f t="shared" si="1"/>
        <v>-4.8000000006140908E-3</v>
      </c>
      <c r="L17" s="218" t="s">
        <v>564</v>
      </c>
    </row>
    <row r="18" spans="1:12" ht="15" customHeight="1">
      <c r="A18" s="89" t="s">
        <v>208</v>
      </c>
      <c r="B18" s="89" t="s">
        <v>433</v>
      </c>
      <c r="C18" s="89" t="s">
        <v>413</v>
      </c>
      <c r="D18" s="145" t="s">
        <v>462</v>
      </c>
      <c r="E18" s="89" t="s">
        <v>439</v>
      </c>
      <c r="F18" s="134">
        <v>360</v>
      </c>
      <c r="G18" s="145" t="s">
        <v>463</v>
      </c>
      <c r="H18" s="91"/>
      <c r="I18" s="139">
        <f>F18+H18</f>
        <v>360</v>
      </c>
      <c r="K18" s="206">
        <f t="shared" si="1"/>
        <v>360</v>
      </c>
      <c r="L18" s="218" t="s">
        <v>564</v>
      </c>
    </row>
    <row r="19" spans="1:12" ht="15" customHeight="1">
      <c r="A19" s="89" t="s">
        <v>208</v>
      </c>
      <c r="B19" s="89" t="s">
        <v>438</v>
      </c>
      <c r="C19" s="89" t="s">
        <v>437</v>
      </c>
      <c r="D19" s="145" t="s">
        <v>462</v>
      </c>
      <c r="E19" s="89" t="s">
        <v>439</v>
      </c>
      <c r="F19" s="140">
        <v>163389.51999999999</v>
      </c>
      <c r="G19" s="145" t="s">
        <v>463</v>
      </c>
      <c r="H19" s="91"/>
      <c r="I19" s="139">
        <f>F19+H19</f>
        <v>163389.51999999999</v>
      </c>
      <c r="K19" s="206">
        <f t="shared" si="1"/>
        <v>163389.51999999999</v>
      </c>
      <c r="L19" s="218" t="s">
        <v>564</v>
      </c>
    </row>
    <row r="20" spans="1:12" ht="15" customHeight="1">
      <c r="A20" s="89" t="s">
        <v>208</v>
      </c>
      <c r="B20" s="89" t="s">
        <v>434</v>
      </c>
      <c r="C20" s="89" t="s">
        <v>267</v>
      </c>
      <c r="D20" s="145" t="s">
        <v>462</v>
      </c>
      <c r="E20" s="89" t="s">
        <v>439</v>
      </c>
      <c r="F20" s="142">
        <v>10444.290000000001</v>
      </c>
      <c r="G20" s="145" t="s">
        <v>463</v>
      </c>
      <c r="H20" s="91">
        <v>-7980.07</v>
      </c>
      <c r="I20" s="139">
        <f>F20+H20</f>
        <v>2464.2200000000012</v>
      </c>
      <c r="K20" s="206">
        <f t="shared" si="1"/>
        <v>2464.2200000000012</v>
      </c>
      <c r="L20" s="218" t="s">
        <v>564</v>
      </c>
    </row>
    <row r="21" spans="1:12" ht="15" customHeight="1">
      <c r="A21" s="89" t="s">
        <v>208</v>
      </c>
      <c r="B21" s="89" t="s">
        <v>435</v>
      </c>
      <c r="C21" s="89" t="s">
        <v>365</v>
      </c>
      <c r="D21" s="145" t="s">
        <v>462</v>
      </c>
      <c r="E21" s="89" t="s">
        <v>439</v>
      </c>
      <c r="F21" s="142">
        <v>18277.509999999998</v>
      </c>
      <c r="G21" s="145" t="s">
        <v>463</v>
      </c>
      <c r="H21" s="91"/>
      <c r="I21" s="139">
        <f>F21+H21</f>
        <v>18277.509999999998</v>
      </c>
      <c r="K21" s="206">
        <f t="shared" si="1"/>
        <v>18277.509999999998</v>
      </c>
      <c r="L21" s="218" t="s">
        <v>564</v>
      </c>
    </row>
    <row r="22" spans="1:12" ht="15" customHeight="1">
      <c r="A22" s="196" t="s">
        <v>546</v>
      </c>
      <c r="B22" s="197"/>
      <c r="C22" s="197"/>
      <c r="D22" s="198"/>
      <c r="E22" s="197"/>
      <c r="F22" s="199">
        <f>SUM(F17:F21)</f>
        <v>208191.91520000002</v>
      </c>
      <c r="G22" s="200"/>
      <c r="H22" s="197"/>
      <c r="I22" s="199">
        <f>SUM(I17:I21)</f>
        <v>184491.2452</v>
      </c>
      <c r="J22" s="199">
        <f>SUM(J17:J21)</f>
        <v>0</v>
      </c>
      <c r="K22" s="199">
        <f>SUM(K17:K21)</f>
        <v>184491.2452</v>
      </c>
    </row>
    <row r="23" spans="1:12" ht="15" customHeight="1">
      <c r="A23" s="191" t="s">
        <v>547</v>
      </c>
      <c r="B23" s="20"/>
      <c r="C23" s="20"/>
      <c r="D23" s="20"/>
      <c r="E23" s="20"/>
      <c r="F23" s="20"/>
      <c r="G23" s="192"/>
      <c r="H23" s="20"/>
      <c r="I23" s="193">
        <f>I16+I22</f>
        <v>617332.67598886765</v>
      </c>
      <c r="K23" s="193">
        <f>K16+K22</f>
        <v>617332.67598886765</v>
      </c>
    </row>
  </sheetData>
  <autoFilter ref="A1:K23"/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98"/>
  <sheetViews>
    <sheetView workbookViewId="0">
      <pane ySplit="1" topLeftCell="A74" activePane="bottomLeft" state="frozen"/>
      <selection activeCell="B2" sqref="B2:B23"/>
      <selection pane="bottomLeft" activeCell="B2" sqref="B2:B23"/>
    </sheetView>
  </sheetViews>
  <sheetFormatPr defaultRowHeight="12.75"/>
  <cols>
    <col min="1" max="1" width="9.140625" style="70"/>
    <col min="2" max="2" width="20.5703125" style="70" customWidth="1"/>
    <col min="3" max="3" width="11.85546875" style="70" customWidth="1"/>
    <col min="4" max="4" width="14.140625" style="70" customWidth="1"/>
    <col min="5" max="5" width="16.140625" style="98" hidden="1" customWidth="1"/>
    <col min="6" max="6" width="13.28515625" style="71" hidden="1" customWidth="1"/>
    <col min="7" max="7" width="12.7109375" style="70" hidden="1" customWidth="1"/>
    <col min="8" max="11" width="14.7109375" style="103" hidden="1" customWidth="1"/>
    <col min="12" max="12" width="16.5703125" hidden="1" customWidth="1"/>
    <col min="13" max="13" width="17.85546875" hidden="1" customWidth="1"/>
    <col min="14" max="14" width="18" hidden="1" customWidth="1"/>
    <col min="15" max="16" width="11.5703125" hidden="1" customWidth="1"/>
    <col min="17" max="17" width="17.85546875" customWidth="1"/>
    <col min="18" max="18" width="13.42578125" hidden="1" customWidth="1"/>
    <col min="19" max="19" width="15.85546875" customWidth="1"/>
  </cols>
  <sheetData>
    <row r="1" spans="1:19">
      <c r="A1" s="56" t="s">
        <v>270</v>
      </c>
      <c r="B1" s="56" t="s">
        <v>271</v>
      </c>
      <c r="C1" s="56" t="s">
        <v>272</v>
      </c>
      <c r="D1" s="56" t="s">
        <v>273</v>
      </c>
      <c r="E1" s="96" t="s">
        <v>274</v>
      </c>
      <c r="F1" s="57" t="s">
        <v>366</v>
      </c>
      <c r="G1" s="56" t="s">
        <v>275</v>
      </c>
      <c r="H1" s="100" t="s">
        <v>385</v>
      </c>
      <c r="I1" s="100" t="s">
        <v>386</v>
      </c>
      <c r="J1" s="100" t="s">
        <v>387</v>
      </c>
      <c r="K1" s="100" t="s">
        <v>388</v>
      </c>
      <c r="L1" s="147" t="s">
        <v>440</v>
      </c>
      <c r="M1" s="147" t="s">
        <v>441</v>
      </c>
      <c r="N1" s="147" t="s">
        <v>445</v>
      </c>
      <c r="O1" s="203" t="s">
        <v>550</v>
      </c>
      <c r="P1" s="203" t="s">
        <v>574</v>
      </c>
      <c r="Q1" s="203" t="s">
        <v>556</v>
      </c>
      <c r="R1" s="203" t="s">
        <v>558</v>
      </c>
      <c r="S1" s="233" t="s">
        <v>676</v>
      </c>
    </row>
    <row r="2" spans="1:19" ht="15" customHeight="1">
      <c r="A2" s="58" t="s">
        <v>276</v>
      </c>
      <c r="B2" s="59" t="s">
        <v>277</v>
      </c>
      <c r="C2" s="59" t="s">
        <v>278</v>
      </c>
      <c r="D2" s="60">
        <v>42705</v>
      </c>
      <c r="E2" s="97">
        <v>91466.68</v>
      </c>
      <c r="F2" s="74" t="s">
        <v>371</v>
      </c>
      <c r="G2" s="58"/>
      <c r="H2" s="101"/>
      <c r="I2" s="101"/>
      <c r="J2" s="101"/>
      <c r="K2" s="101">
        <f t="shared" ref="K2:K60" si="0">E2+J2</f>
        <v>91466.68</v>
      </c>
      <c r="L2" s="135">
        <v>-752.87</v>
      </c>
      <c r="M2" s="148">
        <f>K2+L2</f>
        <v>90713.81</v>
      </c>
      <c r="N2" s="74" t="s">
        <v>448</v>
      </c>
      <c r="Q2" s="161">
        <f>M2-O2</f>
        <v>90713.81</v>
      </c>
      <c r="R2" s="74" t="s">
        <v>370</v>
      </c>
    </row>
    <row r="3" spans="1:19" ht="15" customHeight="1">
      <c r="A3" s="58" t="s">
        <v>276</v>
      </c>
      <c r="B3" s="59" t="s">
        <v>279</v>
      </c>
      <c r="C3" s="59" t="s">
        <v>280</v>
      </c>
      <c r="D3" s="60">
        <v>42705</v>
      </c>
      <c r="E3" s="97">
        <v>75209.81</v>
      </c>
      <c r="F3" s="74" t="s">
        <v>371</v>
      </c>
      <c r="G3" s="58"/>
      <c r="H3" s="101"/>
      <c r="I3" s="101"/>
      <c r="J3" s="101"/>
      <c r="K3" s="101">
        <f t="shared" si="0"/>
        <v>75209.81</v>
      </c>
      <c r="L3" s="135">
        <f>K3*-1</f>
        <v>-75209.81</v>
      </c>
      <c r="M3" s="148">
        <f t="shared" ref="M3:M66" si="1">K3+L3</f>
        <v>0</v>
      </c>
      <c r="N3" s="74" t="s">
        <v>448</v>
      </c>
      <c r="Q3" s="161">
        <f t="shared" ref="Q3:Q66" si="2">M3-O3</f>
        <v>0</v>
      </c>
      <c r="R3" s="74" t="s">
        <v>370</v>
      </c>
    </row>
    <row r="4" spans="1:19" ht="15" customHeight="1">
      <c r="A4" s="58" t="s">
        <v>276</v>
      </c>
      <c r="B4" s="59" t="s">
        <v>281</v>
      </c>
      <c r="C4" s="59" t="s">
        <v>282</v>
      </c>
      <c r="D4" s="60">
        <v>42705</v>
      </c>
      <c r="E4" s="97">
        <v>13472.54</v>
      </c>
      <c r="F4" s="74" t="s">
        <v>367</v>
      </c>
      <c r="G4" s="58"/>
      <c r="H4" s="101"/>
      <c r="I4" s="101"/>
      <c r="J4" s="101"/>
      <c r="K4" s="101">
        <f t="shared" si="0"/>
        <v>13472.54</v>
      </c>
      <c r="L4" s="135"/>
      <c r="M4" s="148">
        <f t="shared" si="1"/>
        <v>13472.54</v>
      </c>
      <c r="N4" s="74" t="s">
        <v>367</v>
      </c>
      <c r="Q4" s="161">
        <f t="shared" si="2"/>
        <v>13472.54</v>
      </c>
      <c r="R4" s="74" t="s">
        <v>367</v>
      </c>
    </row>
    <row r="5" spans="1:19" ht="15" customHeight="1">
      <c r="A5" s="58" t="s">
        <v>276</v>
      </c>
      <c r="B5" s="59" t="s">
        <v>281</v>
      </c>
      <c r="C5" s="59" t="s">
        <v>83</v>
      </c>
      <c r="D5" s="60">
        <v>42705</v>
      </c>
      <c r="E5" s="97">
        <v>36907.5</v>
      </c>
      <c r="F5" s="74" t="s">
        <v>367</v>
      </c>
      <c r="G5" s="58"/>
      <c r="H5" s="101"/>
      <c r="I5" s="101"/>
      <c r="J5" s="101"/>
      <c r="K5" s="101">
        <f t="shared" si="0"/>
        <v>36907.5</v>
      </c>
      <c r="L5" s="135"/>
      <c r="M5" s="148">
        <f t="shared" si="1"/>
        <v>36907.5</v>
      </c>
      <c r="N5" s="74" t="s">
        <v>367</v>
      </c>
      <c r="Q5" s="161">
        <f t="shared" si="2"/>
        <v>36907.5</v>
      </c>
      <c r="R5" s="74" t="s">
        <v>367</v>
      </c>
    </row>
    <row r="6" spans="1:19" ht="15" customHeight="1">
      <c r="A6" s="58" t="s">
        <v>276</v>
      </c>
      <c r="B6" s="59" t="s">
        <v>283</v>
      </c>
      <c r="C6" s="59" t="s">
        <v>284</v>
      </c>
      <c r="D6" s="60">
        <v>42705</v>
      </c>
      <c r="E6" s="97">
        <v>2768.3</v>
      </c>
      <c r="F6" s="74" t="s">
        <v>371</v>
      </c>
      <c r="G6" s="58"/>
      <c r="H6" s="101"/>
      <c r="I6" s="101"/>
      <c r="J6" s="101"/>
      <c r="K6" s="101">
        <f t="shared" si="0"/>
        <v>2768.3</v>
      </c>
      <c r="L6" s="135">
        <v>0</v>
      </c>
      <c r="M6" s="148">
        <f t="shared" si="1"/>
        <v>2768.3</v>
      </c>
      <c r="N6" s="74" t="s">
        <v>448</v>
      </c>
      <c r="Q6" s="161">
        <f t="shared" si="2"/>
        <v>2768.3</v>
      </c>
      <c r="R6" s="74" t="s">
        <v>370</v>
      </c>
    </row>
    <row r="7" spans="1:19" ht="15" customHeight="1">
      <c r="A7" s="58" t="s">
        <v>276</v>
      </c>
      <c r="B7" s="59" t="s">
        <v>285</v>
      </c>
      <c r="C7" s="59" t="s">
        <v>286</v>
      </c>
      <c r="D7" s="60">
        <v>42705</v>
      </c>
      <c r="E7" s="97">
        <v>62413.14</v>
      </c>
      <c r="F7" s="74" t="s">
        <v>370</v>
      </c>
      <c r="G7" s="58"/>
      <c r="H7" s="101"/>
      <c r="I7" s="101"/>
      <c r="J7" s="101"/>
      <c r="K7" s="101">
        <f t="shared" si="0"/>
        <v>62413.14</v>
      </c>
      <c r="L7" s="135"/>
      <c r="M7" s="148">
        <f t="shared" si="1"/>
        <v>62413.14</v>
      </c>
      <c r="N7" s="74" t="s">
        <v>447</v>
      </c>
      <c r="Q7" s="161">
        <f t="shared" si="2"/>
        <v>62413.14</v>
      </c>
      <c r="R7" s="74" t="s">
        <v>369</v>
      </c>
    </row>
    <row r="8" spans="1:19" ht="15" customHeight="1">
      <c r="A8" s="58" t="s">
        <v>276</v>
      </c>
      <c r="B8" s="59" t="s">
        <v>287</v>
      </c>
      <c r="C8" s="59" t="s">
        <v>288</v>
      </c>
      <c r="D8" s="60">
        <v>42705</v>
      </c>
      <c r="E8" s="97">
        <v>14016.98</v>
      </c>
      <c r="F8" s="74" t="s">
        <v>370</v>
      </c>
      <c r="G8" s="58"/>
      <c r="H8" s="101"/>
      <c r="I8" s="101"/>
      <c r="J8" s="101"/>
      <c r="K8" s="101">
        <f t="shared" si="0"/>
        <v>14016.98</v>
      </c>
      <c r="L8" s="135"/>
      <c r="M8" s="148">
        <f t="shared" si="1"/>
        <v>14016.98</v>
      </c>
      <c r="N8" s="74" t="s">
        <v>447</v>
      </c>
      <c r="Q8" s="161">
        <f t="shared" si="2"/>
        <v>14016.98</v>
      </c>
      <c r="R8" s="74" t="s">
        <v>369</v>
      </c>
    </row>
    <row r="9" spans="1:19" ht="15" customHeight="1">
      <c r="A9" s="58" t="s">
        <v>276</v>
      </c>
      <c r="B9" s="59" t="s">
        <v>289</v>
      </c>
      <c r="C9" s="59" t="s">
        <v>290</v>
      </c>
      <c r="D9" s="60">
        <v>42705</v>
      </c>
      <c r="E9" s="97">
        <v>29952.82</v>
      </c>
      <c r="F9" s="74" t="s">
        <v>370</v>
      </c>
      <c r="G9" s="58"/>
      <c r="H9" s="101"/>
      <c r="I9" s="101"/>
      <c r="J9" s="101"/>
      <c r="K9" s="101">
        <f t="shared" si="0"/>
        <v>29952.82</v>
      </c>
      <c r="L9" s="135"/>
      <c r="M9" s="148">
        <f t="shared" si="1"/>
        <v>29952.82</v>
      </c>
      <c r="N9" s="74" t="s">
        <v>447</v>
      </c>
      <c r="Q9" s="161">
        <f t="shared" si="2"/>
        <v>29952.82</v>
      </c>
      <c r="R9" s="74" t="s">
        <v>369</v>
      </c>
    </row>
    <row r="10" spans="1:19" ht="15" customHeight="1">
      <c r="A10" s="58" t="s">
        <v>276</v>
      </c>
      <c r="B10" s="59" t="s">
        <v>291</v>
      </c>
      <c r="C10" s="59" t="s">
        <v>292</v>
      </c>
      <c r="D10" s="60">
        <v>42705</v>
      </c>
      <c r="E10" s="97">
        <v>109134.08</v>
      </c>
      <c r="F10" s="74" t="s">
        <v>369</v>
      </c>
      <c r="G10" s="58"/>
      <c r="H10" s="101"/>
      <c r="I10" s="101"/>
      <c r="J10" s="101"/>
      <c r="K10" s="101">
        <f t="shared" si="0"/>
        <v>109134.08</v>
      </c>
      <c r="L10" s="135"/>
      <c r="M10" s="148">
        <f t="shared" si="1"/>
        <v>109134.08</v>
      </c>
      <c r="N10" s="74" t="s">
        <v>446</v>
      </c>
      <c r="Q10" s="161">
        <f t="shared" si="2"/>
        <v>109134.08</v>
      </c>
      <c r="R10" s="74" t="s">
        <v>446</v>
      </c>
    </row>
    <row r="11" spans="1:19" ht="15" customHeight="1">
      <c r="A11" s="58" t="s">
        <v>276</v>
      </c>
      <c r="B11" s="59" t="s">
        <v>293</v>
      </c>
      <c r="C11" s="59" t="s">
        <v>294</v>
      </c>
      <c r="D11" s="60">
        <v>42705</v>
      </c>
      <c r="E11" s="97">
        <v>20291</v>
      </c>
      <c r="F11" s="74" t="s">
        <v>371</v>
      </c>
      <c r="G11" s="58"/>
      <c r="H11" s="101"/>
      <c r="I11" s="101"/>
      <c r="J11" s="101"/>
      <c r="K11" s="101">
        <f t="shared" si="0"/>
        <v>20291</v>
      </c>
      <c r="L11" s="135">
        <v>0</v>
      </c>
      <c r="M11" s="148">
        <f t="shared" si="1"/>
        <v>20291</v>
      </c>
      <c r="N11" s="74" t="s">
        <v>448</v>
      </c>
      <c r="Q11" s="161">
        <f t="shared" si="2"/>
        <v>20291</v>
      </c>
      <c r="R11" s="74" t="s">
        <v>370</v>
      </c>
    </row>
    <row r="12" spans="1:19" ht="15" customHeight="1">
      <c r="A12" s="58" t="s">
        <v>276</v>
      </c>
      <c r="B12" s="59" t="s">
        <v>295</v>
      </c>
      <c r="C12" s="59" t="s">
        <v>296</v>
      </c>
      <c r="D12" s="60">
        <v>42705</v>
      </c>
      <c r="E12" s="97">
        <v>27020</v>
      </c>
      <c r="F12" s="74" t="s">
        <v>371</v>
      </c>
      <c r="G12" s="58"/>
      <c r="H12" s="101"/>
      <c r="I12" s="101"/>
      <c r="J12" s="101"/>
      <c r="K12" s="101">
        <f t="shared" si="0"/>
        <v>27020</v>
      </c>
      <c r="L12" s="135">
        <v>0</v>
      </c>
      <c r="M12" s="148">
        <f t="shared" si="1"/>
        <v>27020</v>
      </c>
      <c r="N12" s="74" t="s">
        <v>448</v>
      </c>
      <c r="Q12" s="161">
        <f t="shared" si="2"/>
        <v>27020</v>
      </c>
      <c r="R12" s="74" t="s">
        <v>370</v>
      </c>
    </row>
    <row r="13" spans="1:19" ht="15" customHeight="1">
      <c r="A13" s="58" t="s">
        <v>276</v>
      </c>
      <c r="B13" s="59" t="s">
        <v>297</v>
      </c>
      <c r="C13" s="59" t="s">
        <v>298</v>
      </c>
      <c r="D13" s="60">
        <v>42705</v>
      </c>
      <c r="E13" s="97">
        <v>100257.26</v>
      </c>
      <c r="F13" s="74" t="s">
        <v>369</v>
      </c>
      <c r="G13" s="58"/>
      <c r="H13" s="101"/>
      <c r="I13" s="101"/>
      <c r="J13" s="101"/>
      <c r="K13" s="101">
        <f t="shared" si="0"/>
        <v>100257.26</v>
      </c>
      <c r="L13" s="135"/>
      <c r="M13" s="148">
        <f t="shared" si="1"/>
        <v>100257.26</v>
      </c>
      <c r="N13" s="74" t="s">
        <v>446</v>
      </c>
      <c r="Q13" s="161">
        <f t="shared" si="2"/>
        <v>100257.26</v>
      </c>
      <c r="R13" s="74" t="s">
        <v>446</v>
      </c>
    </row>
    <row r="14" spans="1:19" ht="15" customHeight="1">
      <c r="A14" s="58" t="s">
        <v>276</v>
      </c>
      <c r="B14" s="59" t="s">
        <v>299</v>
      </c>
      <c r="C14" s="59" t="s">
        <v>300</v>
      </c>
      <c r="D14" s="60">
        <v>42736</v>
      </c>
      <c r="E14" s="97">
        <v>23986.07</v>
      </c>
      <c r="F14" s="74" t="s">
        <v>372</v>
      </c>
      <c r="G14" s="58"/>
      <c r="H14" s="101"/>
      <c r="I14" s="101"/>
      <c r="J14" s="101"/>
      <c r="K14" s="101">
        <f t="shared" si="0"/>
        <v>23986.07</v>
      </c>
      <c r="L14" s="135"/>
      <c r="M14" s="148">
        <f t="shared" si="1"/>
        <v>23986.07</v>
      </c>
      <c r="N14" s="74" t="s">
        <v>449</v>
      </c>
      <c r="Q14" s="161">
        <f t="shared" si="2"/>
        <v>23986.07</v>
      </c>
      <c r="R14" s="74" t="s">
        <v>371</v>
      </c>
    </row>
    <row r="15" spans="1:19" ht="15" customHeight="1">
      <c r="A15" s="58" t="s">
        <v>276</v>
      </c>
      <c r="B15" s="59" t="s">
        <v>301</v>
      </c>
      <c r="C15" s="59" t="s">
        <v>302</v>
      </c>
      <c r="D15" s="60">
        <v>42736</v>
      </c>
      <c r="E15" s="97">
        <v>18647.46</v>
      </c>
      <c r="F15" s="74" t="s">
        <v>372</v>
      </c>
      <c r="G15" s="58"/>
      <c r="H15" s="101"/>
      <c r="I15" s="101"/>
      <c r="J15" s="101"/>
      <c r="K15" s="101">
        <f t="shared" si="0"/>
        <v>18647.46</v>
      </c>
      <c r="L15" s="135"/>
      <c r="M15" s="148">
        <f t="shared" si="1"/>
        <v>18647.46</v>
      </c>
      <c r="N15" s="74" t="s">
        <v>449</v>
      </c>
      <c r="Q15" s="161">
        <f t="shared" si="2"/>
        <v>18647.46</v>
      </c>
      <c r="R15" s="74" t="s">
        <v>371</v>
      </c>
    </row>
    <row r="16" spans="1:19" ht="15" customHeight="1">
      <c r="A16" s="58" t="s">
        <v>276</v>
      </c>
      <c r="B16" s="59" t="s">
        <v>303</v>
      </c>
      <c r="C16" s="59" t="s">
        <v>304</v>
      </c>
      <c r="D16" s="60">
        <v>42736</v>
      </c>
      <c r="E16" s="97">
        <v>3800</v>
      </c>
      <c r="F16" s="74" t="s">
        <v>372</v>
      </c>
      <c r="G16" s="58"/>
      <c r="H16" s="101"/>
      <c r="I16" s="101"/>
      <c r="J16" s="101"/>
      <c r="K16" s="101">
        <f t="shared" si="0"/>
        <v>3800</v>
      </c>
      <c r="L16" s="135"/>
      <c r="M16" s="148">
        <f t="shared" si="1"/>
        <v>3800</v>
      </c>
      <c r="N16" s="74" t="s">
        <v>449</v>
      </c>
      <c r="Q16" s="161">
        <f t="shared" si="2"/>
        <v>3800</v>
      </c>
      <c r="R16" s="74" t="s">
        <v>371</v>
      </c>
    </row>
    <row r="17" spans="1:18" ht="15" customHeight="1">
      <c r="A17" s="58" t="s">
        <v>276</v>
      </c>
      <c r="B17" s="59" t="s">
        <v>277</v>
      </c>
      <c r="C17" s="59" t="s">
        <v>278</v>
      </c>
      <c r="D17" s="60">
        <v>42736</v>
      </c>
      <c r="E17" s="97">
        <v>5070</v>
      </c>
      <c r="F17" s="74" t="s">
        <v>371</v>
      </c>
      <c r="G17" s="58"/>
      <c r="H17" s="101"/>
      <c r="I17" s="101"/>
      <c r="J17" s="101"/>
      <c r="K17" s="101">
        <f t="shared" si="0"/>
        <v>5070</v>
      </c>
      <c r="L17" s="135">
        <v>0</v>
      </c>
      <c r="M17" s="148">
        <f t="shared" si="1"/>
        <v>5070</v>
      </c>
      <c r="N17" s="74" t="s">
        <v>448</v>
      </c>
      <c r="Q17" s="161">
        <f t="shared" si="2"/>
        <v>5070</v>
      </c>
      <c r="R17" s="74" t="s">
        <v>370</v>
      </c>
    </row>
    <row r="18" spans="1:18" ht="15" customHeight="1">
      <c r="A18" s="58" t="s">
        <v>276</v>
      </c>
      <c r="B18" s="59" t="s">
        <v>279</v>
      </c>
      <c r="C18" s="59" t="s">
        <v>280</v>
      </c>
      <c r="D18" s="60">
        <v>42736</v>
      </c>
      <c r="E18" s="97">
        <v>33696.480000000003</v>
      </c>
      <c r="F18" s="74" t="s">
        <v>371</v>
      </c>
      <c r="G18" s="58"/>
      <c r="H18" s="101"/>
      <c r="I18" s="101"/>
      <c r="J18" s="101"/>
      <c r="K18" s="101">
        <f t="shared" si="0"/>
        <v>33696.480000000003</v>
      </c>
      <c r="L18" s="135">
        <f>K18*-1</f>
        <v>-33696.480000000003</v>
      </c>
      <c r="M18" s="148">
        <f t="shared" si="1"/>
        <v>0</v>
      </c>
      <c r="N18" s="74" t="s">
        <v>448</v>
      </c>
      <c r="Q18" s="161">
        <f t="shared" si="2"/>
        <v>0</v>
      </c>
      <c r="R18" s="74" t="s">
        <v>370</v>
      </c>
    </row>
    <row r="19" spans="1:18" ht="15" customHeight="1">
      <c r="A19" s="58" t="s">
        <v>276</v>
      </c>
      <c r="B19" s="59" t="s">
        <v>283</v>
      </c>
      <c r="C19" s="59" t="s">
        <v>305</v>
      </c>
      <c r="D19" s="60" t="s">
        <v>306</v>
      </c>
      <c r="E19" s="97">
        <v>6566.7</v>
      </c>
      <c r="F19" s="74" t="s">
        <v>376</v>
      </c>
      <c r="G19" s="58"/>
      <c r="H19" s="101"/>
      <c r="I19" s="101"/>
      <c r="J19" s="101"/>
      <c r="K19" s="101">
        <f t="shared" si="0"/>
        <v>6566.7</v>
      </c>
      <c r="L19" s="135"/>
      <c r="M19" s="148">
        <f t="shared" si="1"/>
        <v>6566.7</v>
      </c>
      <c r="N19" s="74" t="s">
        <v>368</v>
      </c>
      <c r="Q19" s="161">
        <f t="shared" si="2"/>
        <v>6566.7</v>
      </c>
      <c r="R19" s="74" t="s">
        <v>368</v>
      </c>
    </row>
    <row r="20" spans="1:18" ht="15" customHeight="1">
      <c r="A20" s="58" t="s">
        <v>276</v>
      </c>
      <c r="B20" s="59" t="s">
        <v>301</v>
      </c>
      <c r="C20" s="59" t="s">
        <v>302</v>
      </c>
      <c r="D20" s="60">
        <v>42768</v>
      </c>
      <c r="E20" s="97">
        <v>6500</v>
      </c>
      <c r="F20" s="74" t="s">
        <v>372</v>
      </c>
      <c r="G20" s="58"/>
      <c r="H20" s="101"/>
      <c r="I20" s="101"/>
      <c r="J20" s="101"/>
      <c r="K20" s="101">
        <f t="shared" si="0"/>
        <v>6500</v>
      </c>
      <c r="L20" s="135"/>
      <c r="M20" s="148">
        <f t="shared" si="1"/>
        <v>6500</v>
      </c>
      <c r="N20" s="74" t="s">
        <v>449</v>
      </c>
      <c r="Q20" s="161">
        <f t="shared" si="2"/>
        <v>6500</v>
      </c>
      <c r="R20" s="74" t="s">
        <v>371</v>
      </c>
    </row>
    <row r="21" spans="1:18" ht="15" customHeight="1">
      <c r="A21" s="58" t="s">
        <v>276</v>
      </c>
      <c r="B21" s="59" t="s">
        <v>307</v>
      </c>
      <c r="C21" s="59" t="s">
        <v>308</v>
      </c>
      <c r="D21" s="60">
        <v>42768</v>
      </c>
      <c r="E21" s="97">
        <v>39561.379999999997</v>
      </c>
      <c r="F21" s="74" t="s">
        <v>373</v>
      </c>
      <c r="G21" s="58"/>
      <c r="H21" s="101"/>
      <c r="I21" s="101"/>
      <c r="J21" s="101"/>
      <c r="K21" s="101">
        <f t="shared" si="0"/>
        <v>39561.379999999997</v>
      </c>
      <c r="L21" s="135">
        <f>K21*-1</f>
        <v>-39561.379999999997</v>
      </c>
      <c r="M21" s="148">
        <f t="shared" si="1"/>
        <v>0</v>
      </c>
      <c r="N21" s="149" t="s">
        <v>464</v>
      </c>
      <c r="Q21" s="161">
        <f t="shared" si="2"/>
        <v>0</v>
      </c>
    </row>
    <row r="22" spans="1:18" ht="15" customHeight="1">
      <c r="A22" s="58" t="s">
        <v>276</v>
      </c>
      <c r="B22" s="59" t="s">
        <v>301</v>
      </c>
      <c r="C22" s="59" t="s">
        <v>302</v>
      </c>
      <c r="D22" s="60">
        <v>42797</v>
      </c>
      <c r="E22" s="97">
        <v>15067.2</v>
      </c>
      <c r="F22" s="74" t="s">
        <v>374</v>
      </c>
      <c r="G22" s="59"/>
      <c r="H22" s="101"/>
      <c r="I22" s="101"/>
      <c r="J22" s="101"/>
      <c r="K22" s="101">
        <f t="shared" si="0"/>
        <v>15067.2</v>
      </c>
      <c r="L22" s="135"/>
      <c r="M22" s="148">
        <f t="shared" si="1"/>
        <v>15067.2</v>
      </c>
      <c r="N22" s="74" t="s">
        <v>372</v>
      </c>
      <c r="Q22" s="161">
        <f t="shared" si="2"/>
        <v>15067.2</v>
      </c>
      <c r="R22" s="74" t="s">
        <v>372</v>
      </c>
    </row>
    <row r="23" spans="1:18" ht="15" customHeight="1">
      <c r="A23" s="58" t="s">
        <v>276</v>
      </c>
      <c r="B23" s="59" t="s">
        <v>279</v>
      </c>
      <c r="C23" s="59" t="s">
        <v>280</v>
      </c>
      <c r="D23" s="60">
        <v>42797</v>
      </c>
      <c r="E23" s="97">
        <v>59565.03</v>
      </c>
      <c r="F23" s="74" t="s">
        <v>374</v>
      </c>
      <c r="G23" s="58"/>
      <c r="H23" s="101"/>
      <c r="I23" s="101"/>
      <c r="J23" s="101"/>
      <c r="K23" s="101">
        <f t="shared" si="0"/>
        <v>59565.03</v>
      </c>
      <c r="L23" s="135">
        <f>-200000-(L3+L18+L21)</f>
        <v>-51532.329999999987</v>
      </c>
      <c r="M23" s="148">
        <f t="shared" si="1"/>
        <v>8032.7000000000116</v>
      </c>
      <c r="N23" s="74" t="s">
        <v>372</v>
      </c>
      <c r="Q23" s="161">
        <f t="shared" si="2"/>
        <v>8032.7000000000116</v>
      </c>
      <c r="R23" s="74" t="s">
        <v>372</v>
      </c>
    </row>
    <row r="24" spans="1:18" ht="15" customHeight="1">
      <c r="A24" s="58" t="s">
        <v>276</v>
      </c>
      <c r="B24" s="59" t="s">
        <v>279</v>
      </c>
      <c r="C24" s="59" t="s">
        <v>280</v>
      </c>
      <c r="D24" s="60">
        <v>42797</v>
      </c>
      <c r="E24" s="97">
        <v>3977</v>
      </c>
      <c r="F24" s="74" t="s">
        <v>374</v>
      </c>
      <c r="G24" s="58"/>
      <c r="H24" s="101"/>
      <c r="I24" s="101"/>
      <c r="J24" s="101"/>
      <c r="K24" s="101">
        <f t="shared" si="0"/>
        <v>3977</v>
      </c>
      <c r="L24" s="135"/>
      <c r="M24" s="148">
        <f t="shared" si="1"/>
        <v>3977</v>
      </c>
      <c r="N24" s="74" t="s">
        <v>372</v>
      </c>
      <c r="Q24" s="161">
        <f t="shared" si="2"/>
        <v>3977</v>
      </c>
      <c r="R24" s="74" t="s">
        <v>372</v>
      </c>
    </row>
    <row r="25" spans="1:18" ht="15" customHeight="1">
      <c r="A25" s="58" t="s">
        <v>276</v>
      </c>
      <c r="B25" s="59" t="s">
        <v>293</v>
      </c>
      <c r="C25" s="59" t="s">
        <v>294</v>
      </c>
      <c r="D25" s="60">
        <v>42797</v>
      </c>
      <c r="E25" s="97">
        <v>10558.62</v>
      </c>
      <c r="F25" s="74" t="s">
        <v>374</v>
      </c>
      <c r="G25" s="58"/>
      <c r="H25" s="101"/>
      <c r="I25" s="101"/>
      <c r="J25" s="101"/>
      <c r="K25" s="101">
        <f t="shared" si="0"/>
        <v>10558.62</v>
      </c>
      <c r="L25" s="135"/>
      <c r="M25" s="148">
        <f t="shared" si="1"/>
        <v>10558.62</v>
      </c>
      <c r="N25" s="74" t="s">
        <v>372</v>
      </c>
      <c r="Q25" s="161">
        <f t="shared" si="2"/>
        <v>10558.62</v>
      </c>
      <c r="R25" s="74" t="s">
        <v>372</v>
      </c>
    </row>
    <row r="26" spans="1:18" ht="15" customHeight="1">
      <c r="A26" s="58" t="s">
        <v>276</v>
      </c>
      <c r="B26" s="59" t="s">
        <v>295</v>
      </c>
      <c r="C26" s="59" t="s">
        <v>296</v>
      </c>
      <c r="D26" s="60">
        <v>42797</v>
      </c>
      <c r="E26" s="97">
        <v>13624.03</v>
      </c>
      <c r="F26" s="74" t="s">
        <v>374</v>
      </c>
      <c r="G26" s="58"/>
      <c r="H26" s="101"/>
      <c r="I26" s="101"/>
      <c r="J26" s="101"/>
      <c r="K26" s="101">
        <f t="shared" si="0"/>
        <v>13624.03</v>
      </c>
      <c r="L26" s="135"/>
      <c r="M26" s="148">
        <f t="shared" si="1"/>
        <v>13624.03</v>
      </c>
      <c r="N26" s="74" t="s">
        <v>372</v>
      </c>
      <c r="Q26" s="161">
        <f t="shared" si="2"/>
        <v>13624.03</v>
      </c>
      <c r="R26" s="74" t="s">
        <v>372</v>
      </c>
    </row>
    <row r="27" spans="1:18" ht="15" customHeight="1">
      <c r="A27" s="58" t="s">
        <v>276</v>
      </c>
      <c r="B27" s="59" t="s">
        <v>309</v>
      </c>
      <c r="C27" s="59" t="s">
        <v>310</v>
      </c>
      <c r="D27" s="60">
        <v>42797</v>
      </c>
      <c r="E27" s="97">
        <v>1694.3</v>
      </c>
      <c r="F27" s="74" t="s">
        <v>374</v>
      </c>
      <c r="G27" s="59"/>
      <c r="H27" s="101"/>
      <c r="I27" s="101"/>
      <c r="J27" s="101"/>
      <c r="K27" s="101">
        <f t="shared" si="0"/>
        <v>1694.3</v>
      </c>
      <c r="L27" s="135"/>
      <c r="M27" s="148">
        <f t="shared" si="1"/>
        <v>1694.3</v>
      </c>
      <c r="N27" s="74" t="s">
        <v>372</v>
      </c>
      <c r="Q27" s="161">
        <f t="shared" si="2"/>
        <v>1694.3</v>
      </c>
      <c r="R27" s="74" t="s">
        <v>372</v>
      </c>
    </row>
    <row r="28" spans="1:18" ht="15" customHeight="1">
      <c r="A28" s="58" t="s">
        <v>276</v>
      </c>
      <c r="B28" s="59" t="s">
        <v>311</v>
      </c>
      <c r="C28" s="59" t="s">
        <v>312</v>
      </c>
      <c r="D28" s="60">
        <v>42829</v>
      </c>
      <c r="E28" s="97">
        <v>2487.4</v>
      </c>
      <c r="F28" s="74" t="s">
        <v>377</v>
      </c>
      <c r="G28" s="59"/>
      <c r="H28" s="101"/>
      <c r="I28" s="101"/>
      <c r="J28" s="101"/>
      <c r="K28" s="101">
        <f t="shared" si="0"/>
        <v>2487.4</v>
      </c>
      <c r="L28" s="135"/>
      <c r="M28" s="148">
        <f t="shared" si="1"/>
        <v>2487.4</v>
      </c>
      <c r="N28" s="74" t="s">
        <v>452</v>
      </c>
      <c r="Q28" s="161">
        <f t="shared" si="2"/>
        <v>2487.4</v>
      </c>
      <c r="R28" s="74" t="s">
        <v>384</v>
      </c>
    </row>
    <row r="29" spans="1:18" ht="15" customHeight="1">
      <c r="A29" s="58" t="s">
        <v>276</v>
      </c>
      <c r="B29" s="59" t="s">
        <v>301</v>
      </c>
      <c r="C29" s="59" t="s">
        <v>302</v>
      </c>
      <c r="D29" s="60">
        <v>42829</v>
      </c>
      <c r="E29" s="97">
        <v>13388.2</v>
      </c>
      <c r="F29" s="74" t="s">
        <v>368</v>
      </c>
      <c r="G29" s="59"/>
      <c r="H29" s="101"/>
      <c r="I29" s="101"/>
      <c r="J29" s="101"/>
      <c r="K29" s="101">
        <f t="shared" si="0"/>
        <v>13388.2</v>
      </c>
      <c r="L29" s="135"/>
      <c r="M29" s="148">
        <f t="shared" si="1"/>
        <v>13388.2</v>
      </c>
      <c r="N29" s="74" t="s">
        <v>450</v>
      </c>
      <c r="Q29" s="161">
        <f t="shared" si="2"/>
        <v>13388.2</v>
      </c>
      <c r="R29" s="74" t="s">
        <v>374</v>
      </c>
    </row>
    <row r="30" spans="1:18" ht="15" customHeight="1">
      <c r="A30" s="58" t="s">
        <v>276</v>
      </c>
      <c r="B30" s="59" t="s">
        <v>313</v>
      </c>
      <c r="C30" s="59" t="s">
        <v>314</v>
      </c>
      <c r="D30" s="60">
        <v>42829</v>
      </c>
      <c r="E30" s="97">
        <v>64217.17</v>
      </c>
      <c r="F30" s="74" t="s">
        <v>377</v>
      </c>
      <c r="G30" s="59"/>
      <c r="H30" s="101"/>
      <c r="I30" s="101">
        <f>H30/1.06</f>
        <v>0</v>
      </c>
      <c r="J30" s="101">
        <f>-I30</f>
        <v>0</v>
      </c>
      <c r="K30" s="101">
        <f t="shared" si="0"/>
        <v>64217.17</v>
      </c>
      <c r="L30" s="135"/>
      <c r="M30" s="148">
        <f t="shared" si="1"/>
        <v>64217.17</v>
      </c>
      <c r="N30" s="74" t="s">
        <v>452</v>
      </c>
      <c r="O30" s="230">
        <v>64217.17</v>
      </c>
      <c r="Q30" s="161">
        <f t="shared" si="2"/>
        <v>0</v>
      </c>
      <c r="R30" s="74" t="s">
        <v>384</v>
      </c>
    </row>
    <row r="31" spans="1:18" ht="15" customHeight="1">
      <c r="A31" s="58" t="s">
        <v>276</v>
      </c>
      <c r="B31" s="59" t="s">
        <v>315</v>
      </c>
      <c r="C31" s="59" t="s">
        <v>316</v>
      </c>
      <c r="D31" s="60">
        <v>42829</v>
      </c>
      <c r="E31" s="97">
        <v>65377.36</v>
      </c>
      <c r="F31" s="74" t="s">
        <v>377</v>
      </c>
      <c r="G31" s="59"/>
      <c r="H31" s="101"/>
      <c r="I31" s="101"/>
      <c r="J31" s="101"/>
      <c r="K31" s="101">
        <f t="shared" si="0"/>
        <v>65377.36</v>
      </c>
      <c r="L31" s="135"/>
      <c r="M31" s="148">
        <f t="shared" si="1"/>
        <v>65377.36</v>
      </c>
      <c r="N31" s="74" t="s">
        <v>452</v>
      </c>
      <c r="Q31" s="161">
        <f t="shared" si="2"/>
        <v>65377.36</v>
      </c>
      <c r="R31" s="74" t="s">
        <v>384</v>
      </c>
    </row>
    <row r="32" spans="1:18" ht="15" customHeight="1">
      <c r="A32" s="58" t="s">
        <v>276</v>
      </c>
      <c r="B32" s="59" t="s">
        <v>279</v>
      </c>
      <c r="C32" s="59" t="s">
        <v>280</v>
      </c>
      <c r="D32" s="60">
        <v>42829</v>
      </c>
      <c r="E32" s="97">
        <v>85396.37</v>
      </c>
      <c r="F32" s="74" t="s">
        <v>368</v>
      </c>
      <c r="G32" s="59"/>
      <c r="H32" s="101"/>
      <c r="I32" s="101"/>
      <c r="J32" s="101"/>
      <c r="K32" s="101">
        <f t="shared" si="0"/>
        <v>85396.37</v>
      </c>
      <c r="L32" s="135"/>
      <c r="M32" s="148">
        <f t="shared" si="1"/>
        <v>85396.37</v>
      </c>
      <c r="N32" s="74" t="s">
        <v>450</v>
      </c>
      <c r="Q32" s="161">
        <f t="shared" si="2"/>
        <v>85396.37</v>
      </c>
      <c r="R32" s="74" t="s">
        <v>374</v>
      </c>
    </row>
    <row r="33" spans="1:18" ht="15" customHeight="1">
      <c r="A33" s="58" t="s">
        <v>276</v>
      </c>
      <c r="B33" s="59" t="s">
        <v>281</v>
      </c>
      <c r="C33" s="59" t="s">
        <v>317</v>
      </c>
      <c r="D33" s="60">
        <v>42829</v>
      </c>
      <c r="E33" s="97">
        <v>14380.37</v>
      </c>
      <c r="F33" s="74" t="s">
        <v>368</v>
      </c>
      <c r="G33" s="59"/>
      <c r="H33" s="101"/>
      <c r="I33" s="101"/>
      <c r="J33" s="101"/>
      <c r="K33" s="101">
        <f t="shared" si="0"/>
        <v>14380.37</v>
      </c>
      <c r="L33" s="135"/>
      <c r="M33" s="148">
        <f t="shared" si="1"/>
        <v>14380.37</v>
      </c>
      <c r="N33" s="74" t="s">
        <v>450</v>
      </c>
      <c r="Q33" s="161">
        <f t="shared" si="2"/>
        <v>14380.37</v>
      </c>
      <c r="R33" s="74" t="s">
        <v>374</v>
      </c>
    </row>
    <row r="34" spans="1:18" ht="15" customHeight="1">
      <c r="A34" s="58" t="s">
        <v>276</v>
      </c>
      <c r="B34" s="59" t="s">
        <v>318</v>
      </c>
      <c r="C34" s="59" t="s">
        <v>319</v>
      </c>
      <c r="D34" s="60">
        <v>42829</v>
      </c>
      <c r="E34" s="97">
        <v>316978.90000000002</v>
      </c>
      <c r="F34" s="74" t="s">
        <v>375</v>
      </c>
      <c r="G34" s="75" t="s">
        <v>320</v>
      </c>
      <c r="H34" s="102"/>
      <c r="I34" s="102"/>
      <c r="J34" s="102"/>
      <c r="K34" s="102">
        <f t="shared" si="0"/>
        <v>316978.90000000002</v>
      </c>
      <c r="L34" s="135"/>
      <c r="M34" s="148">
        <f t="shared" si="1"/>
        <v>316978.90000000002</v>
      </c>
      <c r="N34" s="74" t="s">
        <v>373</v>
      </c>
      <c r="Q34" s="161">
        <f t="shared" si="2"/>
        <v>316978.90000000002</v>
      </c>
      <c r="R34" s="74" t="s">
        <v>373</v>
      </c>
    </row>
    <row r="35" spans="1:18" ht="15" customHeight="1">
      <c r="A35" s="58" t="s">
        <v>276</v>
      </c>
      <c r="B35" s="59" t="s">
        <v>321</v>
      </c>
      <c r="C35" s="59" t="s">
        <v>322</v>
      </c>
      <c r="D35" s="60">
        <v>42829</v>
      </c>
      <c r="E35" s="97">
        <v>7794.48</v>
      </c>
      <c r="F35" s="74" t="s">
        <v>377</v>
      </c>
      <c r="G35" s="59"/>
      <c r="H35" s="101"/>
      <c r="I35" s="101"/>
      <c r="J35" s="101"/>
      <c r="K35" s="101">
        <f t="shared" si="0"/>
        <v>7794.48</v>
      </c>
      <c r="L35" s="97">
        <v>-7794.48</v>
      </c>
      <c r="M35" s="148">
        <f t="shared" si="1"/>
        <v>0</v>
      </c>
      <c r="N35" s="74" t="s">
        <v>452</v>
      </c>
      <c r="Q35" s="161">
        <f t="shared" si="2"/>
        <v>0</v>
      </c>
      <c r="R35" s="74" t="s">
        <v>384</v>
      </c>
    </row>
    <row r="36" spans="1:18" ht="15" customHeight="1">
      <c r="A36" s="58" t="s">
        <v>276</v>
      </c>
      <c r="B36" s="59" t="s">
        <v>321</v>
      </c>
      <c r="C36" s="59" t="s">
        <v>322</v>
      </c>
      <c r="D36" s="60">
        <v>42829</v>
      </c>
      <c r="E36" s="97">
        <v>1315.97</v>
      </c>
      <c r="F36" s="74" t="s">
        <v>377</v>
      </c>
      <c r="G36" s="59"/>
      <c r="H36" s="101"/>
      <c r="I36" s="101"/>
      <c r="J36" s="101"/>
      <c r="K36" s="101">
        <f t="shared" si="0"/>
        <v>1315.97</v>
      </c>
      <c r="L36" s="97">
        <v>-1315.97</v>
      </c>
      <c r="M36" s="148">
        <f t="shared" si="1"/>
        <v>0</v>
      </c>
      <c r="N36" s="74" t="s">
        <v>452</v>
      </c>
      <c r="Q36" s="161">
        <f t="shared" si="2"/>
        <v>0</v>
      </c>
      <c r="R36" s="74" t="s">
        <v>384</v>
      </c>
    </row>
    <row r="37" spans="1:18" ht="15" customHeight="1">
      <c r="A37" s="58" t="s">
        <v>276</v>
      </c>
      <c r="B37" s="59" t="s">
        <v>293</v>
      </c>
      <c r="C37" s="59" t="s">
        <v>294</v>
      </c>
      <c r="D37" s="60">
        <v>42829</v>
      </c>
      <c r="E37" s="97">
        <v>10689.26</v>
      </c>
      <c r="F37" s="74" t="s">
        <v>377</v>
      </c>
      <c r="G37" s="59"/>
      <c r="H37" s="101"/>
      <c r="I37" s="101"/>
      <c r="J37" s="101"/>
      <c r="K37" s="101">
        <f t="shared" si="0"/>
        <v>10689.26</v>
      </c>
      <c r="L37" s="135"/>
      <c r="M37" s="148">
        <f t="shared" si="1"/>
        <v>10689.26</v>
      </c>
      <c r="N37" s="74" t="s">
        <v>452</v>
      </c>
      <c r="Q37" s="161">
        <f t="shared" si="2"/>
        <v>10689.26</v>
      </c>
      <c r="R37" s="74" t="s">
        <v>384</v>
      </c>
    </row>
    <row r="38" spans="1:18" ht="15" customHeight="1">
      <c r="A38" s="58" t="s">
        <v>276</v>
      </c>
      <c r="B38" s="59" t="s">
        <v>295</v>
      </c>
      <c r="C38" s="59" t="s">
        <v>296</v>
      </c>
      <c r="D38" s="60">
        <v>42829</v>
      </c>
      <c r="E38" s="97">
        <v>13418.43</v>
      </c>
      <c r="F38" s="74" t="s">
        <v>377</v>
      </c>
      <c r="G38" s="59"/>
      <c r="H38" s="101"/>
      <c r="I38" s="101"/>
      <c r="J38" s="101"/>
      <c r="K38" s="101">
        <f t="shared" si="0"/>
        <v>13418.43</v>
      </c>
      <c r="L38" s="135"/>
      <c r="M38" s="148">
        <f t="shared" si="1"/>
        <v>13418.43</v>
      </c>
      <c r="N38" s="74" t="s">
        <v>452</v>
      </c>
      <c r="Q38" s="161">
        <f t="shared" si="2"/>
        <v>13418.43</v>
      </c>
      <c r="R38" s="74" t="s">
        <v>384</v>
      </c>
    </row>
    <row r="39" spans="1:18" ht="15" customHeight="1">
      <c r="A39" s="58" t="s">
        <v>276</v>
      </c>
      <c r="B39" s="59" t="s">
        <v>309</v>
      </c>
      <c r="C39" s="59" t="s">
        <v>310</v>
      </c>
      <c r="D39" s="60">
        <v>42829</v>
      </c>
      <c r="E39" s="97">
        <v>1694.3</v>
      </c>
      <c r="F39" s="74" t="s">
        <v>368</v>
      </c>
      <c r="G39" s="59"/>
      <c r="H39" s="101"/>
      <c r="I39" s="101"/>
      <c r="J39" s="101"/>
      <c r="K39" s="101">
        <f t="shared" si="0"/>
        <v>1694.3</v>
      </c>
      <c r="L39" s="135"/>
      <c r="M39" s="148">
        <f t="shared" si="1"/>
        <v>1694.3</v>
      </c>
      <c r="N39" s="74" t="s">
        <v>450</v>
      </c>
      <c r="Q39" s="161">
        <f t="shared" si="2"/>
        <v>1694.3</v>
      </c>
      <c r="R39" s="74" t="s">
        <v>374</v>
      </c>
    </row>
    <row r="40" spans="1:18" ht="15" customHeight="1">
      <c r="A40" s="58" t="s">
        <v>276</v>
      </c>
      <c r="B40" s="59" t="s">
        <v>323</v>
      </c>
      <c r="C40" s="59" t="s">
        <v>324</v>
      </c>
      <c r="D40" s="60">
        <v>42859</v>
      </c>
      <c r="E40" s="97">
        <v>24627.49</v>
      </c>
      <c r="F40" s="74" t="s">
        <v>378</v>
      </c>
      <c r="G40" s="59"/>
      <c r="H40" s="101"/>
      <c r="I40" s="101"/>
      <c r="J40" s="101"/>
      <c r="K40" s="101">
        <f t="shared" si="0"/>
        <v>24627.49</v>
      </c>
      <c r="L40" s="135"/>
      <c r="M40" s="148">
        <f t="shared" si="1"/>
        <v>24627.49</v>
      </c>
      <c r="N40" s="74" t="s">
        <v>453</v>
      </c>
      <c r="Q40" s="161">
        <f t="shared" si="2"/>
        <v>24627.49</v>
      </c>
      <c r="R40" s="74" t="s">
        <v>376</v>
      </c>
    </row>
    <row r="41" spans="1:18" ht="15" customHeight="1">
      <c r="A41" s="58" t="s">
        <v>276</v>
      </c>
      <c r="B41" s="59" t="s">
        <v>325</v>
      </c>
      <c r="C41" s="59" t="s">
        <v>322</v>
      </c>
      <c r="D41" s="60">
        <v>42859</v>
      </c>
      <c r="E41" s="97">
        <v>21971.48</v>
      </c>
      <c r="F41" s="74" t="s">
        <v>378</v>
      </c>
      <c r="G41" s="59"/>
      <c r="H41" s="101"/>
      <c r="I41" s="101"/>
      <c r="J41" s="101"/>
      <c r="K41" s="101">
        <f t="shared" si="0"/>
        <v>21971.48</v>
      </c>
      <c r="L41" s="135">
        <f>-30000+7794.48+1315.97</f>
        <v>-20889.55</v>
      </c>
      <c r="M41" s="148">
        <f t="shared" si="1"/>
        <v>1081.9300000000003</v>
      </c>
      <c r="N41" s="74" t="s">
        <v>453</v>
      </c>
      <c r="Q41" s="161">
        <f t="shared" si="2"/>
        <v>1081.9300000000003</v>
      </c>
      <c r="R41" s="74" t="s">
        <v>376</v>
      </c>
    </row>
    <row r="42" spans="1:18" ht="15" customHeight="1">
      <c r="A42" s="58" t="s">
        <v>276</v>
      </c>
      <c r="B42" s="59" t="s">
        <v>326</v>
      </c>
      <c r="C42" s="59" t="s">
        <v>327</v>
      </c>
      <c r="D42" s="60">
        <v>42859</v>
      </c>
      <c r="E42" s="97">
        <v>2555.04</v>
      </c>
      <c r="F42" s="74" t="s">
        <v>378</v>
      </c>
      <c r="G42" s="59"/>
      <c r="H42" s="101"/>
      <c r="I42" s="101"/>
      <c r="J42" s="101"/>
      <c r="K42" s="101">
        <f t="shared" si="0"/>
        <v>2555.04</v>
      </c>
      <c r="L42" s="135"/>
      <c r="M42" s="148">
        <f t="shared" si="1"/>
        <v>2555.04</v>
      </c>
      <c r="N42" s="74" t="s">
        <v>453</v>
      </c>
      <c r="Q42" s="161">
        <f t="shared" si="2"/>
        <v>2555.04</v>
      </c>
      <c r="R42" s="74" t="s">
        <v>376</v>
      </c>
    </row>
    <row r="43" spans="1:18" ht="15" customHeight="1">
      <c r="A43" s="58" t="s">
        <v>276</v>
      </c>
      <c r="B43" s="59" t="s">
        <v>328</v>
      </c>
      <c r="C43" s="59" t="s">
        <v>329</v>
      </c>
      <c r="D43" s="60">
        <v>42859</v>
      </c>
      <c r="E43" s="97">
        <v>3577.06</v>
      </c>
      <c r="F43" s="74" t="s">
        <v>378</v>
      </c>
      <c r="G43" s="59"/>
      <c r="H43" s="101"/>
      <c r="I43" s="101"/>
      <c r="J43" s="101"/>
      <c r="K43" s="101">
        <f t="shared" si="0"/>
        <v>3577.06</v>
      </c>
      <c r="L43" s="135"/>
      <c r="M43" s="148">
        <f t="shared" si="1"/>
        <v>3577.06</v>
      </c>
      <c r="N43" s="74" t="s">
        <v>453</v>
      </c>
      <c r="Q43" s="161">
        <f t="shared" si="2"/>
        <v>3577.06</v>
      </c>
      <c r="R43" s="74" t="s">
        <v>376</v>
      </c>
    </row>
    <row r="44" spans="1:18" ht="15" customHeight="1">
      <c r="A44" s="58" t="s">
        <v>276</v>
      </c>
      <c r="B44" s="59" t="s">
        <v>330</v>
      </c>
      <c r="C44" s="59" t="s">
        <v>331</v>
      </c>
      <c r="D44" s="60">
        <v>42859</v>
      </c>
      <c r="E44" s="97">
        <v>82500</v>
      </c>
      <c r="F44" s="74" t="s">
        <v>379</v>
      </c>
      <c r="G44" s="59"/>
      <c r="H44" s="101"/>
      <c r="I44" s="101"/>
      <c r="J44" s="101"/>
      <c r="K44" s="101">
        <f t="shared" si="0"/>
        <v>82500</v>
      </c>
      <c r="L44" s="135"/>
      <c r="M44" s="148">
        <f t="shared" si="1"/>
        <v>82500</v>
      </c>
      <c r="N44" s="74" t="s">
        <v>377</v>
      </c>
      <c r="Q44" s="161">
        <f t="shared" si="2"/>
        <v>82500</v>
      </c>
      <c r="R44" s="74" t="s">
        <v>377</v>
      </c>
    </row>
    <row r="45" spans="1:18" ht="15" customHeight="1">
      <c r="A45" s="58" t="s">
        <v>276</v>
      </c>
      <c r="B45" s="59" t="s">
        <v>293</v>
      </c>
      <c r="C45" s="59" t="s">
        <v>294</v>
      </c>
      <c r="D45" s="60">
        <v>42859</v>
      </c>
      <c r="E45" s="97">
        <v>9990.9599999999991</v>
      </c>
      <c r="F45" s="74" t="s">
        <v>378</v>
      </c>
      <c r="G45" s="59"/>
      <c r="H45" s="101"/>
      <c r="I45" s="101"/>
      <c r="J45" s="101"/>
      <c r="K45" s="101">
        <f t="shared" si="0"/>
        <v>9990.9599999999991</v>
      </c>
      <c r="L45" s="135"/>
      <c r="M45" s="148">
        <f t="shared" si="1"/>
        <v>9990.9599999999991</v>
      </c>
      <c r="N45" s="74" t="s">
        <v>453</v>
      </c>
      <c r="Q45" s="161">
        <f t="shared" si="2"/>
        <v>9990.9599999999991</v>
      </c>
      <c r="R45" s="74" t="s">
        <v>376</v>
      </c>
    </row>
    <row r="46" spans="1:18" ht="15" customHeight="1">
      <c r="A46" s="58" t="s">
        <v>276</v>
      </c>
      <c r="B46" s="59" t="s">
        <v>295</v>
      </c>
      <c r="C46" s="59" t="s">
        <v>296</v>
      </c>
      <c r="D46" s="60">
        <v>42859</v>
      </c>
      <c r="E46" s="97">
        <v>13396.96</v>
      </c>
      <c r="F46" s="74" t="s">
        <v>378</v>
      </c>
      <c r="G46" s="59"/>
      <c r="H46" s="101"/>
      <c r="I46" s="101"/>
      <c r="J46" s="101"/>
      <c r="K46" s="101">
        <f t="shared" si="0"/>
        <v>13396.96</v>
      </c>
      <c r="L46" s="135"/>
      <c r="M46" s="148">
        <f t="shared" si="1"/>
        <v>13396.96</v>
      </c>
      <c r="N46" s="74" t="s">
        <v>453</v>
      </c>
      <c r="Q46" s="161">
        <f t="shared" si="2"/>
        <v>13396.96</v>
      </c>
      <c r="R46" s="74" t="s">
        <v>376</v>
      </c>
    </row>
    <row r="47" spans="1:18" ht="15" customHeight="1">
      <c r="A47" s="58" t="s">
        <v>276</v>
      </c>
      <c r="B47" s="59" t="s">
        <v>332</v>
      </c>
      <c r="C47" s="59" t="s">
        <v>333</v>
      </c>
      <c r="D47" s="60">
        <v>42859</v>
      </c>
      <c r="E47" s="97">
        <v>61852.82</v>
      </c>
      <c r="F47" s="74" t="s">
        <v>378</v>
      </c>
      <c r="G47" s="59"/>
      <c r="H47" s="101"/>
      <c r="I47" s="101"/>
      <c r="J47" s="101"/>
      <c r="K47" s="101">
        <f t="shared" si="0"/>
        <v>61852.82</v>
      </c>
      <c r="L47" s="135"/>
      <c r="M47" s="148">
        <f t="shared" si="1"/>
        <v>61852.82</v>
      </c>
      <c r="N47" s="74" t="s">
        <v>453</v>
      </c>
      <c r="Q47" s="161">
        <f t="shared" si="2"/>
        <v>61852.82</v>
      </c>
      <c r="R47" s="74" t="s">
        <v>376</v>
      </c>
    </row>
    <row r="48" spans="1:18" ht="15" customHeight="1">
      <c r="A48" s="58" t="s">
        <v>276</v>
      </c>
      <c r="B48" s="61" t="s">
        <v>334</v>
      </c>
      <c r="C48" s="59" t="s">
        <v>335</v>
      </c>
      <c r="D48" s="60">
        <v>42890</v>
      </c>
      <c r="E48" s="97">
        <v>1209.5999999999999</v>
      </c>
      <c r="F48" s="74" t="s">
        <v>381</v>
      </c>
      <c r="G48" s="59"/>
      <c r="H48" s="101"/>
      <c r="I48" s="101"/>
      <c r="J48" s="101"/>
      <c r="K48" s="101">
        <f t="shared" si="0"/>
        <v>1209.5999999999999</v>
      </c>
      <c r="L48" s="135"/>
      <c r="M48" s="148">
        <f t="shared" si="1"/>
        <v>1209.5999999999999</v>
      </c>
      <c r="N48" s="74" t="s">
        <v>454</v>
      </c>
      <c r="Q48" s="161">
        <f t="shared" si="2"/>
        <v>1209.5999999999999</v>
      </c>
      <c r="R48" s="74" t="s">
        <v>378</v>
      </c>
    </row>
    <row r="49" spans="1:18" ht="15" customHeight="1">
      <c r="A49" s="58" t="s">
        <v>276</v>
      </c>
      <c r="B49" s="59" t="s">
        <v>336</v>
      </c>
      <c r="C49" s="59" t="s">
        <v>337</v>
      </c>
      <c r="D49" s="60">
        <v>42891</v>
      </c>
      <c r="E49" s="97">
        <v>46873.08</v>
      </c>
      <c r="F49" s="74" t="s">
        <v>381</v>
      </c>
      <c r="G49" s="59"/>
      <c r="H49" s="101"/>
      <c r="I49" s="101"/>
      <c r="J49" s="101"/>
      <c r="K49" s="101">
        <f t="shared" si="0"/>
        <v>46873.08</v>
      </c>
      <c r="L49" s="135"/>
      <c r="M49" s="148">
        <f t="shared" si="1"/>
        <v>46873.08</v>
      </c>
      <c r="N49" s="74" t="s">
        <v>454</v>
      </c>
      <c r="Q49" s="161">
        <f t="shared" si="2"/>
        <v>46873.08</v>
      </c>
      <c r="R49" s="74" t="s">
        <v>378</v>
      </c>
    </row>
    <row r="50" spans="1:18" ht="15" customHeight="1">
      <c r="A50" s="58" t="s">
        <v>276</v>
      </c>
      <c r="B50" s="59" t="s">
        <v>338</v>
      </c>
      <c r="C50" s="59" t="s">
        <v>310</v>
      </c>
      <c r="D50" s="60">
        <v>42892</v>
      </c>
      <c r="E50" s="97">
        <v>1694.31</v>
      </c>
      <c r="F50" s="74" t="s">
        <v>381</v>
      </c>
      <c r="G50" s="59"/>
      <c r="H50" s="101"/>
      <c r="I50" s="101"/>
      <c r="J50" s="101"/>
      <c r="K50" s="101">
        <f t="shared" si="0"/>
        <v>1694.31</v>
      </c>
      <c r="L50" s="135"/>
      <c r="M50" s="148">
        <f t="shared" si="1"/>
        <v>1694.31</v>
      </c>
      <c r="N50" s="74" t="s">
        <v>454</v>
      </c>
      <c r="Q50" s="161">
        <f t="shared" si="2"/>
        <v>1694.31</v>
      </c>
      <c r="R50" s="74" t="s">
        <v>378</v>
      </c>
    </row>
    <row r="51" spans="1:18" ht="15" customHeight="1">
      <c r="A51" s="58" t="s">
        <v>276</v>
      </c>
      <c r="B51" s="59" t="s">
        <v>283</v>
      </c>
      <c r="C51" s="59" t="s">
        <v>284</v>
      </c>
      <c r="D51" s="60">
        <v>42893</v>
      </c>
      <c r="E51" s="97">
        <v>6108.48</v>
      </c>
      <c r="F51" s="74" t="s">
        <v>381</v>
      </c>
      <c r="G51" s="59"/>
      <c r="H51" s="101"/>
      <c r="I51" s="101"/>
      <c r="J51" s="101"/>
      <c r="K51" s="101">
        <f t="shared" si="0"/>
        <v>6108.48</v>
      </c>
      <c r="L51" s="135"/>
      <c r="M51" s="148">
        <f t="shared" si="1"/>
        <v>6108.48</v>
      </c>
      <c r="N51" s="74" t="s">
        <v>454</v>
      </c>
      <c r="Q51" s="161">
        <f t="shared" si="2"/>
        <v>6108.48</v>
      </c>
      <c r="R51" s="74" t="s">
        <v>378</v>
      </c>
    </row>
    <row r="52" spans="1:18" ht="15" customHeight="1">
      <c r="A52" s="58" t="s">
        <v>276</v>
      </c>
      <c r="B52" s="59" t="s">
        <v>339</v>
      </c>
      <c r="C52" s="59" t="s">
        <v>340</v>
      </c>
      <c r="D52" s="60">
        <v>42894</v>
      </c>
      <c r="E52" s="97">
        <v>1552.14</v>
      </c>
      <c r="F52" s="74" t="s">
        <v>381</v>
      </c>
      <c r="G52" s="59"/>
      <c r="H52" s="101"/>
      <c r="I52" s="101"/>
      <c r="J52" s="101"/>
      <c r="K52" s="101">
        <f t="shared" si="0"/>
        <v>1552.14</v>
      </c>
      <c r="L52" s="135"/>
      <c r="M52" s="148">
        <f t="shared" si="1"/>
        <v>1552.14</v>
      </c>
      <c r="N52" s="74" t="s">
        <v>454</v>
      </c>
      <c r="Q52" s="161">
        <f t="shared" si="2"/>
        <v>1552.14</v>
      </c>
      <c r="R52" s="74" t="s">
        <v>378</v>
      </c>
    </row>
    <row r="53" spans="1:18" ht="15" customHeight="1">
      <c r="A53" s="58" t="s">
        <v>276</v>
      </c>
      <c r="B53" s="59" t="s">
        <v>293</v>
      </c>
      <c r="C53" s="59" t="s">
        <v>294</v>
      </c>
      <c r="D53" s="60">
        <v>42895</v>
      </c>
      <c r="E53" s="97">
        <v>9521.16</v>
      </c>
      <c r="F53" s="74" t="s">
        <v>381</v>
      </c>
      <c r="G53" s="59"/>
      <c r="H53" s="101"/>
      <c r="I53" s="101"/>
      <c r="J53" s="101"/>
      <c r="K53" s="101">
        <f t="shared" si="0"/>
        <v>9521.16</v>
      </c>
      <c r="L53" s="135"/>
      <c r="M53" s="148">
        <f t="shared" si="1"/>
        <v>9521.16</v>
      </c>
      <c r="N53" s="74" t="s">
        <v>454</v>
      </c>
      <c r="Q53" s="161">
        <f t="shared" si="2"/>
        <v>9521.16</v>
      </c>
      <c r="R53" s="74" t="s">
        <v>378</v>
      </c>
    </row>
    <row r="54" spans="1:18" ht="15" customHeight="1">
      <c r="A54" s="58" t="s">
        <v>276</v>
      </c>
      <c r="B54" s="59" t="s">
        <v>295</v>
      </c>
      <c r="C54" s="59" t="s">
        <v>296</v>
      </c>
      <c r="D54" s="60">
        <v>42896</v>
      </c>
      <c r="E54" s="97">
        <v>13072.03</v>
      </c>
      <c r="F54" s="74" t="s">
        <v>381</v>
      </c>
      <c r="G54" s="59"/>
      <c r="H54" s="101"/>
      <c r="I54" s="101"/>
      <c r="J54" s="101"/>
      <c r="K54" s="101">
        <f t="shared" si="0"/>
        <v>13072.03</v>
      </c>
      <c r="L54" s="135"/>
      <c r="M54" s="148">
        <f t="shared" si="1"/>
        <v>13072.03</v>
      </c>
      <c r="N54" s="74" t="s">
        <v>454</v>
      </c>
      <c r="Q54" s="161">
        <f t="shared" si="2"/>
        <v>13072.03</v>
      </c>
      <c r="R54" s="74" t="s">
        <v>378</v>
      </c>
    </row>
    <row r="55" spans="1:18" ht="15" customHeight="1">
      <c r="A55" s="58" t="s">
        <v>276</v>
      </c>
      <c r="B55" s="62" t="s">
        <v>341</v>
      </c>
      <c r="C55" s="59" t="s">
        <v>342</v>
      </c>
      <c r="D55" s="60">
        <v>42897</v>
      </c>
      <c r="E55" s="97">
        <v>35169.410000000003</v>
      </c>
      <c r="F55" s="74" t="s">
        <v>381</v>
      </c>
      <c r="G55" s="59"/>
      <c r="H55" s="101"/>
      <c r="I55" s="101"/>
      <c r="J55" s="101"/>
      <c r="K55" s="101">
        <f t="shared" si="0"/>
        <v>35169.410000000003</v>
      </c>
      <c r="L55" s="135"/>
      <c r="M55" s="148">
        <f t="shared" si="1"/>
        <v>35169.410000000003</v>
      </c>
      <c r="N55" s="74" t="s">
        <v>454</v>
      </c>
      <c r="Q55" s="161">
        <f t="shared" si="2"/>
        <v>35169.410000000003</v>
      </c>
      <c r="R55" s="74" t="s">
        <v>378</v>
      </c>
    </row>
    <row r="56" spans="1:18" ht="15" customHeight="1">
      <c r="A56" s="58" t="s">
        <v>276</v>
      </c>
      <c r="B56" s="59" t="s">
        <v>293</v>
      </c>
      <c r="C56" s="59" t="s">
        <v>294</v>
      </c>
      <c r="D56" s="60">
        <v>42917</v>
      </c>
      <c r="E56" s="97">
        <v>21685</v>
      </c>
      <c r="F56" s="74" t="s">
        <v>382</v>
      </c>
      <c r="G56" s="59"/>
      <c r="H56" s="101"/>
      <c r="I56" s="101"/>
      <c r="J56" s="101"/>
      <c r="K56" s="101">
        <f t="shared" si="0"/>
        <v>21685</v>
      </c>
      <c r="L56" s="135"/>
      <c r="M56" s="148">
        <f t="shared" si="1"/>
        <v>21685</v>
      </c>
      <c r="N56" s="74" t="s">
        <v>455</v>
      </c>
      <c r="Q56" s="161">
        <f t="shared" si="2"/>
        <v>21685</v>
      </c>
      <c r="R56" s="74" t="s">
        <v>379</v>
      </c>
    </row>
    <row r="57" spans="1:18" ht="15" customHeight="1">
      <c r="A57" s="58" t="s">
        <v>276</v>
      </c>
      <c r="B57" s="59" t="s">
        <v>336</v>
      </c>
      <c r="C57" s="59" t="s">
        <v>280</v>
      </c>
      <c r="D57" s="60">
        <v>42918</v>
      </c>
      <c r="E57" s="97">
        <v>82675.600000000006</v>
      </c>
      <c r="F57" s="74" t="s">
        <v>382</v>
      </c>
      <c r="G57" s="59"/>
      <c r="H57" s="101"/>
      <c r="I57" s="101"/>
      <c r="J57" s="101"/>
      <c r="K57" s="101">
        <f t="shared" si="0"/>
        <v>82675.600000000006</v>
      </c>
      <c r="L57" s="135"/>
      <c r="M57" s="148">
        <f t="shared" si="1"/>
        <v>82675.600000000006</v>
      </c>
      <c r="N57" s="74" t="s">
        <v>455</v>
      </c>
      <c r="Q57" s="161">
        <f t="shared" si="2"/>
        <v>82675.600000000006</v>
      </c>
      <c r="R57" s="74" t="s">
        <v>379</v>
      </c>
    </row>
    <row r="58" spans="1:18" ht="15" customHeight="1">
      <c r="A58" s="58" t="s">
        <v>276</v>
      </c>
      <c r="B58" s="59" t="s">
        <v>338</v>
      </c>
      <c r="C58" s="59" t="s">
        <v>310</v>
      </c>
      <c r="D58" s="60">
        <v>42919</v>
      </c>
      <c r="E58" s="97">
        <v>1130</v>
      </c>
      <c r="F58" s="74" t="s">
        <v>382</v>
      </c>
      <c r="G58" s="59"/>
      <c r="H58" s="101"/>
      <c r="I58" s="101"/>
      <c r="J58" s="101"/>
      <c r="K58" s="101">
        <f t="shared" si="0"/>
        <v>1130</v>
      </c>
      <c r="L58" s="135"/>
      <c r="M58" s="148">
        <f t="shared" si="1"/>
        <v>1130</v>
      </c>
      <c r="N58" s="74" t="s">
        <v>455</v>
      </c>
      <c r="Q58" s="161">
        <f t="shared" si="2"/>
        <v>1130</v>
      </c>
      <c r="R58" s="74" t="s">
        <v>379</v>
      </c>
    </row>
    <row r="59" spans="1:18" ht="15" customHeight="1">
      <c r="A59" s="58" t="s">
        <v>276</v>
      </c>
      <c r="B59" s="59" t="s">
        <v>301</v>
      </c>
      <c r="C59" s="59" t="s">
        <v>302</v>
      </c>
      <c r="D59" s="60">
        <v>42920</v>
      </c>
      <c r="E59" s="97">
        <v>46233</v>
      </c>
      <c r="F59" s="74" t="s">
        <v>382</v>
      </c>
      <c r="G59" s="59"/>
      <c r="H59" s="101"/>
      <c r="I59" s="101"/>
      <c r="J59" s="101"/>
      <c r="K59" s="101">
        <f t="shared" si="0"/>
        <v>46233</v>
      </c>
      <c r="L59" s="135"/>
      <c r="M59" s="148">
        <f t="shared" si="1"/>
        <v>46233</v>
      </c>
      <c r="N59" s="74" t="s">
        <v>455</v>
      </c>
      <c r="Q59" s="161">
        <f t="shared" si="2"/>
        <v>46233</v>
      </c>
      <c r="R59" s="74" t="s">
        <v>379</v>
      </c>
    </row>
    <row r="60" spans="1:18" ht="15" customHeight="1">
      <c r="A60" s="58" t="s">
        <v>276</v>
      </c>
      <c r="B60" s="63" t="s">
        <v>34</v>
      </c>
      <c r="C60" s="64" t="s">
        <v>33</v>
      </c>
      <c r="D60" s="60">
        <v>42948</v>
      </c>
      <c r="E60" s="97">
        <v>17407.150000000001</v>
      </c>
      <c r="F60" s="74" t="s">
        <v>383</v>
      </c>
      <c r="G60" s="59"/>
      <c r="H60" s="101"/>
      <c r="I60" s="101"/>
      <c r="J60" s="101"/>
      <c r="K60" s="101">
        <f t="shared" si="0"/>
        <v>17407.150000000001</v>
      </c>
      <c r="L60" s="135"/>
      <c r="M60" s="148">
        <f t="shared" si="1"/>
        <v>17407.150000000001</v>
      </c>
      <c r="N60" s="74" t="s">
        <v>456</v>
      </c>
      <c r="Q60" s="161">
        <f t="shared" si="2"/>
        <v>17407.150000000001</v>
      </c>
      <c r="R60" s="74" t="s">
        <v>381</v>
      </c>
    </row>
    <row r="61" spans="1:18" ht="15" customHeight="1">
      <c r="A61" s="58" t="s">
        <v>276</v>
      </c>
      <c r="B61" s="65" t="s">
        <v>313</v>
      </c>
      <c r="C61" s="64" t="s">
        <v>67</v>
      </c>
      <c r="D61" s="60">
        <v>42948</v>
      </c>
      <c r="E61" s="97">
        <v>684073.88</v>
      </c>
      <c r="F61" s="74" t="s">
        <v>383</v>
      </c>
      <c r="G61" s="59"/>
      <c r="H61" s="101">
        <f>225000+6301.5+92150.87</f>
        <v>323452.37</v>
      </c>
      <c r="I61" s="101">
        <v>296970.39</v>
      </c>
      <c r="J61" s="101">
        <f>-I61</f>
        <v>-296970.39</v>
      </c>
      <c r="K61" s="101">
        <f>E61+J61</f>
        <v>387103.49</v>
      </c>
      <c r="L61" s="159">
        <v>-239601.21</v>
      </c>
      <c r="M61" s="148">
        <f t="shared" si="1"/>
        <v>147502.28</v>
      </c>
      <c r="N61" s="74" t="s">
        <v>456</v>
      </c>
      <c r="O61" s="230">
        <f>64577.08-64217.17</f>
        <v>359.91000000000349</v>
      </c>
      <c r="Q61" s="161">
        <f t="shared" si="2"/>
        <v>147142.37</v>
      </c>
      <c r="R61" s="74" t="s">
        <v>381</v>
      </c>
    </row>
    <row r="62" spans="1:18" ht="15" customHeight="1">
      <c r="A62" s="58" t="s">
        <v>276</v>
      </c>
      <c r="B62" s="64" t="s">
        <v>279</v>
      </c>
      <c r="C62" s="64" t="s">
        <v>280</v>
      </c>
      <c r="D62" s="60">
        <v>42948</v>
      </c>
      <c r="E62" s="97">
        <v>45810.2</v>
      </c>
      <c r="F62" s="74" t="s">
        <v>383</v>
      </c>
      <c r="G62" s="59"/>
      <c r="H62" s="101">
        <f>20000+3900+2400</f>
        <v>26300</v>
      </c>
      <c r="I62" s="101">
        <f>20000+3900+2400</f>
        <v>26300</v>
      </c>
      <c r="J62" s="101">
        <f>-I62</f>
        <v>-26300</v>
      </c>
      <c r="K62" s="101">
        <f t="shared" ref="K62:K96" si="3">E62+J62</f>
        <v>19510.199999999997</v>
      </c>
      <c r="L62" s="135"/>
      <c r="M62" s="148">
        <f t="shared" si="1"/>
        <v>19510.199999999997</v>
      </c>
      <c r="N62" s="74" t="s">
        <v>456</v>
      </c>
      <c r="Q62" s="161">
        <f t="shared" si="2"/>
        <v>19510.199999999997</v>
      </c>
      <c r="R62" s="74" t="s">
        <v>381</v>
      </c>
    </row>
    <row r="63" spans="1:18" ht="15" customHeight="1">
      <c r="A63" s="58" t="s">
        <v>276</v>
      </c>
      <c r="B63" s="59" t="s">
        <v>283</v>
      </c>
      <c r="C63" s="64" t="s">
        <v>87</v>
      </c>
      <c r="D63" s="60">
        <v>42948</v>
      </c>
      <c r="E63" s="97">
        <v>6375.8</v>
      </c>
      <c r="F63" s="74" t="s">
        <v>383</v>
      </c>
      <c r="G63" s="59"/>
      <c r="H63" s="101"/>
      <c r="I63" s="101"/>
      <c r="J63" s="101"/>
      <c r="K63" s="101">
        <f t="shared" si="3"/>
        <v>6375.8</v>
      </c>
      <c r="L63" s="135"/>
      <c r="M63" s="148">
        <f t="shared" si="1"/>
        <v>6375.8</v>
      </c>
      <c r="N63" s="74" t="s">
        <v>456</v>
      </c>
      <c r="Q63" s="161">
        <f t="shared" si="2"/>
        <v>6375.8</v>
      </c>
      <c r="R63" s="74" t="s">
        <v>381</v>
      </c>
    </row>
    <row r="64" spans="1:18" ht="15" customHeight="1">
      <c r="A64" s="58" t="s">
        <v>276</v>
      </c>
      <c r="B64" s="64" t="s">
        <v>343</v>
      </c>
      <c r="C64" s="64" t="s">
        <v>344</v>
      </c>
      <c r="D64" s="60">
        <v>42948</v>
      </c>
      <c r="E64" s="97">
        <v>58064.54</v>
      </c>
      <c r="F64" s="74" t="s">
        <v>383</v>
      </c>
      <c r="G64" s="59"/>
      <c r="H64" s="101"/>
      <c r="I64" s="101"/>
      <c r="J64" s="101"/>
      <c r="K64" s="101">
        <f t="shared" si="3"/>
        <v>58064.54</v>
      </c>
      <c r="L64" s="135"/>
      <c r="M64" s="148">
        <f t="shared" si="1"/>
        <v>58064.54</v>
      </c>
      <c r="N64" s="74" t="s">
        <v>456</v>
      </c>
      <c r="Q64" s="161">
        <f t="shared" si="2"/>
        <v>58064.54</v>
      </c>
      <c r="R64" s="74" t="s">
        <v>381</v>
      </c>
    </row>
    <row r="65" spans="1:18" ht="15" customHeight="1">
      <c r="A65" s="58" t="s">
        <v>276</v>
      </c>
      <c r="B65" s="59" t="s">
        <v>293</v>
      </c>
      <c r="C65" s="64" t="s">
        <v>133</v>
      </c>
      <c r="D65" s="60">
        <v>42948</v>
      </c>
      <c r="E65" s="97">
        <v>11580.42</v>
      </c>
      <c r="F65" s="74" t="s">
        <v>383</v>
      </c>
      <c r="G65" s="59"/>
      <c r="H65" s="101"/>
      <c r="I65" s="101"/>
      <c r="J65" s="101"/>
      <c r="K65" s="101">
        <f t="shared" si="3"/>
        <v>11580.42</v>
      </c>
      <c r="L65" s="135"/>
      <c r="M65" s="148">
        <f t="shared" si="1"/>
        <v>11580.42</v>
      </c>
      <c r="N65" s="74" t="s">
        <v>456</v>
      </c>
      <c r="Q65" s="161">
        <f t="shared" si="2"/>
        <v>11580.42</v>
      </c>
      <c r="R65" s="74" t="s">
        <v>381</v>
      </c>
    </row>
    <row r="66" spans="1:18" ht="15" customHeight="1">
      <c r="A66" s="58" t="s">
        <v>276</v>
      </c>
      <c r="B66" s="59" t="s">
        <v>295</v>
      </c>
      <c r="C66" s="64" t="s">
        <v>135</v>
      </c>
      <c r="D66" s="60">
        <v>42948</v>
      </c>
      <c r="E66" s="97">
        <v>9650.35</v>
      </c>
      <c r="F66" s="74" t="s">
        <v>383</v>
      </c>
      <c r="G66" s="59"/>
      <c r="H66" s="101"/>
      <c r="I66" s="101"/>
      <c r="J66" s="101"/>
      <c r="K66" s="101">
        <f t="shared" si="3"/>
        <v>9650.35</v>
      </c>
      <c r="L66" s="135"/>
      <c r="M66" s="148">
        <f t="shared" si="1"/>
        <v>9650.35</v>
      </c>
      <c r="N66" s="74" t="s">
        <v>456</v>
      </c>
      <c r="Q66" s="161">
        <f t="shared" si="2"/>
        <v>9650.35</v>
      </c>
      <c r="R66" s="74" t="s">
        <v>381</v>
      </c>
    </row>
    <row r="67" spans="1:18" ht="15" customHeight="1">
      <c r="A67" s="58" t="s">
        <v>276</v>
      </c>
      <c r="B67" s="64" t="s">
        <v>345</v>
      </c>
      <c r="C67" s="64" t="s">
        <v>137</v>
      </c>
      <c r="D67" s="60">
        <v>42948</v>
      </c>
      <c r="E67" s="97">
        <v>908.27</v>
      </c>
      <c r="F67" s="74" t="s">
        <v>383</v>
      </c>
      <c r="G67" s="59"/>
      <c r="H67" s="101"/>
      <c r="I67" s="101"/>
      <c r="J67" s="101"/>
      <c r="K67" s="101">
        <f t="shared" si="3"/>
        <v>908.27</v>
      </c>
      <c r="L67" s="135"/>
      <c r="M67" s="148">
        <f t="shared" ref="M67:M85" si="4">K67+L67</f>
        <v>908.27</v>
      </c>
      <c r="N67" s="74" t="s">
        <v>456</v>
      </c>
      <c r="Q67" s="161">
        <f t="shared" ref="Q67:Q96" si="5">M67-O67</f>
        <v>908.27</v>
      </c>
      <c r="R67" s="74" t="s">
        <v>381</v>
      </c>
    </row>
    <row r="68" spans="1:18" ht="15" customHeight="1">
      <c r="A68" s="58" t="s">
        <v>276</v>
      </c>
      <c r="B68" s="66" t="s">
        <v>339</v>
      </c>
      <c r="C68" s="66" t="s">
        <v>31</v>
      </c>
      <c r="D68" s="60">
        <v>42979</v>
      </c>
      <c r="E68" s="97">
        <v>4081.27</v>
      </c>
      <c r="F68" s="74" t="s">
        <v>384</v>
      </c>
      <c r="G68" s="59"/>
      <c r="H68" s="101"/>
      <c r="I68" s="101"/>
      <c r="J68" s="101"/>
      <c r="K68" s="101">
        <f t="shared" si="3"/>
        <v>4081.27</v>
      </c>
      <c r="L68" s="135"/>
      <c r="M68" s="148">
        <f t="shared" si="4"/>
        <v>4081.27</v>
      </c>
      <c r="N68" s="74" t="s">
        <v>451</v>
      </c>
      <c r="Q68" s="161">
        <f t="shared" si="5"/>
        <v>4081.27</v>
      </c>
      <c r="R68" s="74" t="s">
        <v>375</v>
      </c>
    </row>
    <row r="69" spans="1:18" ht="15" customHeight="1">
      <c r="A69" s="58" t="s">
        <v>276</v>
      </c>
      <c r="B69" s="66" t="s">
        <v>34</v>
      </c>
      <c r="C69" s="66" t="s">
        <v>33</v>
      </c>
      <c r="D69" s="60">
        <v>42979</v>
      </c>
      <c r="E69" s="97">
        <v>184194.17</v>
      </c>
      <c r="F69" s="74" t="s">
        <v>384</v>
      </c>
      <c r="G69" s="59"/>
      <c r="H69" s="101"/>
      <c r="I69" s="101"/>
      <c r="J69" s="101"/>
      <c r="K69" s="101">
        <f t="shared" si="3"/>
        <v>184194.17</v>
      </c>
      <c r="L69" s="135"/>
      <c r="M69" s="148">
        <f t="shared" si="4"/>
        <v>184194.17</v>
      </c>
      <c r="N69" s="74" t="s">
        <v>451</v>
      </c>
      <c r="Q69" s="161">
        <f t="shared" si="5"/>
        <v>184194.17</v>
      </c>
      <c r="R69" s="74" t="s">
        <v>375</v>
      </c>
    </row>
    <row r="70" spans="1:18" ht="15" customHeight="1">
      <c r="A70" s="58" t="s">
        <v>276</v>
      </c>
      <c r="B70" s="66" t="s">
        <v>50</v>
      </c>
      <c r="C70" s="66" t="s">
        <v>49</v>
      </c>
      <c r="D70" s="60">
        <v>42979</v>
      </c>
      <c r="E70" s="97">
        <v>182342.91</v>
      </c>
      <c r="F70" s="74" t="s">
        <v>384</v>
      </c>
      <c r="G70" s="59"/>
      <c r="H70" s="101"/>
      <c r="I70" s="101"/>
      <c r="J70" s="101"/>
      <c r="K70" s="101">
        <f t="shared" si="3"/>
        <v>182342.91</v>
      </c>
      <c r="L70" s="135"/>
      <c r="M70" s="148">
        <f t="shared" si="4"/>
        <v>182342.91</v>
      </c>
      <c r="N70" s="74" t="s">
        <v>451</v>
      </c>
      <c r="Q70" s="161">
        <f t="shared" si="5"/>
        <v>182342.91</v>
      </c>
      <c r="R70" s="74" t="s">
        <v>375</v>
      </c>
    </row>
    <row r="71" spans="1:18" ht="15" customHeight="1">
      <c r="A71" s="58" t="s">
        <v>276</v>
      </c>
      <c r="B71" s="66" t="s">
        <v>54</v>
      </c>
      <c r="C71" s="66" t="s">
        <v>53</v>
      </c>
      <c r="D71" s="60">
        <v>42979</v>
      </c>
      <c r="E71" s="97">
        <v>2097.09</v>
      </c>
      <c r="F71" s="74" t="s">
        <v>384</v>
      </c>
      <c r="G71" s="59"/>
      <c r="H71" s="101"/>
      <c r="I71" s="101"/>
      <c r="J71" s="101"/>
      <c r="K71" s="101">
        <f t="shared" si="3"/>
        <v>2097.09</v>
      </c>
      <c r="L71" s="135"/>
      <c r="M71" s="148">
        <f t="shared" si="4"/>
        <v>2097.09</v>
      </c>
      <c r="N71" s="74" t="s">
        <v>451</v>
      </c>
      <c r="Q71" s="161">
        <f t="shared" si="5"/>
        <v>2097.09</v>
      </c>
      <c r="R71" s="74" t="s">
        <v>375</v>
      </c>
    </row>
    <row r="72" spans="1:18" ht="15" customHeight="1">
      <c r="A72" s="58" t="s">
        <v>276</v>
      </c>
      <c r="B72" s="66" t="s">
        <v>76</v>
      </c>
      <c r="C72" s="66" t="s">
        <v>75</v>
      </c>
      <c r="D72" s="60">
        <v>42979</v>
      </c>
      <c r="E72" s="97">
        <v>5210.9399999999996</v>
      </c>
      <c r="F72" s="74" t="s">
        <v>384</v>
      </c>
      <c r="G72" s="59"/>
      <c r="H72" s="101">
        <v>0</v>
      </c>
      <c r="I72" s="101">
        <v>0</v>
      </c>
      <c r="J72" s="101">
        <f>-I72</f>
        <v>0</v>
      </c>
      <c r="K72" s="101">
        <f t="shared" si="3"/>
        <v>5210.9399999999996</v>
      </c>
      <c r="L72" s="135"/>
      <c r="M72" s="148">
        <f t="shared" si="4"/>
        <v>5210.9399999999996</v>
      </c>
      <c r="N72" s="74" t="s">
        <v>451</v>
      </c>
      <c r="Q72" s="161">
        <f t="shared" si="5"/>
        <v>5210.9399999999996</v>
      </c>
      <c r="R72" s="74" t="s">
        <v>375</v>
      </c>
    </row>
    <row r="73" spans="1:18" ht="15" customHeight="1">
      <c r="A73" s="58" t="s">
        <v>276</v>
      </c>
      <c r="B73" s="66" t="s">
        <v>118</v>
      </c>
      <c r="C73" s="66" t="s">
        <v>117</v>
      </c>
      <c r="D73" s="60">
        <v>42979</v>
      </c>
      <c r="E73" s="97">
        <v>25586.9</v>
      </c>
      <c r="F73" s="74" t="s">
        <v>384</v>
      </c>
      <c r="G73" s="59"/>
      <c r="H73" s="101"/>
      <c r="I73" s="101"/>
      <c r="J73" s="101"/>
      <c r="K73" s="101">
        <f t="shared" si="3"/>
        <v>25586.9</v>
      </c>
      <c r="L73" s="135"/>
      <c r="M73" s="148">
        <f t="shared" si="4"/>
        <v>25586.9</v>
      </c>
      <c r="N73" s="74" t="s">
        <v>451</v>
      </c>
      <c r="Q73" s="161">
        <f t="shared" si="5"/>
        <v>25586.9</v>
      </c>
      <c r="R73" s="74" t="s">
        <v>375</v>
      </c>
    </row>
    <row r="74" spans="1:18" ht="15" customHeight="1">
      <c r="A74" s="58" t="s">
        <v>276</v>
      </c>
      <c r="B74" s="66" t="s">
        <v>120</v>
      </c>
      <c r="C74" s="66" t="s">
        <v>119</v>
      </c>
      <c r="D74" s="60">
        <v>42979</v>
      </c>
      <c r="E74" s="97">
        <v>604.41999999999996</v>
      </c>
      <c r="F74" s="74" t="s">
        <v>384</v>
      </c>
      <c r="G74" s="59"/>
      <c r="H74" s="101"/>
      <c r="I74" s="101"/>
      <c r="J74" s="101"/>
      <c r="K74" s="101">
        <f t="shared" si="3"/>
        <v>604.41999999999996</v>
      </c>
      <c r="L74" s="135"/>
      <c r="M74" s="148">
        <f t="shared" si="4"/>
        <v>604.41999999999996</v>
      </c>
      <c r="N74" s="74" t="s">
        <v>451</v>
      </c>
      <c r="Q74" s="161">
        <f t="shared" si="5"/>
        <v>604.41999999999996</v>
      </c>
      <c r="R74" s="74" t="s">
        <v>375</v>
      </c>
    </row>
    <row r="75" spans="1:18" ht="15" customHeight="1">
      <c r="A75" s="58" t="s">
        <v>276</v>
      </c>
      <c r="B75" s="66" t="s">
        <v>122</v>
      </c>
      <c r="C75" s="66" t="s">
        <v>121</v>
      </c>
      <c r="D75" s="60">
        <v>42979</v>
      </c>
      <c r="E75" s="97">
        <v>2014.72</v>
      </c>
      <c r="F75" s="74" t="s">
        <v>384</v>
      </c>
      <c r="G75" s="59"/>
      <c r="H75" s="101"/>
      <c r="I75" s="101"/>
      <c r="J75" s="101"/>
      <c r="K75" s="101">
        <f t="shared" si="3"/>
        <v>2014.72</v>
      </c>
      <c r="L75" s="135"/>
      <c r="M75" s="148">
        <f t="shared" si="4"/>
        <v>2014.72</v>
      </c>
      <c r="N75" s="74" t="s">
        <v>451</v>
      </c>
      <c r="Q75" s="161">
        <f t="shared" si="5"/>
        <v>2014.72</v>
      </c>
      <c r="R75" s="74" t="s">
        <v>375</v>
      </c>
    </row>
    <row r="76" spans="1:18" ht="15" customHeight="1">
      <c r="A76" s="58" t="s">
        <v>276</v>
      </c>
      <c r="B76" s="66" t="s">
        <v>134</v>
      </c>
      <c r="C76" s="66" t="s">
        <v>133</v>
      </c>
      <c r="D76" s="60">
        <v>42979</v>
      </c>
      <c r="E76" s="97">
        <v>13204.25</v>
      </c>
      <c r="F76" s="74" t="s">
        <v>384</v>
      </c>
      <c r="G76" s="59"/>
      <c r="H76" s="101"/>
      <c r="I76" s="101"/>
      <c r="J76" s="101"/>
      <c r="K76" s="101">
        <f t="shared" si="3"/>
        <v>13204.25</v>
      </c>
      <c r="L76" s="135"/>
      <c r="M76" s="148">
        <f t="shared" si="4"/>
        <v>13204.25</v>
      </c>
      <c r="N76" s="74" t="s">
        <v>451</v>
      </c>
      <c r="Q76" s="161">
        <f t="shared" si="5"/>
        <v>13204.25</v>
      </c>
      <c r="R76" s="74" t="s">
        <v>375</v>
      </c>
    </row>
    <row r="77" spans="1:18" ht="15" customHeight="1">
      <c r="A77" s="58" t="s">
        <v>276</v>
      </c>
      <c r="B77" s="66" t="s">
        <v>136</v>
      </c>
      <c r="C77" s="66" t="s">
        <v>135</v>
      </c>
      <c r="D77" s="60">
        <v>42979</v>
      </c>
      <c r="E77" s="97">
        <v>9530.02</v>
      </c>
      <c r="F77" s="74" t="s">
        <v>384</v>
      </c>
      <c r="G77" s="59"/>
      <c r="H77" s="101"/>
      <c r="I77" s="101"/>
      <c r="J77" s="101"/>
      <c r="K77" s="101">
        <f t="shared" si="3"/>
        <v>9530.02</v>
      </c>
      <c r="L77" s="135"/>
      <c r="M77" s="148">
        <f t="shared" si="4"/>
        <v>9530.02</v>
      </c>
      <c r="N77" s="74" t="s">
        <v>451</v>
      </c>
      <c r="Q77" s="161">
        <f t="shared" si="5"/>
        <v>9530.02</v>
      </c>
      <c r="R77" s="74" t="s">
        <v>375</v>
      </c>
    </row>
    <row r="78" spans="1:18" ht="15" customHeight="1">
      <c r="A78" s="58" t="s">
        <v>276</v>
      </c>
      <c r="B78" s="66" t="s">
        <v>168</v>
      </c>
      <c r="C78" s="66" t="s">
        <v>167</v>
      </c>
      <c r="D78" s="60">
        <v>42979</v>
      </c>
      <c r="E78" s="97">
        <v>856.75</v>
      </c>
      <c r="F78" s="74" t="s">
        <v>384</v>
      </c>
      <c r="G78" s="59"/>
      <c r="H78" s="101"/>
      <c r="I78" s="101"/>
      <c r="J78" s="101"/>
      <c r="K78" s="101">
        <f t="shared" si="3"/>
        <v>856.75</v>
      </c>
      <c r="L78" s="135"/>
      <c r="M78" s="148">
        <f t="shared" si="4"/>
        <v>856.75</v>
      </c>
      <c r="N78" s="74" t="s">
        <v>451</v>
      </c>
      <c r="Q78" s="161">
        <f t="shared" si="5"/>
        <v>856.75</v>
      </c>
      <c r="R78" s="74" t="s">
        <v>375</v>
      </c>
    </row>
    <row r="79" spans="1:18" ht="15" customHeight="1">
      <c r="A79" s="58" t="s">
        <v>276</v>
      </c>
      <c r="B79" s="66" t="s">
        <v>170</v>
      </c>
      <c r="C79" s="66" t="s">
        <v>169</v>
      </c>
      <c r="D79" s="60">
        <v>42979</v>
      </c>
      <c r="E79" s="99">
        <v>20047.75</v>
      </c>
      <c r="F79" s="74" t="s">
        <v>384</v>
      </c>
      <c r="G79" s="59"/>
      <c r="H79" s="101">
        <v>20766.8</v>
      </c>
      <c r="I79" s="101">
        <f>H79/1.06</f>
        <v>19591.32075471698</v>
      </c>
      <c r="J79" s="101">
        <f>-E79</f>
        <v>-20047.75</v>
      </c>
      <c r="K79" s="101">
        <f t="shared" si="3"/>
        <v>0</v>
      </c>
      <c r="L79" s="135"/>
      <c r="M79" s="148">
        <f t="shared" si="4"/>
        <v>0</v>
      </c>
      <c r="N79" s="74" t="s">
        <v>451</v>
      </c>
      <c r="Q79" s="161">
        <f t="shared" si="5"/>
        <v>0</v>
      </c>
      <c r="R79" s="74" t="s">
        <v>375</v>
      </c>
    </row>
    <row r="80" spans="1:18" ht="15" customHeight="1">
      <c r="A80" s="58" t="s">
        <v>276</v>
      </c>
      <c r="B80" s="66" t="s">
        <v>395</v>
      </c>
      <c r="C80" s="66" t="s">
        <v>175</v>
      </c>
      <c r="D80" s="60">
        <v>42979</v>
      </c>
      <c r="E80" s="99">
        <v>91577.67</v>
      </c>
      <c r="F80" s="74" t="s">
        <v>384</v>
      </c>
      <c r="G80" s="59"/>
      <c r="H80" s="101">
        <f>95954.45</f>
        <v>95954.45</v>
      </c>
      <c r="I80" s="101">
        <f>H80/1.06</f>
        <v>90523.066037735844</v>
      </c>
      <c r="J80" s="101">
        <f>-E80</f>
        <v>-91577.67</v>
      </c>
      <c r="K80" s="101">
        <f t="shared" si="3"/>
        <v>0</v>
      </c>
      <c r="L80" s="135"/>
      <c r="M80" s="148">
        <f t="shared" si="4"/>
        <v>0</v>
      </c>
      <c r="N80" s="74" t="s">
        <v>451</v>
      </c>
      <c r="Q80" s="161">
        <f t="shared" si="5"/>
        <v>0</v>
      </c>
      <c r="R80" s="74" t="s">
        <v>375</v>
      </c>
    </row>
    <row r="81" spans="1:18" ht="15" customHeight="1">
      <c r="A81" s="58" t="s">
        <v>276</v>
      </c>
      <c r="B81" s="66" t="s">
        <v>396</v>
      </c>
      <c r="C81" s="66" t="s">
        <v>177</v>
      </c>
      <c r="D81" s="60">
        <v>42979</v>
      </c>
      <c r="E81" s="99">
        <v>97557.28</v>
      </c>
      <c r="F81" s="74" t="s">
        <v>384</v>
      </c>
      <c r="G81" s="59"/>
      <c r="H81" s="101">
        <v>102220</v>
      </c>
      <c r="I81" s="101">
        <f>H81/1.06</f>
        <v>96433.962264150934</v>
      </c>
      <c r="J81" s="101">
        <f>-E81</f>
        <v>-97557.28</v>
      </c>
      <c r="K81" s="101">
        <f t="shared" si="3"/>
        <v>0</v>
      </c>
      <c r="L81" s="135"/>
      <c r="M81" s="148">
        <f t="shared" si="4"/>
        <v>0</v>
      </c>
      <c r="N81" s="74" t="s">
        <v>451</v>
      </c>
      <c r="Q81" s="161">
        <f t="shared" si="5"/>
        <v>0</v>
      </c>
      <c r="R81" s="74" t="s">
        <v>375</v>
      </c>
    </row>
    <row r="82" spans="1:18" ht="15" customHeight="1">
      <c r="A82" s="58" t="s">
        <v>276</v>
      </c>
      <c r="B82" s="66" t="s">
        <v>397</v>
      </c>
      <c r="C82" s="66" t="s">
        <v>185</v>
      </c>
      <c r="D82" s="60">
        <v>42979</v>
      </c>
      <c r="E82" s="99">
        <v>20700</v>
      </c>
      <c r="F82" s="74" t="s">
        <v>384</v>
      </c>
      <c r="G82" s="59"/>
      <c r="H82" s="101">
        <v>21600</v>
      </c>
      <c r="I82" s="101">
        <f>H82/1.06</f>
        <v>20377.358490566035</v>
      </c>
      <c r="J82" s="101">
        <f>-E82</f>
        <v>-20700</v>
      </c>
      <c r="K82" s="101">
        <f t="shared" si="3"/>
        <v>0</v>
      </c>
      <c r="L82" s="135"/>
      <c r="M82" s="148">
        <f t="shared" si="4"/>
        <v>0</v>
      </c>
      <c r="N82" s="74" t="s">
        <v>451</v>
      </c>
      <c r="Q82" s="161">
        <f t="shared" si="5"/>
        <v>0</v>
      </c>
      <c r="R82" s="74" t="s">
        <v>375</v>
      </c>
    </row>
    <row r="83" spans="1:18" ht="15" customHeight="1">
      <c r="A83" s="58" t="s">
        <v>276</v>
      </c>
      <c r="B83" s="66" t="s">
        <v>188</v>
      </c>
      <c r="C83" s="66" t="s">
        <v>187</v>
      </c>
      <c r="D83" s="60">
        <v>42979</v>
      </c>
      <c r="E83" s="97">
        <v>6228.24</v>
      </c>
      <c r="F83" s="74" t="s">
        <v>384</v>
      </c>
      <c r="G83" s="59"/>
      <c r="H83" s="101"/>
      <c r="I83" s="101"/>
      <c r="J83" s="101"/>
      <c r="K83" s="101">
        <f t="shared" si="3"/>
        <v>6228.24</v>
      </c>
      <c r="L83" s="135"/>
      <c r="M83" s="148">
        <f t="shared" si="4"/>
        <v>6228.24</v>
      </c>
      <c r="N83" s="74" t="s">
        <v>451</v>
      </c>
      <c r="Q83" s="161">
        <f t="shared" si="5"/>
        <v>6228.24</v>
      </c>
      <c r="R83" s="74" t="s">
        <v>375</v>
      </c>
    </row>
    <row r="84" spans="1:18" ht="15" customHeight="1">
      <c r="A84" s="58" t="s">
        <v>276</v>
      </c>
      <c r="B84" s="66" t="s">
        <v>194</v>
      </c>
      <c r="C84" s="66" t="s">
        <v>193</v>
      </c>
      <c r="D84" s="60">
        <v>42979</v>
      </c>
      <c r="E84" s="97">
        <v>774876.7</v>
      </c>
      <c r="F84" s="74" t="s">
        <v>384</v>
      </c>
      <c r="G84" s="59"/>
      <c r="H84" s="101"/>
      <c r="I84" s="101"/>
      <c r="J84" s="101"/>
      <c r="K84" s="101">
        <f t="shared" si="3"/>
        <v>774876.7</v>
      </c>
      <c r="L84" s="135">
        <f>-44842.64+22815.89-120000</f>
        <v>-142026.75</v>
      </c>
      <c r="M84" s="148">
        <f t="shared" si="4"/>
        <v>632849.94999999995</v>
      </c>
      <c r="N84" s="74" t="s">
        <v>451</v>
      </c>
      <c r="O84">
        <v>3288</v>
      </c>
      <c r="Q84" s="161">
        <f t="shared" si="5"/>
        <v>629561.94999999995</v>
      </c>
      <c r="R84" s="74" t="s">
        <v>375</v>
      </c>
    </row>
    <row r="85" spans="1:18" ht="15" customHeight="1">
      <c r="A85" s="58" t="s">
        <v>276</v>
      </c>
      <c r="B85" s="66" t="s">
        <v>398</v>
      </c>
      <c r="C85" s="66" t="s">
        <v>195</v>
      </c>
      <c r="D85" s="60">
        <v>42979</v>
      </c>
      <c r="E85" s="97">
        <v>365180.04</v>
      </c>
      <c r="F85" s="74" t="s">
        <v>384</v>
      </c>
      <c r="G85" s="59"/>
      <c r="H85" s="101">
        <f>86080+11826+250000</f>
        <v>347906</v>
      </c>
      <c r="I85" s="101">
        <f>97906/1.06+250000</f>
        <v>342364.15094339621</v>
      </c>
      <c r="J85" s="101">
        <f>-I85</f>
        <v>-342364.15094339621</v>
      </c>
      <c r="K85" s="136">
        <f t="shared" si="3"/>
        <v>22815.889056603773</v>
      </c>
      <c r="L85" s="135">
        <v>-22815.89</v>
      </c>
      <c r="M85" s="148">
        <f t="shared" si="4"/>
        <v>-9.4339622592087835E-4</v>
      </c>
      <c r="N85" s="74" t="s">
        <v>451</v>
      </c>
      <c r="Q85" s="161">
        <f t="shared" si="5"/>
        <v>-9.4339622592087835E-4</v>
      </c>
      <c r="R85" s="74" t="s">
        <v>375</v>
      </c>
    </row>
    <row r="86" spans="1:18">
      <c r="A86" s="581" t="s">
        <v>346</v>
      </c>
      <c r="B86" s="581"/>
      <c r="C86" s="207"/>
      <c r="D86" s="208"/>
      <c r="E86" s="209">
        <f>SUM(E2:E85)</f>
        <v>4549519.9399999995</v>
      </c>
      <c r="F86" s="209">
        <f t="shared" ref="F86:K86" si="6">SUM(F2:F85)</f>
        <v>0</v>
      </c>
      <c r="G86" s="209">
        <f t="shared" si="6"/>
        <v>0</v>
      </c>
      <c r="H86" s="210">
        <f t="shared" si="6"/>
        <v>938199.62</v>
      </c>
      <c r="I86" s="210">
        <f t="shared" si="6"/>
        <v>892560.24849056592</v>
      </c>
      <c r="J86" s="210">
        <f t="shared" si="6"/>
        <v>-895517.24094339623</v>
      </c>
      <c r="K86" s="210">
        <f t="shared" si="6"/>
        <v>3654002.6990566035</v>
      </c>
      <c r="L86" s="211"/>
      <c r="M86" s="212">
        <f>SUM(M2:M85)</f>
        <v>3018805.9790566042</v>
      </c>
      <c r="N86" s="211"/>
      <c r="O86" s="213"/>
      <c r="P86" s="213"/>
      <c r="Q86" s="212">
        <f>SUM(Q2:Q85)</f>
        <v>2950940.8990566041</v>
      </c>
    </row>
    <row r="87" spans="1:18">
      <c r="A87" s="58" t="s">
        <v>347</v>
      </c>
      <c r="B87" s="67" t="s">
        <v>348</v>
      </c>
      <c r="C87" s="67" t="s">
        <v>349</v>
      </c>
      <c r="D87" s="68">
        <v>42736</v>
      </c>
      <c r="E87" s="97">
        <v>247075.47</v>
      </c>
      <c r="F87" s="74" t="s">
        <v>389</v>
      </c>
      <c r="G87" s="59"/>
      <c r="H87" s="101"/>
      <c r="I87" s="101"/>
      <c r="J87" s="101"/>
      <c r="K87" s="101">
        <f t="shared" si="3"/>
        <v>247075.47</v>
      </c>
      <c r="L87" s="135"/>
      <c r="M87" s="148">
        <f>K87+L87</f>
        <v>247075.47</v>
      </c>
      <c r="N87" s="74" t="s">
        <v>460</v>
      </c>
      <c r="Q87" s="161">
        <f t="shared" si="5"/>
        <v>247075.47</v>
      </c>
      <c r="R87" s="217" t="s">
        <v>562</v>
      </c>
    </row>
    <row r="88" spans="1:18">
      <c r="A88" s="58" t="s">
        <v>347</v>
      </c>
      <c r="B88" s="67" t="s">
        <v>350</v>
      </c>
      <c r="C88" s="67" t="s">
        <v>351</v>
      </c>
      <c r="D88" s="68">
        <v>42796</v>
      </c>
      <c r="E88" s="97">
        <v>165148</v>
      </c>
      <c r="F88" s="74" t="s">
        <v>389</v>
      </c>
      <c r="G88" s="59"/>
      <c r="H88" s="101">
        <v>109000</v>
      </c>
      <c r="I88" s="101">
        <v>105943.4</v>
      </c>
      <c r="J88" s="101">
        <f>-I88</f>
        <v>-105943.4</v>
      </c>
      <c r="K88" s="101">
        <f>E88+J88</f>
        <v>59204.600000000006</v>
      </c>
      <c r="L88" s="135">
        <v>-59204.6</v>
      </c>
      <c r="M88" s="148">
        <f t="shared" ref="M88:M96" si="7">K88+L88</f>
        <v>0</v>
      </c>
      <c r="N88" s="74" t="s">
        <v>460</v>
      </c>
      <c r="Q88" s="161">
        <f t="shared" si="5"/>
        <v>0</v>
      </c>
      <c r="R88" s="217" t="s">
        <v>562</v>
      </c>
    </row>
    <row r="89" spans="1:18">
      <c r="A89" s="58" t="s">
        <v>347</v>
      </c>
      <c r="B89" s="67" t="s">
        <v>350</v>
      </c>
      <c r="C89" s="67" t="s">
        <v>351</v>
      </c>
      <c r="D89" s="68">
        <v>42828</v>
      </c>
      <c r="E89" s="97">
        <v>143840.57</v>
      </c>
      <c r="F89" s="74" t="s">
        <v>389</v>
      </c>
      <c r="G89" s="59"/>
      <c r="H89" s="101"/>
      <c r="I89" s="101"/>
      <c r="J89" s="101"/>
      <c r="K89" s="101">
        <f t="shared" si="3"/>
        <v>143840.57</v>
      </c>
      <c r="L89" s="135">
        <v>-1636.12</v>
      </c>
      <c r="M89" s="148">
        <f t="shared" si="7"/>
        <v>142204.45000000001</v>
      </c>
      <c r="N89" s="74" t="s">
        <v>460</v>
      </c>
      <c r="O89">
        <v>92500</v>
      </c>
      <c r="Q89" s="161">
        <f t="shared" si="5"/>
        <v>49704.450000000012</v>
      </c>
      <c r="R89" s="217" t="s">
        <v>562</v>
      </c>
    </row>
    <row r="90" spans="1:18">
      <c r="A90" s="58" t="s">
        <v>347</v>
      </c>
      <c r="B90" s="67" t="s">
        <v>352</v>
      </c>
      <c r="C90" s="67" t="s">
        <v>353</v>
      </c>
      <c r="D90" s="68">
        <v>42890</v>
      </c>
      <c r="E90" s="97">
        <v>166212.64000000001</v>
      </c>
      <c r="F90" s="74" t="s">
        <v>389</v>
      </c>
      <c r="G90" s="59"/>
      <c r="H90" s="101"/>
      <c r="I90" s="101"/>
      <c r="J90" s="101"/>
      <c r="K90" s="101">
        <f t="shared" si="3"/>
        <v>166212.64000000001</v>
      </c>
      <c r="L90" s="135"/>
      <c r="M90" s="148">
        <f t="shared" si="7"/>
        <v>166212.64000000001</v>
      </c>
      <c r="N90" s="74" t="s">
        <v>460</v>
      </c>
      <c r="Q90" s="161">
        <f t="shared" si="5"/>
        <v>166212.64000000001</v>
      </c>
      <c r="R90" s="217" t="s">
        <v>562</v>
      </c>
    </row>
    <row r="91" spans="1:18">
      <c r="A91" s="58" t="s">
        <v>347</v>
      </c>
      <c r="B91" s="67" t="s">
        <v>352</v>
      </c>
      <c r="C91" s="67" t="s">
        <v>353</v>
      </c>
      <c r="D91" s="68">
        <v>42921</v>
      </c>
      <c r="E91" s="97">
        <v>35663.96</v>
      </c>
      <c r="F91" s="74" t="s">
        <v>389</v>
      </c>
      <c r="G91" s="59"/>
      <c r="H91" s="101"/>
      <c r="I91" s="101"/>
      <c r="J91" s="101"/>
      <c r="K91" s="101">
        <f>E91+J91</f>
        <v>35663.96</v>
      </c>
      <c r="L91" s="135"/>
      <c r="M91" s="148">
        <f t="shared" si="7"/>
        <v>35663.96</v>
      </c>
      <c r="N91" s="74" t="s">
        <v>460</v>
      </c>
      <c r="Q91" s="161">
        <f t="shared" si="5"/>
        <v>35663.96</v>
      </c>
      <c r="R91" s="217" t="s">
        <v>562</v>
      </c>
    </row>
    <row r="92" spans="1:18">
      <c r="A92" s="58" t="s">
        <v>347</v>
      </c>
      <c r="B92" s="67" t="s">
        <v>354</v>
      </c>
      <c r="C92" s="67" t="s">
        <v>355</v>
      </c>
      <c r="D92" s="68" t="s">
        <v>356</v>
      </c>
      <c r="E92" s="97">
        <v>11849.76</v>
      </c>
      <c r="F92" s="74" t="s">
        <v>390</v>
      </c>
      <c r="G92" s="59"/>
      <c r="H92" s="101"/>
      <c r="I92" s="101"/>
      <c r="J92" s="101"/>
      <c r="K92" s="101">
        <f t="shared" si="3"/>
        <v>11849.76</v>
      </c>
      <c r="L92" s="135">
        <v>-11849.76</v>
      </c>
      <c r="M92" s="148">
        <f t="shared" si="7"/>
        <v>0</v>
      </c>
      <c r="N92" s="74" t="s">
        <v>461</v>
      </c>
      <c r="Q92" s="161">
        <f t="shared" si="5"/>
        <v>0</v>
      </c>
      <c r="R92" s="217" t="s">
        <v>563</v>
      </c>
    </row>
    <row r="93" spans="1:18">
      <c r="A93" s="58" t="s">
        <v>347</v>
      </c>
      <c r="B93" s="67" t="s">
        <v>354</v>
      </c>
      <c r="C93" s="67" t="s">
        <v>355</v>
      </c>
      <c r="D93" s="68">
        <v>42952</v>
      </c>
      <c r="E93" s="97">
        <v>44639</v>
      </c>
      <c r="F93" s="74" t="s">
        <v>390</v>
      </c>
      <c r="G93" s="59"/>
      <c r="H93" s="101"/>
      <c r="I93" s="101"/>
      <c r="J93" s="101"/>
      <c r="K93" s="101">
        <f t="shared" si="3"/>
        <v>44639</v>
      </c>
      <c r="L93" s="135">
        <v>-44639</v>
      </c>
      <c r="M93" s="148">
        <f t="shared" si="7"/>
        <v>0</v>
      </c>
      <c r="N93" s="74" t="s">
        <v>461</v>
      </c>
      <c r="Q93" s="161">
        <f t="shared" si="5"/>
        <v>0</v>
      </c>
      <c r="R93" s="217" t="s">
        <v>563</v>
      </c>
    </row>
    <row r="94" spans="1:18">
      <c r="A94" s="58" t="s">
        <v>347</v>
      </c>
      <c r="B94" s="67" t="s">
        <v>352</v>
      </c>
      <c r="C94" s="67" t="s">
        <v>353</v>
      </c>
      <c r="D94" s="68">
        <v>42952</v>
      </c>
      <c r="E94" s="97">
        <v>161343.57999999999</v>
      </c>
      <c r="F94" s="74" t="s">
        <v>390</v>
      </c>
      <c r="G94" s="59"/>
      <c r="H94" s="101"/>
      <c r="I94" s="101"/>
      <c r="J94" s="101"/>
      <c r="K94" s="101">
        <f t="shared" si="3"/>
        <v>161343.57999999999</v>
      </c>
      <c r="L94" s="135"/>
      <c r="M94" s="148">
        <f t="shared" si="7"/>
        <v>161343.57999999999</v>
      </c>
      <c r="N94" s="74" t="s">
        <v>461</v>
      </c>
      <c r="Q94" s="161">
        <f t="shared" si="5"/>
        <v>161343.57999999999</v>
      </c>
      <c r="R94" s="217" t="s">
        <v>563</v>
      </c>
    </row>
    <row r="95" spans="1:18">
      <c r="A95" s="58" t="s">
        <v>347</v>
      </c>
      <c r="B95" s="67" t="s">
        <v>357</v>
      </c>
      <c r="C95" s="67" t="s">
        <v>358</v>
      </c>
      <c r="D95" s="68">
        <v>42952</v>
      </c>
      <c r="E95" s="97">
        <v>550</v>
      </c>
      <c r="F95" s="74" t="s">
        <v>390</v>
      </c>
      <c r="G95" s="59"/>
      <c r="H95" s="101"/>
      <c r="I95" s="101"/>
      <c r="J95" s="101"/>
      <c r="K95" s="101">
        <f t="shared" si="3"/>
        <v>550</v>
      </c>
      <c r="L95" s="135"/>
      <c r="M95" s="148">
        <f t="shared" si="7"/>
        <v>550</v>
      </c>
      <c r="N95" s="74" t="s">
        <v>461</v>
      </c>
      <c r="Q95" s="161">
        <f t="shared" si="5"/>
        <v>550</v>
      </c>
      <c r="R95" s="217" t="s">
        <v>563</v>
      </c>
    </row>
    <row r="96" spans="1:18">
      <c r="A96" s="58" t="s">
        <v>347</v>
      </c>
      <c r="B96" s="67" t="s">
        <v>354</v>
      </c>
      <c r="C96" s="67" t="s">
        <v>355</v>
      </c>
      <c r="D96" s="68">
        <v>42983</v>
      </c>
      <c r="E96" s="97">
        <v>21320</v>
      </c>
      <c r="F96" s="74" t="s">
        <v>390</v>
      </c>
      <c r="G96" s="59"/>
      <c r="H96" s="101"/>
      <c r="I96" s="101"/>
      <c r="J96" s="101"/>
      <c r="K96" s="101">
        <f t="shared" si="3"/>
        <v>21320</v>
      </c>
      <c r="L96" s="135">
        <v>-21320</v>
      </c>
      <c r="M96" s="148">
        <f t="shared" si="7"/>
        <v>0</v>
      </c>
      <c r="N96" s="74" t="s">
        <v>461</v>
      </c>
      <c r="Q96" s="161">
        <f t="shared" si="5"/>
        <v>0</v>
      </c>
      <c r="R96" s="217" t="s">
        <v>563</v>
      </c>
    </row>
    <row r="97" spans="1:17">
      <c r="A97" s="581" t="s">
        <v>557</v>
      </c>
      <c r="B97" s="581"/>
      <c r="C97" s="207"/>
      <c r="D97" s="208"/>
      <c r="E97" s="209">
        <f>SUM(E87:E96)</f>
        <v>997642.98</v>
      </c>
      <c r="F97" s="209"/>
      <c r="G97" s="209"/>
      <c r="H97" s="210"/>
      <c r="I97" s="210"/>
      <c r="J97" s="210"/>
      <c r="K97" s="210"/>
      <c r="L97" s="211"/>
      <c r="M97" s="212">
        <f>SUM(M87:M96)</f>
        <v>753050.1</v>
      </c>
      <c r="N97" s="211"/>
      <c r="O97" s="213"/>
      <c r="P97" s="213"/>
      <c r="Q97" s="212">
        <f>SUM(Q87:Q96)</f>
        <v>660550.10000000009</v>
      </c>
    </row>
    <row r="98" spans="1:17">
      <c r="A98" s="582" t="s">
        <v>359</v>
      </c>
      <c r="B98" s="582"/>
      <c r="C98" s="59"/>
      <c r="D98" s="59"/>
      <c r="E98" s="97">
        <f>E86+E97</f>
        <v>5547162.9199999999</v>
      </c>
      <c r="F98" s="69"/>
      <c r="G98" s="59"/>
      <c r="H98" s="101"/>
      <c r="I98" s="101"/>
      <c r="J98" s="101"/>
      <c r="K98" s="101"/>
      <c r="L98" s="135"/>
      <c r="M98" s="97">
        <f>M86+M97</f>
        <v>3771856.0790566043</v>
      </c>
      <c r="N98" s="135"/>
      <c r="Q98" s="97">
        <f>Q86+Q97</f>
        <v>3611490.9990566042</v>
      </c>
    </row>
  </sheetData>
  <mergeCells count="3">
    <mergeCell ref="A86:B86"/>
    <mergeCell ref="A97:B97"/>
    <mergeCell ref="A98:B98"/>
  </mergeCells>
  <phoneticPr fontId="7" type="noConversion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1"/>
  <dimension ref="A1:O97"/>
  <sheetViews>
    <sheetView workbookViewId="0">
      <selection activeCell="H34" sqref="H34"/>
    </sheetView>
  </sheetViews>
  <sheetFormatPr defaultRowHeight="12.75"/>
  <cols>
    <col min="1" max="1" width="15.42578125" customWidth="1"/>
    <col min="2" max="2" width="15.42578125" hidden="1" customWidth="1"/>
    <col min="3" max="3" width="28" hidden="1" customWidth="1"/>
    <col min="4" max="4" width="15.42578125" hidden="1" customWidth="1"/>
    <col min="5" max="5" width="29.5703125" hidden="1" customWidth="1"/>
    <col min="6" max="6" width="15.42578125" customWidth="1"/>
    <col min="7" max="7" width="48" customWidth="1"/>
    <col min="8" max="8" width="32" customWidth="1"/>
    <col min="9" max="9" width="15" customWidth="1"/>
    <col min="10" max="11" width="11.5703125" customWidth="1"/>
    <col min="12" max="12" width="13.85546875" customWidth="1"/>
  </cols>
  <sheetData>
    <row r="1" spans="1:15" s="14" customFormat="1" ht="20.100000000000001" customHeight="1">
      <c r="A1" s="576" t="s">
        <v>0</v>
      </c>
      <c r="B1" s="576" t="s">
        <v>1</v>
      </c>
      <c r="C1" s="576" t="s">
        <v>2</v>
      </c>
      <c r="D1" s="576" t="s">
        <v>210</v>
      </c>
      <c r="E1" s="576" t="s">
        <v>211</v>
      </c>
      <c r="F1" s="576" t="s">
        <v>5</v>
      </c>
      <c r="G1" s="576" t="s">
        <v>6</v>
      </c>
      <c r="H1" s="15"/>
      <c r="I1" s="577" t="s">
        <v>241</v>
      </c>
      <c r="J1" s="579" t="s">
        <v>240</v>
      </c>
      <c r="K1" s="105"/>
      <c r="L1" s="583" t="s">
        <v>247</v>
      </c>
      <c r="M1" s="584"/>
    </row>
    <row r="2" spans="1:15" s="14" customFormat="1" ht="20.100000000000001" customHeight="1">
      <c r="A2" s="576" t="s">
        <v>0</v>
      </c>
      <c r="B2" s="576" t="s">
        <v>1</v>
      </c>
      <c r="C2" s="576" t="s">
        <v>2</v>
      </c>
      <c r="D2" s="576" t="s">
        <v>210</v>
      </c>
      <c r="E2" s="576" t="s">
        <v>211</v>
      </c>
      <c r="F2" s="576" t="s">
        <v>5</v>
      </c>
      <c r="G2" s="576" t="s">
        <v>6</v>
      </c>
      <c r="H2" s="16"/>
      <c r="I2" s="578"/>
      <c r="J2" s="580"/>
      <c r="K2" s="106" t="s">
        <v>392</v>
      </c>
      <c r="L2" s="584"/>
      <c r="M2" s="584"/>
      <c r="O2" s="13" t="s">
        <v>362</v>
      </c>
    </row>
    <row r="3" spans="1:15" ht="20.100000000000001" hidden="1" customHeight="1">
      <c r="A3" s="3" t="s">
        <v>209</v>
      </c>
      <c r="B3" s="4">
        <v>6401</v>
      </c>
      <c r="C3" s="3" t="s">
        <v>8</v>
      </c>
      <c r="D3" s="4">
        <v>3704</v>
      </c>
      <c r="E3" s="3" t="s">
        <v>9</v>
      </c>
      <c r="F3" s="3" t="s">
        <v>39</v>
      </c>
      <c r="G3" s="3" t="s">
        <v>40</v>
      </c>
      <c r="H3" s="3"/>
      <c r="I3" s="50"/>
      <c r="J3" s="51">
        <v>-14529.92</v>
      </c>
      <c r="K3" s="51"/>
      <c r="N3" s="73" t="e">
        <f t="shared" ref="N3:N51" si="0">(I3-(J3+L3))/I3</f>
        <v>#DIV/0!</v>
      </c>
      <c r="O3" s="12" t="s">
        <v>393</v>
      </c>
    </row>
    <row r="4" spans="1:15" ht="20.100000000000001" hidden="1" customHeight="1">
      <c r="A4" s="76" t="s">
        <v>209</v>
      </c>
      <c r="B4" s="104">
        <v>6001</v>
      </c>
      <c r="C4" s="76" t="s">
        <v>212</v>
      </c>
      <c r="D4" s="104">
        <v>71</v>
      </c>
      <c r="E4" s="76" t="s">
        <v>213</v>
      </c>
      <c r="F4" s="76" t="s">
        <v>69</v>
      </c>
      <c r="G4" s="3" t="s">
        <v>70</v>
      </c>
      <c r="H4" s="80"/>
      <c r="I4" s="81"/>
      <c r="J4">
        <v>-3029.4</v>
      </c>
      <c r="N4" s="73" t="e">
        <f t="shared" si="0"/>
        <v>#DIV/0!</v>
      </c>
      <c r="O4" s="12" t="s">
        <v>394</v>
      </c>
    </row>
    <row r="5" spans="1:15" ht="20.100000000000001" hidden="1" customHeight="1">
      <c r="A5" s="76" t="s">
        <v>209</v>
      </c>
      <c r="B5" s="104">
        <v>6001</v>
      </c>
      <c r="C5" s="76" t="s">
        <v>212</v>
      </c>
      <c r="D5" s="104">
        <v>71</v>
      </c>
      <c r="E5" s="76" t="s">
        <v>213</v>
      </c>
      <c r="F5" s="76" t="s">
        <v>22</v>
      </c>
      <c r="G5" s="78" t="s">
        <v>23</v>
      </c>
      <c r="H5" s="89" t="s">
        <v>23</v>
      </c>
      <c r="I5" s="90">
        <v>10657.85</v>
      </c>
      <c r="J5" s="91">
        <v>0</v>
      </c>
      <c r="K5" s="91"/>
      <c r="L5" s="92">
        <f>10124.9566037736</f>
        <v>10124.9566037736</v>
      </c>
      <c r="M5" s="93"/>
      <c r="N5" s="94">
        <f t="shared" si="0"/>
        <v>5.0000084090731242E-2</v>
      </c>
    </row>
    <row r="6" spans="1:15" ht="20.100000000000001" hidden="1" customHeight="1">
      <c r="A6" s="76" t="s">
        <v>209</v>
      </c>
      <c r="B6" s="104">
        <v>6001</v>
      </c>
      <c r="C6" s="76" t="s">
        <v>212</v>
      </c>
      <c r="D6" s="104">
        <v>71</v>
      </c>
      <c r="E6" s="76" t="s">
        <v>213</v>
      </c>
      <c r="F6" s="76" t="s">
        <v>167</v>
      </c>
      <c r="G6" s="3" t="s">
        <v>168</v>
      </c>
      <c r="H6" s="85"/>
      <c r="I6" s="86">
        <v>882.45</v>
      </c>
      <c r="J6">
        <v>0</v>
      </c>
      <c r="L6" s="53">
        <v>847.15471698113197</v>
      </c>
      <c r="N6" s="73">
        <f t="shared" si="0"/>
        <v>3.9996921093396878E-2</v>
      </c>
    </row>
    <row r="7" spans="1:15" ht="20.100000000000001" hidden="1" customHeight="1">
      <c r="A7" s="76" t="s">
        <v>208</v>
      </c>
      <c r="B7" s="104">
        <v>6001</v>
      </c>
      <c r="C7" s="76" t="s">
        <v>212</v>
      </c>
      <c r="D7" s="104">
        <v>71</v>
      </c>
      <c r="E7" s="76" t="s">
        <v>213</v>
      </c>
      <c r="F7" s="76" t="s">
        <v>26</v>
      </c>
      <c r="G7" s="54" t="s">
        <v>360</v>
      </c>
      <c r="H7" s="82" t="s">
        <v>27</v>
      </c>
      <c r="I7" s="83">
        <v>16375.62</v>
      </c>
      <c r="J7">
        <v>0</v>
      </c>
      <c r="L7" s="52">
        <f>I7*0.96</f>
        <v>15720.5952</v>
      </c>
      <c r="N7" s="73">
        <f t="shared" si="0"/>
        <v>4.0000000000000063E-2</v>
      </c>
    </row>
    <row r="8" spans="1:15" ht="20.100000000000001" hidden="1" customHeight="1">
      <c r="A8" s="76" t="s">
        <v>208</v>
      </c>
      <c r="B8" s="104">
        <v>6001</v>
      </c>
      <c r="C8" s="76" t="s">
        <v>212</v>
      </c>
      <c r="D8" s="104">
        <v>71</v>
      </c>
      <c r="E8" s="76" t="s">
        <v>213</v>
      </c>
      <c r="F8" s="76" t="s">
        <v>22</v>
      </c>
      <c r="G8" s="78" t="s">
        <v>23</v>
      </c>
      <c r="H8" s="89" t="s">
        <v>23</v>
      </c>
      <c r="I8" s="95">
        <v>423.09</v>
      </c>
      <c r="J8" s="91">
        <v>0</v>
      </c>
      <c r="K8" s="91"/>
      <c r="L8" s="77">
        <f>120+240</f>
        <v>360</v>
      </c>
      <c r="M8" s="93"/>
      <c r="N8" s="94">
        <f t="shared" si="0"/>
        <v>0.14911720910444581</v>
      </c>
    </row>
    <row r="9" spans="1:15" ht="20.100000000000001" hidden="1" customHeight="1">
      <c r="A9" s="76" t="s">
        <v>209</v>
      </c>
      <c r="B9" s="104">
        <v>6001</v>
      </c>
      <c r="C9" s="76" t="s">
        <v>212</v>
      </c>
      <c r="D9" s="104">
        <v>71</v>
      </c>
      <c r="E9" s="76" t="s">
        <v>213</v>
      </c>
      <c r="F9" s="76" t="s">
        <v>232</v>
      </c>
      <c r="G9" s="3" t="s">
        <v>233</v>
      </c>
      <c r="H9" s="85"/>
      <c r="I9" s="87">
        <v>17620.580000000002</v>
      </c>
      <c r="J9">
        <v>0</v>
      </c>
      <c r="L9">
        <v>16739.546698113201</v>
      </c>
      <c r="N9" s="73">
        <f t="shared" si="0"/>
        <v>5.0000244139909153E-2</v>
      </c>
    </row>
    <row r="10" spans="1:15" ht="20.100000000000001" hidden="1" customHeight="1">
      <c r="A10" s="3" t="s">
        <v>209</v>
      </c>
      <c r="B10" s="4">
        <v>6001</v>
      </c>
      <c r="C10" s="3" t="s">
        <v>212</v>
      </c>
      <c r="D10" s="4">
        <v>71</v>
      </c>
      <c r="E10" s="3" t="s">
        <v>213</v>
      </c>
      <c r="F10" s="3" t="s">
        <v>83</v>
      </c>
      <c r="G10" s="3" t="s">
        <v>380</v>
      </c>
      <c r="H10" s="3" t="s">
        <v>364</v>
      </c>
      <c r="I10" s="6">
        <v>23100</v>
      </c>
      <c r="J10">
        <v>0</v>
      </c>
      <c r="L10">
        <v>23095</v>
      </c>
      <c r="N10" s="73">
        <f>(I10-(J10+L10))/I10</f>
        <v>2.1645021645021645E-4</v>
      </c>
    </row>
    <row r="11" spans="1:15" ht="20.100000000000001" hidden="1" customHeight="1">
      <c r="A11" s="3" t="s">
        <v>209</v>
      </c>
      <c r="B11" s="4">
        <v>6001</v>
      </c>
      <c r="C11" s="3" t="s">
        <v>212</v>
      </c>
      <c r="D11" s="4">
        <v>71</v>
      </c>
      <c r="E11" s="3" t="s">
        <v>213</v>
      </c>
      <c r="F11" s="3" t="s">
        <v>238</v>
      </c>
      <c r="G11" s="3" t="s">
        <v>239</v>
      </c>
      <c r="H11" s="3"/>
      <c r="I11" s="6">
        <v>41424.300000000003</v>
      </c>
      <c r="J11">
        <v>0</v>
      </c>
      <c r="L11">
        <v>41424.301886792498</v>
      </c>
      <c r="N11" s="73">
        <f t="shared" si="0"/>
        <v>-4.5547963284774935E-8</v>
      </c>
    </row>
    <row r="12" spans="1:15" ht="20.100000000000001" hidden="1" customHeight="1">
      <c r="A12" s="3" t="s">
        <v>208</v>
      </c>
      <c r="B12" s="4">
        <v>6001</v>
      </c>
      <c r="C12" s="3" t="s">
        <v>212</v>
      </c>
      <c r="D12" s="4">
        <v>71</v>
      </c>
      <c r="E12" s="3" t="s">
        <v>213</v>
      </c>
      <c r="F12" s="3" t="s">
        <v>14</v>
      </c>
      <c r="G12" s="55" t="s">
        <v>15</v>
      </c>
      <c r="H12" s="55" t="s">
        <v>13</v>
      </c>
      <c r="I12" s="6">
        <v>128633.64</v>
      </c>
      <c r="J12">
        <v>0</v>
      </c>
      <c r="L12">
        <f>I12*0.99</f>
        <v>127347.3036</v>
      </c>
      <c r="N12" s="73">
        <f t="shared" si="0"/>
        <v>1.0000000000000002E-2</v>
      </c>
    </row>
    <row r="13" spans="1:15" ht="20.100000000000001" hidden="1" customHeight="1">
      <c r="A13" s="3" t="s">
        <v>209</v>
      </c>
      <c r="B13" s="4">
        <v>6001</v>
      </c>
      <c r="C13" s="3" t="s">
        <v>212</v>
      </c>
      <c r="D13" s="4">
        <v>71</v>
      </c>
      <c r="E13" s="3" t="s">
        <v>213</v>
      </c>
      <c r="F13" s="3" t="s">
        <v>49</v>
      </c>
      <c r="G13" s="3" t="s">
        <v>50</v>
      </c>
      <c r="H13" s="3"/>
      <c r="I13" s="6">
        <v>285855.39</v>
      </c>
      <c r="J13">
        <v>0</v>
      </c>
      <c r="L13">
        <v>271562.62641509401</v>
      </c>
      <c r="N13" s="73">
        <f t="shared" si="0"/>
        <v>4.9999979307390363E-2</v>
      </c>
    </row>
    <row r="14" spans="1:15" ht="20.100000000000001" hidden="1" customHeight="1">
      <c r="A14" s="3" t="s">
        <v>209</v>
      </c>
      <c r="B14" s="4">
        <v>6001</v>
      </c>
      <c r="C14" s="3" t="s">
        <v>212</v>
      </c>
      <c r="D14" s="4">
        <v>71</v>
      </c>
      <c r="E14" s="3" t="s">
        <v>213</v>
      </c>
      <c r="F14" s="3" t="s">
        <v>137</v>
      </c>
      <c r="G14" s="54" t="s">
        <v>138</v>
      </c>
      <c r="H14" s="54" t="s">
        <v>363</v>
      </c>
      <c r="I14" s="7">
        <v>-946.11</v>
      </c>
      <c r="J14">
        <v>0</v>
      </c>
      <c r="L14">
        <f>I14*0.96</f>
        <v>-908.26559999999995</v>
      </c>
      <c r="N14" s="73">
        <f t="shared" si="0"/>
        <v>4.000000000000007E-2</v>
      </c>
    </row>
    <row r="15" spans="1:15" ht="20.100000000000001" hidden="1" customHeight="1">
      <c r="A15" s="3" t="s">
        <v>208</v>
      </c>
      <c r="B15" s="4">
        <v>6001</v>
      </c>
      <c r="C15" s="3" t="s">
        <v>212</v>
      </c>
      <c r="D15" s="4">
        <v>71</v>
      </c>
      <c r="E15" s="3" t="s">
        <v>213</v>
      </c>
      <c r="F15" s="3" t="s">
        <v>226</v>
      </c>
      <c r="G15" s="55" t="s">
        <v>227</v>
      </c>
      <c r="H15" s="55" t="s">
        <v>13</v>
      </c>
      <c r="I15" s="6">
        <v>1511.04</v>
      </c>
      <c r="J15">
        <v>0</v>
      </c>
      <c r="L15">
        <f>I15*0.98</f>
        <v>1480.8191999999999</v>
      </c>
      <c r="N15" s="73">
        <f t="shared" si="0"/>
        <v>2.0000000000000035E-2</v>
      </c>
    </row>
    <row r="16" spans="1:15" ht="20.100000000000001" hidden="1" customHeight="1">
      <c r="A16" s="3" t="s">
        <v>209</v>
      </c>
      <c r="B16" s="4">
        <v>6001</v>
      </c>
      <c r="C16" s="3" t="s">
        <v>212</v>
      </c>
      <c r="D16" s="4">
        <v>71</v>
      </c>
      <c r="E16" s="3" t="s">
        <v>213</v>
      </c>
      <c r="F16" s="3" t="s">
        <v>81</v>
      </c>
      <c r="G16" s="3" t="s">
        <v>82</v>
      </c>
      <c r="H16" s="3" t="s">
        <v>364</v>
      </c>
      <c r="I16" s="6">
        <v>1890</v>
      </c>
      <c r="J16">
        <v>0</v>
      </c>
      <c r="L16">
        <f>25000-L10</f>
        <v>1905</v>
      </c>
      <c r="N16" s="73">
        <f>(I16-(J16+L16))/I16</f>
        <v>-7.9365079365079361E-3</v>
      </c>
    </row>
    <row r="17" spans="1:15" ht="20.100000000000001" hidden="1" customHeight="1">
      <c r="A17" s="3" t="s">
        <v>208</v>
      </c>
      <c r="B17" s="4">
        <v>6001</v>
      </c>
      <c r="C17" s="3" t="s">
        <v>212</v>
      </c>
      <c r="D17" s="4">
        <v>71</v>
      </c>
      <c r="E17" s="3" t="s">
        <v>213</v>
      </c>
      <c r="F17" s="3" t="s">
        <v>224</v>
      </c>
      <c r="G17" s="55" t="s">
        <v>225</v>
      </c>
      <c r="H17" s="55" t="s">
        <v>13</v>
      </c>
      <c r="I17" s="6">
        <v>3022.08</v>
      </c>
      <c r="J17">
        <v>0</v>
      </c>
      <c r="L17">
        <f>I17*0.98</f>
        <v>2961.6383999999998</v>
      </c>
      <c r="N17" s="73">
        <f t="shared" si="0"/>
        <v>2.0000000000000035E-2</v>
      </c>
    </row>
    <row r="18" spans="1:15" ht="20.100000000000001" hidden="1" customHeight="1">
      <c r="A18" s="3" t="s">
        <v>208</v>
      </c>
      <c r="B18" s="4">
        <v>6001</v>
      </c>
      <c r="C18" s="3" t="s">
        <v>212</v>
      </c>
      <c r="D18" s="4">
        <v>71</v>
      </c>
      <c r="E18" s="3" t="s">
        <v>213</v>
      </c>
      <c r="F18" s="3" t="s">
        <v>222</v>
      </c>
      <c r="G18" s="55" t="s">
        <v>223</v>
      </c>
      <c r="H18" s="55" t="s">
        <v>13</v>
      </c>
      <c r="I18" s="6">
        <v>4029.44</v>
      </c>
      <c r="J18">
        <v>0</v>
      </c>
      <c r="L18">
        <f>I18*0.98</f>
        <v>3948.8512000000001</v>
      </c>
      <c r="N18" s="73">
        <f t="shared" si="0"/>
        <v>1.9999999999999997E-2</v>
      </c>
    </row>
    <row r="19" spans="1:15" ht="20.100000000000001" hidden="1" customHeight="1">
      <c r="A19" s="3" t="s">
        <v>208</v>
      </c>
      <c r="B19" s="4">
        <v>6001</v>
      </c>
      <c r="C19" s="3" t="s">
        <v>212</v>
      </c>
      <c r="D19" s="4">
        <v>71</v>
      </c>
      <c r="E19" s="3" t="s">
        <v>213</v>
      </c>
      <c r="F19" s="3" t="s">
        <v>216</v>
      </c>
      <c r="G19" s="55" t="s">
        <v>217</v>
      </c>
      <c r="H19" s="55" t="s">
        <v>13</v>
      </c>
      <c r="I19" s="6">
        <v>4533.12</v>
      </c>
      <c r="J19">
        <v>0</v>
      </c>
      <c r="L19">
        <f>I19*0.98</f>
        <v>4442.4575999999997</v>
      </c>
      <c r="N19" s="73">
        <f t="shared" si="0"/>
        <v>2.0000000000000035E-2</v>
      </c>
    </row>
    <row r="20" spans="1:15" ht="20.100000000000001" hidden="1" customHeight="1">
      <c r="A20" s="3" t="s">
        <v>209</v>
      </c>
      <c r="B20" s="4">
        <v>6001</v>
      </c>
      <c r="C20" s="3" t="s">
        <v>212</v>
      </c>
      <c r="D20" s="4">
        <v>71</v>
      </c>
      <c r="E20" s="3" t="s">
        <v>213</v>
      </c>
      <c r="F20" s="3" t="s">
        <v>77</v>
      </c>
      <c r="G20" s="55" t="s">
        <v>269</v>
      </c>
      <c r="H20" s="55" t="s">
        <v>74</v>
      </c>
      <c r="I20" s="6">
        <v>4982.49</v>
      </c>
      <c r="J20">
        <v>0</v>
      </c>
      <c r="L20">
        <f>0.96*I20</f>
        <v>4783.1903999999995</v>
      </c>
      <c r="N20" s="73">
        <f t="shared" si="0"/>
        <v>4.0000000000000056E-2</v>
      </c>
    </row>
    <row r="21" spans="1:15" ht="20.100000000000001" hidden="1" customHeight="1">
      <c r="A21" s="3" t="s">
        <v>208</v>
      </c>
      <c r="B21" s="4">
        <v>6001</v>
      </c>
      <c r="C21" s="3" t="s">
        <v>212</v>
      </c>
      <c r="D21" s="4">
        <v>71</v>
      </c>
      <c r="E21" s="3" t="s">
        <v>213</v>
      </c>
      <c r="F21" s="3" t="s">
        <v>220</v>
      </c>
      <c r="G21" s="55" t="s">
        <v>221</v>
      </c>
      <c r="H21" s="55" t="s">
        <v>13</v>
      </c>
      <c r="I21" s="6">
        <v>5036.8</v>
      </c>
      <c r="J21">
        <v>0</v>
      </c>
      <c r="L21">
        <f>I21*0.98</f>
        <v>4936.0640000000003</v>
      </c>
      <c r="N21" s="73">
        <f t="shared" si="0"/>
        <v>1.9999999999999976E-2</v>
      </c>
    </row>
    <row r="22" spans="1:15" ht="20.100000000000001" hidden="1" customHeight="1">
      <c r="A22" s="3" t="s">
        <v>209</v>
      </c>
      <c r="B22" s="4">
        <v>6001</v>
      </c>
      <c r="C22" s="3" t="s">
        <v>212</v>
      </c>
      <c r="D22" s="4">
        <v>71</v>
      </c>
      <c r="E22" s="3" t="s">
        <v>213</v>
      </c>
      <c r="F22" s="3" t="s">
        <v>135</v>
      </c>
      <c r="G22" s="54" t="s">
        <v>136</v>
      </c>
      <c r="H22" s="54" t="s">
        <v>363</v>
      </c>
      <c r="I22" s="6">
        <v>5676.68</v>
      </c>
      <c r="J22">
        <v>0</v>
      </c>
      <c r="L22">
        <f>I22*0.96</f>
        <v>5449.6127999999999</v>
      </c>
      <c r="N22" s="73">
        <f t="shared" si="0"/>
        <v>4.000000000000007E-2</v>
      </c>
    </row>
    <row r="23" spans="1:15" ht="20.100000000000001" hidden="1" customHeight="1">
      <c r="A23" s="3" t="s">
        <v>208</v>
      </c>
      <c r="B23" s="4">
        <v>6001</v>
      </c>
      <c r="C23" s="3" t="s">
        <v>212</v>
      </c>
      <c r="D23" s="4">
        <v>71</v>
      </c>
      <c r="E23" s="3" t="s">
        <v>213</v>
      </c>
      <c r="F23" s="3" t="s">
        <v>218</v>
      </c>
      <c r="G23" s="55" t="s">
        <v>219</v>
      </c>
      <c r="H23" s="55" t="s">
        <v>13</v>
      </c>
      <c r="I23" s="6">
        <v>6044.16</v>
      </c>
      <c r="J23">
        <v>0</v>
      </c>
      <c r="L23">
        <f>I23*0.98</f>
        <v>5923.2767999999996</v>
      </c>
      <c r="N23" s="73">
        <f t="shared" si="0"/>
        <v>2.0000000000000035E-2</v>
      </c>
    </row>
    <row r="24" spans="1:15" ht="20.100000000000001" hidden="1" customHeight="1">
      <c r="A24" s="3" t="s">
        <v>208</v>
      </c>
      <c r="B24" s="4">
        <v>6001</v>
      </c>
      <c r="C24" s="3" t="s">
        <v>212</v>
      </c>
      <c r="D24" s="4">
        <v>71</v>
      </c>
      <c r="E24" s="3" t="s">
        <v>213</v>
      </c>
      <c r="F24" s="3" t="s">
        <v>228</v>
      </c>
      <c r="G24" s="54" t="s">
        <v>267</v>
      </c>
      <c r="H24" s="54" t="s">
        <v>27</v>
      </c>
      <c r="I24" s="6">
        <v>10879.47</v>
      </c>
      <c r="J24">
        <v>0</v>
      </c>
      <c r="L24" s="52">
        <f>I24*0.96</f>
        <v>10444.2912</v>
      </c>
      <c r="N24" s="73">
        <f t="shared" si="0"/>
        <v>3.9999999999999973E-2</v>
      </c>
    </row>
    <row r="25" spans="1:15" ht="20.100000000000001" hidden="1" customHeight="1">
      <c r="A25" s="3" t="s">
        <v>209</v>
      </c>
      <c r="B25" s="4">
        <v>6001</v>
      </c>
      <c r="C25" s="3" t="s">
        <v>212</v>
      </c>
      <c r="D25" s="4">
        <v>71</v>
      </c>
      <c r="E25" s="3" t="s">
        <v>213</v>
      </c>
      <c r="F25" s="3" t="s">
        <v>133</v>
      </c>
      <c r="G25" s="54" t="s">
        <v>363</v>
      </c>
      <c r="H25" s="54" t="s">
        <v>363</v>
      </c>
      <c r="I25" s="6">
        <v>18567.47</v>
      </c>
      <c r="J25">
        <v>0</v>
      </c>
      <c r="L25">
        <f>I25*0.96</f>
        <v>17824.771199999999</v>
      </c>
      <c r="N25" s="73">
        <f t="shared" si="0"/>
        <v>4.0000000000000105E-2</v>
      </c>
    </row>
    <row r="26" spans="1:15" ht="20.100000000000001" hidden="1" customHeight="1">
      <c r="A26" s="3" t="s">
        <v>208</v>
      </c>
      <c r="B26" s="4">
        <v>6001</v>
      </c>
      <c r="C26" s="3" t="s">
        <v>212</v>
      </c>
      <c r="D26" s="4">
        <v>71</v>
      </c>
      <c r="E26" s="3" t="s">
        <v>213</v>
      </c>
      <c r="F26" s="3" t="s">
        <v>230</v>
      </c>
      <c r="G26" s="54" t="s">
        <v>365</v>
      </c>
      <c r="H26" s="54" t="s">
        <v>27</v>
      </c>
      <c r="I26" s="6">
        <v>19039.07</v>
      </c>
      <c r="J26">
        <v>0</v>
      </c>
      <c r="L26" s="52">
        <f>I26*0.96</f>
        <v>18277.5072</v>
      </c>
      <c r="N26" s="73">
        <f t="shared" si="0"/>
        <v>3.9999999999999987E-2</v>
      </c>
    </row>
    <row r="27" spans="1:15" ht="20.100000000000001" hidden="1" customHeight="1">
      <c r="A27" s="3" t="s">
        <v>208</v>
      </c>
      <c r="B27" s="4">
        <v>6001</v>
      </c>
      <c r="C27" s="3" t="s">
        <v>212</v>
      </c>
      <c r="D27" s="4">
        <v>71</v>
      </c>
      <c r="E27" s="3" t="s">
        <v>213</v>
      </c>
      <c r="F27" s="3" t="s">
        <v>214</v>
      </c>
      <c r="G27" s="55" t="s">
        <v>215</v>
      </c>
      <c r="H27" s="55" t="s">
        <v>13</v>
      </c>
      <c r="I27" s="6">
        <v>67241.179999999993</v>
      </c>
      <c r="J27">
        <v>0</v>
      </c>
      <c r="L27">
        <f>I27*0.98</f>
        <v>65896.35639999999</v>
      </c>
      <c r="N27" s="73">
        <f t="shared" si="0"/>
        <v>2.0000000000000052E-2</v>
      </c>
    </row>
    <row r="28" spans="1:15" ht="20.100000000000001" hidden="1" customHeight="1">
      <c r="A28" s="3" t="s">
        <v>209</v>
      </c>
      <c r="B28" s="4">
        <v>6001</v>
      </c>
      <c r="C28" s="3" t="s">
        <v>212</v>
      </c>
      <c r="D28" s="4">
        <v>71</v>
      </c>
      <c r="E28" s="3" t="s">
        <v>213</v>
      </c>
      <c r="F28" s="3" t="s">
        <v>173</v>
      </c>
      <c r="G28" s="54" t="s">
        <v>268</v>
      </c>
      <c r="H28" s="54"/>
      <c r="I28" s="6">
        <v>436895.74</v>
      </c>
      <c r="J28">
        <v>0</v>
      </c>
      <c r="N28" s="73">
        <f t="shared" si="0"/>
        <v>1</v>
      </c>
    </row>
    <row r="29" spans="1:15" ht="20.100000000000001" hidden="1" customHeight="1">
      <c r="A29" s="3" t="s">
        <v>209</v>
      </c>
      <c r="B29" s="4">
        <v>6001</v>
      </c>
      <c r="C29" s="3" t="s">
        <v>212</v>
      </c>
      <c r="D29" s="4">
        <v>71</v>
      </c>
      <c r="E29" s="3" t="s">
        <v>213</v>
      </c>
      <c r="F29" s="3" t="s">
        <v>191</v>
      </c>
      <c r="G29" s="3" t="s">
        <v>192</v>
      </c>
      <c r="H29" s="3"/>
      <c r="I29" s="6">
        <v>14103.02</v>
      </c>
      <c r="J29">
        <v>13406.35</v>
      </c>
      <c r="N29" s="73">
        <f t="shared" si="0"/>
        <v>4.9398639440346823E-2</v>
      </c>
    </row>
    <row r="30" spans="1:15" ht="20.100000000000001" hidden="1" customHeight="1">
      <c r="A30" s="3" t="s">
        <v>209</v>
      </c>
      <c r="B30" s="4">
        <v>6001</v>
      </c>
      <c r="C30" s="3" t="s">
        <v>212</v>
      </c>
      <c r="D30" s="4">
        <v>71</v>
      </c>
      <c r="E30" s="3" t="s">
        <v>213</v>
      </c>
      <c r="F30" s="3" t="s">
        <v>183</v>
      </c>
      <c r="G30" s="3" t="s">
        <v>184</v>
      </c>
      <c r="H30" s="3"/>
      <c r="I30" s="6">
        <v>19663.13</v>
      </c>
      <c r="J30">
        <v>18870.599999999999</v>
      </c>
      <c r="N30" s="73">
        <f t="shared" si="0"/>
        <v>4.0305383730871051E-2</v>
      </c>
    </row>
    <row r="31" spans="1:15" ht="20.100000000000001" hidden="1" customHeight="1">
      <c r="A31" s="3" t="s">
        <v>209</v>
      </c>
      <c r="B31" s="4">
        <v>6001</v>
      </c>
      <c r="C31" s="3" t="s">
        <v>212</v>
      </c>
      <c r="D31" s="4">
        <v>71</v>
      </c>
      <c r="E31" s="3" t="s">
        <v>213</v>
      </c>
      <c r="F31" s="3" t="s">
        <v>189</v>
      </c>
      <c r="G31" s="3" t="s">
        <v>190</v>
      </c>
      <c r="H31" s="3"/>
      <c r="I31" s="6">
        <v>20147.169999999998</v>
      </c>
      <c r="J31">
        <v>19151.78</v>
      </c>
      <c r="N31" s="73">
        <f t="shared" si="0"/>
        <v>4.9405946343828909E-2</v>
      </c>
    </row>
    <row r="32" spans="1:15" ht="20.100000000000001" hidden="1" customHeight="1">
      <c r="A32" s="3" t="s">
        <v>209</v>
      </c>
      <c r="B32" s="4">
        <v>6001</v>
      </c>
      <c r="C32" s="3" t="s">
        <v>212</v>
      </c>
      <c r="D32" s="4">
        <v>71</v>
      </c>
      <c r="E32" s="3" t="s">
        <v>213</v>
      </c>
      <c r="F32" s="3" t="s">
        <v>169</v>
      </c>
      <c r="G32" s="3" t="s">
        <v>170</v>
      </c>
      <c r="H32" s="3"/>
      <c r="I32" s="5"/>
      <c r="J32">
        <v>19591.32</v>
      </c>
      <c r="K32">
        <f>J32</f>
        <v>19591.32</v>
      </c>
      <c r="N32" s="73" t="e">
        <f t="shared" si="0"/>
        <v>#DIV/0!</v>
      </c>
      <c r="O32" s="12" t="s">
        <v>391</v>
      </c>
    </row>
    <row r="33" spans="1:15" ht="20.100000000000001" hidden="1" customHeight="1">
      <c r="A33" s="3" t="s">
        <v>209</v>
      </c>
      <c r="B33" s="4">
        <v>6001</v>
      </c>
      <c r="C33" s="3" t="s">
        <v>212</v>
      </c>
      <c r="D33" s="4">
        <v>71</v>
      </c>
      <c r="E33" s="3" t="s">
        <v>213</v>
      </c>
      <c r="F33" s="3" t="s">
        <v>185</v>
      </c>
      <c r="G33" s="3" t="s">
        <v>399</v>
      </c>
      <c r="H33" s="3"/>
      <c r="I33" s="6">
        <v>21356</v>
      </c>
      <c r="J33">
        <v>20377.36</v>
      </c>
      <c r="K33">
        <f>J33</f>
        <v>20377.36</v>
      </c>
      <c r="N33" s="73">
        <f t="shared" si="0"/>
        <v>4.58250608728226E-2</v>
      </c>
    </row>
    <row r="34" spans="1:15" ht="20.100000000000001" hidden="1" customHeight="1">
      <c r="A34" s="3" t="s">
        <v>209</v>
      </c>
      <c r="B34" s="4">
        <v>6001</v>
      </c>
      <c r="C34" s="3" t="s">
        <v>212</v>
      </c>
      <c r="D34" s="4">
        <v>71</v>
      </c>
      <c r="E34" s="3" t="s">
        <v>213</v>
      </c>
      <c r="F34" s="3" t="s">
        <v>75</v>
      </c>
      <c r="G34" s="55" t="s">
        <v>76</v>
      </c>
      <c r="H34" s="84" t="s">
        <v>74</v>
      </c>
      <c r="I34" s="83">
        <v>86060.13</v>
      </c>
      <c r="J34">
        <v>26300</v>
      </c>
      <c r="K34">
        <v>26300</v>
      </c>
      <c r="L34">
        <f>88076.71377-L20-26300</f>
        <v>56993.52337000001</v>
      </c>
      <c r="N34" s="73">
        <f>(I34-(J34+L34))/I34</f>
        <v>3.2147367544064769E-2</v>
      </c>
    </row>
    <row r="35" spans="1:15" ht="20.100000000000001" hidden="1" customHeight="1">
      <c r="A35" s="3" t="s">
        <v>209</v>
      </c>
      <c r="B35" s="4">
        <v>6001</v>
      </c>
      <c r="C35" s="3" t="s">
        <v>212</v>
      </c>
      <c r="D35" s="4">
        <v>71</v>
      </c>
      <c r="E35" s="3" t="s">
        <v>213</v>
      </c>
      <c r="F35" s="3" t="s">
        <v>199</v>
      </c>
      <c r="G35" s="79" t="s">
        <v>200</v>
      </c>
      <c r="H35" s="66"/>
      <c r="I35" s="90">
        <v>68480.23</v>
      </c>
      <c r="J35" s="91">
        <v>59415.58</v>
      </c>
      <c r="K35" s="91"/>
      <c r="L35" s="91">
        <v>8000</v>
      </c>
      <c r="M35" s="93"/>
      <c r="N35" s="94">
        <f t="shared" si="0"/>
        <v>1.5546822783743487E-2</v>
      </c>
    </row>
    <row r="36" spans="1:15" ht="20.100000000000001" hidden="1" customHeight="1">
      <c r="A36" s="3" t="s">
        <v>209</v>
      </c>
      <c r="B36" s="4">
        <v>6001</v>
      </c>
      <c r="C36" s="3" t="s">
        <v>212</v>
      </c>
      <c r="D36" s="4">
        <v>71</v>
      </c>
      <c r="E36" s="3" t="s">
        <v>213</v>
      </c>
      <c r="F36" s="3" t="s">
        <v>131</v>
      </c>
      <c r="G36" s="3" t="s">
        <v>132</v>
      </c>
      <c r="H36" s="85"/>
      <c r="I36" s="87">
        <v>64943.59</v>
      </c>
      <c r="J36">
        <v>61738.04</v>
      </c>
      <c r="N36" s="73">
        <f t="shared" si="0"/>
        <v>4.9358989855657745E-2</v>
      </c>
    </row>
    <row r="37" spans="1:15" ht="20.100000000000001" hidden="1" customHeight="1">
      <c r="A37" s="3" t="s">
        <v>209</v>
      </c>
      <c r="B37" s="4">
        <v>6001</v>
      </c>
      <c r="C37" s="3" t="s">
        <v>212</v>
      </c>
      <c r="D37" s="4">
        <v>71</v>
      </c>
      <c r="E37" s="3" t="s">
        <v>213</v>
      </c>
      <c r="F37" s="3" t="s">
        <v>163</v>
      </c>
      <c r="G37" s="3" t="s">
        <v>164</v>
      </c>
      <c r="H37" s="80"/>
      <c r="I37" s="83">
        <v>73979.509999999995</v>
      </c>
      <c r="J37">
        <v>67257.100000000006</v>
      </c>
      <c r="N37" s="73">
        <f t="shared" si="0"/>
        <v>9.0868539140094184E-2</v>
      </c>
    </row>
    <row r="38" spans="1:15" ht="20.100000000000001" hidden="1" customHeight="1">
      <c r="A38" s="3" t="s">
        <v>209</v>
      </c>
      <c r="B38" s="4">
        <v>6001</v>
      </c>
      <c r="C38" s="3" t="s">
        <v>212</v>
      </c>
      <c r="D38" s="4">
        <v>71</v>
      </c>
      <c r="E38" s="3" t="s">
        <v>213</v>
      </c>
      <c r="F38" s="3" t="s">
        <v>161</v>
      </c>
      <c r="G38" s="79" t="s">
        <v>162</v>
      </c>
      <c r="H38" s="66"/>
      <c r="I38" s="90">
        <v>81144</v>
      </c>
      <c r="J38" s="91">
        <v>79583.399999999994</v>
      </c>
      <c r="K38" s="91"/>
      <c r="L38" s="91"/>
      <c r="M38" s="93"/>
      <c r="N38" s="94">
        <f t="shared" si="0"/>
        <v>1.92324755989353E-2</v>
      </c>
    </row>
    <row r="39" spans="1:15" ht="20.100000000000001" hidden="1" customHeight="1">
      <c r="A39" s="3" t="s">
        <v>209</v>
      </c>
      <c r="B39" s="4">
        <v>6001</v>
      </c>
      <c r="C39" s="3" t="s">
        <v>212</v>
      </c>
      <c r="D39" s="4">
        <v>71</v>
      </c>
      <c r="E39" s="3" t="s">
        <v>213</v>
      </c>
      <c r="F39" s="3" t="s">
        <v>67</v>
      </c>
      <c r="G39" s="3" t="s">
        <v>68</v>
      </c>
      <c r="H39" s="85"/>
      <c r="I39" s="88"/>
      <c r="J39">
        <v>84706.240000000005</v>
      </c>
      <c r="K39">
        <f>J39</f>
        <v>84706.240000000005</v>
      </c>
      <c r="N39" s="73" t="e">
        <f t="shared" si="0"/>
        <v>#DIV/0!</v>
      </c>
      <c r="O39" s="12" t="s">
        <v>391</v>
      </c>
    </row>
    <row r="40" spans="1:15" ht="20.100000000000001" customHeight="1">
      <c r="A40" s="3" t="s">
        <v>209</v>
      </c>
      <c r="B40" s="4">
        <v>6001</v>
      </c>
      <c r="C40" s="3" t="s">
        <v>212</v>
      </c>
      <c r="D40" s="4">
        <v>71</v>
      </c>
      <c r="E40" s="3" t="s">
        <v>213</v>
      </c>
      <c r="F40" s="3" t="s">
        <v>175</v>
      </c>
      <c r="G40" s="3" t="s">
        <v>176</v>
      </c>
      <c r="H40" s="3"/>
      <c r="I40" s="6">
        <v>150079.07</v>
      </c>
      <c r="J40">
        <v>90523.07</v>
      </c>
      <c r="K40">
        <f>J40</f>
        <v>90523.07</v>
      </c>
      <c r="N40" s="73">
        <f t="shared" si="0"/>
        <v>0.39683081724853436</v>
      </c>
    </row>
    <row r="41" spans="1:15" ht="20.100000000000001" hidden="1" customHeight="1">
      <c r="A41" s="3" t="s">
        <v>209</v>
      </c>
      <c r="B41" s="4">
        <v>6001</v>
      </c>
      <c r="C41" s="3" t="s">
        <v>212</v>
      </c>
      <c r="D41" s="4">
        <v>71</v>
      </c>
      <c r="E41" s="3" t="s">
        <v>213</v>
      </c>
      <c r="F41" s="3" t="s">
        <v>195</v>
      </c>
      <c r="G41" s="3" t="s">
        <v>196</v>
      </c>
      <c r="H41" s="3" t="s">
        <v>194</v>
      </c>
      <c r="I41" s="6">
        <v>63594.43</v>
      </c>
      <c r="J41">
        <v>92364.15</v>
      </c>
      <c r="K41">
        <f>J41</f>
        <v>92364.15</v>
      </c>
      <c r="N41" s="73">
        <f t="shared" si="0"/>
        <v>-0.45239370806531315</v>
      </c>
    </row>
    <row r="42" spans="1:15" ht="20.100000000000001" hidden="1" customHeight="1">
      <c r="A42" s="3" t="s">
        <v>209</v>
      </c>
      <c r="B42" s="4">
        <v>6001</v>
      </c>
      <c r="C42" s="3" t="s">
        <v>212</v>
      </c>
      <c r="D42" s="4">
        <v>71</v>
      </c>
      <c r="E42" s="3" t="s">
        <v>213</v>
      </c>
      <c r="F42" s="3" t="s">
        <v>177</v>
      </c>
      <c r="G42" s="3" t="s">
        <v>178</v>
      </c>
      <c r="H42" s="3"/>
      <c r="I42" s="6">
        <v>156985.57</v>
      </c>
      <c r="J42">
        <v>96433.95</v>
      </c>
      <c r="K42">
        <f>J42</f>
        <v>96433.95</v>
      </c>
      <c r="N42" s="73">
        <f t="shared" si="0"/>
        <v>0.38571455962481144</v>
      </c>
    </row>
    <row r="43" spans="1:15" ht="20.100000000000001" hidden="1" customHeight="1">
      <c r="A43" s="3" t="s">
        <v>209</v>
      </c>
      <c r="B43" s="4">
        <v>6001</v>
      </c>
      <c r="C43" s="3" t="s">
        <v>212</v>
      </c>
      <c r="D43" s="4">
        <v>71</v>
      </c>
      <c r="E43" s="3" t="s">
        <v>213</v>
      </c>
      <c r="F43" s="3" t="s">
        <v>139</v>
      </c>
      <c r="G43" s="3" t="s">
        <v>140</v>
      </c>
      <c r="H43" s="3"/>
      <c r="I43" s="6">
        <v>110426.64</v>
      </c>
      <c r="J43">
        <v>103415.09</v>
      </c>
      <c r="N43" s="73">
        <f t="shared" si="0"/>
        <v>6.3495095024171735E-2</v>
      </c>
    </row>
    <row r="44" spans="1:15" ht="20.100000000000001" hidden="1" customHeight="1">
      <c r="A44" s="3" t="s">
        <v>208</v>
      </c>
      <c r="B44" s="4">
        <v>6001</v>
      </c>
      <c r="C44" s="3" t="s">
        <v>212</v>
      </c>
      <c r="D44" s="4">
        <v>71</v>
      </c>
      <c r="E44" s="3" t="s">
        <v>213</v>
      </c>
      <c r="F44" s="3" t="s">
        <v>12</v>
      </c>
      <c r="G44" s="55" t="s">
        <v>13</v>
      </c>
      <c r="H44" s="55" t="s">
        <v>13</v>
      </c>
      <c r="I44" s="6">
        <v>103673.3</v>
      </c>
      <c r="J44">
        <v>105943.4</v>
      </c>
      <c r="K44">
        <f>J44</f>
        <v>105943.4</v>
      </c>
      <c r="N44" s="73">
        <f t="shared" si="0"/>
        <v>-2.1896669634322349E-2</v>
      </c>
    </row>
    <row r="45" spans="1:15" ht="20.100000000000001" hidden="1" customHeight="1">
      <c r="A45" s="3" t="s">
        <v>209</v>
      </c>
      <c r="B45" s="4">
        <v>6001</v>
      </c>
      <c r="C45" s="3" t="s">
        <v>212</v>
      </c>
      <c r="D45" s="4">
        <v>71</v>
      </c>
      <c r="E45" s="3" t="s">
        <v>213</v>
      </c>
      <c r="F45" s="3" t="s">
        <v>59</v>
      </c>
      <c r="G45" s="3" t="s">
        <v>60</v>
      </c>
      <c r="H45" s="3"/>
      <c r="I45" s="5"/>
      <c r="J45">
        <v>212264.15</v>
      </c>
      <c r="K45">
        <f>J45</f>
        <v>212264.15</v>
      </c>
      <c r="N45" s="73" t="e">
        <f t="shared" si="0"/>
        <v>#DIV/0!</v>
      </c>
    </row>
    <row r="46" spans="1:15" ht="20.100000000000001" hidden="1" customHeight="1">
      <c r="A46" s="3" t="s">
        <v>209</v>
      </c>
      <c r="B46" s="4">
        <v>6001</v>
      </c>
      <c r="C46" s="3" t="s">
        <v>212</v>
      </c>
      <c r="D46" s="4">
        <v>71</v>
      </c>
      <c r="E46" s="3" t="s">
        <v>213</v>
      </c>
      <c r="F46" s="3" t="s">
        <v>197</v>
      </c>
      <c r="G46" s="3" t="s">
        <v>198</v>
      </c>
      <c r="H46" s="3" t="s">
        <v>194</v>
      </c>
      <c r="I46" s="6">
        <v>734529.02</v>
      </c>
      <c r="J46" s="72">
        <v>250000</v>
      </c>
      <c r="K46" s="72">
        <f>J46</f>
        <v>250000</v>
      </c>
      <c r="L46">
        <v>447778.06</v>
      </c>
      <c r="N46" s="73">
        <f t="shared" si="0"/>
        <v>5.0033366959415654E-2</v>
      </c>
    </row>
    <row r="47" spans="1:15" ht="20.100000000000001" hidden="1" customHeight="1">
      <c r="A47" s="3" t="s">
        <v>209</v>
      </c>
      <c r="B47" s="4">
        <v>6001</v>
      </c>
      <c r="C47" s="3" t="s">
        <v>212</v>
      </c>
      <c r="D47" s="4">
        <v>71</v>
      </c>
      <c r="E47" s="3" t="s">
        <v>213</v>
      </c>
      <c r="F47" s="3" t="s">
        <v>127</v>
      </c>
      <c r="G47" s="3" t="s">
        <v>128</v>
      </c>
      <c r="H47" s="3"/>
      <c r="I47" s="5"/>
      <c r="J47">
        <v>341880.35</v>
      </c>
      <c r="N47" s="73" t="e">
        <f t="shared" si="0"/>
        <v>#DIV/0!</v>
      </c>
      <c r="O47" s="12" t="s">
        <v>361</v>
      </c>
    </row>
    <row r="48" spans="1:15" ht="20.100000000000001" hidden="1" customHeight="1">
      <c r="A48" s="3" t="s">
        <v>209</v>
      </c>
      <c r="B48" s="4">
        <v>6001</v>
      </c>
      <c r="C48" s="3" t="s">
        <v>212</v>
      </c>
      <c r="D48" s="4">
        <v>71</v>
      </c>
      <c r="E48" s="3" t="s">
        <v>213</v>
      </c>
      <c r="F48" s="3" t="s">
        <v>113</v>
      </c>
      <c r="G48" s="3" t="s">
        <v>114</v>
      </c>
      <c r="H48" s="3"/>
      <c r="I48" s="6">
        <v>401089.85</v>
      </c>
      <c r="J48">
        <v>386354.7</v>
      </c>
      <c r="N48" s="73">
        <f t="shared" si="0"/>
        <v>3.6737778330715586E-2</v>
      </c>
    </row>
    <row r="49" spans="1:14" ht="20.100000000000001" hidden="1" customHeight="1">
      <c r="A49" s="3" t="s">
        <v>209</v>
      </c>
      <c r="B49" s="4">
        <v>6001</v>
      </c>
      <c r="C49" s="3" t="s">
        <v>212</v>
      </c>
      <c r="D49" s="4">
        <v>71</v>
      </c>
      <c r="E49" s="3" t="s">
        <v>213</v>
      </c>
      <c r="F49" s="3" t="s">
        <v>97</v>
      </c>
      <c r="G49" s="3" t="s">
        <v>98</v>
      </c>
      <c r="H49" s="80"/>
      <c r="I49" s="83">
        <v>401936.03</v>
      </c>
      <c r="J49">
        <v>387169.77</v>
      </c>
      <c r="N49" s="73">
        <f t="shared" si="0"/>
        <v>3.6737836117851912E-2</v>
      </c>
    </row>
    <row r="50" spans="1:14" hidden="1">
      <c r="A50" s="3" t="s">
        <v>209</v>
      </c>
      <c r="B50" s="4">
        <v>6001</v>
      </c>
      <c r="C50" s="3" t="s">
        <v>212</v>
      </c>
      <c r="D50" s="4">
        <v>71</v>
      </c>
      <c r="E50" s="3" t="s">
        <v>213</v>
      </c>
      <c r="F50" s="3" t="s">
        <v>159</v>
      </c>
      <c r="G50" s="79" t="s">
        <v>160</v>
      </c>
      <c r="H50" s="66"/>
      <c r="I50" s="90">
        <v>835948.79</v>
      </c>
      <c r="J50" s="91">
        <v>774902.68</v>
      </c>
      <c r="K50" s="91"/>
      <c r="L50" s="91">
        <v>45000</v>
      </c>
      <c r="M50" s="93"/>
      <c r="N50" s="94">
        <f t="shared" si="0"/>
        <v>1.9195087297153676E-2</v>
      </c>
    </row>
    <row r="51" spans="1:14" ht="20.100000000000001" hidden="1" customHeight="1">
      <c r="A51" s="3" t="s">
        <v>209</v>
      </c>
      <c r="B51" s="4">
        <v>6001</v>
      </c>
      <c r="C51" s="3" t="s">
        <v>212</v>
      </c>
      <c r="D51" s="4">
        <v>71</v>
      </c>
      <c r="E51" s="3" t="s">
        <v>213</v>
      </c>
      <c r="F51" s="3" t="s">
        <v>242</v>
      </c>
      <c r="G51" s="3" t="s">
        <v>182</v>
      </c>
      <c r="H51" s="85"/>
      <c r="I51" s="87">
        <v>1163838.6499999999</v>
      </c>
      <c r="J51">
        <v>1138324.55</v>
      </c>
      <c r="N51" s="73">
        <f t="shared" si="0"/>
        <v>2.1922368706349341E-2</v>
      </c>
    </row>
    <row r="52" spans="1:14" ht="20.100000000000001" hidden="1" customHeight="1">
      <c r="A52" s="3" t="s">
        <v>209</v>
      </c>
      <c r="B52" s="4">
        <v>6001</v>
      </c>
      <c r="C52" s="3" t="s">
        <v>212</v>
      </c>
      <c r="D52" s="4">
        <v>71</v>
      </c>
      <c r="E52" s="3" t="s">
        <v>213</v>
      </c>
      <c r="F52" s="3" t="s">
        <v>31</v>
      </c>
      <c r="G52" s="3" t="s">
        <v>32</v>
      </c>
      <c r="H52" s="3"/>
      <c r="I52" s="5"/>
      <c r="J52">
        <v>0</v>
      </c>
    </row>
    <row r="53" spans="1:14" ht="20.100000000000001" hidden="1" customHeight="1">
      <c r="A53" s="3" t="s">
        <v>209</v>
      </c>
      <c r="B53" s="4">
        <v>6001</v>
      </c>
      <c r="C53" s="3" t="s">
        <v>212</v>
      </c>
      <c r="D53" s="4">
        <v>71</v>
      </c>
      <c r="E53" s="3" t="s">
        <v>213</v>
      </c>
      <c r="F53" s="3" t="s">
        <v>33</v>
      </c>
      <c r="G53" s="3" t="s">
        <v>34</v>
      </c>
      <c r="H53" s="3"/>
      <c r="I53" s="5"/>
      <c r="J53">
        <v>0</v>
      </c>
    </row>
    <row r="54" spans="1:14" ht="20.100000000000001" hidden="1" customHeight="1">
      <c r="A54" s="3" t="s">
        <v>209</v>
      </c>
      <c r="B54" s="4">
        <v>6001</v>
      </c>
      <c r="C54" s="3" t="s">
        <v>212</v>
      </c>
      <c r="D54" s="4">
        <v>71</v>
      </c>
      <c r="E54" s="3" t="s">
        <v>213</v>
      </c>
      <c r="F54" s="3" t="s">
        <v>37</v>
      </c>
      <c r="G54" s="3" t="s">
        <v>38</v>
      </c>
      <c r="H54" s="3"/>
      <c r="I54" s="5"/>
      <c r="J54">
        <v>0</v>
      </c>
    </row>
    <row r="55" spans="1:14" ht="20.100000000000001" hidden="1" customHeight="1">
      <c r="A55" s="3" t="s">
        <v>208</v>
      </c>
      <c r="B55" s="4">
        <v>6001</v>
      </c>
      <c r="C55" s="3" t="s">
        <v>212</v>
      </c>
      <c r="D55" s="4">
        <v>71</v>
      </c>
      <c r="E55" s="3" t="s">
        <v>213</v>
      </c>
      <c r="F55" s="3" t="s">
        <v>10</v>
      </c>
      <c r="G55" s="55" t="s">
        <v>11</v>
      </c>
      <c r="H55" s="55" t="s">
        <v>13</v>
      </c>
      <c r="I55" s="5"/>
      <c r="J55">
        <v>0</v>
      </c>
    </row>
    <row r="56" spans="1:14" ht="20.100000000000001" hidden="1" customHeight="1">
      <c r="A56" s="3" t="s">
        <v>209</v>
      </c>
      <c r="B56" s="4">
        <v>6001</v>
      </c>
      <c r="C56" s="3" t="s">
        <v>212</v>
      </c>
      <c r="D56" s="4">
        <v>71</v>
      </c>
      <c r="E56" s="3" t="s">
        <v>213</v>
      </c>
      <c r="F56" s="3" t="s">
        <v>53</v>
      </c>
      <c r="G56" s="3" t="s">
        <v>54</v>
      </c>
      <c r="H56" s="3"/>
      <c r="I56" s="5"/>
      <c r="J56">
        <v>0</v>
      </c>
    </row>
    <row r="57" spans="1:14" ht="20.100000000000001" hidden="1" customHeight="1">
      <c r="A57" s="3" t="s">
        <v>209</v>
      </c>
      <c r="B57" s="4">
        <v>6001</v>
      </c>
      <c r="C57" s="3" t="s">
        <v>212</v>
      </c>
      <c r="D57" s="4">
        <v>71</v>
      </c>
      <c r="E57" s="3" t="s">
        <v>213</v>
      </c>
      <c r="F57" s="3" t="s">
        <v>55</v>
      </c>
      <c r="G57" s="3" t="s">
        <v>56</v>
      </c>
      <c r="H57" s="3"/>
      <c r="I57" s="5"/>
      <c r="J57">
        <v>0</v>
      </c>
    </row>
    <row r="58" spans="1:14" ht="20.100000000000001" hidden="1" customHeight="1">
      <c r="A58" s="3" t="s">
        <v>208</v>
      </c>
      <c r="B58" s="4">
        <v>6001</v>
      </c>
      <c r="C58" s="3" t="s">
        <v>212</v>
      </c>
      <c r="D58" s="4">
        <v>71</v>
      </c>
      <c r="E58" s="3" t="s">
        <v>213</v>
      </c>
      <c r="F58" s="3" t="s">
        <v>16</v>
      </c>
      <c r="G58" s="3" t="s">
        <v>17</v>
      </c>
      <c r="H58" s="3"/>
      <c r="I58" s="5"/>
      <c r="J58">
        <v>0</v>
      </c>
    </row>
    <row r="59" spans="1:14" ht="20.100000000000001" hidden="1" customHeight="1">
      <c r="A59" s="3" t="s">
        <v>209</v>
      </c>
      <c r="B59" s="4">
        <v>6001</v>
      </c>
      <c r="C59" s="3" t="s">
        <v>212</v>
      </c>
      <c r="D59" s="4">
        <v>71</v>
      </c>
      <c r="E59" s="3" t="s">
        <v>213</v>
      </c>
      <c r="F59" s="3" t="s">
        <v>16</v>
      </c>
      <c r="G59" s="3" t="s">
        <v>17</v>
      </c>
      <c r="H59" s="3"/>
      <c r="I59" s="5"/>
      <c r="J59">
        <v>0</v>
      </c>
    </row>
    <row r="60" spans="1:14" ht="20.100000000000001" hidden="1" customHeight="1">
      <c r="A60" s="3" t="s">
        <v>209</v>
      </c>
      <c r="B60" s="4">
        <v>6001</v>
      </c>
      <c r="C60" s="3" t="s">
        <v>212</v>
      </c>
      <c r="D60" s="4">
        <v>71</v>
      </c>
      <c r="E60" s="3" t="s">
        <v>213</v>
      </c>
      <c r="F60" s="3" t="s">
        <v>57</v>
      </c>
      <c r="G60" s="3" t="s">
        <v>58</v>
      </c>
      <c r="H60" s="3"/>
      <c r="I60" s="5"/>
      <c r="J60">
        <v>0</v>
      </c>
    </row>
    <row r="61" spans="1:14" ht="20.100000000000001" hidden="1" customHeight="1">
      <c r="A61" s="3" t="s">
        <v>209</v>
      </c>
      <c r="B61" s="4">
        <v>6001</v>
      </c>
      <c r="C61" s="3" t="s">
        <v>212</v>
      </c>
      <c r="D61" s="4">
        <v>71</v>
      </c>
      <c r="E61" s="3" t="s">
        <v>213</v>
      </c>
      <c r="F61" s="3" t="s">
        <v>234</v>
      </c>
      <c r="G61" s="3" t="s">
        <v>235</v>
      </c>
      <c r="H61" s="3"/>
      <c r="I61" s="5"/>
      <c r="J61">
        <v>0</v>
      </c>
    </row>
    <row r="62" spans="1:14" ht="20.100000000000001" hidden="1" customHeight="1">
      <c r="A62" s="3" t="s">
        <v>209</v>
      </c>
      <c r="B62" s="4">
        <v>6001</v>
      </c>
      <c r="C62" s="3" t="s">
        <v>212</v>
      </c>
      <c r="D62" s="4">
        <v>71</v>
      </c>
      <c r="E62" s="3" t="s">
        <v>213</v>
      </c>
      <c r="F62" s="3" t="s">
        <v>63</v>
      </c>
      <c r="G62" s="3" t="s">
        <v>64</v>
      </c>
      <c r="H62" s="3"/>
      <c r="I62" s="5"/>
      <c r="J62">
        <v>0</v>
      </c>
    </row>
    <row r="63" spans="1:14" ht="20.100000000000001" hidden="1" customHeight="1">
      <c r="A63" s="3" t="s">
        <v>209</v>
      </c>
      <c r="B63" s="4">
        <v>6001</v>
      </c>
      <c r="C63" s="3" t="s">
        <v>212</v>
      </c>
      <c r="D63" s="4">
        <v>71</v>
      </c>
      <c r="E63" s="3" t="s">
        <v>213</v>
      </c>
      <c r="F63" s="3" t="s">
        <v>65</v>
      </c>
      <c r="G63" s="3" t="s">
        <v>66</v>
      </c>
      <c r="H63" s="3"/>
      <c r="I63" s="5"/>
      <c r="J63">
        <v>0</v>
      </c>
    </row>
    <row r="64" spans="1:14" ht="20.100000000000001" hidden="1" customHeight="1">
      <c r="A64" s="3" t="s">
        <v>209</v>
      </c>
      <c r="B64" s="4">
        <v>6001</v>
      </c>
      <c r="C64" s="3" t="s">
        <v>212</v>
      </c>
      <c r="D64" s="4">
        <v>71</v>
      </c>
      <c r="E64" s="3" t="s">
        <v>213</v>
      </c>
      <c r="F64" s="3" t="s">
        <v>18</v>
      </c>
      <c r="G64" s="3" t="s">
        <v>19</v>
      </c>
      <c r="H64" s="3"/>
      <c r="I64" s="5"/>
      <c r="J64">
        <v>0</v>
      </c>
    </row>
    <row r="65" spans="1:11" ht="20.100000000000001" hidden="1" customHeight="1">
      <c r="A65" s="3" t="s">
        <v>209</v>
      </c>
      <c r="B65" s="4">
        <v>6001</v>
      </c>
      <c r="C65" s="3" t="s">
        <v>212</v>
      </c>
      <c r="D65" s="4">
        <v>71</v>
      </c>
      <c r="E65" s="3" t="s">
        <v>213</v>
      </c>
      <c r="F65" s="3" t="s">
        <v>73</v>
      </c>
      <c r="G65" s="55" t="s">
        <v>74</v>
      </c>
      <c r="H65" s="55" t="s">
        <v>74</v>
      </c>
      <c r="I65" s="5"/>
      <c r="J65">
        <v>0</v>
      </c>
    </row>
    <row r="66" spans="1:11" ht="20.100000000000001" hidden="1" customHeight="1">
      <c r="A66" s="3" t="s">
        <v>209</v>
      </c>
      <c r="B66" s="4">
        <v>6001</v>
      </c>
      <c r="C66" s="3" t="s">
        <v>212</v>
      </c>
      <c r="D66" s="4">
        <v>71</v>
      </c>
      <c r="E66" s="3" t="s">
        <v>213</v>
      </c>
      <c r="F66" s="3" t="s">
        <v>85</v>
      </c>
      <c r="G66" s="3" t="s">
        <v>86</v>
      </c>
      <c r="H66" s="3"/>
      <c r="I66" s="5"/>
      <c r="J66">
        <v>0</v>
      </c>
    </row>
    <row r="67" spans="1:11" ht="20.100000000000001" hidden="1" customHeight="1">
      <c r="A67" s="3" t="s">
        <v>209</v>
      </c>
      <c r="B67" s="4">
        <v>6001</v>
      </c>
      <c r="C67" s="3" t="s">
        <v>212</v>
      </c>
      <c r="D67" s="4">
        <v>71</v>
      </c>
      <c r="E67" s="3" t="s">
        <v>213</v>
      </c>
      <c r="F67" s="3" t="s">
        <v>87</v>
      </c>
      <c r="G67" s="3" t="s">
        <v>88</v>
      </c>
      <c r="H67" s="3"/>
      <c r="I67" s="5"/>
      <c r="J67">
        <v>0</v>
      </c>
    </row>
    <row r="68" spans="1:11" ht="20.100000000000001" hidden="1" customHeight="1">
      <c r="A68" s="3" t="s">
        <v>209</v>
      </c>
      <c r="B68" s="4">
        <v>6001</v>
      </c>
      <c r="C68" s="3" t="s">
        <v>212</v>
      </c>
      <c r="D68" s="4">
        <v>71</v>
      </c>
      <c r="E68" s="3" t="s">
        <v>213</v>
      </c>
      <c r="F68" s="3" t="s">
        <v>91</v>
      </c>
      <c r="G68" s="3" t="s">
        <v>92</v>
      </c>
      <c r="H68" s="3"/>
      <c r="I68" s="5"/>
      <c r="J68">
        <v>0</v>
      </c>
    </row>
    <row r="69" spans="1:11" s="20" customFormat="1" ht="20.100000000000001" hidden="1" customHeight="1">
      <c r="A69" s="3" t="s">
        <v>209</v>
      </c>
      <c r="B69" s="4">
        <v>6001</v>
      </c>
      <c r="C69" s="3" t="s">
        <v>212</v>
      </c>
      <c r="D69" s="4">
        <v>71</v>
      </c>
      <c r="E69" s="3" t="s">
        <v>213</v>
      </c>
      <c r="F69" s="3" t="s">
        <v>93</v>
      </c>
      <c r="G69" s="3" t="s">
        <v>94</v>
      </c>
      <c r="H69" s="3"/>
      <c r="I69" s="5"/>
      <c r="J69">
        <v>0</v>
      </c>
      <c r="K69"/>
    </row>
    <row r="70" spans="1:11" s="20" customFormat="1" ht="20.100000000000001" hidden="1" customHeight="1">
      <c r="A70" s="3" t="s">
        <v>209</v>
      </c>
      <c r="B70" s="4">
        <v>6001</v>
      </c>
      <c r="C70" s="3" t="s">
        <v>212</v>
      </c>
      <c r="D70" s="4">
        <v>71</v>
      </c>
      <c r="E70" s="3" t="s">
        <v>213</v>
      </c>
      <c r="F70" s="3" t="s">
        <v>95</v>
      </c>
      <c r="G70" s="3" t="s">
        <v>96</v>
      </c>
      <c r="H70" s="3"/>
      <c r="I70" s="5"/>
      <c r="J70">
        <v>0</v>
      </c>
      <c r="K70"/>
    </row>
    <row r="71" spans="1:11" ht="20.100000000000001" hidden="1" customHeight="1">
      <c r="A71" s="3" t="s">
        <v>209</v>
      </c>
      <c r="B71" s="4">
        <v>6001</v>
      </c>
      <c r="C71" s="3" t="s">
        <v>212</v>
      </c>
      <c r="D71" s="4">
        <v>71</v>
      </c>
      <c r="E71" s="3" t="s">
        <v>213</v>
      </c>
      <c r="F71" s="3" t="s">
        <v>99</v>
      </c>
      <c r="G71" s="3" t="s">
        <v>100</v>
      </c>
      <c r="H71" s="3"/>
      <c r="I71" s="5"/>
      <c r="J71">
        <v>0</v>
      </c>
    </row>
    <row r="72" spans="1:11" ht="20.100000000000001" hidden="1" customHeight="1">
      <c r="A72" s="3" t="s">
        <v>209</v>
      </c>
      <c r="B72" s="4">
        <v>6001</v>
      </c>
      <c r="C72" s="3" t="s">
        <v>212</v>
      </c>
      <c r="D72" s="4">
        <v>71</v>
      </c>
      <c r="E72" s="3" t="s">
        <v>213</v>
      </c>
      <c r="F72" s="3" t="s">
        <v>101</v>
      </c>
      <c r="G72" s="3" t="s">
        <v>102</v>
      </c>
      <c r="H72" s="3"/>
      <c r="I72" s="5"/>
      <c r="J72">
        <v>0</v>
      </c>
    </row>
    <row r="73" spans="1:11" ht="20.100000000000001" hidden="1" customHeight="1">
      <c r="A73" s="3" t="s">
        <v>209</v>
      </c>
      <c r="B73" s="4">
        <v>6001</v>
      </c>
      <c r="C73" s="3" t="s">
        <v>212</v>
      </c>
      <c r="D73" s="4">
        <v>71</v>
      </c>
      <c r="E73" s="3" t="s">
        <v>213</v>
      </c>
      <c r="F73" s="3" t="s">
        <v>103</v>
      </c>
      <c r="G73" s="3" t="s">
        <v>104</v>
      </c>
      <c r="H73" s="3"/>
      <c r="I73" s="5"/>
      <c r="J73">
        <v>0</v>
      </c>
    </row>
    <row r="74" spans="1:11" ht="20.100000000000001" hidden="1" customHeight="1">
      <c r="A74" s="3" t="s">
        <v>209</v>
      </c>
      <c r="B74" s="4">
        <v>6001</v>
      </c>
      <c r="C74" s="3" t="s">
        <v>212</v>
      </c>
      <c r="D74" s="4">
        <v>71</v>
      </c>
      <c r="E74" s="3" t="s">
        <v>213</v>
      </c>
      <c r="F74" s="3" t="s">
        <v>105</v>
      </c>
      <c r="G74" s="3" t="s">
        <v>106</v>
      </c>
      <c r="H74" s="3"/>
      <c r="I74" s="5"/>
      <c r="J74">
        <v>0</v>
      </c>
    </row>
    <row r="75" spans="1:11" ht="20.100000000000001" hidden="1" customHeight="1">
      <c r="A75" s="3" t="s">
        <v>209</v>
      </c>
      <c r="B75" s="4">
        <v>6001</v>
      </c>
      <c r="C75" s="3" t="s">
        <v>212</v>
      </c>
      <c r="D75" s="4">
        <v>71</v>
      </c>
      <c r="E75" s="3" t="s">
        <v>213</v>
      </c>
      <c r="F75" s="3" t="s">
        <v>107</v>
      </c>
      <c r="G75" s="3" t="s">
        <v>108</v>
      </c>
      <c r="H75" s="3"/>
      <c r="I75" s="5"/>
      <c r="J75">
        <v>0</v>
      </c>
    </row>
    <row r="76" spans="1:11" ht="20.100000000000001" hidden="1" customHeight="1">
      <c r="A76" s="3" t="s">
        <v>209</v>
      </c>
      <c r="B76" s="4">
        <v>6001</v>
      </c>
      <c r="C76" s="3" t="s">
        <v>212</v>
      </c>
      <c r="D76" s="4">
        <v>71</v>
      </c>
      <c r="E76" s="3" t="s">
        <v>213</v>
      </c>
      <c r="F76" s="3" t="s">
        <v>109</v>
      </c>
      <c r="G76" s="3" t="s">
        <v>110</v>
      </c>
      <c r="H76" s="3"/>
      <c r="I76" s="5"/>
      <c r="J76">
        <v>0</v>
      </c>
    </row>
    <row r="77" spans="1:11" ht="20.100000000000001" hidden="1" customHeight="1">
      <c r="A77" s="3" t="s">
        <v>209</v>
      </c>
      <c r="B77" s="4">
        <v>6001</v>
      </c>
      <c r="C77" s="3" t="s">
        <v>212</v>
      </c>
      <c r="D77" s="4">
        <v>71</v>
      </c>
      <c r="E77" s="3" t="s">
        <v>213</v>
      </c>
      <c r="F77" s="3" t="s">
        <v>111</v>
      </c>
      <c r="G77" s="3" t="s">
        <v>112</v>
      </c>
      <c r="H77" s="3"/>
      <c r="I77" s="5"/>
      <c r="J77">
        <v>0</v>
      </c>
    </row>
    <row r="78" spans="1:11" ht="20.100000000000001" hidden="1" customHeight="1">
      <c r="A78" s="3" t="s">
        <v>209</v>
      </c>
      <c r="B78" s="4">
        <v>6001</v>
      </c>
      <c r="C78" s="3" t="s">
        <v>212</v>
      </c>
      <c r="D78" s="4">
        <v>71</v>
      </c>
      <c r="E78" s="3" t="s">
        <v>213</v>
      </c>
      <c r="F78" s="3" t="s">
        <v>117</v>
      </c>
      <c r="G78" s="3" t="s">
        <v>118</v>
      </c>
      <c r="H78" s="3"/>
      <c r="I78" s="5"/>
      <c r="J78">
        <v>0</v>
      </c>
    </row>
    <row r="79" spans="1:11" ht="20.100000000000001" hidden="1" customHeight="1">
      <c r="A79" s="3" t="s">
        <v>209</v>
      </c>
      <c r="B79" s="4">
        <v>6001</v>
      </c>
      <c r="C79" s="3" t="s">
        <v>212</v>
      </c>
      <c r="D79" s="4">
        <v>71</v>
      </c>
      <c r="E79" s="3" t="s">
        <v>213</v>
      </c>
      <c r="F79" s="3" t="s">
        <v>119</v>
      </c>
      <c r="G79" s="3" t="s">
        <v>120</v>
      </c>
      <c r="H79" s="3"/>
      <c r="I79" s="5"/>
      <c r="J79">
        <v>0</v>
      </c>
    </row>
    <row r="80" spans="1:11" ht="20.100000000000001" hidden="1" customHeight="1">
      <c r="A80" s="3" t="s">
        <v>209</v>
      </c>
      <c r="B80" s="4">
        <v>6001</v>
      </c>
      <c r="C80" s="3" t="s">
        <v>212</v>
      </c>
      <c r="D80" s="4">
        <v>71</v>
      </c>
      <c r="E80" s="3" t="s">
        <v>213</v>
      </c>
      <c r="F80" s="3" t="s">
        <v>121</v>
      </c>
      <c r="G80" s="3" t="s">
        <v>122</v>
      </c>
      <c r="H80" s="3"/>
      <c r="I80" s="5"/>
      <c r="J80">
        <v>0</v>
      </c>
    </row>
    <row r="81" spans="1:10" ht="20.100000000000001" hidden="1" customHeight="1">
      <c r="A81" s="3" t="s">
        <v>209</v>
      </c>
      <c r="B81" s="4">
        <v>6001</v>
      </c>
      <c r="C81" s="3" t="s">
        <v>212</v>
      </c>
      <c r="D81" s="4">
        <v>71</v>
      </c>
      <c r="E81" s="3" t="s">
        <v>213</v>
      </c>
      <c r="F81" s="3" t="s">
        <v>236</v>
      </c>
      <c r="G81" s="3" t="s">
        <v>237</v>
      </c>
      <c r="H81" s="3"/>
      <c r="I81" s="5"/>
      <c r="J81">
        <v>0</v>
      </c>
    </row>
    <row r="82" spans="1:10" ht="20.100000000000001" hidden="1" customHeight="1">
      <c r="A82" s="3" t="s">
        <v>209</v>
      </c>
      <c r="B82" s="4">
        <v>6001</v>
      </c>
      <c r="C82" s="3" t="s">
        <v>212</v>
      </c>
      <c r="D82" s="4">
        <v>71</v>
      </c>
      <c r="E82" s="3" t="s">
        <v>213</v>
      </c>
      <c r="F82" s="3" t="s">
        <v>123</v>
      </c>
      <c r="G82" s="3" t="s">
        <v>124</v>
      </c>
      <c r="H82" s="3"/>
      <c r="I82" s="5"/>
      <c r="J82">
        <v>0</v>
      </c>
    </row>
    <row r="83" spans="1:10" ht="20.100000000000001" hidden="1" customHeight="1">
      <c r="A83" s="3" t="s">
        <v>209</v>
      </c>
      <c r="B83" s="4">
        <v>6001</v>
      </c>
      <c r="C83" s="3" t="s">
        <v>212</v>
      </c>
      <c r="D83" s="4">
        <v>71</v>
      </c>
      <c r="E83" s="3" t="s">
        <v>213</v>
      </c>
      <c r="F83" s="3" t="s">
        <v>129</v>
      </c>
      <c r="G83" s="3" t="s">
        <v>130</v>
      </c>
      <c r="H83" s="3"/>
      <c r="I83" s="5"/>
      <c r="J83">
        <v>0</v>
      </c>
    </row>
    <row r="84" spans="1:10" ht="20.100000000000001" hidden="1" customHeight="1">
      <c r="A84" s="3" t="s">
        <v>209</v>
      </c>
      <c r="B84" s="4">
        <v>6001</v>
      </c>
      <c r="C84" s="3" t="s">
        <v>212</v>
      </c>
      <c r="D84" s="4">
        <v>71</v>
      </c>
      <c r="E84" s="3" t="s">
        <v>213</v>
      </c>
      <c r="F84" s="3" t="s">
        <v>143</v>
      </c>
      <c r="G84" s="3" t="s">
        <v>144</v>
      </c>
      <c r="H84" s="3"/>
      <c r="I84" s="5"/>
      <c r="J84">
        <v>0</v>
      </c>
    </row>
    <row r="85" spans="1:10" ht="20.100000000000001" hidden="1" customHeight="1">
      <c r="A85" s="3" t="s">
        <v>209</v>
      </c>
      <c r="B85" s="4">
        <v>6001</v>
      </c>
      <c r="C85" s="3" t="s">
        <v>212</v>
      </c>
      <c r="D85" s="4">
        <v>71</v>
      </c>
      <c r="E85" s="3" t="s">
        <v>213</v>
      </c>
      <c r="F85" s="3" t="s">
        <v>147</v>
      </c>
      <c r="G85" s="3" t="s">
        <v>148</v>
      </c>
      <c r="H85" s="3"/>
      <c r="I85" s="5"/>
      <c r="J85">
        <v>0</v>
      </c>
    </row>
    <row r="86" spans="1:10" ht="20.100000000000001" hidden="1" customHeight="1">
      <c r="A86" s="3" t="s">
        <v>209</v>
      </c>
      <c r="B86" s="4">
        <v>6001</v>
      </c>
      <c r="C86" s="3" t="s">
        <v>212</v>
      </c>
      <c r="D86" s="4">
        <v>71</v>
      </c>
      <c r="E86" s="3" t="s">
        <v>213</v>
      </c>
      <c r="F86" s="3" t="s">
        <v>149</v>
      </c>
      <c r="G86" s="3" t="s">
        <v>150</v>
      </c>
      <c r="H86" s="3"/>
      <c r="I86" s="5"/>
      <c r="J86">
        <v>0</v>
      </c>
    </row>
    <row r="87" spans="1:10" ht="20.100000000000001" hidden="1" customHeight="1">
      <c r="A87" s="3" t="s">
        <v>209</v>
      </c>
      <c r="B87" s="4">
        <v>6001</v>
      </c>
      <c r="C87" s="3" t="s">
        <v>212</v>
      </c>
      <c r="D87" s="4">
        <v>71</v>
      </c>
      <c r="E87" s="3" t="s">
        <v>213</v>
      </c>
      <c r="F87" s="3" t="s">
        <v>151</v>
      </c>
      <c r="G87" s="3" t="s">
        <v>152</v>
      </c>
      <c r="H87" s="3"/>
      <c r="I87" s="5"/>
      <c r="J87">
        <v>0</v>
      </c>
    </row>
    <row r="88" spans="1:10" ht="20.100000000000001" hidden="1" customHeight="1">
      <c r="A88" s="3" t="s">
        <v>209</v>
      </c>
      <c r="B88" s="4">
        <v>6001</v>
      </c>
      <c r="C88" s="3" t="s">
        <v>212</v>
      </c>
      <c r="D88" s="4">
        <v>71</v>
      </c>
      <c r="E88" s="3" t="s">
        <v>213</v>
      </c>
      <c r="F88" s="3" t="s">
        <v>155</v>
      </c>
      <c r="G88" s="3" t="s">
        <v>156</v>
      </c>
      <c r="H88" s="3"/>
      <c r="I88" s="5"/>
      <c r="J88">
        <v>0</v>
      </c>
    </row>
    <row r="89" spans="1:10" ht="20.100000000000001" hidden="1" customHeight="1">
      <c r="A89" s="3" t="s">
        <v>209</v>
      </c>
      <c r="B89" s="4">
        <v>6001</v>
      </c>
      <c r="C89" s="3" t="s">
        <v>212</v>
      </c>
      <c r="D89" s="4">
        <v>71</v>
      </c>
      <c r="E89" s="3" t="s">
        <v>213</v>
      </c>
      <c r="F89" s="3" t="s">
        <v>157</v>
      </c>
      <c r="G89" s="3" t="s">
        <v>158</v>
      </c>
      <c r="H89" s="3"/>
      <c r="I89" s="5"/>
      <c r="J89">
        <v>0</v>
      </c>
    </row>
    <row r="90" spans="1:10" ht="20.100000000000001" hidden="1" customHeight="1">
      <c r="A90" s="3" t="s">
        <v>209</v>
      </c>
      <c r="B90" s="4">
        <v>6001</v>
      </c>
      <c r="C90" s="3" t="s">
        <v>212</v>
      </c>
      <c r="D90" s="4">
        <v>71</v>
      </c>
      <c r="E90" s="3" t="s">
        <v>213</v>
      </c>
      <c r="F90" s="3" t="s">
        <v>165</v>
      </c>
      <c r="G90" s="3" t="s">
        <v>166</v>
      </c>
      <c r="H90" s="3"/>
      <c r="I90" s="5"/>
      <c r="J90">
        <v>0</v>
      </c>
    </row>
    <row r="91" spans="1:10" ht="20.100000000000001" hidden="1" customHeight="1">
      <c r="A91" s="3" t="s">
        <v>209</v>
      </c>
      <c r="B91" s="4">
        <v>6001</v>
      </c>
      <c r="C91" s="3" t="s">
        <v>212</v>
      </c>
      <c r="D91" s="4">
        <v>71</v>
      </c>
      <c r="E91" s="3" t="s">
        <v>213</v>
      </c>
      <c r="F91" s="3" t="s">
        <v>171</v>
      </c>
      <c r="G91" s="3" t="s">
        <v>172</v>
      </c>
      <c r="H91" s="3"/>
      <c r="I91" s="5"/>
      <c r="J91">
        <v>0</v>
      </c>
    </row>
    <row r="92" spans="1:10" ht="20.100000000000001" hidden="1" customHeight="1">
      <c r="A92" s="3" t="s">
        <v>209</v>
      </c>
      <c r="B92" s="4">
        <v>6001</v>
      </c>
      <c r="C92" s="3" t="s">
        <v>212</v>
      </c>
      <c r="D92" s="4">
        <v>71</v>
      </c>
      <c r="E92" s="3" t="s">
        <v>213</v>
      </c>
      <c r="F92" s="3" t="s">
        <v>179</v>
      </c>
      <c r="G92" s="3" t="s">
        <v>180</v>
      </c>
      <c r="H92" s="3"/>
      <c r="I92" s="5"/>
      <c r="J92">
        <v>0</v>
      </c>
    </row>
    <row r="93" spans="1:10" ht="20.100000000000001" hidden="1" customHeight="1">
      <c r="A93" s="3" t="s">
        <v>209</v>
      </c>
      <c r="B93" s="4">
        <v>6001</v>
      </c>
      <c r="C93" s="3" t="s">
        <v>212</v>
      </c>
      <c r="D93" s="4">
        <v>71</v>
      </c>
      <c r="E93" s="3" t="s">
        <v>213</v>
      </c>
      <c r="F93" s="3" t="s">
        <v>187</v>
      </c>
      <c r="G93" s="3" t="s">
        <v>188</v>
      </c>
      <c r="H93" s="3"/>
      <c r="I93" s="5"/>
      <c r="J93">
        <v>0</v>
      </c>
    </row>
    <row r="94" spans="1:10" ht="20.100000000000001" hidden="1" customHeight="1">
      <c r="A94" s="3" t="s">
        <v>209</v>
      </c>
      <c r="B94" s="4">
        <v>6001</v>
      </c>
      <c r="C94" s="3" t="s">
        <v>212</v>
      </c>
      <c r="D94" s="4">
        <v>71</v>
      </c>
      <c r="E94" s="3" t="s">
        <v>213</v>
      </c>
      <c r="F94" s="3" t="s">
        <v>193</v>
      </c>
      <c r="G94" s="3" t="s">
        <v>194</v>
      </c>
      <c r="H94" s="3" t="s">
        <v>194</v>
      </c>
      <c r="I94" s="5"/>
      <c r="J94">
        <v>0</v>
      </c>
    </row>
    <row r="95" spans="1:10" ht="20.100000000000001" hidden="1" customHeight="1">
      <c r="A95" s="3" t="s">
        <v>28</v>
      </c>
      <c r="B95" s="3"/>
      <c r="C95" s="3"/>
      <c r="D95" s="3"/>
      <c r="E95" s="3"/>
      <c r="F95" s="3"/>
      <c r="G95" s="3"/>
      <c r="H95" s="3"/>
      <c r="I95" s="6">
        <f>SUM(I3:I94)</f>
        <v>5685353.6799999997</v>
      </c>
    </row>
    <row r="96" spans="1:10" ht="20.100000000000001" hidden="1" customHeight="1">
      <c r="A96" s="8" t="s">
        <v>204</v>
      </c>
      <c r="B96" s="574" t="s">
        <v>205</v>
      </c>
      <c r="C96" s="574" t="s">
        <v>205</v>
      </c>
      <c r="D96" s="574" t="s">
        <v>205</v>
      </c>
      <c r="E96" s="574" t="s">
        <v>205</v>
      </c>
      <c r="F96" s="574" t="s">
        <v>205</v>
      </c>
      <c r="G96" s="574" t="s">
        <v>205</v>
      </c>
      <c r="H96" s="9"/>
      <c r="I96" s="8"/>
    </row>
    <row r="97" spans="1:9" ht="20.100000000000001" hidden="1" customHeight="1">
      <c r="A97" s="1" t="s">
        <v>206</v>
      </c>
      <c r="B97" s="575" t="s">
        <v>246</v>
      </c>
      <c r="C97" s="575" t="s">
        <v>207</v>
      </c>
      <c r="D97" s="575" t="s">
        <v>207</v>
      </c>
      <c r="E97" s="575" t="s">
        <v>207</v>
      </c>
      <c r="F97" s="575" t="s">
        <v>207</v>
      </c>
      <c r="G97" s="575" t="s">
        <v>207</v>
      </c>
      <c r="H97" s="10"/>
      <c r="I97" s="1"/>
    </row>
  </sheetData>
  <autoFilter ref="A2:O97">
    <filterColumn colId="6">
      <customFilters and="1">
        <customFilter val="*智七*"/>
      </customFilters>
    </filterColumn>
    <filterColumn colId="14">
      <filters blank="1"/>
    </filterColumn>
  </autoFilter>
  <mergeCells count="13">
    <mergeCell ref="M1:M2"/>
    <mergeCell ref="G1:G2"/>
    <mergeCell ref="I1:I2"/>
    <mergeCell ref="J1:J2"/>
    <mergeCell ref="B96:G96"/>
    <mergeCell ref="B97:G97"/>
    <mergeCell ref="L1:L2"/>
    <mergeCell ref="A1:A2"/>
    <mergeCell ref="B1:B2"/>
    <mergeCell ref="C1:C2"/>
    <mergeCell ref="D1:D2"/>
    <mergeCell ref="E1:E2"/>
    <mergeCell ref="F1:F2"/>
  </mergeCells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32"/>
  <sheetViews>
    <sheetView workbookViewId="0">
      <selection activeCell="E35" sqref="E35"/>
    </sheetView>
  </sheetViews>
  <sheetFormatPr defaultRowHeight="12.75"/>
  <cols>
    <col min="1" max="1" width="9.140625" style="27"/>
    <col min="2" max="2" width="44" style="27" customWidth="1"/>
    <col min="3" max="3" width="13.85546875" style="48" customWidth="1"/>
    <col min="4" max="4" width="7" style="27" customWidth="1"/>
    <col min="5" max="5" width="14.5703125" style="27" bestFit="1" customWidth="1"/>
    <col min="6" max="6" width="15.85546875" style="27" bestFit="1" customWidth="1"/>
    <col min="7" max="7" width="11.7109375" style="27" customWidth="1"/>
    <col min="8" max="8" width="26.7109375" style="27" customWidth="1"/>
    <col min="9" max="9" width="18.28515625" style="27" customWidth="1"/>
    <col min="10" max="10" width="18.42578125" style="27" customWidth="1"/>
    <col min="11" max="11" width="9.140625" style="49"/>
    <col min="12" max="16384" width="9.140625" style="27"/>
  </cols>
  <sheetData>
    <row r="1" spans="1:11" ht="24">
      <c r="A1" s="24" t="s">
        <v>248</v>
      </c>
      <c r="B1" s="24" t="s">
        <v>249</v>
      </c>
      <c r="C1" s="25" t="s">
        <v>250</v>
      </c>
      <c r="D1" s="24" t="s">
        <v>251</v>
      </c>
      <c r="E1" s="24" t="s">
        <v>252</v>
      </c>
      <c r="F1" s="24" t="s">
        <v>253</v>
      </c>
      <c r="G1" s="24" t="s">
        <v>254</v>
      </c>
      <c r="H1" s="24" t="s">
        <v>255</v>
      </c>
      <c r="I1" s="24" t="s">
        <v>256</v>
      </c>
      <c r="J1" s="24" t="s">
        <v>257</v>
      </c>
      <c r="K1" s="26" t="s">
        <v>258</v>
      </c>
    </row>
    <row r="2" spans="1:11" ht="13.5">
      <c r="A2" s="28" t="s">
        <v>259</v>
      </c>
      <c r="B2" s="29" t="s">
        <v>82</v>
      </c>
      <c r="C2" s="30">
        <v>71</v>
      </c>
      <c r="D2" s="28"/>
      <c r="E2" s="31">
        <v>2003.4</v>
      </c>
      <c r="F2" s="23">
        <v>1890</v>
      </c>
      <c r="G2" s="28">
        <v>10</v>
      </c>
      <c r="H2" s="585">
        <v>25000</v>
      </c>
      <c r="I2" s="586" t="s">
        <v>260</v>
      </c>
      <c r="J2" s="28"/>
      <c r="K2" s="587">
        <v>0</v>
      </c>
    </row>
    <row r="3" spans="1:11" ht="13.5">
      <c r="A3" s="28" t="s">
        <v>259</v>
      </c>
      <c r="B3" s="29" t="s">
        <v>84</v>
      </c>
      <c r="C3" s="30">
        <v>71</v>
      </c>
      <c r="D3" s="28"/>
      <c r="E3" s="31">
        <v>24486</v>
      </c>
      <c r="F3" s="23">
        <v>23100</v>
      </c>
      <c r="G3" s="28">
        <v>10</v>
      </c>
      <c r="H3" s="585"/>
      <c r="I3" s="586"/>
      <c r="J3" s="28"/>
      <c r="K3" s="587"/>
    </row>
    <row r="4" spans="1:11" ht="13.5">
      <c r="A4" s="28" t="s">
        <v>259</v>
      </c>
      <c r="B4" s="29" t="s">
        <v>50</v>
      </c>
      <c r="C4" s="30">
        <v>71</v>
      </c>
      <c r="D4" s="28"/>
      <c r="E4" s="31">
        <v>303006.71999999997</v>
      </c>
      <c r="F4" s="23">
        <v>285855.39622641506</v>
      </c>
      <c r="G4" s="28">
        <v>10</v>
      </c>
      <c r="H4" s="22">
        <v>271562.62641509401</v>
      </c>
      <c r="I4" s="28" t="s">
        <v>261</v>
      </c>
      <c r="J4" s="32"/>
      <c r="K4" s="33">
        <v>0.05</v>
      </c>
    </row>
    <row r="5" spans="1:11" ht="13.5">
      <c r="A5" s="28" t="s">
        <v>259</v>
      </c>
      <c r="B5" s="29" t="s">
        <v>160</v>
      </c>
      <c r="C5" s="30">
        <v>71</v>
      </c>
      <c r="D5" s="28"/>
      <c r="E5" s="31">
        <v>48601.53</v>
      </c>
      <c r="F5" s="23">
        <v>45850.5</v>
      </c>
      <c r="G5" s="28">
        <v>10</v>
      </c>
      <c r="H5" s="22">
        <v>45000</v>
      </c>
      <c r="I5" s="28" t="s">
        <v>262</v>
      </c>
      <c r="J5" s="28"/>
      <c r="K5" s="33">
        <v>1.8549416036902543E-2</v>
      </c>
    </row>
    <row r="6" spans="1:11" ht="13.5">
      <c r="A6" s="28" t="s">
        <v>259</v>
      </c>
      <c r="B6" s="29" t="s">
        <v>239</v>
      </c>
      <c r="C6" s="30">
        <v>71</v>
      </c>
      <c r="D6" s="28"/>
      <c r="E6" s="31">
        <v>43909.760000000002</v>
      </c>
      <c r="F6" s="23">
        <v>41424.301886792455</v>
      </c>
      <c r="G6" s="28">
        <v>10</v>
      </c>
      <c r="H6" s="22">
        <v>41424.301886792498</v>
      </c>
      <c r="I6" s="28" t="s">
        <v>261</v>
      </c>
      <c r="J6" s="28"/>
      <c r="K6" s="33">
        <v>0</v>
      </c>
    </row>
    <row r="7" spans="1:11" ht="13.5">
      <c r="A7" s="28" t="s">
        <v>259</v>
      </c>
      <c r="B7" s="29" t="s">
        <v>200</v>
      </c>
      <c r="C7" s="30">
        <v>71</v>
      </c>
      <c r="D7" s="28"/>
      <c r="E7" s="31">
        <v>72589.039999999994</v>
      </c>
      <c r="F7" s="23">
        <v>68480.226415094323</v>
      </c>
      <c r="G7" s="28">
        <v>10</v>
      </c>
      <c r="H7" s="22">
        <v>8000</v>
      </c>
      <c r="I7" s="28" t="s">
        <v>261</v>
      </c>
      <c r="J7" s="28"/>
      <c r="K7" s="33">
        <v>0.05</v>
      </c>
    </row>
    <row r="8" spans="1:11" ht="13.5">
      <c r="A8" s="28" t="s">
        <v>259</v>
      </c>
      <c r="B8" s="29" t="s">
        <v>233</v>
      </c>
      <c r="C8" s="30">
        <v>71</v>
      </c>
      <c r="D8" s="28"/>
      <c r="E8" s="31">
        <v>18677.810000000001</v>
      </c>
      <c r="F8" s="23">
        <v>17620.575471698114</v>
      </c>
      <c r="G8" s="28">
        <v>10</v>
      </c>
      <c r="H8" s="22">
        <v>16739.546698113201</v>
      </c>
      <c r="I8" s="28" t="s">
        <v>261</v>
      </c>
      <c r="J8" s="28"/>
      <c r="K8" s="33">
        <v>0.05</v>
      </c>
    </row>
    <row r="9" spans="1:11" s="40" customFormat="1" ht="13.5">
      <c r="A9" s="34" t="s">
        <v>259</v>
      </c>
      <c r="B9" s="35" t="s">
        <v>168</v>
      </c>
      <c r="C9" s="36">
        <v>71</v>
      </c>
      <c r="D9" s="34"/>
      <c r="E9" s="37">
        <v>935.4</v>
      </c>
      <c r="F9" s="38">
        <v>882.45283018867917</v>
      </c>
      <c r="G9" s="34">
        <v>10</v>
      </c>
      <c r="H9" s="22">
        <v>847.15471698113197</v>
      </c>
      <c r="I9" s="34" t="s">
        <v>261</v>
      </c>
      <c r="J9" s="34"/>
      <c r="K9" s="39">
        <v>0.04</v>
      </c>
    </row>
    <row r="10" spans="1:11" ht="13.5">
      <c r="A10" s="28" t="s">
        <v>259</v>
      </c>
      <c r="B10" s="29" t="s">
        <v>23</v>
      </c>
      <c r="C10" s="30">
        <v>71</v>
      </c>
      <c r="D10" s="28"/>
      <c r="E10" s="31">
        <v>11297.32</v>
      </c>
      <c r="F10" s="23">
        <v>10657.849056603773</v>
      </c>
      <c r="G10" s="28">
        <v>10</v>
      </c>
      <c r="H10" s="22">
        <v>10124.9566037736</v>
      </c>
      <c r="I10" s="28" t="s">
        <v>261</v>
      </c>
      <c r="J10" s="28"/>
      <c r="K10" s="33">
        <v>0.05</v>
      </c>
    </row>
    <row r="11" spans="1:11" ht="13.5">
      <c r="A11" s="28" t="s">
        <v>259</v>
      </c>
      <c r="B11" s="29" t="s">
        <v>76</v>
      </c>
      <c r="C11" s="30">
        <v>71</v>
      </c>
      <c r="D11" s="28"/>
      <c r="E11" s="588" t="s">
        <v>263</v>
      </c>
      <c r="F11" s="589">
        <v>90800.735849056597</v>
      </c>
      <c r="G11" s="28">
        <v>10</v>
      </c>
      <c r="H11" s="590">
        <v>88076.713773584896</v>
      </c>
      <c r="I11" s="591" t="s">
        <v>264</v>
      </c>
      <c r="J11" s="28"/>
      <c r="K11" s="587">
        <v>0.03</v>
      </c>
    </row>
    <row r="12" spans="1:11" ht="13.5">
      <c r="A12" s="28" t="s">
        <v>259</v>
      </c>
      <c r="B12" s="29" t="s">
        <v>76</v>
      </c>
      <c r="C12" s="30">
        <v>71</v>
      </c>
      <c r="D12" s="28"/>
      <c r="E12" s="588"/>
      <c r="F12" s="589"/>
      <c r="G12" s="28">
        <v>10</v>
      </c>
      <c r="H12" s="590"/>
      <c r="I12" s="586"/>
      <c r="J12" s="28"/>
      <c r="K12" s="587"/>
    </row>
    <row r="13" spans="1:11" ht="13.5">
      <c r="A13" s="28" t="s">
        <v>259</v>
      </c>
      <c r="B13" s="29" t="s">
        <v>78</v>
      </c>
      <c r="C13" s="30">
        <v>71</v>
      </c>
      <c r="D13" s="28"/>
      <c r="E13" s="588"/>
      <c r="F13" s="589"/>
      <c r="G13" s="28">
        <v>10</v>
      </c>
      <c r="H13" s="590"/>
      <c r="I13" s="586"/>
      <c r="J13" s="28"/>
      <c r="K13" s="587"/>
    </row>
    <row r="14" spans="1:11" ht="13.5">
      <c r="A14" s="28" t="s">
        <v>259</v>
      </c>
      <c r="B14" s="29" t="s">
        <v>78</v>
      </c>
      <c r="C14" s="30">
        <v>71</v>
      </c>
      <c r="D14" s="28"/>
      <c r="E14" s="588"/>
      <c r="F14" s="589"/>
      <c r="G14" s="28">
        <v>10</v>
      </c>
      <c r="H14" s="590"/>
      <c r="I14" s="586"/>
      <c r="J14" s="28"/>
      <c r="K14" s="587"/>
    </row>
    <row r="15" spans="1:11" ht="13.5">
      <c r="A15" s="28" t="s">
        <v>259</v>
      </c>
      <c r="B15" s="29" t="s">
        <v>76</v>
      </c>
      <c r="C15" s="30">
        <v>71</v>
      </c>
      <c r="D15" s="28"/>
      <c r="E15" s="588"/>
      <c r="F15" s="589"/>
      <c r="G15" s="28">
        <v>10</v>
      </c>
      <c r="H15" s="590"/>
      <c r="I15" s="586"/>
      <c r="J15" s="28"/>
      <c r="K15" s="587"/>
    </row>
    <row r="16" spans="1:11" ht="13.5">
      <c r="A16" s="28" t="s">
        <v>259</v>
      </c>
      <c r="B16" s="29" t="s">
        <v>76</v>
      </c>
      <c r="C16" s="30">
        <v>71</v>
      </c>
      <c r="D16" s="28"/>
      <c r="E16" s="588"/>
      <c r="F16" s="589"/>
      <c r="G16" s="28">
        <v>10</v>
      </c>
      <c r="H16" s="590"/>
      <c r="I16" s="586"/>
      <c r="J16" s="28"/>
      <c r="K16" s="587"/>
    </row>
    <row r="17" spans="1:11" ht="13.5">
      <c r="A17" s="28" t="s">
        <v>259</v>
      </c>
      <c r="B17" s="29" t="s">
        <v>78</v>
      </c>
      <c r="C17" s="30">
        <v>71</v>
      </c>
      <c r="D17" s="28"/>
      <c r="E17" s="588"/>
      <c r="F17" s="589"/>
      <c r="G17" s="28">
        <v>10</v>
      </c>
      <c r="H17" s="590"/>
      <c r="I17" s="586"/>
      <c r="J17" s="28"/>
      <c r="K17" s="587"/>
    </row>
    <row r="18" spans="1:11" ht="13.5">
      <c r="A18" s="28" t="s">
        <v>259</v>
      </c>
      <c r="B18" s="29" t="s">
        <v>76</v>
      </c>
      <c r="C18" s="30">
        <v>71</v>
      </c>
      <c r="D18" s="28"/>
      <c r="E18" s="588"/>
      <c r="F18" s="589"/>
      <c r="G18" s="28">
        <v>10</v>
      </c>
      <c r="H18" s="590"/>
      <c r="I18" s="586"/>
      <c r="J18" s="28"/>
      <c r="K18" s="587"/>
    </row>
    <row r="19" spans="1:11" ht="13.5">
      <c r="A19" s="28" t="s">
        <v>259</v>
      </c>
      <c r="B19" s="29" t="s">
        <v>76</v>
      </c>
      <c r="C19" s="30">
        <v>71</v>
      </c>
      <c r="D19" s="28"/>
      <c r="E19" s="588"/>
      <c r="F19" s="589"/>
      <c r="G19" s="28">
        <v>10</v>
      </c>
      <c r="H19" s="590"/>
      <c r="I19" s="586"/>
      <c r="J19" s="28"/>
      <c r="K19" s="587"/>
    </row>
    <row r="20" spans="1:11" ht="13.5">
      <c r="A20" s="28" t="s">
        <v>259</v>
      </c>
      <c r="B20" s="29" t="s">
        <v>78</v>
      </c>
      <c r="C20" s="30">
        <v>71</v>
      </c>
      <c r="D20" s="28"/>
      <c r="E20" s="588"/>
      <c r="F20" s="589"/>
      <c r="G20" s="28">
        <v>10</v>
      </c>
      <c r="H20" s="590"/>
      <c r="I20" s="586"/>
      <c r="J20" s="28"/>
      <c r="K20" s="587"/>
    </row>
    <row r="21" spans="1:11">
      <c r="A21" s="28" t="s">
        <v>266</v>
      </c>
      <c r="B21" s="28" t="s">
        <v>23</v>
      </c>
      <c r="C21" s="30">
        <v>71</v>
      </c>
      <c r="D21" s="28"/>
      <c r="E21" s="41">
        <v>149.49</v>
      </c>
      <c r="F21" s="23">
        <v>141.02830188679246</v>
      </c>
      <c r="G21" s="28">
        <v>10</v>
      </c>
      <c r="H21" s="22">
        <v>120</v>
      </c>
      <c r="I21" s="28" t="s">
        <v>265</v>
      </c>
      <c r="J21" s="28"/>
      <c r="K21" s="33">
        <v>0.14910696367650017</v>
      </c>
    </row>
    <row r="22" spans="1:11">
      <c r="A22" s="28" t="s">
        <v>266</v>
      </c>
      <c r="B22" s="41" t="s">
        <v>27</v>
      </c>
      <c r="C22" s="30">
        <v>71</v>
      </c>
      <c r="D22" s="28"/>
      <c r="E22" s="41">
        <v>2485.84</v>
      </c>
      <c r="F22" s="23">
        <v>2345.132075471698</v>
      </c>
      <c r="G22" s="28">
        <v>10</v>
      </c>
      <c r="H22" s="38">
        <v>2345.132075471698</v>
      </c>
      <c r="I22" s="28" t="s">
        <v>261</v>
      </c>
      <c r="J22" s="28"/>
      <c r="K22" s="33">
        <v>0</v>
      </c>
    </row>
    <row r="23" spans="1:11" s="47" customFormat="1">
      <c r="A23" s="42" t="s">
        <v>266</v>
      </c>
      <c r="B23" s="43" t="s">
        <v>225</v>
      </c>
      <c r="C23" s="44">
        <v>71</v>
      </c>
      <c r="D23" s="42"/>
      <c r="E23" s="43">
        <v>1067.8</v>
      </c>
      <c r="F23" s="45">
        <v>1007.3584905660376</v>
      </c>
      <c r="G23" s="42">
        <v>10</v>
      </c>
      <c r="H23" s="38">
        <v>1007.3584905660376</v>
      </c>
      <c r="I23" s="42" t="s">
        <v>261</v>
      </c>
      <c r="J23" s="42"/>
      <c r="K23" s="46">
        <v>0</v>
      </c>
    </row>
    <row r="24" spans="1:11" s="47" customFormat="1">
      <c r="A24" s="42" t="s">
        <v>266</v>
      </c>
      <c r="B24" s="43" t="s">
        <v>227</v>
      </c>
      <c r="C24" s="44">
        <v>71</v>
      </c>
      <c r="D24" s="42"/>
      <c r="E24" s="43">
        <v>533.9</v>
      </c>
      <c r="F24" s="45">
        <v>503.67924528301882</v>
      </c>
      <c r="G24" s="42">
        <v>10</v>
      </c>
      <c r="H24" s="38">
        <v>503.67924528301882</v>
      </c>
      <c r="I24" s="42" t="s">
        <v>261</v>
      </c>
      <c r="J24" s="42"/>
      <c r="K24" s="46">
        <v>0</v>
      </c>
    </row>
    <row r="25" spans="1:11" s="47" customFormat="1">
      <c r="A25" s="42" t="s">
        <v>266</v>
      </c>
      <c r="B25" s="43" t="s">
        <v>13</v>
      </c>
      <c r="C25" s="44">
        <v>71</v>
      </c>
      <c r="D25" s="42"/>
      <c r="E25" s="43">
        <v>55792.55</v>
      </c>
      <c r="F25" s="45">
        <v>52634.481132075474</v>
      </c>
      <c r="G25" s="42">
        <v>10</v>
      </c>
      <c r="H25" s="38">
        <v>52634.481132075474</v>
      </c>
      <c r="I25" s="42" t="s">
        <v>261</v>
      </c>
      <c r="J25" s="42"/>
      <c r="K25" s="46">
        <v>0</v>
      </c>
    </row>
    <row r="26" spans="1:11" s="47" customFormat="1">
      <c r="A26" s="42" t="s">
        <v>266</v>
      </c>
      <c r="B26" s="43" t="s">
        <v>215</v>
      </c>
      <c r="C26" s="44">
        <v>71</v>
      </c>
      <c r="D26" s="42"/>
      <c r="E26" s="43">
        <v>35504.35</v>
      </c>
      <c r="F26" s="45">
        <v>33494.669811320753</v>
      </c>
      <c r="G26" s="42">
        <v>10</v>
      </c>
      <c r="H26" s="38">
        <v>33494.669811320753</v>
      </c>
      <c r="I26" s="42" t="s">
        <v>261</v>
      </c>
      <c r="J26" s="42"/>
      <c r="K26" s="46">
        <v>0</v>
      </c>
    </row>
    <row r="27" spans="1:11" s="47" customFormat="1">
      <c r="A27" s="42" t="s">
        <v>266</v>
      </c>
      <c r="B27" s="43" t="s">
        <v>217</v>
      </c>
      <c r="C27" s="44">
        <v>71</v>
      </c>
      <c r="D27" s="42"/>
      <c r="E27" s="43">
        <v>2669.5</v>
      </c>
      <c r="F27" s="45">
        <v>2518.3962264150941</v>
      </c>
      <c r="G27" s="42">
        <v>10</v>
      </c>
      <c r="H27" s="38">
        <v>2518.3962264150941</v>
      </c>
      <c r="I27" s="42" t="s">
        <v>261</v>
      </c>
      <c r="J27" s="42"/>
      <c r="K27" s="46">
        <v>0</v>
      </c>
    </row>
    <row r="28" spans="1:11" s="47" customFormat="1">
      <c r="A28" s="42" t="s">
        <v>266</v>
      </c>
      <c r="B28" s="43" t="s">
        <v>15</v>
      </c>
      <c r="C28" s="44">
        <v>71</v>
      </c>
      <c r="D28" s="42"/>
      <c r="E28" s="43">
        <v>69616.289999999994</v>
      </c>
      <c r="F28" s="45">
        <v>65675.745283018856</v>
      </c>
      <c r="G28" s="42">
        <v>10</v>
      </c>
      <c r="H28" s="38">
        <v>65675.745283018856</v>
      </c>
      <c r="I28" s="42" t="s">
        <v>261</v>
      </c>
      <c r="J28" s="42"/>
      <c r="K28" s="46">
        <v>0</v>
      </c>
    </row>
    <row r="29" spans="1:11" s="47" customFormat="1">
      <c r="A29" s="42" t="s">
        <v>266</v>
      </c>
      <c r="B29" s="43" t="s">
        <v>219</v>
      </c>
      <c r="C29" s="44">
        <v>71</v>
      </c>
      <c r="D29" s="42"/>
      <c r="E29" s="43">
        <v>3203.4</v>
      </c>
      <c r="F29" s="45">
        <v>3022.0754716981132</v>
      </c>
      <c r="G29" s="42">
        <v>10</v>
      </c>
      <c r="H29" s="38">
        <v>3022.0754716981132</v>
      </c>
      <c r="I29" s="42" t="s">
        <v>261</v>
      </c>
      <c r="J29" s="42"/>
      <c r="K29" s="46">
        <v>0</v>
      </c>
    </row>
    <row r="30" spans="1:11" s="47" customFormat="1">
      <c r="A30" s="42" t="s">
        <v>266</v>
      </c>
      <c r="B30" s="43" t="s">
        <v>221</v>
      </c>
      <c r="C30" s="44">
        <v>71</v>
      </c>
      <c r="D30" s="42"/>
      <c r="E30" s="43">
        <v>2669.5</v>
      </c>
      <c r="F30" s="45">
        <v>2518.3962264150941</v>
      </c>
      <c r="G30" s="42">
        <v>10</v>
      </c>
      <c r="H30" s="38">
        <v>2518.3962264150941</v>
      </c>
      <c r="I30" s="42" t="s">
        <v>261</v>
      </c>
      <c r="J30" s="42"/>
      <c r="K30" s="46">
        <v>0</v>
      </c>
    </row>
    <row r="31" spans="1:11" s="47" customFormat="1">
      <c r="A31" s="42" t="s">
        <v>266</v>
      </c>
      <c r="B31" s="43" t="s">
        <v>223</v>
      </c>
      <c r="C31" s="44">
        <v>71</v>
      </c>
      <c r="D31" s="42"/>
      <c r="E31" s="43">
        <v>2135.6</v>
      </c>
      <c r="F31" s="45">
        <v>2014.7169811320753</v>
      </c>
      <c r="G31" s="42">
        <v>10</v>
      </c>
      <c r="H31" s="38">
        <v>2014.7169811320753</v>
      </c>
      <c r="I31" s="42" t="s">
        <v>261</v>
      </c>
      <c r="J31" s="42"/>
      <c r="K31" s="46">
        <v>0</v>
      </c>
    </row>
    <row r="32" spans="1:11">
      <c r="A32" s="28" t="s">
        <v>266</v>
      </c>
      <c r="B32" s="41" t="s">
        <v>23</v>
      </c>
      <c r="C32" s="30">
        <v>71</v>
      </c>
      <c r="D32" s="28"/>
      <c r="E32" s="41">
        <v>298.98</v>
      </c>
      <c r="F32" s="23">
        <v>282.05660377358492</v>
      </c>
      <c r="G32" s="28">
        <v>10</v>
      </c>
      <c r="H32" s="38">
        <v>240</v>
      </c>
      <c r="I32" s="28" t="s">
        <v>265</v>
      </c>
      <c r="J32" s="28"/>
      <c r="K32" s="33">
        <v>0.14910696367650017</v>
      </c>
    </row>
  </sheetData>
  <autoFilter ref="A1:K1"/>
  <mergeCells count="8">
    <mergeCell ref="H2:H3"/>
    <mergeCell ref="I2:I3"/>
    <mergeCell ref="K2:K3"/>
    <mergeCell ref="E11:E20"/>
    <mergeCell ref="F11:F20"/>
    <mergeCell ref="H11:H20"/>
    <mergeCell ref="I11:I20"/>
    <mergeCell ref="K11:K20"/>
  </mergeCells>
  <phoneticPr fontId="4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成本</vt:lpstr>
      <vt:lpstr>收入</vt:lpstr>
      <vt:lpstr>201712剩余款</vt:lpstr>
      <vt:lpstr>12月暂估数</vt:lpstr>
      <vt:lpstr>11月暂估数</vt:lpstr>
      <vt:lpstr>10月暂估数</vt:lpstr>
      <vt:lpstr>09月暂估数</vt:lpstr>
      <vt:lpstr>收入成本匹配</vt:lpstr>
      <vt:lpstr>kyle暂估</vt:lpstr>
      <vt:lpstr>收入1</vt:lpstr>
      <vt:lpstr>成本2</vt:lpstr>
      <vt:lpstr>10月收入成本匹配2</vt:lpstr>
      <vt:lpstr>11月KYLE提供</vt:lpstr>
      <vt:lpstr>11月异常</vt:lpstr>
      <vt:lpstr>12月异常</vt:lpstr>
      <vt:lpstr>201801</vt:lpstr>
      <vt:lpstr>201802</vt:lpstr>
      <vt:lpstr>201803</vt:lpstr>
      <vt:lpstr>201804</vt:lpstr>
      <vt:lpstr>201805</vt:lpstr>
      <vt:lpstr>201806</vt:lpstr>
      <vt:lpstr>201807</vt:lpstr>
      <vt:lpstr>201808</vt:lpstr>
      <vt:lpstr>201809</vt:lpstr>
      <vt:lpstr>201810</vt:lpstr>
      <vt:lpstr>201811</vt:lpstr>
      <vt:lpstr>201812</vt:lpstr>
      <vt:lpstr>2018年昆山</vt:lpstr>
      <vt:lpstr>2018年常熟</vt:lpstr>
      <vt:lpstr>2018年上海才烁</vt:lpstr>
      <vt:lpstr>闵行科技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Weixin Mao</dc:creator>
  <cp:lastModifiedBy>Carrie.zhang</cp:lastModifiedBy>
  <dcterms:created xsi:type="dcterms:W3CDTF">2018-07-02T03:14:41Z</dcterms:created>
  <dcterms:modified xsi:type="dcterms:W3CDTF">2020-12-16T06:11:26Z</dcterms:modified>
</cp:coreProperties>
</file>