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Archivos CGG\Solfinef\Estrategia Finanzas Personales\Nueva Versión Trabajo CDR - PGP - CGG\"/>
    </mc:Choice>
  </mc:AlternateContent>
  <workbookProtection workbookAlgorithmName="SHA-512" workbookHashValue="SKjOgMGBSfpMIhBKTR295P/rAeP/fWnP1p6hgoKtAsPengVPCFIa95cVAUYR52U3ldidZ75VNGJNVs/JQDzZLA==" workbookSaltValue="tIoXHg7P7AmsN0me5ZJs/w==" workbookSpinCount="100000" lockStructure="1"/>
  <bookViews>
    <workbookView xWindow="0" yWindow="0" windowWidth="20490" windowHeight="8445" activeTab="4"/>
  </bookViews>
  <sheets>
    <sheet name="GASTOS" sheetId="1" r:id="rId1"/>
    <sheet name="OBLIGACIONES" sheetId="2" r:id="rId2"/>
    <sheet name="INGRESOS Y PATRIMONIO" sheetId="3" r:id="rId3"/>
    <sheet name="HM" sheetId="6" state="hidden" r:id="rId4"/>
    <sheet name="RESULTADOS" sheetId="4" r:id="rId5"/>
    <sheet name="Hoja1" sheetId="5" state="hidden" r:id="rId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9" i="1" l="1"/>
  <c r="C33" i="4" l="1"/>
  <c r="D55" i="1"/>
  <c r="F26" i="3"/>
  <c r="B72" i="6" l="1"/>
  <c r="B74" i="6" s="1"/>
  <c r="B76" i="6" s="1"/>
  <c r="D67" i="6"/>
  <c r="C65" i="6"/>
  <c r="D65" i="6" s="1"/>
  <c r="C66" i="6"/>
  <c r="D66" i="6" s="1"/>
  <c r="C67" i="6"/>
  <c r="E18" i="3"/>
  <c r="C29" i="6"/>
  <c r="E21" i="3"/>
  <c r="C23" i="6" s="1"/>
  <c r="C24" i="6"/>
  <c r="C25" i="6"/>
  <c r="C26" i="6"/>
  <c r="C27" i="6"/>
  <c r="C28" i="6"/>
  <c r="C30" i="6"/>
  <c r="C32" i="6"/>
  <c r="C33" i="6"/>
  <c r="D25" i="6" s="1"/>
  <c r="C34" i="6"/>
  <c r="C35" i="6"/>
  <c r="D26" i="6" s="1"/>
  <c r="C36" i="6"/>
  <c r="C37" i="6"/>
  <c r="D29" i="6" s="1"/>
  <c r="C7" i="6"/>
  <c r="D7" i="6"/>
  <c r="E7" i="6"/>
  <c r="F7" i="6"/>
  <c r="C9" i="6"/>
  <c r="D9" i="6"/>
  <c r="E9" i="6"/>
  <c r="F9" i="6"/>
  <c r="F28" i="6" l="1"/>
  <c r="E25" i="6"/>
  <c r="E26" i="6"/>
  <c r="E29" i="6"/>
  <c r="F29" i="6" s="1"/>
  <c r="G11" i="3"/>
  <c r="D47" i="1"/>
  <c r="H11" i="3"/>
  <c r="D28" i="1"/>
  <c r="C50" i="6" s="1"/>
  <c r="E30" i="3"/>
  <c r="C31" i="6" s="1"/>
  <c r="K34" i="4" s="1"/>
  <c r="E11" i="3"/>
  <c r="D9" i="2"/>
  <c r="C53" i="6"/>
  <c r="E37" i="1"/>
  <c r="D37" i="1"/>
  <c r="C51" i="6" s="1"/>
  <c r="E22" i="1"/>
  <c r="D22" i="1"/>
  <c r="C49" i="6" s="1"/>
  <c r="D10" i="1"/>
  <c r="C48" i="6" s="1"/>
  <c r="C49" i="4" l="1"/>
  <c r="C16" i="4"/>
  <c r="D16" i="4" s="1"/>
  <c r="C42" i="4"/>
  <c r="F26" i="6"/>
  <c r="F27" i="6"/>
  <c r="C7" i="4"/>
  <c r="F25" i="6"/>
  <c r="F12" i="4"/>
  <c r="C64" i="6"/>
  <c r="D64" i="6" s="1"/>
  <c r="D68" i="6" s="1"/>
  <c r="C31" i="4" s="1"/>
  <c r="E12" i="4"/>
  <c r="C12" i="4"/>
  <c r="C52" i="6"/>
  <c r="F11" i="3"/>
  <c r="D12" i="4" s="1"/>
  <c r="E28" i="1"/>
  <c r="C14" i="4"/>
  <c r="E10" i="1"/>
  <c r="C46" i="6" l="1"/>
  <c r="F16" i="4"/>
  <c r="E16" i="4"/>
  <c r="D14" i="4"/>
  <c r="F14" i="4" s="1"/>
  <c r="C18" i="4"/>
  <c r="F30" i="6"/>
  <c r="G27" i="6" s="1"/>
  <c r="C40" i="4"/>
  <c r="C41" i="4"/>
  <c r="C37" i="4"/>
  <c r="C45" i="6"/>
  <c r="C58" i="6" s="1"/>
  <c r="C36" i="4"/>
  <c r="F18" i="4" l="1"/>
  <c r="F21" i="4" s="1"/>
  <c r="F5" i="6" s="1"/>
  <c r="C21" i="4"/>
  <c r="C5" i="6" s="1"/>
  <c r="C48" i="4"/>
  <c r="G29" i="6"/>
  <c r="G28" i="6"/>
  <c r="G26" i="6"/>
  <c r="G25" i="6"/>
  <c r="D50" i="6"/>
  <c r="D49" i="6"/>
  <c r="D51" i="6"/>
  <c r="D48" i="6"/>
  <c r="D52" i="6"/>
  <c r="D53" i="6"/>
  <c r="C44" i="4"/>
  <c r="C47" i="6"/>
  <c r="C44" i="6" s="1"/>
  <c r="D18" i="4"/>
  <c r="E14" i="4"/>
  <c r="C22" i="4"/>
  <c r="C32" i="4"/>
  <c r="F22" i="4" l="1"/>
  <c r="F6" i="6" s="1"/>
  <c r="C24" i="4"/>
  <c r="C8" i="6" s="1"/>
  <c r="D21" i="4"/>
  <c r="D5" i="6" s="1"/>
  <c r="C45" i="4"/>
  <c r="F24" i="4"/>
  <c r="F8" i="6" s="1"/>
  <c r="E18" i="4"/>
  <c r="D22" i="4"/>
  <c r="D6" i="6" s="1"/>
  <c r="C6" i="6"/>
  <c r="D47" i="6"/>
  <c r="D46" i="6"/>
  <c r="D45" i="6"/>
  <c r="E21" i="4" l="1"/>
  <c r="E5" i="6" s="1"/>
  <c r="D24" i="4"/>
  <c r="C46" i="4" s="1"/>
  <c r="E22" i="4"/>
  <c r="E6" i="6" s="1"/>
  <c r="F26" i="4"/>
  <c r="F10" i="6" s="1"/>
  <c r="F13" i="6" s="1"/>
  <c r="C26" i="4"/>
  <c r="C10" i="6" s="1"/>
  <c r="C13" i="6" s="1"/>
  <c r="D8" i="6" l="1"/>
  <c r="F14" i="6"/>
  <c r="F15" i="6"/>
  <c r="C14" i="6"/>
  <c r="C15" i="6"/>
  <c r="E24" i="4"/>
  <c r="E8" i="6" s="1"/>
  <c r="D26" i="4"/>
  <c r="D10" i="6" s="1"/>
  <c r="D13" i="6" s="1"/>
  <c r="D14" i="6" l="1"/>
  <c r="D15" i="6"/>
  <c r="E26" i="4"/>
  <c r="F16" i="6"/>
  <c r="C16" i="6"/>
  <c r="E10" i="6" l="1"/>
  <c r="E13" i="6" s="1"/>
  <c r="C47" i="4"/>
  <c r="D16" i="6"/>
  <c r="E14" i="6" l="1"/>
  <c r="E15" i="6"/>
  <c r="E16" i="6" l="1"/>
</calcChain>
</file>

<file path=xl/sharedStrings.xml><?xml version="1.0" encoding="utf-8"?>
<sst xmlns="http://schemas.openxmlformats.org/spreadsheetml/2006/main" count="138" uniqueCount="96">
  <si>
    <t>SERVICIOS BASICOS ( AGUA , ENERGIA , GAS)</t>
  </si>
  <si>
    <t>INTERNET TELEFONIA FIJA</t>
  </si>
  <si>
    <t>SERVICIOS TV POR SUSCRPCIÓN</t>
  </si>
  <si>
    <t>GASTOS FAMILIARES</t>
  </si>
  <si>
    <t>(VIVIENDA ) ARRIENDO O CUOTA</t>
  </si>
  <si>
    <t xml:space="preserve">MERCADO </t>
  </si>
  <si>
    <t>PERSONAL DE ASEO Y LIMPIEZA</t>
  </si>
  <si>
    <t>DEPENDIENTES ECONOMICOS</t>
  </si>
  <si>
    <t>COLEGIO</t>
  </si>
  <si>
    <t>EXTRACURRICULARES</t>
  </si>
  <si>
    <t>MEDICINAS Y TRATAMIENTOS</t>
  </si>
  <si>
    <t>ALIMENTACION</t>
  </si>
  <si>
    <t>OTROS</t>
  </si>
  <si>
    <t>OTROS GASTOS</t>
  </si>
  <si>
    <t>MEDICINAS PREPAGADAS POLIZAS DE SALUD</t>
  </si>
  <si>
    <t>TRANSPORTE</t>
  </si>
  <si>
    <t>SERVICIO PUBLICO</t>
  </si>
  <si>
    <t>UBER , TAXI , PLATAFORMAS</t>
  </si>
  <si>
    <t>COMBUSTIBLE, PEAJES , PARQUEADEROS</t>
  </si>
  <si>
    <t>SEGURO TODO RIESGO AUTOMOVILES</t>
  </si>
  <si>
    <t>SOAT</t>
  </si>
  <si>
    <t>PREDIAL</t>
  </si>
  <si>
    <t>NORMALES</t>
  </si>
  <si>
    <t>EN CONTINGENCIA</t>
  </si>
  <si>
    <t>SEGUROS PAGOS ANUALES</t>
  </si>
  <si>
    <t>IMPUESTOS PAGOS ANUALES</t>
  </si>
  <si>
    <t>ALIMENTACION FUERA DE LA CASA (INDISPENSABLE)</t>
  </si>
  <si>
    <t>ENTRETENIMIENTO</t>
  </si>
  <si>
    <t>RESTAURANTES</t>
  </si>
  <si>
    <t>VIAJES ( ESTIMADO ANUAL)</t>
  </si>
  <si>
    <t>VESTIDO Y ACCESORIOS</t>
  </si>
  <si>
    <t>COMPRAS PARA EL HOGAR DECORACION</t>
  </si>
  <si>
    <t>SALIDAS FAMILIARES</t>
  </si>
  <si>
    <t>OTROS GASTOS DE ENTRETENIMIENTO</t>
  </si>
  <si>
    <t>OBLIGACIONES</t>
  </si>
  <si>
    <t>CUOTA CREDITOS LIBRE INVERSION</t>
  </si>
  <si>
    <t>TARJETAS DE CREDITO</t>
  </si>
  <si>
    <t>OTRAS CUOTAS</t>
  </si>
  <si>
    <t>INGRESOS</t>
  </si>
  <si>
    <t>CONTINGENCIA</t>
  </si>
  <si>
    <t>LABORALES</t>
  </si>
  <si>
    <t>RENTAS DE CAPITAL ( ARRENDAMIENTOS)</t>
  </si>
  <si>
    <t>PENSION</t>
  </si>
  <si>
    <t>DIVIDENDOS</t>
  </si>
  <si>
    <t>ACTIVOS</t>
  </si>
  <si>
    <t>AHORROS EN EFECTIVO</t>
  </si>
  <si>
    <t>INVERSIONES ( ACCIONES , FICS , OTROS)</t>
  </si>
  <si>
    <t>PASIVOS</t>
  </si>
  <si>
    <t>DEUDA CASA</t>
  </si>
  <si>
    <t>DEUDA CARRO</t>
  </si>
  <si>
    <t>OTRAS DEUDAS</t>
  </si>
  <si>
    <t>SALDO TARJETAS DE CREDITO</t>
  </si>
  <si>
    <t>ADMINISTRACION</t>
  </si>
  <si>
    <t>SALDO CREDITOS LIBRE INVERSION</t>
  </si>
  <si>
    <t>GASTOS</t>
  </si>
  <si>
    <t>CUOTAS</t>
  </si>
  <si>
    <t>RESULTADO EJERCICIO</t>
  </si>
  <si>
    <t>MESES CON EL SOPORTE DE AHORRO EN EFECTIVO</t>
  </si>
  <si>
    <t>MESES CON EL SOPORTE DE INVERSIONES</t>
  </si>
  <si>
    <t>ESCENARIO BAJO</t>
  </si>
  <si>
    <t>ESCENARIO PESIMISTA</t>
  </si>
  <si>
    <t>TOTAL TIEMPO SOPORTE</t>
  </si>
  <si>
    <t>AÑOS TIEMPO SOPORTE</t>
  </si>
  <si>
    <t>AHORRO</t>
  </si>
  <si>
    <t>RECOMENDACIONES</t>
  </si>
  <si>
    <t>ANALISIS FINANZAS PERSONALES</t>
  </si>
  <si>
    <t>RENTA O RETENCION EN LA FUENTE ANUAL</t>
  </si>
  <si>
    <t>CASA ( INMUEBLES)</t>
  </si>
  <si>
    <t>VEHICULO (S)</t>
  </si>
  <si>
    <t>BUENA GESTION INGRESOS Y GASTOS</t>
  </si>
  <si>
    <t>RESERVA DE LIQUIDEZ</t>
  </si>
  <si>
    <t>RESERVA DE INVERSIONES</t>
  </si>
  <si>
    <t>TOTAL</t>
  </si>
  <si>
    <t>MI PATRIMONIO</t>
  </si>
  <si>
    <t>OTROS ACTIVOS</t>
  </si>
  <si>
    <t>PATRIMONIO</t>
  </si>
  <si>
    <t>MESES RESERVA LIQUIDEZ</t>
  </si>
  <si>
    <t>MESES RESERVA DE INVERSIONES</t>
  </si>
  <si>
    <t>TOTAL TIEMPO  DE SOPORTE</t>
  </si>
  <si>
    <t>AÑOS TIEMPO  DE SOPORTE</t>
  </si>
  <si>
    <t>INGRESO</t>
  </si>
  <si>
    <t>GASTO</t>
  </si>
  <si>
    <t>OBLIGACIONES FINANCIERAS</t>
  </si>
  <si>
    <t>IMPUESTOS</t>
  </si>
  <si>
    <t xml:space="preserve">SEGUROS </t>
  </si>
  <si>
    <t>DISTRIBUCIÓN DE TU INGRESO</t>
  </si>
  <si>
    <t>* ESTE SIMULADOR SOLO ES UNA HERRAMIENTA DIDACTICA, PARA ESTIMAR UN ANALISIS  DE LAS FINANZAS PERSONALES, EN NINGUN CASO COMPROMETE A LA COMPAÑIA , O GENERA ALGUNA OBLIGACIÓN.</t>
  </si>
  <si>
    <t>EMPLEADOS</t>
  </si>
  <si>
    <t>TELEFONIA MOVIL</t>
  </si>
  <si>
    <t>CESANTIAS</t>
  </si>
  <si>
    <r>
      <t xml:space="preserve">SEGURIDAD SOCIAL ( INDEPENDIENTES ) </t>
    </r>
    <r>
      <rPr>
        <b/>
        <sz val="10"/>
        <color rgb="FFFF0000"/>
        <rFont val="Calibri"/>
        <family val="2"/>
        <scheme val="minor"/>
      </rPr>
      <t>PAGO MENSUAL</t>
    </r>
  </si>
  <si>
    <t>COMISIONES  O PRESTACION DE SERCIOS</t>
  </si>
  <si>
    <t>SEGURO DE HOGAR</t>
  </si>
  <si>
    <t>VEHICULO</t>
  </si>
  <si>
    <t>CUOTA VEHICULO</t>
  </si>
  <si>
    <t>PRODUCTOS Y SERVICIO DE BELLEZA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</si>
</sst>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&quot;$&quot;* #,##0_-;\-&quot;$&quot;* #,##0_-;_-&quot;$&quot;* &quot;-&quot;_-;_-@_-"/>
    <numFmt numFmtId="164" formatCode="#,##0_ ;[Red]\-#,##0\ "/>
    <numFmt numFmtId="165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6"/>
      <color theme="4" tint="-0.249977111117893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80">
    <xf numFmtId="0" fontId="0" fillId="0" borderId="0" xfId="0"/>
    <xf numFmtId="42" fontId="8" fillId="3" borderId="1" xfId="1" applyFont="1" applyFill="1" applyBorder="1"/>
    <xf numFmtId="0" fontId="7" fillId="2" borderId="0" xfId="0" applyFont="1" applyFill="1" applyBorder="1"/>
    <xf numFmtId="0" fontId="10" fillId="2" borderId="0" xfId="0" applyFont="1" applyFill="1"/>
    <xf numFmtId="0" fontId="10" fillId="2" borderId="0" xfId="0" applyFont="1" applyFill="1" applyBorder="1"/>
    <xf numFmtId="42" fontId="11" fillId="2" borderId="0" xfId="1" applyFont="1" applyFill="1" applyBorder="1"/>
    <xf numFmtId="0" fontId="10" fillId="2" borderId="0" xfId="0" applyFont="1" applyFill="1" applyBorder="1" applyAlignment="1">
      <alignment horizontal="center"/>
    </xf>
    <xf numFmtId="0" fontId="8" fillId="2" borderId="0" xfId="0" applyFont="1" applyFill="1" applyBorder="1"/>
    <xf numFmtId="0" fontId="8" fillId="2" borderId="1" xfId="0" applyFont="1" applyFill="1" applyBorder="1"/>
    <xf numFmtId="0" fontId="8" fillId="2" borderId="0" xfId="0" applyFont="1" applyFill="1" applyBorder="1" applyAlignment="1">
      <alignment wrapText="1"/>
    </xf>
    <xf numFmtId="42" fontId="0" fillId="0" borderId="0" xfId="0" applyNumberFormat="1"/>
    <xf numFmtId="9" fontId="0" fillId="0" borderId="0" xfId="2" applyFont="1"/>
    <xf numFmtId="0" fontId="2" fillId="2" borderId="0" xfId="0" applyFont="1" applyFill="1" applyProtection="1">
      <protection hidden="1"/>
    </xf>
    <xf numFmtId="0" fontId="7" fillId="2" borderId="0" xfId="0" applyFont="1" applyFill="1" applyProtection="1">
      <protection hidden="1"/>
    </xf>
    <xf numFmtId="0" fontId="10" fillId="2" borderId="0" xfId="0" applyFont="1" applyFill="1" applyAlignment="1" applyProtection="1">
      <alignment horizontal="center"/>
      <protection hidden="1"/>
    </xf>
    <xf numFmtId="0" fontId="10" fillId="2" borderId="0" xfId="0" applyFont="1" applyFill="1" applyProtection="1">
      <protection hidden="1"/>
    </xf>
    <xf numFmtId="42" fontId="10" fillId="2" borderId="0" xfId="1" applyFont="1" applyFill="1" applyBorder="1" applyAlignment="1" applyProtection="1">
      <alignment horizontal="center"/>
      <protection hidden="1"/>
    </xf>
    <xf numFmtId="42" fontId="10" fillId="2" borderId="0" xfId="1" applyFont="1" applyFill="1" applyBorder="1" applyProtection="1">
      <protection hidden="1"/>
    </xf>
    <xf numFmtId="42" fontId="7" fillId="2" borderId="0" xfId="1" applyFont="1" applyFill="1" applyBorder="1" applyProtection="1">
      <protection hidden="1"/>
    </xf>
    <xf numFmtId="0" fontId="7" fillId="2" borderId="0" xfId="0" applyFont="1" applyFill="1" applyAlignment="1" applyProtection="1">
      <alignment wrapText="1"/>
      <protection hidden="1"/>
    </xf>
    <xf numFmtId="42" fontId="7" fillId="2" borderId="0" xfId="1" applyFont="1" applyFill="1" applyProtection="1">
      <protection hidden="1"/>
    </xf>
    <xf numFmtId="42" fontId="10" fillId="2" borderId="0" xfId="1" applyFont="1" applyFill="1" applyProtection="1">
      <protection hidden="1"/>
    </xf>
    <xf numFmtId="0" fontId="7" fillId="2" borderId="0" xfId="0" applyFont="1" applyFill="1" applyBorder="1" applyProtection="1">
      <protection hidden="1"/>
    </xf>
    <xf numFmtId="42" fontId="8" fillId="3" borderId="1" xfId="1" applyFont="1" applyFill="1" applyBorder="1" applyProtection="1">
      <protection locked="0"/>
    </xf>
    <xf numFmtId="0" fontId="10" fillId="2" borderId="0" xfId="0" applyFont="1" applyFill="1" applyBorder="1" applyProtection="1">
      <protection hidden="1"/>
    </xf>
    <xf numFmtId="42" fontId="11" fillId="2" borderId="0" xfId="1" applyFont="1" applyFill="1" applyBorder="1" applyProtection="1">
      <protection hidden="1"/>
    </xf>
    <xf numFmtId="0" fontId="8" fillId="2" borderId="0" xfId="0" applyFont="1" applyFill="1" applyProtection="1">
      <protection hidden="1"/>
    </xf>
    <xf numFmtId="42" fontId="8" fillId="2" borderId="0" xfId="1" applyFont="1" applyFill="1" applyProtection="1">
      <protection hidden="1"/>
    </xf>
    <xf numFmtId="0" fontId="12" fillId="2" borderId="0" xfId="3" quotePrefix="1" applyFill="1" applyProtection="1"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42" fontId="8" fillId="2" borderId="0" xfId="1" applyFont="1" applyFill="1" applyBorder="1" applyProtection="1">
      <protection hidden="1"/>
    </xf>
    <xf numFmtId="0" fontId="8" fillId="2" borderId="0" xfId="0" applyFont="1" applyFill="1" applyBorder="1" applyProtection="1">
      <protection hidden="1"/>
    </xf>
    <xf numFmtId="42" fontId="13" fillId="2" borderId="0" xfId="1" applyFont="1" applyFill="1" applyProtection="1">
      <protection hidden="1"/>
    </xf>
    <xf numFmtId="42" fontId="8" fillId="2" borderId="1" xfId="0" applyNumberFormat="1" applyFont="1" applyFill="1" applyBorder="1" applyProtection="1">
      <protection hidden="1"/>
    </xf>
    <xf numFmtId="42" fontId="8" fillId="4" borderId="1" xfId="0" applyNumberFormat="1" applyFont="1" applyFill="1" applyBorder="1" applyProtection="1">
      <protection hidden="1"/>
    </xf>
    <xf numFmtId="164" fontId="7" fillId="2" borderId="1" xfId="0" applyNumberFormat="1" applyFont="1" applyFill="1" applyBorder="1" applyProtection="1">
      <protection hidden="1"/>
    </xf>
    <xf numFmtId="164" fontId="7" fillId="4" borderId="1" xfId="0" applyNumberFormat="1" applyFont="1" applyFill="1" applyBorder="1" applyProtection="1">
      <protection hidden="1"/>
    </xf>
    <xf numFmtId="0" fontId="8" fillId="2" borderId="0" xfId="0" applyFont="1" applyFill="1" applyBorder="1" applyAlignment="1" applyProtection="1">
      <alignment wrapText="1"/>
      <protection hidden="1"/>
    </xf>
    <xf numFmtId="1" fontId="8" fillId="2" borderId="13" xfId="0" applyNumberFormat="1" applyFont="1" applyFill="1" applyBorder="1" applyAlignment="1" applyProtection="1">
      <alignment horizontal="center"/>
      <protection hidden="1"/>
    </xf>
    <xf numFmtId="1" fontId="8" fillId="4" borderId="13" xfId="0" applyNumberFormat="1" applyFont="1" applyFill="1" applyBorder="1" applyAlignment="1" applyProtection="1">
      <alignment horizontal="center"/>
      <protection hidden="1"/>
    </xf>
    <xf numFmtId="1" fontId="8" fillId="2" borderId="1" xfId="0" applyNumberFormat="1" applyFont="1" applyFill="1" applyBorder="1" applyAlignment="1" applyProtection="1">
      <alignment horizontal="center"/>
      <protection hidden="1"/>
    </xf>
    <xf numFmtId="1" fontId="8" fillId="4" borderId="1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Protection="1">
      <protection hidden="1"/>
    </xf>
    <xf numFmtId="1" fontId="7" fillId="2" borderId="1" xfId="0" applyNumberFormat="1" applyFont="1" applyFill="1" applyBorder="1" applyAlignment="1" applyProtection="1">
      <alignment horizontal="center"/>
      <protection hidden="1"/>
    </xf>
    <xf numFmtId="1" fontId="7" fillId="4" borderId="1" xfId="0" applyNumberFormat="1" applyFont="1" applyFill="1" applyBorder="1" applyAlignment="1" applyProtection="1">
      <alignment horizontal="center"/>
      <protection hidden="1"/>
    </xf>
    <xf numFmtId="165" fontId="7" fillId="2" borderId="1" xfId="0" applyNumberFormat="1" applyFont="1" applyFill="1" applyBorder="1" applyAlignment="1" applyProtection="1">
      <alignment horizontal="center"/>
      <protection hidden="1"/>
    </xf>
    <xf numFmtId="165" fontId="7" fillId="4" borderId="1" xfId="0" applyNumberFormat="1" applyFont="1" applyFill="1" applyBorder="1" applyAlignment="1" applyProtection="1">
      <alignment horizontal="center"/>
      <protection hidden="1"/>
    </xf>
    <xf numFmtId="0" fontId="0" fillId="2" borderId="3" xfId="0" applyFill="1" applyBorder="1" applyProtection="1">
      <protection hidden="1"/>
    </xf>
    <xf numFmtId="0" fontId="0" fillId="2" borderId="4" xfId="0" applyFill="1" applyBorder="1" applyProtection="1">
      <protection hidden="1"/>
    </xf>
    <xf numFmtId="0" fontId="0" fillId="2" borderId="6" xfId="0" applyFill="1" applyBorder="1" applyProtection="1">
      <protection hidden="1"/>
    </xf>
    <xf numFmtId="0" fontId="6" fillId="2" borderId="0" xfId="0" applyFont="1" applyFill="1" applyProtection="1">
      <protection hidden="1"/>
    </xf>
    <xf numFmtId="0" fontId="14" fillId="2" borderId="0" xfId="0" applyFont="1" applyFill="1" applyProtection="1">
      <protection hidden="1"/>
    </xf>
    <xf numFmtId="0" fontId="0" fillId="2" borderId="8" xfId="0" applyFill="1" applyBorder="1" applyProtection="1">
      <protection hidden="1"/>
    </xf>
    <xf numFmtId="0" fontId="0" fillId="2" borderId="9" xfId="0" applyFill="1" applyBorder="1" applyProtection="1">
      <protection hidden="1"/>
    </xf>
    <xf numFmtId="0" fontId="18" fillId="2" borderId="0" xfId="0" applyFont="1" applyFill="1" applyProtection="1">
      <protection hidden="1"/>
    </xf>
    <xf numFmtId="0" fontId="5" fillId="2" borderId="0" xfId="0" applyFont="1" applyFill="1" applyBorder="1" applyProtection="1">
      <protection hidden="1"/>
    </xf>
    <xf numFmtId="0" fontId="20" fillId="0" borderId="0" xfId="0" applyFont="1"/>
    <xf numFmtId="14" fontId="20" fillId="2" borderId="0" xfId="0" applyNumberFormat="1" applyFont="1" applyFill="1"/>
    <xf numFmtId="0" fontId="20" fillId="2" borderId="0" xfId="0" applyNumberFormat="1" applyFont="1" applyFill="1"/>
    <xf numFmtId="0" fontId="20" fillId="2" borderId="0" xfId="0" applyFont="1" applyFill="1"/>
    <xf numFmtId="0" fontId="9" fillId="2" borderId="0" xfId="0" applyFont="1" applyFill="1" applyAlignment="1" applyProtection="1">
      <alignment horizontal="center"/>
      <protection hidden="1"/>
    </xf>
    <xf numFmtId="0" fontId="17" fillId="2" borderId="0" xfId="0" applyFont="1" applyFill="1" applyAlignment="1" applyProtection="1">
      <alignment horizontal="left" wrapText="1"/>
      <protection hidden="1"/>
    </xf>
    <xf numFmtId="42" fontId="6" fillId="2" borderId="0" xfId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15" fillId="2" borderId="0" xfId="0" applyFont="1" applyFill="1" applyAlignment="1" applyProtection="1">
      <alignment horizontal="center"/>
      <protection hidden="1"/>
    </xf>
    <xf numFmtId="0" fontId="16" fillId="2" borderId="0" xfId="0" applyFont="1" applyFill="1" applyAlignment="1" applyProtection="1">
      <alignment horizontal="center"/>
      <protection hidden="1"/>
    </xf>
    <xf numFmtId="0" fontId="4" fillId="2" borderId="10" xfId="0" applyFont="1" applyFill="1" applyBorder="1" applyAlignment="1" applyProtection="1">
      <alignment horizontal="center"/>
      <protection hidden="1"/>
    </xf>
    <xf numFmtId="0" fontId="4" fillId="2" borderId="11" xfId="0" applyFont="1" applyFill="1" applyBorder="1" applyAlignment="1" applyProtection="1">
      <alignment horizontal="center"/>
      <protection hidden="1"/>
    </xf>
    <xf numFmtId="0" fontId="4" fillId="2" borderId="12" xfId="0" applyFont="1" applyFill="1" applyBorder="1" applyAlignment="1" applyProtection="1">
      <alignment horizontal="center"/>
      <protection hidden="1"/>
    </xf>
    <xf numFmtId="0" fontId="3" fillId="2" borderId="2" xfId="0" applyFont="1" applyFill="1" applyBorder="1" applyAlignment="1" applyProtection="1">
      <alignment horizontal="center" vertical="center" wrapText="1"/>
      <protection hidden="1"/>
    </xf>
    <xf numFmtId="0" fontId="3" fillId="2" borderId="5" xfId="0" applyFont="1" applyFill="1" applyBorder="1" applyAlignment="1" applyProtection="1">
      <alignment horizontal="center" vertical="center" wrapText="1"/>
      <protection hidden="1"/>
    </xf>
    <xf numFmtId="0" fontId="3" fillId="2" borderId="7" xfId="0" applyFont="1" applyFill="1" applyBorder="1" applyAlignment="1" applyProtection="1">
      <alignment horizontal="center" vertical="center" wrapText="1"/>
      <protection hidden="1"/>
    </xf>
    <xf numFmtId="0" fontId="3" fillId="2" borderId="14" xfId="0" applyFont="1" applyFill="1" applyBorder="1" applyAlignment="1" applyProtection="1">
      <alignment horizontal="center" vertical="center" wrapText="1"/>
      <protection hidden="1"/>
    </xf>
    <xf numFmtId="0" fontId="5" fillId="2" borderId="15" xfId="0" applyFont="1" applyFill="1" applyBorder="1" applyAlignment="1" applyProtection="1">
      <alignment horizontal="left" wrapText="1"/>
      <protection hidden="1"/>
    </xf>
    <xf numFmtId="0" fontId="5" fillId="2" borderId="0" xfId="0" applyFont="1" applyFill="1" applyBorder="1" applyAlignment="1" applyProtection="1">
      <alignment horizontal="left" wrapText="1"/>
      <protection hidden="1"/>
    </xf>
    <xf numFmtId="0" fontId="5" fillId="2" borderId="6" xfId="0" applyFont="1" applyFill="1" applyBorder="1" applyAlignment="1" applyProtection="1">
      <alignment horizontal="left" wrapText="1"/>
      <protection hidden="1"/>
    </xf>
  </cellXfs>
  <cellStyles count="4">
    <cellStyle name="Hipervínculo" xfId="3" builtinId="8"/>
    <cellStyle name="Moneda [0]" xfId="1" builtinId="7"/>
    <cellStyle name="Normal" xfId="0" builtinId="0"/>
    <cellStyle name="Porcentaje" xfId="2" builtinId="5"/>
  </cellStyles>
  <dxfs count="1"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FF0066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TIEMPO</a:t>
            </a:r>
            <a:r>
              <a:rPr lang="es-CO" b="1" baseline="0"/>
              <a:t> EN MESES CON SOPORTE FINANCIERO</a:t>
            </a:r>
            <a:endParaRPr lang="es-CO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50954915969537E-2"/>
          <c:y val="0.19139294935758303"/>
          <c:w val="0.90089600359901023"/>
          <c:h val="0.449670937841000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HM!$B$13</c:f>
              <c:strCache>
                <c:ptCount val="1"/>
                <c:pt idx="0">
                  <c:v>BUENA GESTION INGRESOS Y GASTOS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HM!$C$12:$F$12</c:f>
              <c:strCache>
                <c:ptCount val="4"/>
                <c:pt idx="0">
                  <c:v>NORMALES</c:v>
                </c:pt>
                <c:pt idx="1">
                  <c:v>CONTINGENCIA</c:v>
                </c:pt>
                <c:pt idx="2">
                  <c:v>ESCENARIO BAJO</c:v>
                </c:pt>
                <c:pt idx="3">
                  <c:v>ESCENARIO PESIMISTA</c:v>
                </c:pt>
              </c:strCache>
            </c:strRef>
          </c:cat>
          <c:val>
            <c:numRef>
              <c:f>HM!$C$13:$F$13</c:f>
              <c:numCache>
                <c:formatCode>General</c:formatCode>
                <c:ptCount val="4"/>
                <c:pt idx="0">
                  <c:v>60</c:v>
                </c:pt>
                <c:pt idx="1">
                  <c:v>60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71E-48A0-8ACF-CE901C0298DF}"/>
            </c:ext>
          </c:extLst>
        </c:ser>
        <c:ser>
          <c:idx val="1"/>
          <c:order val="1"/>
          <c:tx>
            <c:strRef>
              <c:f>HM!$B$14</c:f>
              <c:strCache>
                <c:ptCount val="1"/>
                <c:pt idx="0">
                  <c:v>RESERVA DE LIQUIDEZ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HM!$C$12:$F$12</c:f>
              <c:strCache>
                <c:ptCount val="4"/>
                <c:pt idx="0">
                  <c:v>NORMALES</c:v>
                </c:pt>
                <c:pt idx="1">
                  <c:v>CONTINGENCIA</c:v>
                </c:pt>
                <c:pt idx="2">
                  <c:v>ESCENARIO BAJO</c:v>
                </c:pt>
                <c:pt idx="3">
                  <c:v>ESCENARIO PESIMISTA</c:v>
                </c:pt>
              </c:strCache>
            </c:strRef>
          </c:cat>
          <c:val>
            <c:numRef>
              <c:f>HM!$C$14:$F$14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71E-48A0-8ACF-CE901C0298DF}"/>
            </c:ext>
          </c:extLst>
        </c:ser>
        <c:ser>
          <c:idx val="2"/>
          <c:order val="2"/>
          <c:tx>
            <c:strRef>
              <c:f>HM!$B$15</c:f>
              <c:strCache>
                <c:ptCount val="1"/>
                <c:pt idx="0">
                  <c:v>RESERVA DE INVERSIONES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662B-4D43-AE97-3124D954AEC8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HM!$C$12:$F$12</c:f>
              <c:strCache>
                <c:ptCount val="4"/>
                <c:pt idx="0">
                  <c:v>NORMALES</c:v>
                </c:pt>
                <c:pt idx="1">
                  <c:v>CONTINGENCIA</c:v>
                </c:pt>
                <c:pt idx="2">
                  <c:v>ESCENARIO BAJO</c:v>
                </c:pt>
                <c:pt idx="3">
                  <c:v>ESCENARIO PESIMISTA</c:v>
                </c:pt>
              </c:strCache>
            </c:strRef>
          </c:cat>
          <c:val>
            <c:numRef>
              <c:f>HM!$C$15:$F$15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71E-48A0-8ACF-CE901C029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5549000"/>
        <c:axId val="435551352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HM!$B$16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HM!$C$12:$F$12</c15:sqref>
                        </c15:formulaRef>
                      </c:ext>
                    </c:extLst>
                    <c:strCache>
                      <c:ptCount val="4"/>
                      <c:pt idx="0">
                        <c:v>NORMALES</c:v>
                      </c:pt>
                      <c:pt idx="1">
                        <c:v>CONTINGENCIA</c:v>
                      </c:pt>
                      <c:pt idx="2">
                        <c:v>ESCENARIO BAJO</c:v>
                      </c:pt>
                      <c:pt idx="3">
                        <c:v>ESCENARIO PESIMISTA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HM!$C$16:$F$16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60</c:v>
                      </c:pt>
                      <c:pt idx="1">
                        <c:v>60</c:v>
                      </c:pt>
                      <c:pt idx="2">
                        <c:v>6</c:v>
                      </c:pt>
                      <c:pt idx="3">
                        <c:v>3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671E-48A0-8ACF-CE901C0298DF}"/>
                  </c:ext>
                </c:extLst>
              </c15:ser>
            </c15:filteredBarSeries>
          </c:ext>
        </c:extLst>
      </c:barChart>
      <c:catAx>
        <c:axId val="435549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5551352"/>
        <c:crosses val="autoZero"/>
        <c:auto val="1"/>
        <c:lblAlgn val="ctr"/>
        <c:lblOffset val="100"/>
        <c:noMultiLvlLbl val="0"/>
      </c:catAx>
      <c:valAx>
        <c:axId val="4355513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554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108374988158322E-2"/>
          <c:y val="0.83338854425695708"/>
          <c:w val="0.92789170478118521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0879940343027592E-2"/>
          <c:y val="9.1455786208542111E-2"/>
          <c:w val="0.577876188295255"/>
          <c:h val="0.88496732026143787"/>
        </c:manualLayout>
      </c:layout>
      <c:doughnutChart>
        <c:varyColors val="1"/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25B-4B41-8060-F189707A10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25B-4B41-8060-F189707A100B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25B-4B41-8060-F189707A100B}"/>
              </c:ext>
            </c:extLst>
          </c:dPt>
          <c:dPt>
            <c:idx val="3"/>
            <c:bubble3D val="0"/>
            <c:spPr>
              <a:solidFill>
                <a:srgbClr val="7030A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25B-4B41-8060-F189707A100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25B-4B41-8060-F189707A10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HM!$B$25:$B$29</c:f>
              <c:strCache>
                <c:ptCount val="5"/>
                <c:pt idx="0">
                  <c:v>CASA ( INMUEBLES)</c:v>
                </c:pt>
                <c:pt idx="1">
                  <c:v>VEHICULO (S)</c:v>
                </c:pt>
                <c:pt idx="2">
                  <c:v>AHORROS EN EFECTIVO</c:v>
                </c:pt>
                <c:pt idx="3">
                  <c:v>INVERSIONES ( ACCIONES , FICS , OTROS)</c:v>
                </c:pt>
                <c:pt idx="4">
                  <c:v>OTROS ACTIVOS</c:v>
                </c:pt>
              </c:strCache>
            </c:strRef>
          </c:cat>
          <c:val>
            <c:numRef>
              <c:f>HM!$G$25:$G$29</c:f>
              <c:numCache>
                <c:formatCode>0%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125B-4B41-8060-F189707A100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  <c:extLst xmlns:c16r2="http://schemas.microsoft.com/office/drawing/2015/06/chart"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6r2="http://schemas.microsoft.com/office/drawing/2015/06/chart">
                    <c:ext xmlns:c16="http://schemas.microsoft.com/office/drawing/2014/chart" uri="{C3380CC4-5D6E-409C-BE32-E72D297353CC}">
                      <c16:uniqueId val="{0000000C-125B-4B41-8060-F189707A100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6r2="http://schemas.microsoft.com/office/drawing/2015/06/chart">
                    <c:ext xmlns:c16="http://schemas.microsoft.com/office/drawing/2014/chart" uri="{C3380CC4-5D6E-409C-BE32-E72D297353CC}">
                      <c16:uniqueId val="{0000000E-125B-4B41-8060-F189707A100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6r2="http://schemas.microsoft.com/office/drawing/2015/06/chart">
                    <c:ext xmlns:c16="http://schemas.microsoft.com/office/drawing/2014/chart" uri="{C3380CC4-5D6E-409C-BE32-E72D297353CC}">
                      <c16:uniqueId val="{00000010-125B-4B41-8060-F189707A100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6r2="http://schemas.microsoft.com/office/drawing/2015/06/chart">
                    <c:ext xmlns:c16="http://schemas.microsoft.com/office/drawing/2014/chart" uri="{C3380CC4-5D6E-409C-BE32-E72D297353CC}">
                      <c16:uniqueId val="{00000012-125B-4B41-8060-F189707A100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6r2="http://schemas.microsoft.com/office/drawing/2015/06/chart">
                    <c:ext xmlns:c16="http://schemas.microsoft.com/office/drawing/2014/chart" uri="{C3380CC4-5D6E-409C-BE32-E72D297353CC}">
                      <c16:uniqueId val="{00000014-125B-4B41-8060-F189707A100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6r2="http://schemas.microsoft.com/office/drawing/2015/06/chart">
                    <c:ext uri="{CE6537A1-D6FC-4f65-9D91-7224C49458BB}"/>
                  </c:extLst>
                </c:dLbls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HM!$B$25:$B$29</c15:sqref>
                        </c15:formulaRef>
                      </c:ext>
                    </c:extLst>
                    <c:strCache>
                      <c:ptCount val="5"/>
                      <c:pt idx="0">
                        <c:v>CASA ( INMUEBLES)</c:v>
                      </c:pt>
                      <c:pt idx="1">
                        <c:v>VEHICULO (S)</c:v>
                      </c:pt>
                      <c:pt idx="2">
                        <c:v>AHORROS EN EFECTIVO</c:v>
                      </c:pt>
                      <c:pt idx="3">
                        <c:v>INVERSIONES ( ACCIONES , FICS , OTROS)</c:v>
                      </c:pt>
                      <c:pt idx="4">
                        <c:v>OTROS ACTIVOS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HM!$C$25:$C$29</c15:sqref>
                        </c15:formulaRef>
                      </c:ext>
                    </c:extLst>
                    <c:numCache>
                      <c:formatCode>_("$"* #,##0_);_("$"* \(#,##0\);_("$"* "-"_);_(@_)</c:formatCode>
                      <c:ptCount val="5"/>
                      <c:pt idx="0">
                        <c:v>0</c:v>
                      </c:pt>
                      <c:pt idx="1">
                        <c:v>45000000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15-125B-4B41-8060-F189707A100B}"/>
                  </c:ext>
                </c:extLst>
              </c15:ser>
            </c15:filteredPieSeries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6r2="http://schemas.microsoft.com/office/drawing/2015/06/chart" xmlns:c15="http://schemas.microsoft.com/office/drawing/2012/chart">
                    <c:ext xmlns:c16="http://schemas.microsoft.com/office/drawing/2014/chart" uri="{C3380CC4-5D6E-409C-BE32-E72D297353CC}">
                      <c16:uniqueId val="{00000017-125B-4B41-8060-F189707A100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6r2="http://schemas.microsoft.com/office/drawing/2015/06/chart" xmlns:c15="http://schemas.microsoft.com/office/drawing/2012/chart">
                    <c:ext xmlns:c16="http://schemas.microsoft.com/office/drawing/2014/chart" uri="{C3380CC4-5D6E-409C-BE32-E72D297353CC}">
                      <c16:uniqueId val="{00000019-125B-4B41-8060-F189707A100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6r2="http://schemas.microsoft.com/office/drawing/2015/06/chart" xmlns:c15="http://schemas.microsoft.com/office/drawing/2012/chart">
                    <c:ext xmlns:c16="http://schemas.microsoft.com/office/drawing/2014/chart" uri="{C3380CC4-5D6E-409C-BE32-E72D297353CC}">
                      <c16:uniqueId val="{0000001B-125B-4B41-8060-F189707A100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6r2="http://schemas.microsoft.com/office/drawing/2015/06/chart" xmlns:c15="http://schemas.microsoft.com/office/drawing/2012/chart">
                    <c:ext xmlns:c16="http://schemas.microsoft.com/office/drawing/2014/chart" uri="{C3380CC4-5D6E-409C-BE32-E72D297353CC}">
                      <c16:uniqueId val="{0000001D-125B-4B41-8060-F189707A100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6r2="http://schemas.microsoft.com/office/drawing/2015/06/chart" xmlns:c15="http://schemas.microsoft.com/office/drawing/2012/chart">
                    <c:ext xmlns:c16="http://schemas.microsoft.com/office/drawing/2014/chart" uri="{C3380CC4-5D6E-409C-BE32-E72D297353CC}">
                      <c16:uniqueId val="{0000001F-125B-4B41-8060-F189707A100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6r2="http://schemas.microsoft.com/office/drawing/2015/06/chart"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HM!$B$25:$B$29</c15:sqref>
                        </c15:formulaRef>
                      </c:ext>
                    </c:extLst>
                    <c:strCache>
                      <c:ptCount val="5"/>
                      <c:pt idx="0">
                        <c:v>CASA ( INMUEBLES)</c:v>
                      </c:pt>
                      <c:pt idx="1">
                        <c:v>VEHICULO (S)</c:v>
                      </c:pt>
                      <c:pt idx="2">
                        <c:v>AHORROS EN EFECTIVO</c:v>
                      </c:pt>
                      <c:pt idx="3">
                        <c:v>INVERSIONES ( ACCIONES , FICS , OTROS)</c:v>
                      </c:pt>
                      <c:pt idx="4">
                        <c:v>OTROS ACTIVOS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HM!$D$25:$D$29</c15:sqref>
                        </c15:formulaRef>
                      </c:ext>
                    </c:extLst>
                    <c:numCache>
                      <c:formatCode>_("$"* #,##0_);_("$"* \(#,##0\);_("$"* "-"_);_(@_)</c:formatCode>
                      <c:ptCount val="5"/>
                      <c:pt idx="0">
                        <c:v>0</c:v>
                      </c:pt>
                      <c:pt idx="1">
                        <c:v>10000000</c:v>
                      </c:pt>
                      <c:pt idx="4">
                        <c:v>0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20-125B-4B41-8060-F189707A100B}"/>
                  </c:ext>
                </c:extLst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6r2="http://schemas.microsoft.com/office/drawing/2015/06/chart" xmlns:c15="http://schemas.microsoft.com/office/drawing/2012/chart">
                    <c:ext xmlns:c16="http://schemas.microsoft.com/office/drawing/2014/chart" uri="{C3380CC4-5D6E-409C-BE32-E72D297353CC}">
                      <c16:uniqueId val="{00000022-125B-4B41-8060-F189707A100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6r2="http://schemas.microsoft.com/office/drawing/2015/06/chart" xmlns:c15="http://schemas.microsoft.com/office/drawing/2012/chart">
                    <c:ext xmlns:c16="http://schemas.microsoft.com/office/drawing/2014/chart" uri="{C3380CC4-5D6E-409C-BE32-E72D297353CC}">
                      <c16:uniqueId val="{00000024-125B-4B41-8060-F189707A100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6r2="http://schemas.microsoft.com/office/drawing/2015/06/chart" xmlns:c15="http://schemas.microsoft.com/office/drawing/2012/chart">
                    <c:ext xmlns:c16="http://schemas.microsoft.com/office/drawing/2014/chart" uri="{C3380CC4-5D6E-409C-BE32-E72D297353CC}">
                      <c16:uniqueId val="{00000026-125B-4B41-8060-F189707A100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6r2="http://schemas.microsoft.com/office/drawing/2015/06/chart" xmlns:c15="http://schemas.microsoft.com/office/drawing/2012/chart">
                    <c:ext xmlns:c16="http://schemas.microsoft.com/office/drawing/2014/chart" uri="{C3380CC4-5D6E-409C-BE32-E72D297353CC}">
                      <c16:uniqueId val="{00000028-125B-4B41-8060-F189707A100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6r2="http://schemas.microsoft.com/office/drawing/2015/06/chart" xmlns:c15="http://schemas.microsoft.com/office/drawing/2012/chart">
                    <c:ext xmlns:c16="http://schemas.microsoft.com/office/drawing/2014/chart" uri="{C3380CC4-5D6E-409C-BE32-E72D297353CC}">
                      <c16:uniqueId val="{0000002A-125B-4B41-8060-F189707A100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6r2="http://schemas.microsoft.com/office/drawing/2015/06/chart"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HM!$B$25:$B$29</c15:sqref>
                        </c15:formulaRef>
                      </c:ext>
                    </c:extLst>
                    <c:strCache>
                      <c:ptCount val="5"/>
                      <c:pt idx="0">
                        <c:v>CASA ( INMUEBLES)</c:v>
                      </c:pt>
                      <c:pt idx="1">
                        <c:v>VEHICULO (S)</c:v>
                      </c:pt>
                      <c:pt idx="2">
                        <c:v>AHORROS EN EFECTIVO</c:v>
                      </c:pt>
                      <c:pt idx="3">
                        <c:v>INVERSIONES ( ACCIONES , FICS , OTROS)</c:v>
                      </c:pt>
                      <c:pt idx="4">
                        <c:v>OTROS ACTIVOS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HM!$E$25:$E$29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5000000</c:v>
                      </c:pt>
                      <c:pt idx="1">
                        <c:v>5000000</c:v>
                      </c:pt>
                      <c:pt idx="4">
                        <c:v>5000000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2B-125B-4B41-8060-F189707A100B}"/>
                  </c:ext>
                </c:extLst>
              </c15:ser>
            </c15:filteredPieSeries>
            <c15:filteredPieSeries>
              <c15:ser>
                <c:idx val="3"/>
                <c:order val="3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6r2="http://schemas.microsoft.com/office/drawing/2015/06/chart" xmlns:c15="http://schemas.microsoft.com/office/drawing/2012/chart">
                    <c:ext xmlns:c16="http://schemas.microsoft.com/office/drawing/2014/chart" uri="{C3380CC4-5D6E-409C-BE32-E72D297353CC}">
                      <c16:uniqueId val="{0000002D-125B-4B41-8060-F189707A100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6r2="http://schemas.microsoft.com/office/drawing/2015/06/chart" xmlns:c15="http://schemas.microsoft.com/office/drawing/2012/chart">
                    <c:ext xmlns:c16="http://schemas.microsoft.com/office/drawing/2014/chart" uri="{C3380CC4-5D6E-409C-BE32-E72D297353CC}">
                      <c16:uniqueId val="{0000002F-125B-4B41-8060-F189707A100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6r2="http://schemas.microsoft.com/office/drawing/2015/06/chart" xmlns:c15="http://schemas.microsoft.com/office/drawing/2012/chart">
                    <c:ext xmlns:c16="http://schemas.microsoft.com/office/drawing/2014/chart" uri="{C3380CC4-5D6E-409C-BE32-E72D297353CC}">
                      <c16:uniqueId val="{00000031-125B-4B41-8060-F189707A100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6r2="http://schemas.microsoft.com/office/drawing/2015/06/chart" xmlns:c15="http://schemas.microsoft.com/office/drawing/2012/chart">
                    <c:ext xmlns:c16="http://schemas.microsoft.com/office/drawing/2014/chart" uri="{C3380CC4-5D6E-409C-BE32-E72D297353CC}">
                      <c16:uniqueId val="{00000033-125B-4B41-8060-F189707A100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 xmlns:c16r2="http://schemas.microsoft.com/office/drawing/2015/06/chart" xmlns:c15="http://schemas.microsoft.com/office/drawing/2012/chart">
                    <c:ext xmlns:c16="http://schemas.microsoft.com/office/drawing/2014/chart" uri="{C3380CC4-5D6E-409C-BE32-E72D297353CC}">
                      <c16:uniqueId val="{00000035-125B-4B41-8060-F189707A100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6r2="http://schemas.microsoft.com/office/drawing/2015/06/chart"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HM!$B$25:$B$29</c15:sqref>
                        </c15:formulaRef>
                      </c:ext>
                    </c:extLst>
                    <c:strCache>
                      <c:ptCount val="5"/>
                      <c:pt idx="0">
                        <c:v>CASA ( INMUEBLES)</c:v>
                      </c:pt>
                      <c:pt idx="1">
                        <c:v>VEHICULO (S)</c:v>
                      </c:pt>
                      <c:pt idx="2">
                        <c:v>AHORROS EN EFECTIVO</c:v>
                      </c:pt>
                      <c:pt idx="3">
                        <c:v>INVERSIONES ( ACCIONES , FICS , OTROS)</c:v>
                      </c:pt>
                      <c:pt idx="4">
                        <c:v>OTROS ACTIVOS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HM!$F$25:$F$29</c15:sqref>
                        </c15:formulaRef>
                      </c:ext>
                    </c:extLst>
                    <c:numCache>
                      <c:formatCode>_("$"* #,##0_);_("$"* \(#,##0\);_("$"* "-"_);_(@_)</c:formatCode>
                      <c:ptCount val="5"/>
                      <c:pt idx="0">
                        <c:v>0</c:v>
                      </c:pt>
                      <c:pt idx="1">
                        <c:v>30000000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36-125B-4B41-8060-F189707A100B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0549971522016111"/>
          <c:y val="8.2318616894723681E-2"/>
          <c:w val="0.39450028477983878"/>
          <c:h val="0.895217818339322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9968583414105976E-2"/>
          <c:y val="7.683683348026199E-2"/>
          <c:w val="0.94907407407407396"/>
          <c:h val="0.84632621924546003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946-4584-8432-CA2E9CD51E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946-4584-8432-CA2E9CD51E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946-4584-8432-CA2E9CD51E5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HM!$B$45:$B$47</c:f>
              <c:strCache>
                <c:ptCount val="3"/>
                <c:pt idx="0">
                  <c:v>GASTOS</c:v>
                </c:pt>
                <c:pt idx="1">
                  <c:v>OBLIGACIONES FINANCIERAS</c:v>
                </c:pt>
                <c:pt idx="2">
                  <c:v>AHORRO</c:v>
                </c:pt>
              </c:strCache>
            </c:strRef>
          </c:cat>
          <c:val>
            <c:numRef>
              <c:f>HM!$C$45:$C$47</c:f>
              <c:numCache>
                <c:formatCode>_("$"* #,##0_);_("$"* \(#,##0\);_("$"* "-"_);_(@_)</c:formatCode>
                <c:ptCount val="3"/>
                <c:pt idx="0">
                  <c:v>7163333.333333333</c:v>
                </c:pt>
                <c:pt idx="1">
                  <c:v>1780000</c:v>
                </c:pt>
                <c:pt idx="2" formatCode="General">
                  <c:v>3056666.666666667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946-4584-8432-CA2E9CD51E55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5946-4584-8432-CA2E9CD51E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5946-4584-8432-CA2E9CD51E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5946-4584-8432-CA2E9CD51E5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HM!$B$45:$B$47</c:f>
              <c:strCache>
                <c:ptCount val="3"/>
                <c:pt idx="0">
                  <c:v>GASTOS</c:v>
                </c:pt>
                <c:pt idx="1">
                  <c:v>OBLIGACIONES FINANCIERAS</c:v>
                </c:pt>
                <c:pt idx="2">
                  <c:v>AHORRO</c:v>
                </c:pt>
              </c:strCache>
            </c:strRef>
          </c:cat>
          <c:val>
            <c:numRef>
              <c:f>HM!$D$45:$D$47</c:f>
              <c:numCache>
                <c:formatCode>0%</c:formatCode>
                <c:ptCount val="3"/>
                <c:pt idx="0">
                  <c:v>0.59694444444444439</c:v>
                </c:pt>
                <c:pt idx="1">
                  <c:v>0.14833333333333334</c:v>
                </c:pt>
                <c:pt idx="2">
                  <c:v>0.25472222222222224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5946-4584-8432-CA2E9CD51E5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OBLIGACIONES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'INGRESOS Y PATRIMONIO'!A1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RESULTADOS!A1"/><Relationship Id="rId2" Type="http://schemas.openxmlformats.org/officeDocument/2006/relationships/hyperlink" Target="#Hoja4!A1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hyperlink" Target="#GASTOS!A1"/><Relationship Id="rId5" Type="http://schemas.openxmlformats.org/officeDocument/2006/relationships/hyperlink" Target="#Hoja4!A1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1142999</xdr:colOff>
      <xdr:row>60</xdr:row>
      <xdr:rowOff>16565</xdr:rowOff>
    </xdr:from>
    <xdr:to>
      <xdr:col>6</xdr:col>
      <xdr:colOff>447260</xdr:colOff>
      <xdr:row>62</xdr:row>
      <xdr:rowOff>8283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xmlns="" id="{369B11FE-D97E-4259-B97B-D3D2E43D4C8B}"/>
            </a:ext>
          </a:extLst>
        </xdr:cNvPr>
        <xdr:cNvGrpSpPr/>
      </xdr:nvGrpSpPr>
      <xdr:grpSpPr>
        <a:xfrm>
          <a:off x="6882847" y="17484587"/>
          <a:ext cx="1416326" cy="513522"/>
          <a:chOff x="7396369" y="15828065"/>
          <a:chExt cx="1416326" cy="513522"/>
        </a:xfrm>
      </xdr:grpSpPr>
      <xdr:sp macro="" textlink="">
        <xdr:nvSpPr>
          <xdr:cNvPr id="2" name="Flecha: a la derecha con muesca 1">
            <a:extLst>
              <a:ext uri="{FF2B5EF4-FFF2-40B4-BE49-F238E27FC236}">
                <a16:creationId xmlns:a16="http://schemas.microsoft.com/office/drawing/2014/main" xmlns="" id="{FDE21A74-045D-41BB-A73F-BDCF209479FD}"/>
              </a:ext>
            </a:extLst>
          </xdr:cNvPr>
          <xdr:cNvSpPr/>
        </xdr:nvSpPr>
        <xdr:spPr>
          <a:xfrm>
            <a:off x="7396369" y="15828065"/>
            <a:ext cx="1416326" cy="513522"/>
          </a:xfrm>
          <a:prstGeom prst="notchedRightArrow">
            <a:avLst/>
          </a:prstGeom>
          <a:solidFill>
            <a:srgbClr val="00206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" name="CuadroTexto 2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xmlns="" id="{C902D661-09E0-4B74-8F81-165343CDCDAA}"/>
              </a:ext>
            </a:extLst>
          </xdr:cNvPr>
          <xdr:cNvSpPr txBox="1"/>
        </xdr:nvSpPr>
        <xdr:spPr>
          <a:xfrm>
            <a:off x="7570304" y="15944022"/>
            <a:ext cx="1068457" cy="31473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200" b="1">
                <a:solidFill>
                  <a:schemeClr val="bg1"/>
                </a:solidFill>
              </a:rPr>
              <a:t>SIGUIENTE</a:t>
            </a:r>
          </a:p>
        </xdr:txBody>
      </xdr:sp>
    </xdr:grpSp>
    <xdr:clientData/>
  </xdr:twoCellAnchor>
  <xdr:twoCellAnchor editAs="oneCell">
    <xdr:from>
      <xdr:col>4</xdr:col>
      <xdr:colOff>828261</xdr:colOff>
      <xdr:row>2</xdr:row>
      <xdr:rowOff>74545</xdr:rowOff>
    </xdr:from>
    <xdr:to>
      <xdr:col>5</xdr:col>
      <xdr:colOff>646044</xdr:colOff>
      <xdr:row>6</xdr:row>
      <xdr:rowOff>11909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C5EE815D-0B08-4B56-BF05-9742A6EB4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0" y="455545"/>
          <a:ext cx="1167848" cy="807038"/>
        </a:xfrm>
        <a:prstGeom prst="rect">
          <a:avLst/>
        </a:prstGeom>
      </xdr:spPr>
    </xdr:pic>
    <xdr:clientData/>
  </xdr:twoCellAnchor>
  <xdr:twoCellAnchor editAs="oneCell">
    <xdr:from>
      <xdr:col>0</xdr:col>
      <xdr:colOff>546653</xdr:colOff>
      <xdr:row>2</xdr:row>
      <xdr:rowOff>91110</xdr:rowOff>
    </xdr:from>
    <xdr:to>
      <xdr:col>2</xdr:col>
      <xdr:colOff>521805</xdr:colOff>
      <xdr:row>6</xdr:row>
      <xdr:rowOff>28474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xmlns="" id="{E2841A32-2A95-4AC4-87AF-33F60A77E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6653" y="472110"/>
          <a:ext cx="1167848" cy="8070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500271</xdr:colOff>
      <xdr:row>0</xdr:row>
      <xdr:rowOff>140806</xdr:rowOff>
    </xdr:from>
    <xdr:to>
      <xdr:col>6</xdr:col>
      <xdr:colOff>146603</xdr:colOff>
      <xdr:row>4</xdr:row>
      <xdr:rowOff>144845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3A8FB74D-D43D-423A-96EF-86B66B597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41336" y="140806"/>
          <a:ext cx="1170332" cy="873713"/>
        </a:xfrm>
        <a:prstGeom prst="rect">
          <a:avLst/>
        </a:prstGeom>
      </xdr:spPr>
    </xdr:pic>
    <xdr:clientData/>
  </xdr:twoCellAnchor>
  <xdr:twoCellAnchor editAs="oneCell">
    <xdr:from>
      <xdr:col>0</xdr:col>
      <xdr:colOff>668408</xdr:colOff>
      <xdr:row>0</xdr:row>
      <xdr:rowOff>110158</xdr:rowOff>
    </xdr:from>
    <xdr:to>
      <xdr:col>2</xdr:col>
      <xdr:colOff>312256</xdr:colOff>
      <xdr:row>4</xdr:row>
      <xdr:rowOff>114197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7E9BCC1F-BD5E-48F7-8084-E0693A859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408" y="110158"/>
          <a:ext cx="1167848" cy="873713"/>
        </a:xfrm>
        <a:prstGeom prst="rect">
          <a:avLst/>
        </a:prstGeom>
      </xdr:spPr>
    </xdr:pic>
    <xdr:clientData/>
  </xdr:twoCellAnchor>
  <xdr:twoCellAnchor>
    <xdr:from>
      <xdr:col>4</xdr:col>
      <xdr:colOff>182217</xdr:colOff>
      <xdr:row>14</xdr:row>
      <xdr:rowOff>173935</xdr:rowOff>
    </xdr:from>
    <xdr:to>
      <xdr:col>6</xdr:col>
      <xdr:colOff>74544</xdr:colOff>
      <xdr:row>17</xdr:row>
      <xdr:rowOff>91110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xmlns="" id="{9911A109-D882-44CA-9872-D09369B56D6E}"/>
            </a:ext>
          </a:extLst>
        </xdr:cNvPr>
        <xdr:cNvGrpSpPr/>
      </xdr:nvGrpSpPr>
      <xdr:grpSpPr>
        <a:xfrm>
          <a:off x="5723282" y="3420718"/>
          <a:ext cx="1416327" cy="513522"/>
          <a:chOff x="7396369" y="15828065"/>
          <a:chExt cx="1416326" cy="513522"/>
        </a:xfrm>
      </xdr:grpSpPr>
      <xdr:sp macro="" textlink="">
        <xdr:nvSpPr>
          <xdr:cNvPr id="6" name="Flecha: a la derecha con muesca 5">
            <a:extLst>
              <a:ext uri="{FF2B5EF4-FFF2-40B4-BE49-F238E27FC236}">
                <a16:creationId xmlns:a16="http://schemas.microsoft.com/office/drawing/2014/main" xmlns="" id="{31E5D1D4-5541-42A8-8873-1319883E2C55}"/>
              </a:ext>
            </a:extLst>
          </xdr:cNvPr>
          <xdr:cNvSpPr/>
        </xdr:nvSpPr>
        <xdr:spPr>
          <a:xfrm>
            <a:off x="7396369" y="15828065"/>
            <a:ext cx="1416326" cy="513522"/>
          </a:xfrm>
          <a:prstGeom prst="notchedRightArrow">
            <a:avLst/>
          </a:prstGeom>
          <a:solidFill>
            <a:srgbClr val="00206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7" name="CuadroTexto 6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xmlns="" id="{C078D100-0DCB-49CF-B5E1-C078BEC7EFF1}"/>
              </a:ext>
            </a:extLst>
          </xdr:cNvPr>
          <xdr:cNvSpPr txBox="1"/>
        </xdr:nvSpPr>
        <xdr:spPr>
          <a:xfrm>
            <a:off x="7570304" y="15944022"/>
            <a:ext cx="1068457" cy="31473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200" b="1">
                <a:solidFill>
                  <a:schemeClr val="bg1"/>
                </a:solidFill>
              </a:rPr>
              <a:t>SIGUIENTE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41413</xdr:colOff>
      <xdr:row>0</xdr:row>
      <xdr:rowOff>87384</xdr:rowOff>
    </xdr:from>
    <xdr:to>
      <xdr:col>7</xdr:col>
      <xdr:colOff>1314864</xdr:colOff>
      <xdr:row>5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BE6F9463-1D9F-4088-BE6C-D38A57B39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27065" y="87384"/>
          <a:ext cx="1273451" cy="978488"/>
        </a:xfrm>
        <a:prstGeom prst="rect">
          <a:avLst/>
        </a:prstGeom>
      </xdr:spPr>
    </xdr:pic>
    <xdr:clientData/>
  </xdr:twoCellAnchor>
  <xdr:twoCellAnchor editAs="oneCell">
    <xdr:from>
      <xdr:col>2</xdr:col>
      <xdr:colOff>742949</xdr:colOff>
      <xdr:row>0</xdr:row>
      <xdr:rowOff>110987</xdr:rowOff>
    </xdr:from>
    <xdr:to>
      <xdr:col>3</xdr:col>
      <xdr:colOff>1258956</xdr:colOff>
      <xdr:row>7</xdr:row>
      <xdr:rowOff>29301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AA05CFA8-FF89-4EA1-A357-D1CA02B5B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7079" y="110987"/>
          <a:ext cx="1278007" cy="978488"/>
        </a:xfrm>
        <a:prstGeom prst="rect">
          <a:avLst/>
        </a:prstGeom>
      </xdr:spPr>
    </xdr:pic>
    <xdr:clientData/>
  </xdr:twoCellAnchor>
  <xdr:twoCellAnchor>
    <xdr:from>
      <xdr:col>5</xdr:col>
      <xdr:colOff>306456</xdr:colOff>
      <xdr:row>36</xdr:row>
      <xdr:rowOff>140804</xdr:rowOff>
    </xdr:from>
    <xdr:to>
      <xdr:col>6</xdr:col>
      <xdr:colOff>463827</xdr:colOff>
      <xdr:row>39</xdr:row>
      <xdr:rowOff>57978</xdr:rowOff>
    </xdr:to>
    <xdr:grpSp>
      <xdr:nvGrpSpPr>
        <xdr:cNvPr id="4" name="Grup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4D04F360-BFB3-4942-9364-539C9B110A61}"/>
            </a:ext>
          </a:extLst>
        </xdr:cNvPr>
        <xdr:cNvGrpSpPr/>
      </xdr:nvGrpSpPr>
      <xdr:grpSpPr>
        <a:xfrm>
          <a:off x="5549347" y="6849717"/>
          <a:ext cx="1416328" cy="513522"/>
          <a:chOff x="7396369" y="15828065"/>
          <a:chExt cx="1416326" cy="513522"/>
        </a:xfrm>
      </xdr:grpSpPr>
      <xdr:sp macro="" textlink="">
        <xdr:nvSpPr>
          <xdr:cNvPr id="5" name="Flecha: a la derecha con muesca 4">
            <a:extLst>
              <a:ext uri="{FF2B5EF4-FFF2-40B4-BE49-F238E27FC236}">
                <a16:creationId xmlns:a16="http://schemas.microsoft.com/office/drawing/2014/main" xmlns="" id="{419FF558-CB77-4050-8E59-90BFB2A2ED38}"/>
              </a:ext>
            </a:extLst>
          </xdr:cNvPr>
          <xdr:cNvSpPr/>
        </xdr:nvSpPr>
        <xdr:spPr>
          <a:xfrm>
            <a:off x="7396369" y="15828065"/>
            <a:ext cx="1416326" cy="513522"/>
          </a:xfrm>
          <a:prstGeom prst="notchedRightArrow">
            <a:avLst/>
          </a:prstGeom>
          <a:solidFill>
            <a:srgbClr val="00206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6" name="CuadroTexto 5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xmlns="" id="{D911448C-0503-469A-8076-D229E8F8045D}"/>
              </a:ext>
            </a:extLst>
          </xdr:cNvPr>
          <xdr:cNvSpPr txBox="1"/>
        </xdr:nvSpPr>
        <xdr:spPr>
          <a:xfrm>
            <a:off x="7570304" y="15944022"/>
            <a:ext cx="1068457" cy="31473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200" b="1">
                <a:solidFill>
                  <a:schemeClr val="bg1"/>
                </a:solidFill>
              </a:rPr>
              <a:t>SIGUIENTE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212352</xdr:colOff>
      <xdr:row>20</xdr:row>
      <xdr:rowOff>71158</xdr:rowOff>
    </xdr:from>
    <xdr:to>
      <xdr:col>13</xdr:col>
      <xdr:colOff>121584</xdr:colOff>
      <xdr:row>30</xdr:row>
      <xdr:rowOff>99732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xmlns="" id="{5A43AA33-EFE3-40BB-A9FE-1D88E63474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85724</xdr:colOff>
      <xdr:row>1</xdr:row>
      <xdr:rowOff>130037</xdr:rowOff>
    </xdr:from>
    <xdr:to>
      <xdr:col>1</xdr:col>
      <xdr:colOff>1790699</xdr:colOff>
      <xdr:row>6</xdr:row>
      <xdr:rowOff>47977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xmlns="" id="{2A4BADF2-CEB3-445A-972D-07B054572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724" y="320537"/>
          <a:ext cx="1704975" cy="1109686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152425</xdr:colOff>
      <xdr:row>1</xdr:row>
      <xdr:rowOff>105336</xdr:rowOff>
    </xdr:from>
    <xdr:to>
      <xdr:col>12</xdr:col>
      <xdr:colOff>483730</xdr:colOff>
      <xdr:row>6</xdr:row>
      <xdr:rowOff>156882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xmlns="" id="{CB2C1003-768E-406E-B2EF-585E69677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56601" y="295836"/>
          <a:ext cx="1855305" cy="1239370"/>
        </a:xfrm>
        <a:prstGeom prst="rect">
          <a:avLst/>
        </a:prstGeom>
      </xdr:spPr>
    </xdr:pic>
    <xdr:clientData/>
  </xdr:twoCellAnchor>
  <xdr:twoCellAnchor>
    <xdr:from>
      <xdr:col>7</xdr:col>
      <xdr:colOff>340098</xdr:colOff>
      <xdr:row>35</xdr:row>
      <xdr:rowOff>86285</xdr:rowOff>
    </xdr:from>
    <xdr:to>
      <xdr:col>13</xdr:col>
      <xdr:colOff>25773</xdr:colOff>
      <xdr:row>49</xdr:row>
      <xdr:rowOff>8404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xmlns="" id="{B8393455-FE8C-4B08-BFE0-C0D9D866B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52666</xdr:colOff>
      <xdr:row>10</xdr:row>
      <xdr:rowOff>78441</xdr:rowOff>
    </xdr:from>
    <xdr:to>
      <xdr:col>12</xdr:col>
      <xdr:colOff>313764</xdr:colOff>
      <xdr:row>19</xdr:row>
      <xdr:rowOff>112058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xmlns="" id="{87BDD559-E410-4705-84B3-C737D7226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605118</xdr:colOff>
      <xdr:row>49</xdr:row>
      <xdr:rowOff>168088</xdr:rowOff>
    </xdr:from>
    <xdr:to>
      <xdr:col>7</xdr:col>
      <xdr:colOff>76981</xdr:colOff>
      <xdr:row>52</xdr:row>
      <xdr:rowOff>110110</xdr:rowOff>
    </xdr:to>
    <xdr:grpSp>
      <xdr:nvGrpSpPr>
        <xdr:cNvPr id="14" name="Grupo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9747C291-84EE-4CC3-ABDE-99049B709BE7}"/>
            </a:ext>
          </a:extLst>
        </xdr:cNvPr>
        <xdr:cNvGrpSpPr/>
      </xdr:nvGrpSpPr>
      <xdr:grpSpPr>
        <a:xfrm rot="10800000">
          <a:off x="7429500" y="10544735"/>
          <a:ext cx="1488922" cy="513522"/>
          <a:chOff x="7323776" y="15828065"/>
          <a:chExt cx="1488919" cy="513522"/>
        </a:xfrm>
      </xdr:grpSpPr>
      <xdr:sp macro="" textlink="">
        <xdr:nvSpPr>
          <xdr:cNvPr id="15" name="Flecha: a la derecha con muesca 14">
            <a:extLst>
              <a:ext uri="{FF2B5EF4-FFF2-40B4-BE49-F238E27FC236}">
                <a16:creationId xmlns:a16="http://schemas.microsoft.com/office/drawing/2014/main" xmlns="" id="{A10C64D6-1245-4387-A9BE-BA1B4A98A415}"/>
              </a:ext>
            </a:extLst>
          </xdr:cNvPr>
          <xdr:cNvSpPr/>
        </xdr:nvSpPr>
        <xdr:spPr>
          <a:xfrm>
            <a:off x="7396369" y="15828065"/>
            <a:ext cx="1416326" cy="513522"/>
          </a:xfrm>
          <a:prstGeom prst="notchedRightArrow">
            <a:avLst/>
          </a:prstGeom>
          <a:solidFill>
            <a:srgbClr val="00B0F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6" name="CuadroTexto 15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xmlns="" id="{7F20B3FD-8244-48C8-A6E3-D6AD09EE4E94}"/>
              </a:ext>
            </a:extLst>
          </xdr:cNvPr>
          <xdr:cNvSpPr txBox="1"/>
        </xdr:nvSpPr>
        <xdr:spPr>
          <a:xfrm rot="10800000">
            <a:off x="7323776" y="15910406"/>
            <a:ext cx="1068457" cy="31473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200" b="1">
                <a:solidFill>
                  <a:schemeClr val="bg1"/>
                </a:solidFill>
              </a:rPr>
              <a:t>ATRAS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61"/>
  <sheetViews>
    <sheetView topLeftCell="A45" zoomScale="115" zoomScaleNormal="115" workbookViewId="0">
      <selection activeCell="E39" sqref="E39:E45"/>
    </sheetView>
  </sheetViews>
  <sheetFormatPr baseColWidth="10" defaultRowHeight="15" x14ac:dyDescent="0.25"/>
  <cols>
    <col min="1" max="2" width="9" style="12" customWidth="1"/>
    <col min="3" max="3" width="46.42578125" style="12" customWidth="1"/>
    <col min="4" max="4" width="21.7109375" style="12" customWidth="1"/>
    <col min="5" max="5" width="20.28515625" style="12" customWidth="1"/>
    <col min="6" max="16384" width="11.42578125" style="12"/>
  </cols>
  <sheetData>
    <row r="2" spans="3:5" hidden="1" x14ac:dyDescent="0.25"/>
    <row r="5" spans="3:5" ht="23.25" x14ac:dyDescent="0.35">
      <c r="C5" s="63" t="s">
        <v>65</v>
      </c>
      <c r="D5" s="63"/>
      <c r="E5" s="63"/>
    </row>
    <row r="9" spans="3:5" ht="19.5" customHeight="1" x14ac:dyDescent="0.25">
      <c r="C9" s="13"/>
      <c r="D9" s="14" t="s">
        <v>22</v>
      </c>
      <c r="E9" s="14" t="s">
        <v>23</v>
      </c>
    </row>
    <row r="10" spans="3:5" ht="24" customHeight="1" x14ac:dyDescent="0.25">
      <c r="C10" s="15" t="s">
        <v>3</v>
      </c>
      <c r="D10" s="16">
        <f>+SUM(D12:D20)</f>
        <v>3950000</v>
      </c>
      <c r="E10" s="17">
        <f>+SUM(E12:E20)</f>
        <v>3950000</v>
      </c>
    </row>
    <row r="11" spans="3:5" ht="15" customHeight="1" x14ac:dyDescent="0.25">
      <c r="C11" s="13"/>
      <c r="D11" s="18"/>
      <c r="E11" s="18"/>
    </row>
    <row r="12" spans="3:5" ht="24.75" customHeight="1" x14ac:dyDescent="0.25">
      <c r="C12" s="13" t="s">
        <v>4</v>
      </c>
      <c r="D12" s="23">
        <v>2000000</v>
      </c>
      <c r="E12" s="23">
        <v>2000000</v>
      </c>
    </row>
    <row r="13" spans="3:5" ht="24.75" customHeight="1" x14ac:dyDescent="0.25">
      <c r="C13" s="13" t="s">
        <v>0</v>
      </c>
      <c r="D13" s="23">
        <v>250000</v>
      </c>
      <c r="E13" s="23">
        <v>250000</v>
      </c>
    </row>
    <row r="14" spans="3:5" ht="24.75" customHeight="1" x14ac:dyDescent="0.25">
      <c r="C14" s="13" t="s">
        <v>52</v>
      </c>
      <c r="D14" s="23">
        <v>200000</v>
      </c>
      <c r="E14" s="23">
        <v>200000</v>
      </c>
    </row>
    <row r="15" spans="3:5" ht="24.75" customHeight="1" x14ac:dyDescent="0.25">
      <c r="C15" s="13" t="s">
        <v>1</v>
      </c>
      <c r="D15" s="23">
        <v>100000</v>
      </c>
      <c r="E15" s="23">
        <v>100000</v>
      </c>
    </row>
    <row r="16" spans="3:5" ht="24.75" customHeight="1" x14ac:dyDescent="0.25">
      <c r="C16" s="13" t="s">
        <v>2</v>
      </c>
      <c r="D16" s="23">
        <v>0</v>
      </c>
      <c r="E16" s="23">
        <v>0</v>
      </c>
    </row>
    <row r="17" spans="3:5" ht="24.75" customHeight="1" x14ac:dyDescent="0.25">
      <c r="C17" s="13" t="s">
        <v>88</v>
      </c>
      <c r="D17" s="23">
        <v>100000</v>
      </c>
      <c r="E17" s="23">
        <v>100000</v>
      </c>
    </row>
    <row r="18" spans="3:5" ht="24.75" customHeight="1" x14ac:dyDescent="0.25">
      <c r="C18" s="13" t="s">
        <v>5</v>
      </c>
      <c r="D18" s="23">
        <v>500000</v>
      </c>
      <c r="E18" s="23">
        <v>500000</v>
      </c>
    </row>
    <row r="19" spans="3:5" ht="24.75" customHeight="1" x14ac:dyDescent="0.25">
      <c r="C19" s="13" t="s">
        <v>6</v>
      </c>
      <c r="D19" s="23">
        <v>200000</v>
      </c>
      <c r="E19" s="23">
        <v>200000</v>
      </c>
    </row>
    <row r="20" spans="3:5" ht="39" customHeight="1" x14ac:dyDescent="0.25">
      <c r="C20" s="19" t="s">
        <v>26</v>
      </c>
      <c r="D20" s="23">
        <v>600000</v>
      </c>
      <c r="E20" s="23">
        <v>600000</v>
      </c>
    </row>
    <row r="21" spans="3:5" ht="24.75" customHeight="1" x14ac:dyDescent="0.25">
      <c r="C21" s="13"/>
      <c r="D21" s="20"/>
      <c r="E21" s="20"/>
    </row>
    <row r="22" spans="3:5" ht="24.75" customHeight="1" x14ac:dyDescent="0.25">
      <c r="C22" s="15" t="s">
        <v>15</v>
      </c>
      <c r="D22" s="21">
        <f>+SUM(D24:D26)</f>
        <v>380000</v>
      </c>
      <c r="E22" s="21">
        <f>+SUM(E24:E26)</f>
        <v>380000</v>
      </c>
    </row>
    <row r="23" spans="3:5" ht="17.25" customHeight="1" x14ac:dyDescent="0.25">
      <c r="C23" s="13"/>
      <c r="D23" s="20"/>
      <c r="E23" s="20"/>
    </row>
    <row r="24" spans="3:5" ht="24.75" customHeight="1" x14ac:dyDescent="0.25">
      <c r="C24" s="13" t="s">
        <v>16</v>
      </c>
      <c r="D24" s="23">
        <v>0</v>
      </c>
      <c r="E24" s="23">
        <v>0</v>
      </c>
    </row>
    <row r="25" spans="3:5" ht="24.75" customHeight="1" x14ac:dyDescent="0.25">
      <c r="C25" s="13" t="s">
        <v>17</v>
      </c>
      <c r="D25" s="23">
        <v>80000</v>
      </c>
      <c r="E25" s="23">
        <v>80000</v>
      </c>
    </row>
    <row r="26" spans="3:5" ht="24.75" customHeight="1" x14ac:dyDescent="0.25">
      <c r="C26" s="13" t="s">
        <v>18</v>
      </c>
      <c r="D26" s="23">
        <v>300000</v>
      </c>
      <c r="E26" s="23">
        <v>300000</v>
      </c>
    </row>
    <row r="27" spans="3:5" ht="24.75" customHeight="1" x14ac:dyDescent="0.25">
      <c r="C27" s="13"/>
      <c r="D27" s="20"/>
      <c r="E27" s="20"/>
    </row>
    <row r="28" spans="3:5" ht="24.75" customHeight="1" x14ac:dyDescent="0.25">
      <c r="C28" s="15" t="s">
        <v>7</v>
      </c>
      <c r="D28" s="17">
        <f>+SUM(D30:D35)</f>
        <v>2000000</v>
      </c>
      <c r="E28" s="17">
        <f>+SUM(E30:E35)</f>
        <v>2000000</v>
      </c>
    </row>
    <row r="29" spans="3:5" ht="15.75" customHeight="1" x14ac:dyDescent="0.25">
      <c r="C29" s="13"/>
      <c r="D29" s="18"/>
      <c r="E29" s="18"/>
    </row>
    <row r="30" spans="3:5" ht="24.75" customHeight="1" x14ac:dyDescent="0.25">
      <c r="C30" s="13" t="s">
        <v>8</v>
      </c>
      <c r="D30" s="23">
        <v>1500000</v>
      </c>
      <c r="E30" s="23">
        <v>1500000</v>
      </c>
    </row>
    <row r="31" spans="3:5" ht="24.75" customHeight="1" x14ac:dyDescent="0.25">
      <c r="C31" s="13" t="s">
        <v>9</v>
      </c>
      <c r="D31" s="23">
        <v>0</v>
      </c>
      <c r="E31" s="23">
        <v>0</v>
      </c>
    </row>
    <row r="32" spans="3:5" ht="24.75" customHeight="1" x14ac:dyDescent="0.25">
      <c r="C32" s="13" t="s">
        <v>10</v>
      </c>
      <c r="D32" s="23">
        <v>0</v>
      </c>
      <c r="E32" s="23">
        <v>0</v>
      </c>
    </row>
    <row r="33" spans="3:5" ht="24.75" customHeight="1" x14ac:dyDescent="0.25">
      <c r="C33" s="13" t="s">
        <v>11</v>
      </c>
      <c r="D33" s="23">
        <v>300000</v>
      </c>
      <c r="E33" s="23">
        <v>300000</v>
      </c>
    </row>
    <row r="34" spans="3:5" ht="24.75" customHeight="1" x14ac:dyDescent="0.25">
      <c r="C34" s="13" t="s">
        <v>87</v>
      </c>
      <c r="D34" s="23">
        <v>0</v>
      </c>
      <c r="E34" s="23">
        <v>0</v>
      </c>
    </row>
    <row r="35" spans="3:5" ht="24.75" customHeight="1" x14ac:dyDescent="0.25">
      <c r="C35" s="13" t="s">
        <v>13</v>
      </c>
      <c r="D35" s="23">
        <v>200000</v>
      </c>
      <c r="E35" s="23">
        <v>200000</v>
      </c>
    </row>
    <row r="36" spans="3:5" ht="24.75" customHeight="1" x14ac:dyDescent="0.25">
      <c r="C36" s="13"/>
      <c r="D36" s="20"/>
      <c r="E36" s="20"/>
    </row>
    <row r="37" spans="3:5" ht="24.75" customHeight="1" x14ac:dyDescent="0.25">
      <c r="C37" s="15" t="s">
        <v>27</v>
      </c>
      <c r="D37" s="17">
        <f>+SUM(D39:D45)-D41+D41/12</f>
        <v>400000</v>
      </c>
      <c r="E37" s="17">
        <f>+SUM(E39:E45)-E41+E41/12</f>
        <v>400000</v>
      </c>
    </row>
    <row r="38" spans="3:5" ht="17.25" customHeight="1" x14ac:dyDescent="0.25">
      <c r="C38" s="13"/>
      <c r="D38" s="18"/>
      <c r="E38" s="18"/>
    </row>
    <row r="39" spans="3:5" ht="24.75" customHeight="1" x14ac:dyDescent="0.25">
      <c r="C39" s="13" t="s">
        <v>28</v>
      </c>
      <c r="D39" s="23">
        <v>0</v>
      </c>
      <c r="E39" s="23">
        <v>0</v>
      </c>
    </row>
    <row r="40" spans="3:5" ht="24.75" customHeight="1" x14ac:dyDescent="0.25">
      <c r="C40" s="13" t="s">
        <v>95</v>
      </c>
      <c r="D40" s="23">
        <v>0</v>
      </c>
      <c r="E40" s="23">
        <v>0</v>
      </c>
    </row>
    <row r="41" spans="3:5" ht="24.75" customHeight="1" x14ac:dyDescent="0.25">
      <c r="C41" s="13" t="s">
        <v>29</v>
      </c>
      <c r="D41" s="23">
        <v>0</v>
      </c>
      <c r="E41" s="23">
        <v>0</v>
      </c>
    </row>
    <row r="42" spans="3:5" ht="24.75" customHeight="1" x14ac:dyDescent="0.25">
      <c r="C42" s="13" t="s">
        <v>30</v>
      </c>
      <c r="D42" s="23">
        <v>200000</v>
      </c>
      <c r="E42" s="23">
        <v>200000</v>
      </c>
    </row>
    <row r="43" spans="3:5" ht="24.75" customHeight="1" x14ac:dyDescent="0.25">
      <c r="C43" s="13" t="s">
        <v>31</v>
      </c>
      <c r="D43" s="23">
        <v>0</v>
      </c>
      <c r="E43" s="23">
        <v>0</v>
      </c>
    </row>
    <row r="44" spans="3:5" ht="24.75" customHeight="1" x14ac:dyDescent="0.25">
      <c r="C44" s="13" t="s">
        <v>32</v>
      </c>
      <c r="D44" s="23">
        <v>200000</v>
      </c>
      <c r="E44" s="23">
        <v>200000</v>
      </c>
    </row>
    <row r="45" spans="3:5" ht="24.75" customHeight="1" x14ac:dyDescent="0.25">
      <c r="C45" s="13" t="s">
        <v>33</v>
      </c>
      <c r="D45" s="23">
        <v>0</v>
      </c>
      <c r="E45" s="23">
        <v>0</v>
      </c>
    </row>
    <row r="46" spans="3:5" ht="24.75" customHeight="1" x14ac:dyDescent="0.25">
      <c r="C46" s="13"/>
      <c r="D46" s="13"/>
      <c r="E46" s="13"/>
    </row>
    <row r="47" spans="3:5" ht="26.25" customHeight="1" x14ac:dyDescent="0.25">
      <c r="C47" s="15" t="s">
        <v>24</v>
      </c>
      <c r="D47" s="17">
        <f>+SUM(D49:D53)</f>
        <v>2640000</v>
      </c>
      <c r="E47" s="13"/>
    </row>
    <row r="48" spans="3:5" ht="17.25" customHeight="1" x14ac:dyDescent="0.25">
      <c r="C48" s="13"/>
      <c r="D48" s="18"/>
      <c r="E48" s="13"/>
    </row>
    <row r="49" spans="3:5" ht="26.25" customHeight="1" x14ac:dyDescent="0.25">
      <c r="C49" s="13" t="s">
        <v>14</v>
      </c>
      <c r="D49" s="23">
        <v>1000000</v>
      </c>
      <c r="E49" s="13"/>
    </row>
    <row r="50" spans="3:5" ht="26.25" customHeight="1" x14ac:dyDescent="0.25">
      <c r="C50" s="13" t="s">
        <v>19</v>
      </c>
      <c r="D50" s="23">
        <v>1300000</v>
      </c>
      <c r="E50" s="13"/>
    </row>
    <row r="51" spans="3:5" ht="26.25" customHeight="1" x14ac:dyDescent="0.25">
      <c r="C51" s="13" t="s">
        <v>92</v>
      </c>
      <c r="D51" s="23">
        <v>0</v>
      </c>
      <c r="E51" s="13"/>
    </row>
    <row r="52" spans="3:5" ht="26.25" customHeight="1" x14ac:dyDescent="0.25">
      <c r="C52" s="13" t="s">
        <v>20</v>
      </c>
      <c r="D52" s="23">
        <v>340000</v>
      </c>
      <c r="E52" s="13"/>
    </row>
    <row r="53" spans="3:5" ht="26.25" customHeight="1" x14ac:dyDescent="0.25">
      <c r="C53" s="13" t="s">
        <v>12</v>
      </c>
      <c r="D53" s="23"/>
      <c r="E53" s="13"/>
    </row>
    <row r="54" spans="3:5" ht="26.25" customHeight="1" x14ac:dyDescent="0.25">
      <c r="C54" s="22"/>
      <c r="D54" s="22"/>
      <c r="E54" s="22"/>
    </row>
    <row r="55" spans="3:5" ht="26.25" customHeight="1" x14ac:dyDescent="0.25">
      <c r="C55" s="15" t="s">
        <v>25</v>
      </c>
      <c r="D55" s="17">
        <f>+SUM(D57:D61)-D60+D60*12</f>
        <v>2560000</v>
      </c>
      <c r="E55" s="13"/>
    </row>
    <row r="56" spans="3:5" ht="16.5" customHeight="1" x14ac:dyDescent="0.25">
      <c r="C56" s="13"/>
      <c r="D56" s="18"/>
      <c r="E56" s="13"/>
    </row>
    <row r="57" spans="3:5" ht="26.25" customHeight="1" x14ac:dyDescent="0.25">
      <c r="C57" s="13" t="s">
        <v>21</v>
      </c>
      <c r="D57" s="23">
        <v>0</v>
      </c>
      <c r="E57" s="13"/>
    </row>
    <row r="58" spans="3:5" ht="26.25" customHeight="1" x14ac:dyDescent="0.25">
      <c r="C58" s="13" t="s">
        <v>93</v>
      </c>
      <c r="D58" s="23">
        <v>400000</v>
      </c>
      <c r="E58" s="13"/>
    </row>
    <row r="59" spans="3:5" ht="26.25" customHeight="1" x14ac:dyDescent="0.25">
      <c r="C59" s="13" t="s">
        <v>66</v>
      </c>
      <c r="D59" s="23">
        <f>180000*12</f>
        <v>2160000</v>
      </c>
      <c r="E59" s="13"/>
    </row>
    <row r="60" spans="3:5" ht="26.25" customHeight="1" x14ac:dyDescent="0.25">
      <c r="C60" s="57" t="s">
        <v>90</v>
      </c>
      <c r="D60" s="23">
        <v>0</v>
      </c>
      <c r="E60" s="13"/>
    </row>
    <row r="61" spans="3:5" ht="26.25" customHeight="1" x14ac:dyDescent="0.25">
      <c r="C61" s="13" t="s">
        <v>12</v>
      </c>
      <c r="D61" s="23">
        <v>0</v>
      </c>
      <c r="E61" s="13"/>
    </row>
  </sheetData>
  <sheetProtection algorithmName="SHA-512" hashValue="TtGktmqidYwLn2hIabiJoewOVROh6LnE9akKibu9pGPYC2z7SxHzuoBsiZ0yVk9F//A8jmS7UCuol7BHD6dhfA==" saltValue="KHqS3X6r7MRmBpOTFMLi1Q==" spinCount="100000" sheet="1" objects="1" scenarios="1"/>
  <mergeCells count="1">
    <mergeCell ref="C5:E5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14"/>
  <sheetViews>
    <sheetView topLeftCell="A4" zoomScale="115" zoomScaleNormal="115" workbookViewId="0">
      <selection activeCell="D14" sqref="D14"/>
    </sheetView>
  </sheetViews>
  <sheetFormatPr baseColWidth="10" defaultRowHeight="15.75" x14ac:dyDescent="0.25"/>
  <cols>
    <col min="1" max="2" width="11.42578125" style="26"/>
    <col min="3" max="3" width="39.42578125" style="26" customWidth="1"/>
    <col min="4" max="4" width="20.85546875" style="26" customWidth="1"/>
    <col min="5" max="16384" width="11.42578125" style="26"/>
  </cols>
  <sheetData>
    <row r="1" spans="3:6" s="12" customFormat="1" ht="15" x14ac:dyDescent="0.25"/>
    <row r="2" spans="3:6" s="12" customFormat="1" ht="15" x14ac:dyDescent="0.25"/>
    <row r="3" spans="3:6" s="12" customFormat="1" ht="23.25" x14ac:dyDescent="0.35">
      <c r="C3" s="63" t="s">
        <v>65</v>
      </c>
      <c r="D3" s="63"/>
      <c r="E3" s="63"/>
    </row>
    <row r="4" spans="3:6" s="12" customFormat="1" ht="15" x14ac:dyDescent="0.25"/>
    <row r="5" spans="3:6" s="12" customFormat="1" ht="15" x14ac:dyDescent="0.25"/>
    <row r="9" spans="3:6" x14ac:dyDescent="0.25">
      <c r="C9" s="24" t="s">
        <v>34</v>
      </c>
      <c r="D9" s="25">
        <f>+SUM(D11:D14)</f>
        <v>1780000</v>
      </c>
    </row>
    <row r="10" spans="3:6" x14ac:dyDescent="0.25">
      <c r="C10" s="13"/>
      <c r="D10" s="27"/>
    </row>
    <row r="11" spans="3:6" ht="23.25" customHeight="1" x14ac:dyDescent="0.25">
      <c r="C11" s="22" t="s">
        <v>94</v>
      </c>
      <c r="D11" s="23">
        <v>400000</v>
      </c>
    </row>
    <row r="12" spans="3:6" ht="23.25" customHeight="1" x14ac:dyDescent="0.25">
      <c r="C12" s="22" t="s">
        <v>35</v>
      </c>
      <c r="D12" s="23">
        <v>380000</v>
      </c>
    </row>
    <row r="13" spans="3:6" ht="23.25" customHeight="1" x14ac:dyDescent="0.25">
      <c r="C13" s="22" t="s">
        <v>36</v>
      </c>
      <c r="D13" s="23">
        <v>1000000</v>
      </c>
      <c r="F13" s="28"/>
    </row>
    <row r="14" spans="3:6" ht="23.25" customHeight="1" x14ac:dyDescent="0.25">
      <c r="C14" s="22" t="s">
        <v>37</v>
      </c>
      <c r="D14" s="23">
        <v>0</v>
      </c>
    </row>
  </sheetData>
  <sheetProtection algorithmName="SHA-512" hashValue="L9MU32asyR7pX9nzZz59sdkPSN1gB8kXoy7nsSMHSApsfUT9RQkg6eXEQxzeyg2bGi8Ekuvahivz5kWTaq3lnw==" saltValue="8ryolN73JRk6QSDb9ByKXw==" spinCount="100000" sheet="1" objects="1" scenarios="1"/>
  <mergeCells count="1">
    <mergeCell ref="C3:E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H42"/>
  <sheetViews>
    <sheetView topLeftCell="A17" zoomScale="115" zoomScaleNormal="115" workbookViewId="0">
      <selection activeCell="E25" sqref="E25"/>
    </sheetView>
  </sheetViews>
  <sheetFormatPr baseColWidth="10" defaultRowHeight="15" x14ac:dyDescent="0.25"/>
  <cols>
    <col min="1" max="2" width="3.140625" style="29" customWidth="1"/>
    <col min="3" max="3" width="11.42578125" style="29"/>
    <col min="4" max="4" width="42" style="29" customWidth="1"/>
    <col min="5" max="5" width="19" style="29" customWidth="1"/>
    <col min="6" max="6" width="18.85546875" style="29" customWidth="1"/>
    <col min="7" max="7" width="19.28515625" style="29" customWidth="1"/>
    <col min="8" max="8" width="22.42578125" style="29" customWidth="1"/>
    <col min="9" max="16384" width="11.42578125" style="29"/>
  </cols>
  <sheetData>
    <row r="1" spans="4:8" s="12" customFormat="1" x14ac:dyDescent="0.25"/>
    <row r="2" spans="4:8" s="12" customFormat="1" x14ac:dyDescent="0.25"/>
    <row r="3" spans="4:8" s="12" customFormat="1" ht="23.25" x14ac:dyDescent="0.35">
      <c r="D3" s="63" t="s">
        <v>65</v>
      </c>
      <c r="E3" s="63"/>
      <c r="F3" s="63"/>
      <c r="G3" s="63"/>
      <c r="H3" s="63"/>
    </row>
    <row r="4" spans="4:8" s="12" customFormat="1" x14ac:dyDescent="0.25"/>
    <row r="5" spans="4:8" s="12" customFormat="1" x14ac:dyDescent="0.25"/>
    <row r="6" spans="4:8" s="26" customFormat="1" ht="15.75" hidden="1" x14ac:dyDescent="0.25"/>
    <row r="7" spans="4:8" hidden="1" x14ac:dyDescent="0.25"/>
    <row r="8" spans="4:8" ht="15.75" x14ac:dyDescent="0.25">
      <c r="D8" s="26"/>
      <c r="E8" s="26"/>
      <c r="F8" s="26"/>
      <c r="G8" s="26"/>
      <c r="H8" s="26"/>
    </row>
    <row r="9" spans="4:8" ht="16.5" customHeight="1" x14ac:dyDescent="0.25">
      <c r="D9" s="26"/>
      <c r="E9" s="30" t="s">
        <v>22</v>
      </c>
      <c r="F9" s="30" t="s">
        <v>39</v>
      </c>
      <c r="G9" s="30" t="s">
        <v>59</v>
      </c>
      <c r="H9" s="30" t="s">
        <v>60</v>
      </c>
    </row>
    <row r="10" spans="4:8" ht="16.5" customHeight="1" x14ac:dyDescent="0.25">
      <c r="D10" s="26"/>
      <c r="E10" s="31"/>
      <c r="F10" s="31"/>
      <c r="G10" s="31"/>
      <c r="H10" s="31"/>
    </row>
    <row r="11" spans="4:8" ht="16.5" customHeight="1" x14ac:dyDescent="0.25">
      <c r="D11" s="24" t="s">
        <v>38</v>
      </c>
      <c r="E11" s="25">
        <f>+SUM(E13:E17)</f>
        <v>12000000</v>
      </c>
      <c r="F11" s="25">
        <f>+SUM(F13:F17)</f>
        <v>10000000</v>
      </c>
      <c r="G11" s="25">
        <f t="shared" ref="G11:H11" si="0">+SUM(G13:G17)</f>
        <v>4500000</v>
      </c>
      <c r="H11" s="25">
        <f t="shared" si="0"/>
        <v>0</v>
      </c>
    </row>
    <row r="12" spans="4:8" ht="16.5" customHeight="1" x14ac:dyDescent="0.25">
      <c r="D12" s="22"/>
      <c r="E12" s="27"/>
      <c r="F12" s="27"/>
      <c r="G12" s="26"/>
      <c r="H12" s="26"/>
    </row>
    <row r="13" spans="4:8" ht="16.5" customHeight="1" x14ac:dyDescent="0.25">
      <c r="D13" s="22" t="s">
        <v>40</v>
      </c>
      <c r="E13" s="23">
        <v>10000000</v>
      </c>
      <c r="F13" s="23">
        <v>10000000</v>
      </c>
      <c r="G13" s="23">
        <v>4500000</v>
      </c>
      <c r="H13" s="23">
        <v>0</v>
      </c>
    </row>
    <row r="14" spans="4:8" ht="16.5" customHeight="1" x14ac:dyDescent="0.25">
      <c r="D14" s="22" t="s">
        <v>91</v>
      </c>
      <c r="E14" s="23">
        <v>2000000</v>
      </c>
      <c r="F14" s="23">
        <v>0</v>
      </c>
      <c r="G14" s="23">
        <v>0</v>
      </c>
      <c r="H14" s="23">
        <v>0</v>
      </c>
    </row>
    <row r="15" spans="4:8" ht="16.5" customHeight="1" x14ac:dyDescent="0.25">
      <c r="D15" s="22" t="s">
        <v>41</v>
      </c>
      <c r="E15" s="23">
        <v>0</v>
      </c>
      <c r="F15" s="23">
        <v>0</v>
      </c>
      <c r="G15" s="23">
        <v>0</v>
      </c>
      <c r="H15" s="23">
        <v>0</v>
      </c>
    </row>
    <row r="16" spans="4:8" ht="16.5" customHeight="1" x14ac:dyDescent="0.25">
      <c r="D16" s="22" t="s">
        <v>42</v>
      </c>
      <c r="E16" s="23">
        <v>0</v>
      </c>
      <c r="F16" s="23">
        <v>0</v>
      </c>
      <c r="G16" s="23">
        <v>0</v>
      </c>
      <c r="H16" s="23">
        <v>0</v>
      </c>
    </row>
    <row r="17" spans="4:8" ht="16.5" customHeight="1" x14ac:dyDescent="0.25">
      <c r="D17" s="22" t="s">
        <v>43</v>
      </c>
      <c r="E17" s="23">
        <v>0</v>
      </c>
      <c r="F17" s="23">
        <v>0</v>
      </c>
      <c r="G17" s="23">
        <v>0</v>
      </c>
      <c r="H17" s="23">
        <v>0</v>
      </c>
    </row>
    <row r="18" spans="4:8" ht="16.5" customHeight="1" x14ac:dyDescent="0.25">
      <c r="D18" s="22"/>
      <c r="E18" s="34">
        <f>+COUNT(E13:E17)</f>
        <v>5</v>
      </c>
      <c r="F18" s="27"/>
      <c r="G18" s="26"/>
      <c r="H18" s="26"/>
    </row>
    <row r="19" spans="4:8" ht="15.75" hidden="1" x14ac:dyDescent="0.25">
      <c r="D19" s="22"/>
      <c r="E19" s="27"/>
      <c r="F19" s="27"/>
      <c r="G19" s="26"/>
      <c r="H19" s="26"/>
    </row>
    <row r="20" spans="4:8" ht="15.75" x14ac:dyDescent="0.25">
      <c r="D20" s="22"/>
      <c r="E20" s="27"/>
      <c r="F20" s="27"/>
      <c r="G20" s="26"/>
      <c r="H20" s="26"/>
    </row>
    <row r="21" spans="4:8" ht="15.75" x14ac:dyDescent="0.25">
      <c r="D21" s="24" t="s">
        <v>44</v>
      </c>
      <c r="E21" s="25">
        <f>+SUM(E23:E28)</f>
        <v>75000000</v>
      </c>
      <c r="F21" s="27"/>
      <c r="G21" s="26"/>
      <c r="H21" s="26"/>
    </row>
    <row r="22" spans="4:8" ht="15.75" x14ac:dyDescent="0.25">
      <c r="D22" s="22"/>
      <c r="E22" s="32"/>
      <c r="F22" s="27"/>
      <c r="G22" s="26"/>
      <c r="H22" s="26"/>
    </row>
    <row r="23" spans="4:8" ht="15.75" x14ac:dyDescent="0.25">
      <c r="D23" s="22" t="s">
        <v>67</v>
      </c>
      <c r="E23" s="23">
        <v>0</v>
      </c>
      <c r="F23" s="27"/>
      <c r="G23" s="26"/>
      <c r="H23" s="26"/>
    </row>
    <row r="24" spans="4:8" ht="15.75" x14ac:dyDescent="0.25">
      <c r="D24" s="22" t="s">
        <v>68</v>
      </c>
      <c r="E24" s="23">
        <v>45000000</v>
      </c>
      <c r="F24" s="27"/>
      <c r="G24" s="26"/>
      <c r="H24" s="26"/>
    </row>
    <row r="25" spans="4:8" ht="15.75" x14ac:dyDescent="0.25">
      <c r="D25" s="22" t="s">
        <v>89</v>
      </c>
      <c r="E25" s="23">
        <v>30000000</v>
      </c>
      <c r="F25" s="27"/>
      <c r="G25" s="26"/>
      <c r="H25" s="26"/>
    </row>
    <row r="26" spans="4:8" ht="15.75" x14ac:dyDescent="0.25">
      <c r="D26" s="22" t="s">
        <v>45</v>
      </c>
      <c r="E26" s="23">
        <v>0</v>
      </c>
      <c r="F26" s="34">
        <f>+E26+E25</f>
        <v>30000000</v>
      </c>
      <c r="G26" s="26"/>
      <c r="H26" s="26"/>
    </row>
    <row r="27" spans="4:8" ht="15.75" x14ac:dyDescent="0.25">
      <c r="D27" s="22" t="s">
        <v>46</v>
      </c>
      <c r="E27" s="23">
        <v>0</v>
      </c>
      <c r="F27" s="27"/>
      <c r="G27" s="26"/>
      <c r="H27" s="26"/>
    </row>
    <row r="28" spans="4:8" ht="15.75" x14ac:dyDescent="0.25">
      <c r="D28" s="22" t="s">
        <v>74</v>
      </c>
      <c r="E28" s="23">
        <v>0</v>
      </c>
      <c r="F28" s="27"/>
      <c r="G28" s="26"/>
      <c r="H28" s="26"/>
    </row>
    <row r="29" spans="4:8" ht="15.75" x14ac:dyDescent="0.25">
      <c r="D29" s="22"/>
      <c r="E29" s="32"/>
      <c r="F29" s="27"/>
      <c r="G29" s="26"/>
      <c r="H29" s="26"/>
    </row>
    <row r="30" spans="4:8" ht="15.75" x14ac:dyDescent="0.25">
      <c r="D30" s="24" t="s">
        <v>47</v>
      </c>
      <c r="E30" s="25">
        <f>+SUM(E32:E36)</f>
        <v>45000000</v>
      </c>
      <c r="F30" s="27"/>
      <c r="G30" s="26"/>
      <c r="H30" s="26"/>
    </row>
    <row r="31" spans="4:8" ht="15.75" x14ac:dyDescent="0.25">
      <c r="D31" s="22"/>
      <c r="E31" s="32"/>
      <c r="F31" s="27"/>
      <c r="G31" s="26"/>
      <c r="H31" s="26"/>
    </row>
    <row r="32" spans="4:8" ht="15.75" x14ac:dyDescent="0.25">
      <c r="D32" s="22" t="s">
        <v>48</v>
      </c>
      <c r="E32" s="23"/>
      <c r="F32" s="27"/>
      <c r="G32" s="26"/>
      <c r="H32" s="26"/>
    </row>
    <row r="33" spans="4:8" ht="15.75" x14ac:dyDescent="0.25">
      <c r="D33" s="22" t="s">
        <v>49</v>
      </c>
      <c r="E33" s="23">
        <v>30000000</v>
      </c>
      <c r="F33" s="27"/>
      <c r="G33" s="26"/>
      <c r="H33" s="26"/>
    </row>
    <row r="34" spans="4:8" ht="15.75" x14ac:dyDescent="0.25">
      <c r="D34" s="22" t="s">
        <v>51</v>
      </c>
      <c r="E34" s="23">
        <v>10000000</v>
      </c>
      <c r="F34" s="27"/>
      <c r="G34" s="26"/>
      <c r="H34" s="26"/>
    </row>
    <row r="35" spans="4:8" ht="15.75" x14ac:dyDescent="0.25">
      <c r="D35" s="22" t="s">
        <v>53</v>
      </c>
      <c r="E35" s="23">
        <v>5000000</v>
      </c>
      <c r="F35" s="27"/>
      <c r="G35" s="26"/>
      <c r="H35" s="26"/>
    </row>
    <row r="36" spans="4:8" ht="15.75" x14ac:dyDescent="0.25">
      <c r="D36" s="22" t="s">
        <v>50</v>
      </c>
      <c r="E36" s="23">
        <v>0</v>
      </c>
      <c r="F36" s="27"/>
      <c r="G36" s="26"/>
      <c r="H36" s="26"/>
    </row>
    <row r="37" spans="4:8" ht="15.75" x14ac:dyDescent="0.25">
      <c r="D37" s="26"/>
      <c r="E37" s="33"/>
      <c r="F37" s="26"/>
      <c r="G37" s="26"/>
      <c r="H37" s="26"/>
    </row>
    <row r="38" spans="4:8" ht="15.75" x14ac:dyDescent="0.25">
      <c r="D38" s="26"/>
      <c r="E38" s="26"/>
      <c r="F38" s="26"/>
      <c r="G38" s="26"/>
      <c r="H38" s="26"/>
    </row>
    <row r="39" spans="4:8" ht="15.75" x14ac:dyDescent="0.25">
      <c r="D39" s="26"/>
      <c r="E39" s="26"/>
      <c r="F39" s="26"/>
      <c r="G39" s="26"/>
      <c r="H39" s="26"/>
    </row>
    <row r="40" spans="4:8" ht="15.75" x14ac:dyDescent="0.25">
      <c r="D40" s="26"/>
      <c r="E40" s="26"/>
      <c r="F40" s="26"/>
      <c r="G40" s="26"/>
      <c r="H40" s="26"/>
    </row>
    <row r="41" spans="4:8" ht="15.75" x14ac:dyDescent="0.25">
      <c r="D41" s="26"/>
      <c r="E41" s="26"/>
      <c r="F41" s="26"/>
      <c r="G41" s="26"/>
      <c r="H41" s="26"/>
    </row>
    <row r="42" spans="4:8" ht="15.75" x14ac:dyDescent="0.25">
      <c r="D42" s="26"/>
      <c r="E42" s="26"/>
      <c r="F42" s="26"/>
      <c r="G42" s="26"/>
      <c r="H42" s="26"/>
    </row>
  </sheetData>
  <sheetProtection algorithmName="SHA-512" hashValue="8u/U86Sm+7+yo5NNg7w6Ncu4uiiZXQ9OzFGYd7VccgzCNTfLJlP13Ztd2Q6zBd7CVNK7+dofNmHHNHyaIIGK3Q==" saltValue="0HMzg4EFukrsjEI3UVXhDA==" spinCount="100000" sheet="1" objects="1" scenarios="1"/>
  <mergeCells count="1">
    <mergeCell ref="D3:H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78"/>
  <sheetViews>
    <sheetView topLeftCell="A60" workbookViewId="0">
      <selection activeCell="B73" sqref="B73"/>
    </sheetView>
  </sheetViews>
  <sheetFormatPr baseColWidth="10" defaultRowHeight="15" x14ac:dyDescent="0.25"/>
  <cols>
    <col min="2" max="2" width="41" bestFit="1" customWidth="1"/>
    <col min="3" max="6" width="19.42578125" customWidth="1"/>
  </cols>
  <sheetData>
    <row r="5" spans="2:6" ht="110.25" x14ac:dyDescent="0.25">
      <c r="B5" s="9" t="s">
        <v>57</v>
      </c>
      <c r="C5" s="8" t="str">
        <f ca="1">+RESULTADOS!C21</f>
        <v>ILIMITADO</v>
      </c>
      <c r="D5" s="8" t="str">
        <f ca="1">+RESULTADOS!D21</f>
        <v>ILIMITADO</v>
      </c>
      <c r="E5" s="8">
        <f ca="1">+RESULTADOS!E21</f>
        <v>6.7516879219804959</v>
      </c>
      <c r="F5" s="8">
        <f ca="1">+RESULTADOS!F21</f>
        <v>3.3544539694371975</v>
      </c>
    </row>
    <row r="6" spans="2:6" ht="94.5" x14ac:dyDescent="0.25">
      <c r="B6" s="9" t="s">
        <v>58</v>
      </c>
      <c r="C6" s="8" t="str">
        <f ca="1">+RESULTADOS!C22</f>
        <v>ILIMITADO</v>
      </c>
      <c r="D6" s="8" t="str">
        <f ca="1">+RESULTADOS!D22</f>
        <v>ILIMITADO</v>
      </c>
      <c r="E6" s="8">
        <f ca="1">+RESULTADOS!E22</f>
        <v>0</v>
      </c>
      <c r="F6" s="8">
        <f ca="1">+RESULTADOS!F22</f>
        <v>0</v>
      </c>
    </row>
    <row r="7" spans="2:6" ht="15.75" x14ac:dyDescent="0.25">
      <c r="B7" s="7"/>
      <c r="C7" s="8">
        <f>+RESULTADOS!C23</f>
        <v>0</v>
      </c>
      <c r="D7" s="8">
        <f>+RESULTADOS!D23</f>
        <v>0</v>
      </c>
      <c r="E7" s="8">
        <f>+RESULTADOS!E23</f>
        <v>0</v>
      </c>
      <c r="F7" s="8">
        <f>+RESULTADOS!F23</f>
        <v>0</v>
      </c>
    </row>
    <row r="8" spans="2:6" ht="15.75" x14ac:dyDescent="0.25">
      <c r="B8" s="7" t="s">
        <v>61</v>
      </c>
      <c r="C8" s="8" t="str">
        <f ca="1">+RESULTADOS!C24</f>
        <v>ILIMITADO</v>
      </c>
      <c r="D8" s="8" t="str">
        <f ca="1">+RESULTADOS!D24</f>
        <v>ILIMITADO</v>
      </c>
      <c r="E8" s="8">
        <f ca="1">+RESULTADOS!E24</f>
        <v>6.7516879219804959</v>
      </c>
      <c r="F8" s="8">
        <f ca="1">+RESULTADOS!F24</f>
        <v>3.3544539694371975</v>
      </c>
    </row>
    <row r="9" spans="2:6" ht="15.75" x14ac:dyDescent="0.25">
      <c r="B9" s="7"/>
      <c r="C9" s="8">
        <f>+RESULTADOS!C25</f>
        <v>0</v>
      </c>
      <c r="D9" s="8">
        <f>+RESULTADOS!D25</f>
        <v>0</v>
      </c>
      <c r="E9" s="8">
        <f>+RESULTADOS!E25</f>
        <v>0</v>
      </c>
      <c r="F9" s="8">
        <f>+RESULTADOS!F25</f>
        <v>0</v>
      </c>
    </row>
    <row r="10" spans="2:6" ht="15.75" x14ac:dyDescent="0.25">
      <c r="B10" s="7" t="s">
        <v>62</v>
      </c>
      <c r="C10" s="8" t="str">
        <f ca="1">+RESULTADOS!C26</f>
        <v>ILIMITADO</v>
      </c>
      <c r="D10" s="8" t="str">
        <f ca="1">+RESULTADOS!D26</f>
        <v>ILIMITADO</v>
      </c>
      <c r="E10" s="8">
        <f ca="1">+RESULTADOS!E26</f>
        <v>0.56264066016504133</v>
      </c>
      <c r="F10" s="8">
        <f ca="1">+RESULTADOS!F26</f>
        <v>0.27953783078643313</v>
      </c>
    </row>
    <row r="12" spans="2:6" ht="15.75" x14ac:dyDescent="0.25">
      <c r="C12" s="6" t="s">
        <v>22</v>
      </c>
      <c r="D12" s="6" t="s">
        <v>39</v>
      </c>
      <c r="E12" s="6" t="s">
        <v>59</v>
      </c>
      <c r="F12" s="6" t="s">
        <v>60</v>
      </c>
    </row>
    <row r="13" spans="2:6" x14ac:dyDescent="0.25">
      <c r="B13" t="s">
        <v>69</v>
      </c>
      <c r="C13">
        <f ca="1">+IF(C10="ILIMITADO",60,0)</f>
        <v>60</v>
      </c>
      <c r="D13">
        <f ca="1">+IF(D10="ILIMITADO",60,0)</f>
        <v>60</v>
      </c>
      <c r="E13">
        <f ca="1">+IF(E10="ILIMITADO",60,0)</f>
        <v>0</v>
      </c>
      <c r="F13">
        <f ca="1">+IF(F10="ILIMITADO",60,0)</f>
        <v>0</v>
      </c>
    </row>
    <row r="14" spans="2:6" x14ac:dyDescent="0.25">
      <c r="B14" t="s">
        <v>70</v>
      </c>
      <c r="C14">
        <f ca="1">+IF(C13=60,0,INT(C5))</f>
        <v>0</v>
      </c>
      <c r="D14">
        <f ca="1">+IF(D13=60,0,INT(D5))</f>
        <v>0</v>
      </c>
      <c r="E14">
        <f ca="1">+IF(E13=60,0,INT(E5))</f>
        <v>6</v>
      </c>
      <c r="F14">
        <f ca="1">+IF(F13=60,0,INT(F5))</f>
        <v>3</v>
      </c>
    </row>
    <row r="15" spans="2:6" x14ac:dyDescent="0.25">
      <c r="B15" t="s">
        <v>71</v>
      </c>
      <c r="C15">
        <f ca="1">+IF(C13=60,0,INT(C6))</f>
        <v>0</v>
      </c>
      <c r="D15">
        <f ca="1">+IF(D13=60,0,INT(D6))</f>
        <v>0</v>
      </c>
      <c r="E15">
        <f ca="1">+IF(E13=60,0,INT(E6))</f>
        <v>0</v>
      </c>
      <c r="F15">
        <f ca="1">+IF(F13=60,0,INT(F6))</f>
        <v>0</v>
      </c>
    </row>
    <row r="16" spans="2:6" x14ac:dyDescent="0.25">
      <c r="B16" t="s">
        <v>72</v>
      </c>
      <c r="C16">
        <f ca="1">+SUM(C13:C15)</f>
        <v>60</v>
      </c>
      <c r="D16">
        <f t="shared" ref="D16:F16" ca="1" si="0">+SUM(D13:D15)</f>
        <v>60</v>
      </c>
      <c r="E16">
        <f t="shared" ca="1" si="0"/>
        <v>6</v>
      </c>
      <c r="F16">
        <f t="shared" ca="1" si="0"/>
        <v>3</v>
      </c>
    </row>
    <row r="21" spans="2:7" x14ac:dyDescent="0.25">
      <c r="B21" t="s">
        <v>73</v>
      </c>
    </row>
    <row r="23" spans="2:7" ht="15.75" x14ac:dyDescent="0.25">
      <c r="B23" s="4" t="s">
        <v>44</v>
      </c>
      <c r="C23" s="5">
        <f>+'INGRESOS Y PATRIMONIO'!E21</f>
        <v>75000000</v>
      </c>
    </row>
    <row r="24" spans="2:7" ht="15.75" x14ac:dyDescent="0.25">
      <c r="B24" s="2"/>
      <c r="C24" s="5">
        <f>+'INGRESOS Y PATRIMONIO'!E22</f>
        <v>0</v>
      </c>
      <c r="F24" t="s">
        <v>75</v>
      </c>
    </row>
    <row r="25" spans="2:7" ht="15.75" x14ac:dyDescent="0.25">
      <c r="B25" s="2" t="s">
        <v>67</v>
      </c>
      <c r="C25" s="5">
        <f>+'INGRESOS Y PATRIMONIO'!E23</f>
        <v>0</v>
      </c>
      <c r="D25" s="10">
        <f>+C33</f>
        <v>0</v>
      </c>
      <c r="E25">
        <f>+SUM($C$35+$C$36)/3</f>
        <v>5000000</v>
      </c>
      <c r="F25" s="10">
        <f ca="1">+IF(C25-D25-E25&gt;0,C25-D25-E25,0)*B76</f>
        <v>0</v>
      </c>
      <c r="G25" s="11">
        <f ca="1">+F25/$F$30*B76</f>
        <v>0</v>
      </c>
    </row>
    <row r="26" spans="2:7" ht="15.75" x14ac:dyDescent="0.25">
      <c r="B26" s="2" t="s">
        <v>68</v>
      </c>
      <c r="C26" s="5">
        <f>+'INGRESOS Y PATRIMONIO'!E24</f>
        <v>45000000</v>
      </c>
      <c r="D26" s="10">
        <f>+C35</f>
        <v>10000000</v>
      </c>
      <c r="E26">
        <f>+SUM($C$35+$C$36)/3</f>
        <v>5000000</v>
      </c>
      <c r="F26" s="10">
        <f ca="1">+IF(C26-D26-E26&gt;0,C26-D26-E26,0)*B76</f>
        <v>30000000</v>
      </c>
      <c r="G26" s="11">
        <f t="shared" ref="G26:G29" ca="1" si="1">+F26/$F$30</f>
        <v>1</v>
      </c>
    </row>
    <row r="27" spans="2:7" ht="15.75" x14ac:dyDescent="0.25">
      <c r="B27" s="2" t="s">
        <v>45</v>
      </c>
      <c r="C27" s="5">
        <f>+'INGRESOS Y PATRIMONIO'!E26</f>
        <v>0</v>
      </c>
      <c r="F27" s="10">
        <f ca="1">+IF(C27-D27-E27&gt;0,C27-D27-E27,0)*B76</f>
        <v>0</v>
      </c>
      <c r="G27" s="11">
        <f t="shared" ca="1" si="1"/>
        <v>0</v>
      </c>
    </row>
    <row r="28" spans="2:7" ht="15.75" x14ac:dyDescent="0.25">
      <c r="B28" s="2" t="s">
        <v>46</v>
      </c>
      <c r="C28" s="5">
        <f>+'INGRESOS Y PATRIMONIO'!E27</f>
        <v>0</v>
      </c>
      <c r="F28" s="10">
        <f ca="1">+IF(C28-D28-E28&gt;0,C28-D28-E28,0)*B76</f>
        <v>0</v>
      </c>
      <c r="G28" s="11">
        <f t="shared" ca="1" si="1"/>
        <v>0</v>
      </c>
    </row>
    <row r="29" spans="2:7" ht="15.75" x14ac:dyDescent="0.25">
      <c r="B29" s="2" t="s">
        <v>74</v>
      </c>
      <c r="C29" s="5">
        <f>+'INGRESOS Y PATRIMONIO'!E28</f>
        <v>0</v>
      </c>
      <c r="D29" s="10">
        <f>+C37</f>
        <v>0</v>
      </c>
      <c r="E29">
        <f>+SUM($C$35+$C$36)/3</f>
        <v>5000000</v>
      </c>
      <c r="F29" s="10">
        <f t="shared" ref="F29" si="2">+IF(C29-D29-E29&gt;0,C29-D29-E29,0)</f>
        <v>0</v>
      </c>
      <c r="G29" s="11">
        <f t="shared" ca="1" si="1"/>
        <v>0</v>
      </c>
    </row>
    <row r="30" spans="2:7" ht="15.75" x14ac:dyDescent="0.25">
      <c r="B30" s="2"/>
      <c r="C30" s="5">
        <f>+'INGRESOS Y PATRIMONIO'!E29</f>
        <v>0</v>
      </c>
      <c r="F30" s="10">
        <f ca="1">+SUM(F25:F29)</f>
        <v>30000000</v>
      </c>
    </row>
    <row r="31" spans="2:7" ht="15.75" x14ac:dyDescent="0.25">
      <c r="B31" s="4" t="s">
        <v>47</v>
      </c>
      <c r="C31" s="5">
        <f>+'INGRESOS Y PATRIMONIO'!E30</f>
        <v>45000000</v>
      </c>
    </row>
    <row r="32" spans="2:7" ht="15.75" x14ac:dyDescent="0.25">
      <c r="B32" s="2"/>
      <c r="C32" s="5">
        <f>+'INGRESOS Y PATRIMONIO'!E31</f>
        <v>0</v>
      </c>
    </row>
    <row r="33" spans="2:4" ht="15.75" x14ac:dyDescent="0.25">
      <c r="B33" s="2" t="s">
        <v>48</v>
      </c>
      <c r="C33" s="5">
        <f>+'INGRESOS Y PATRIMONIO'!E32</f>
        <v>0</v>
      </c>
    </row>
    <row r="34" spans="2:4" ht="15.75" x14ac:dyDescent="0.25">
      <c r="B34" s="2" t="s">
        <v>49</v>
      </c>
      <c r="C34" s="5">
        <f>+'INGRESOS Y PATRIMONIO'!E33</f>
        <v>30000000</v>
      </c>
    </row>
    <row r="35" spans="2:4" ht="15.75" x14ac:dyDescent="0.25">
      <c r="B35" s="2" t="s">
        <v>51</v>
      </c>
      <c r="C35" s="5">
        <f>+'INGRESOS Y PATRIMONIO'!E34</f>
        <v>10000000</v>
      </c>
    </row>
    <row r="36" spans="2:4" ht="15.75" x14ac:dyDescent="0.25">
      <c r="B36" s="2" t="s">
        <v>53</v>
      </c>
      <c r="C36" s="5">
        <f>+'INGRESOS Y PATRIMONIO'!E35</f>
        <v>5000000</v>
      </c>
    </row>
    <row r="37" spans="2:4" ht="15.75" x14ac:dyDescent="0.25">
      <c r="B37" s="2" t="s">
        <v>50</v>
      </c>
      <c r="C37" s="5">
        <f>+'INGRESOS Y PATRIMONIO'!E36</f>
        <v>0</v>
      </c>
    </row>
    <row r="41" spans="2:4" x14ac:dyDescent="0.25">
      <c r="B41" t="s">
        <v>63</v>
      </c>
    </row>
    <row r="42" spans="2:4" x14ac:dyDescent="0.25">
      <c r="B42" t="s">
        <v>80</v>
      </c>
      <c r="C42" s="10"/>
    </row>
    <row r="43" spans="2:4" x14ac:dyDescent="0.25">
      <c r="B43" t="s">
        <v>81</v>
      </c>
    </row>
    <row r="44" spans="2:4" x14ac:dyDescent="0.25">
      <c r="C44" s="10">
        <f ca="1">+SUM(C45:C47)</f>
        <v>12000000</v>
      </c>
    </row>
    <row r="45" spans="2:4" x14ac:dyDescent="0.25">
      <c r="B45" t="s">
        <v>54</v>
      </c>
      <c r="C45" s="10">
        <f>+RESULTADOS!C14</f>
        <v>7163333.333333333</v>
      </c>
      <c r="D45" s="11">
        <f ca="1">+C45/$C$44</f>
        <v>0.59694444444444439</v>
      </c>
    </row>
    <row r="46" spans="2:4" x14ac:dyDescent="0.25">
      <c r="B46" t="s">
        <v>82</v>
      </c>
      <c r="C46" s="10">
        <f>+RESULTADOS!C16</f>
        <v>1780000</v>
      </c>
      <c r="D46" s="11">
        <f ca="1">+C46/$C$44</f>
        <v>0.14833333333333334</v>
      </c>
    </row>
    <row r="47" spans="2:4" x14ac:dyDescent="0.25">
      <c r="B47" t="s">
        <v>63</v>
      </c>
      <c r="C47">
        <f ca="1">+RESULTADOS!C18</f>
        <v>3056666.666666667</v>
      </c>
      <c r="D47" s="11">
        <f ca="1">+C47/$C$44</f>
        <v>0.25472222222222224</v>
      </c>
    </row>
    <row r="48" spans="2:4" ht="15.75" x14ac:dyDescent="0.25">
      <c r="B48" s="3" t="s">
        <v>3</v>
      </c>
      <c r="C48" s="10">
        <f>+GASTOS!D10</f>
        <v>3950000</v>
      </c>
      <c r="D48" s="11">
        <f t="shared" ref="D48:D53" si="3">+C48/$C$58</f>
        <v>0.55141926477431369</v>
      </c>
    </row>
    <row r="49" spans="2:4" ht="15.75" x14ac:dyDescent="0.25">
      <c r="B49" s="3" t="s">
        <v>15</v>
      </c>
      <c r="C49" s="10">
        <f>+GASTOS!D22</f>
        <v>380000</v>
      </c>
      <c r="D49" s="11">
        <f t="shared" si="3"/>
        <v>5.3047929269427641E-2</v>
      </c>
    </row>
    <row r="50" spans="2:4" ht="15.75" x14ac:dyDescent="0.25">
      <c r="B50" s="3" t="s">
        <v>7</v>
      </c>
      <c r="C50" s="10">
        <f>+GASTOS!D28</f>
        <v>2000000</v>
      </c>
      <c r="D50" s="11">
        <f t="shared" si="3"/>
        <v>0.27919962773382972</v>
      </c>
    </row>
    <row r="51" spans="2:4" ht="15.75" x14ac:dyDescent="0.25">
      <c r="B51" s="3" t="s">
        <v>27</v>
      </c>
      <c r="C51" s="10">
        <f>+GASTOS!D37</f>
        <v>400000</v>
      </c>
      <c r="D51" s="11">
        <f t="shared" si="3"/>
        <v>5.5839925546765937E-2</v>
      </c>
    </row>
    <row r="52" spans="2:4" ht="15.75" x14ac:dyDescent="0.25">
      <c r="B52" s="3" t="s">
        <v>84</v>
      </c>
      <c r="C52" s="10">
        <f>+GASTOS!D47/12</f>
        <v>220000</v>
      </c>
      <c r="D52" s="11">
        <f t="shared" si="3"/>
        <v>3.0711959050721268E-2</v>
      </c>
    </row>
    <row r="53" spans="2:4" ht="15.75" x14ac:dyDescent="0.25">
      <c r="B53" s="3" t="s">
        <v>83</v>
      </c>
      <c r="C53">
        <f>+GASTOS!D55/12</f>
        <v>213333.33333333334</v>
      </c>
      <c r="D53" s="11">
        <f t="shared" si="3"/>
        <v>2.9781293624941835E-2</v>
      </c>
    </row>
    <row r="58" spans="2:4" x14ac:dyDescent="0.25">
      <c r="B58" t="s">
        <v>54</v>
      </c>
      <c r="C58" s="10">
        <f>+C45</f>
        <v>7163333.333333333</v>
      </c>
    </row>
    <row r="64" spans="2:4" ht="15.75" x14ac:dyDescent="0.25">
      <c r="B64" s="2" t="s">
        <v>40</v>
      </c>
      <c r="C64" s="1">
        <f ca="1">+'INGRESOS Y PATRIMONIO'!E13*B76</f>
        <v>10000000</v>
      </c>
      <c r="D64">
        <f ca="1">+IF(C64=0,"",C64)</f>
        <v>10000000</v>
      </c>
    </row>
    <row r="65" spans="2:4" ht="15.75" x14ac:dyDescent="0.25">
      <c r="B65" s="2" t="s">
        <v>41</v>
      </c>
      <c r="C65" s="1">
        <f>+'INGRESOS Y PATRIMONIO'!E15</f>
        <v>0</v>
      </c>
      <c r="D65" t="str">
        <f t="shared" ref="D65:D67" si="4">+IF(C65=0,"",C65)</f>
        <v/>
      </c>
    </row>
    <row r="66" spans="2:4" ht="15.75" x14ac:dyDescent="0.25">
      <c r="B66" s="2" t="s">
        <v>42</v>
      </c>
      <c r="C66" s="1">
        <f>+'INGRESOS Y PATRIMONIO'!E16</f>
        <v>0</v>
      </c>
      <c r="D66" t="str">
        <f t="shared" si="4"/>
        <v/>
      </c>
    </row>
    <row r="67" spans="2:4" ht="15.75" x14ac:dyDescent="0.25">
      <c r="B67" s="2" t="s">
        <v>43</v>
      </c>
      <c r="C67" s="1">
        <f>+'INGRESOS Y PATRIMONIO'!E17</f>
        <v>0</v>
      </c>
      <c r="D67" t="str">
        <f t="shared" si="4"/>
        <v/>
      </c>
    </row>
    <row r="68" spans="2:4" x14ac:dyDescent="0.25">
      <c r="D68">
        <f ca="1">+COUNT(D64:D67)</f>
        <v>1</v>
      </c>
    </row>
    <row r="71" spans="2:4" x14ac:dyDescent="0.25">
      <c r="B71" s="59"/>
    </row>
    <row r="72" spans="2:4" x14ac:dyDescent="0.25">
      <c r="B72" s="60">
        <f ca="1">+TODAY()</f>
        <v>43999</v>
      </c>
    </row>
    <row r="73" spans="2:4" x14ac:dyDescent="0.25">
      <c r="B73" s="60">
        <v>44012</v>
      </c>
    </row>
    <row r="74" spans="2:4" x14ac:dyDescent="0.25">
      <c r="B74" s="61">
        <f ca="1">+B73-B72</f>
        <v>13</v>
      </c>
    </row>
    <row r="75" spans="2:4" x14ac:dyDescent="0.25">
      <c r="B75" s="62"/>
    </row>
    <row r="76" spans="2:4" x14ac:dyDescent="0.25">
      <c r="B76" s="62">
        <f ca="1">+IF(B74&gt;0,1,0)</f>
        <v>1</v>
      </c>
    </row>
    <row r="77" spans="2:4" x14ac:dyDescent="0.25">
      <c r="B77" s="62"/>
    </row>
    <row r="78" spans="2:4" x14ac:dyDescent="0.25">
      <c r="B78" s="5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60"/>
  <sheetViews>
    <sheetView tabSelected="1" topLeftCell="A16" zoomScale="85" zoomScaleNormal="85" workbookViewId="0">
      <selection activeCell="C45" sqref="C45"/>
    </sheetView>
  </sheetViews>
  <sheetFormatPr baseColWidth="10" defaultRowHeight="15" x14ac:dyDescent="0.25"/>
  <cols>
    <col min="1" max="1" width="4.28515625" style="29" customWidth="1"/>
    <col min="2" max="2" width="32.7109375" style="29" customWidth="1"/>
    <col min="3" max="3" width="24.42578125" style="29" customWidth="1"/>
    <col min="4" max="4" width="20.42578125" style="29" customWidth="1"/>
    <col min="5" max="5" width="20.28515625" style="29" customWidth="1"/>
    <col min="6" max="6" width="22.140625" style="29" customWidth="1"/>
    <col min="7" max="7" width="8.140625" style="29" customWidth="1"/>
    <col min="8" max="16384" width="11.42578125" style="29"/>
  </cols>
  <sheetData>
    <row r="3" spans="2:12" s="12" customFormat="1" x14ac:dyDescent="0.25"/>
    <row r="4" spans="2:12" s="12" customFormat="1" x14ac:dyDescent="0.25"/>
    <row r="5" spans="2:12" s="12" customFormat="1" ht="33.75" x14ac:dyDescent="0.5">
      <c r="C5" s="68" t="s">
        <v>65</v>
      </c>
      <c r="D5" s="68"/>
      <c r="E5" s="68"/>
      <c r="F5" s="68"/>
      <c r="G5" s="68"/>
      <c r="H5" s="68"/>
      <c r="I5" s="68"/>
    </row>
    <row r="6" spans="2:12" s="12" customFormat="1" x14ac:dyDescent="0.25"/>
    <row r="7" spans="2:12" s="12" customFormat="1" ht="23.25" x14ac:dyDescent="0.35">
      <c r="C7" s="69" t="str">
        <f ca="1">+IF(HM!B76=0,"SIMULADOR DESHABILITADO","")</f>
        <v/>
      </c>
      <c r="D7" s="69"/>
      <c r="E7" s="69"/>
      <c r="F7" s="69"/>
    </row>
    <row r="8" spans="2:12" s="26" customFormat="1" ht="15.75" hidden="1" x14ac:dyDescent="0.25"/>
    <row r="10" spans="2:12" ht="18.75" x14ac:dyDescent="0.3">
      <c r="B10" s="26"/>
      <c r="C10" s="30" t="s">
        <v>22</v>
      </c>
      <c r="D10" s="30" t="s">
        <v>23</v>
      </c>
      <c r="E10" s="30" t="s">
        <v>59</v>
      </c>
      <c r="F10" s="30" t="s">
        <v>60</v>
      </c>
      <c r="H10" s="66" t="s">
        <v>85</v>
      </c>
      <c r="I10" s="67"/>
      <c r="J10" s="67"/>
      <c r="K10" s="67"/>
      <c r="L10" s="67"/>
    </row>
    <row r="11" spans="2:12" ht="15.75" x14ac:dyDescent="0.25">
      <c r="B11" s="26"/>
      <c r="C11" s="22"/>
      <c r="D11" s="22"/>
      <c r="E11" s="31"/>
      <c r="F11" s="31"/>
    </row>
    <row r="12" spans="2:12" ht="15.75" x14ac:dyDescent="0.25">
      <c r="B12" s="33" t="s">
        <v>38</v>
      </c>
      <c r="C12" s="35">
        <f ca="1">+'INGRESOS Y PATRIMONIO'!E11*HM!B76</f>
        <v>12000000</v>
      </c>
      <c r="D12" s="36">
        <f ca="1">+'INGRESOS Y PATRIMONIO'!F11*HM!B76</f>
        <v>10000000</v>
      </c>
      <c r="E12" s="35">
        <f ca="1">+'INGRESOS Y PATRIMONIO'!G11*HM!B76</f>
        <v>4500000</v>
      </c>
      <c r="F12" s="36">
        <f ca="1">+'INGRESOS Y PATRIMONIO'!H11*HM!B76</f>
        <v>0</v>
      </c>
    </row>
    <row r="13" spans="2:12" ht="15.75" x14ac:dyDescent="0.25">
      <c r="B13" s="33"/>
      <c r="C13" s="26"/>
      <c r="D13" s="26"/>
      <c r="E13" s="26"/>
      <c r="F13" s="26"/>
    </row>
    <row r="14" spans="2:12" ht="15.75" x14ac:dyDescent="0.25">
      <c r="B14" s="33" t="s">
        <v>54</v>
      </c>
      <c r="C14" s="35">
        <f>+GASTOS!D10+GASTOS!D22+GASTOS!D28+GASTOS!D37+GASTOS!D47/12+GASTOS!D55/12</f>
        <v>7163333.333333333</v>
      </c>
      <c r="D14" s="36">
        <f>+GASTOS!E10+GASTOS!E22+GASTOS!E28+GASTOS!E37+GASTOS!D47/12+GASTOS!D55/12</f>
        <v>7163333.333333333</v>
      </c>
      <c r="E14" s="35">
        <f>+D14</f>
        <v>7163333.333333333</v>
      </c>
      <c r="F14" s="36">
        <f>+D14</f>
        <v>7163333.333333333</v>
      </c>
    </row>
    <row r="15" spans="2:12" ht="15.75" x14ac:dyDescent="0.25">
      <c r="B15" s="33"/>
      <c r="C15" s="26"/>
      <c r="D15" s="26"/>
      <c r="E15" s="26"/>
      <c r="F15" s="26"/>
    </row>
    <row r="16" spans="2:12" ht="15.75" x14ac:dyDescent="0.25">
      <c r="B16" s="33" t="s">
        <v>55</v>
      </c>
      <c r="C16" s="35">
        <f>+OBLIGACIONES!D9</f>
        <v>1780000</v>
      </c>
      <c r="D16" s="36">
        <f>+C16</f>
        <v>1780000</v>
      </c>
      <c r="E16" s="35">
        <f>+D16</f>
        <v>1780000</v>
      </c>
      <c r="F16" s="36">
        <f>+D16</f>
        <v>1780000</v>
      </c>
    </row>
    <row r="17" spans="2:7" ht="15.75" x14ac:dyDescent="0.25">
      <c r="B17" s="33"/>
      <c r="C17" s="26"/>
      <c r="D17" s="26"/>
      <c r="E17" s="26"/>
      <c r="F17" s="26"/>
    </row>
    <row r="18" spans="2:7" ht="15.75" x14ac:dyDescent="0.25">
      <c r="B18" s="22" t="s">
        <v>56</v>
      </c>
      <c r="C18" s="37">
        <f ca="1">+C12-C14-C16*HM!B76</f>
        <v>3056666.666666667</v>
      </c>
      <c r="D18" s="38">
        <f ca="1">+D12-D14-D16</f>
        <v>1056666.666666667</v>
      </c>
      <c r="E18" s="37">
        <f ca="1">+(E12-E14-E16)*HM!B76</f>
        <v>-4443333.333333333</v>
      </c>
      <c r="F18" s="38">
        <f t="shared" ref="F18" ca="1" si="0">+F12-F14-F16</f>
        <v>-8943333.3333333321</v>
      </c>
    </row>
    <row r="19" spans="2:7" ht="15.75" x14ac:dyDescent="0.25">
      <c r="B19" s="33"/>
      <c r="C19" s="26"/>
      <c r="D19" s="26"/>
      <c r="E19" s="26"/>
      <c r="F19" s="26"/>
    </row>
    <row r="20" spans="2:7" ht="15.75" x14ac:dyDescent="0.25">
      <c r="B20" s="33"/>
      <c r="C20" s="26"/>
      <c r="D20" s="26"/>
      <c r="E20" s="26"/>
      <c r="F20" s="26"/>
    </row>
    <row r="21" spans="2:7" ht="30.75" customHeight="1" x14ac:dyDescent="0.25">
      <c r="B21" s="39" t="s">
        <v>76</v>
      </c>
      <c r="C21" s="40" t="str">
        <f ca="1">+IF(C18&gt;0,"ILIMITADO",'INGRESOS Y PATRIMONIO'!$F$26/RESULTADOS!C18*-1)</f>
        <v>ILIMITADO</v>
      </c>
      <c r="D21" s="41" t="str">
        <f ca="1">+IF(D18&gt;0,"ILIMITADO",'INGRESOS Y PATRIMONIO'!$F$26/RESULTADOS!D18*-1)</f>
        <v>ILIMITADO</v>
      </c>
      <c r="E21" s="40">
        <f ca="1">+IF(E18&gt;0,"ILIMITADO",'INGRESOS Y PATRIMONIO'!$F$26/RESULTADOS!E18*-1)</f>
        <v>6.7516879219804959</v>
      </c>
      <c r="F21" s="41">
        <f ca="1">+IF(F18&gt;0,"ILIMITADO",'INGRESOS Y PATRIMONIO'!$F$26/RESULTADOS!F18*-1)</f>
        <v>3.3544539694371975</v>
      </c>
    </row>
    <row r="22" spans="2:7" ht="31.5" x14ac:dyDescent="0.25">
      <c r="B22" s="39" t="s">
        <v>77</v>
      </c>
      <c r="C22" s="42" t="str">
        <f ca="1">+IF(C18&gt;0,"ILIMITADO",'INGRESOS Y PATRIMONIO'!$E$27/RESULTADOS!C18*-1)</f>
        <v>ILIMITADO</v>
      </c>
      <c r="D22" s="43" t="str">
        <f ca="1">+IF(D18&gt;0,"ILIMITADO",'INGRESOS Y PATRIMONIO'!$E$27/RESULTADOS!D18*-1)</f>
        <v>ILIMITADO</v>
      </c>
      <c r="E22" s="42">
        <f ca="1">+IF(E18&gt;0,"ILIMITADO",'INGRESOS Y PATRIMONIO'!$E$27/RESULTADOS!E18*-1)</f>
        <v>0</v>
      </c>
      <c r="F22" s="43">
        <f ca="1">+IF(F18&gt;0,"ILIMITADO",'INGRESOS Y PATRIMONIO'!$E$27/RESULTADOS!F18*-1)</f>
        <v>0</v>
      </c>
    </row>
    <row r="23" spans="2:7" ht="15.75" x14ac:dyDescent="0.25">
      <c r="B23" s="33"/>
      <c r="C23" s="44"/>
      <c r="D23" s="33"/>
      <c r="E23" s="33"/>
      <c r="F23" s="33"/>
      <c r="G23" s="45"/>
    </row>
    <row r="24" spans="2:7" ht="15.75" x14ac:dyDescent="0.25">
      <c r="B24" s="22" t="s">
        <v>78</v>
      </c>
      <c r="C24" s="46" t="str">
        <f ca="1">+IF(C18&gt;0,"ILIMITADO",SUM(C21:C22))</f>
        <v>ILIMITADO</v>
      </c>
      <c r="D24" s="47" t="str">
        <f ca="1">+IF(D18&gt;0,"ILIMITADO",SUM(D21:D22))</f>
        <v>ILIMITADO</v>
      </c>
      <c r="E24" s="46">
        <f t="shared" ref="E24" ca="1" si="1">+IF(E18&gt;0,"ILIMITADO",SUM(E21:E22))</f>
        <v>6.7516879219804959</v>
      </c>
      <c r="F24" s="47">
        <f ca="1">+IF(F18&gt;0,"ILIMITADO",SUM(F21:F22))</f>
        <v>3.3544539694371975</v>
      </c>
    </row>
    <row r="25" spans="2:7" ht="15.75" x14ac:dyDescent="0.25">
      <c r="B25" s="33"/>
      <c r="C25" s="44"/>
      <c r="D25" s="33"/>
      <c r="E25" s="33"/>
      <c r="F25" s="33"/>
    </row>
    <row r="26" spans="2:7" ht="15.75" x14ac:dyDescent="0.25">
      <c r="B26" s="22" t="s">
        <v>79</v>
      </c>
      <c r="C26" s="48" t="str">
        <f ca="1">+IF(C18&gt;0,"ILIMITADO",C24/12)</f>
        <v>ILIMITADO</v>
      </c>
      <c r="D26" s="49" t="str">
        <f t="shared" ref="D26:F26" ca="1" si="2">+IF(D18&gt;0,"ILIMITADO",D24/12)</f>
        <v>ILIMITADO</v>
      </c>
      <c r="E26" s="48">
        <f t="shared" ca="1" si="2"/>
        <v>0.56264066016504133</v>
      </c>
      <c r="F26" s="49">
        <f t="shared" ca="1" si="2"/>
        <v>0.27953783078643313</v>
      </c>
    </row>
    <row r="28" spans="2:7" ht="15.75" thickBot="1" x14ac:dyDescent="0.3"/>
    <row r="29" spans="2:7" ht="24" thickBot="1" x14ac:dyDescent="0.4">
      <c r="B29" s="70" t="s">
        <v>64</v>
      </c>
      <c r="C29" s="71"/>
      <c r="D29" s="71"/>
      <c r="E29" s="71"/>
      <c r="F29" s="71"/>
      <c r="G29" s="72"/>
    </row>
    <row r="30" spans="2:7" ht="15.75" thickBot="1" x14ac:dyDescent="0.3">
      <c r="C30" s="45"/>
      <c r="D30" s="45"/>
    </row>
    <row r="31" spans="2:7" x14ac:dyDescent="0.25">
      <c r="B31" s="73" t="s">
        <v>38</v>
      </c>
      <c r="C31" s="50" t="str">
        <f ca="1">+IF(HM!D68&lt;=2,"DEBES BUSCAR FUENTES DE INGRESOS ADICIONALES","PROCURA TENER INGRESOS PASIVOS")</f>
        <v>DEBES BUSCAR FUENTES DE INGRESOS ADICIONALES</v>
      </c>
      <c r="D31" s="50"/>
      <c r="E31" s="50"/>
      <c r="F31" s="50"/>
      <c r="G31" s="51"/>
    </row>
    <row r="32" spans="2:7" x14ac:dyDescent="0.25">
      <c r="B32" s="74"/>
      <c r="C32" s="45" t="str">
        <f ca="1">+IF(C18&lt;C12/10,"DESARROLLA ESTRATEGIAS PARA AUMENTAR INGRESOS","")</f>
        <v/>
      </c>
      <c r="D32" s="45"/>
      <c r="E32" s="45"/>
      <c r="F32" s="45"/>
      <c r="G32" s="52"/>
    </row>
    <row r="33" spans="2:12" x14ac:dyDescent="0.25">
      <c r="B33" s="74"/>
      <c r="C33" s="77" t="str">
        <f>+IF('INGRESOS Y PATRIMONIO'!H11&lt;'INGRESOS Y PATRIMONIO'!E13*0.3,"SI TIENES UN CONTRATO LABORAL QUE ES SUSPENDIDO CUENTAS  CON UNA LIQUIDEZ ADCIONAL GRACIAS A LA INDEMNIZACIÓN, INCLUYELA EN CESANTIAS Y VUELVE A SIMULAR PARA TENER UN RESULTADO MAS REAL ","")</f>
        <v xml:space="preserve">SI TIENES UN CONTRATO LABORAL QUE ES SUSPENDIDO CUENTAS  CON UNA LIQUIDEZ ADCIONAL GRACIAS A LA INDEMNIZACIÓN, INCLUYELA EN CESANTIAS Y VUELVE A SIMULAR PARA TENER UN RESULTADO MAS REAL </v>
      </c>
      <c r="D33" s="78"/>
      <c r="E33" s="78"/>
      <c r="F33" s="78"/>
      <c r="G33" s="79"/>
    </row>
    <row r="34" spans="2:12" ht="22.5" customHeight="1" x14ac:dyDescent="0.35">
      <c r="B34" s="74"/>
      <c r="C34" s="77"/>
      <c r="D34" s="78"/>
      <c r="E34" s="78"/>
      <c r="F34" s="78"/>
      <c r="G34" s="79"/>
      <c r="I34" s="53" t="s">
        <v>73</v>
      </c>
      <c r="J34" s="54"/>
      <c r="K34" s="65">
        <f>+HM!C23-HM!C31</f>
        <v>30000000</v>
      </c>
      <c r="L34" s="65"/>
    </row>
    <row r="35" spans="2:12" ht="15.75" thickBot="1" x14ac:dyDescent="0.3">
      <c r="B35" s="75"/>
      <c r="C35" s="55"/>
      <c r="D35" s="55"/>
      <c r="E35" s="55"/>
      <c r="F35" s="55"/>
      <c r="G35" s="56"/>
    </row>
    <row r="36" spans="2:12" x14ac:dyDescent="0.25">
      <c r="B36" s="73" t="s">
        <v>54</v>
      </c>
      <c r="C36" s="50" t="str">
        <f ca="1">+IF(C14&gt;C12*0.7,"DEBES ELIMINIAR GASTOS INECESARIOS","")</f>
        <v/>
      </c>
      <c r="D36" s="50"/>
      <c r="E36" s="50"/>
      <c r="F36" s="50"/>
      <c r="G36" s="51"/>
    </row>
    <row r="37" spans="2:12" x14ac:dyDescent="0.25">
      <c r="B37" s="74"/>
      <c r="C37" s="45" t="str">
        <f>+IF(GASTOS!D37&gt;RESULTADOS!C14*0.2,"ENTRETENIMIENTO SE ENCUENTRA EN LIMITES NO SOSTENIBLES","")</f>
        <v/>
      </c>
      <c r="D37" s="45"/>
      <c r="E37" s="45"/>
      <c r="F37" s="45"/>
      <c r="G37" s="52"/>
    </row>
    <row r="38" spans="2:12" x14ac:dyDescent="0.25">
      <c r="B38" s="74"/>
      <c r="C38" s="45"/>
      <c r="D38" s="45"/>
      <c r="E38" s="45"/>
      <c r="F38" s="45"/>
      <c r="G38" s="52"/>
    </row>
    <row r="39" spans="2:12" ht="15.75" thickBot="1" x14ac:dyDescent="0.3">
      <c r="B39" s="75"/>
      <c r="C39" s="55"/>
      <c r="D39" s="55"/>
      <c r="E39" s="55"/>
      <c r="F39" s="55"/>
      <c r="G39" s="56"/>
    </row>
    <row r="40" spans="2:12" x14ac:dyDescent="0.25">
      <c r="B40" s="73" t="s">
        <v>34</v>
      </c>
      <c r="C40" s="50" t="str">
        <f ca="1">+IF(C16&gt;C12*0.1,"DEBES BUSCAR UNA REFINANCIACION DE LA DEUDA , MEJORA TU FLUJO DE CAJA","")</f>
        <v>DEBES BUSCAR UNA REFINANCIACION DE LA DEUDA , MEJORA TU FLUJO DE CAJA</v>
      </c>
      <c r="D40" s="50"/>
      <c r="E40" s="50"/>
      <c r="F40" s="50"/>
      <c r="G40" s="51"/>
    </row>
    <row r="41" spans="2:12" x14ac:dyDescent="0.25">
      <c r="B41" s="74"/>
      <c r="C41" s="45" t="str">
        <f ca="1">+(IF('INGRESOS Y PATRIMONIO'!E34&gt;RESULTADOS!C12*0.1,"LAS TARJETAS DE CREDITO SON SOLO UN MEDIO DE PAGO, BUSCA SALDAR ESTA DEUDA",""))</f>
        <v>LAS TARJETAS DE CREDITO SON SOLO UN MEDIO DE PAGO, BUSCA SALDAR ESTA DEUDA</v>
      </c>
      <c r="D41" s="45"/>
      <c r="E41" s="45"/>
      <c r="F41" s="45"/>
      <c r="G41" s="52"/>
    </row>
    <row r="42" spans="2:12" x14ac:dyDescent="0.25">
      <c r="B42" s="74"/>
      <c r="C42" s="58" t="str">
        <f>+IF(OBLIGACIONES!D9&gt;0,"VALIDA CON TU ENTIDAD FINANCIERA LOS ALIVIOS  PARA CONGELAR CUOTAS Y MEJORAR TU FLUJO DE CAJA","")</f>
        <v>VALIDA CON TU ENTIDAD FINANCIERA LOS ALIVIOS  PARA CONGELAR CUOTAS Y MEJORAR TU FLUJO DE CAJA</v>
      </c>
      <c r="D42" s="45"/>
      <c r="E42" s="45"/>
      <c r="F42" s="45"/>
      <c r="G42" s="52"/>
    </row>
    <row r="43" spans="2:12" ht="15.75" thickBot="1" x14ac:dyDescent="0.3">
      <c r="B43" s="75"/>
      <c r="C43" s="55"/>
      <c r="D43" s="55"/>
      <c r="E43" s="55"/>
      <c r="F43" s="55"/>
      <c r="G43" s="56"/>
    </row>
    <row r="44" spans="2:12" x14ac:dyDescent="0.25">
      <c r="B44" s="73" t="s">
        <v>63</v>
      </c>
      <c r="C44" s="50" t="str">
        <f ca="1">+IF(C18&lt;C12*0.1,"GESTIONA TUS INGRESOS Y GASTOS , YA QUE NO TIENES CAPACIDAD DE AHORRO","")</f>
        <v/>
      </c>
      <c r="D44" s="50"/>
      <c r="E44" s="50"/>
      <c r="F44" s="50"/>
      <c r="G44" s="51"/>
    </row>
    <row r="45" spans="2:12" x14ac:dyDescent="0.25">
      <c r="B45" s="74"/>
      <c r="C45" s="45" t="str">
        <f ca="1">+IF(('INGRESOS Y PATRIMONIO'!E26+'INGRESOS Y PATRIMONIO'!E27)&lt;RESULTADOS!D18*-1*12,"NO TIENES UN FONDO DE EMERGENCIAS ROBUSTO , DEBES CONSTRUITRLO","")</f>
        <v/>
      </c>
      <c r="D45" s="45"/>
      <c r="E45" s="45"/>
      <c r="F45" s="45"/>
      <c r="G45" s="52"/>
    </row>
    <row r="46" spans="2:12" x14ac:dyDescent="0.25">
      <c r="B46" s="74"/>
      <c r="C46" s="45" t="str">
        <f ca="1">+IF(D24&lt;12,"DEBES EVALUAR LIQUIDAR PASIVOS NO RENTABLES","")</f>
        <v/>
      </c>
      <c r="D46" s="45"/>
      <c r="E46" s="45"/>
      <c r="F46" s="45"/>
      <c r="G46" s="52"/>
    </row>
    <row r="47" spans="2:12" x14ac:dyDescent="0.25">
      <c r="B47" s="74"/>
      <c r="C47" s="45" t="str">
        <f ca="1">+IF(E26&gt;1,"FELICIDADES AUN EN UN ESCENARIO BAJO TIENES UN BUEN FONDO DE EMERGENCIAS","")</f>
        <v/>
      </c>
      <c r="D47" s="45"/>
      <c r="E47" s="45"/>
      <c r="F47" s="45"/>
      <c r="G47" s="52"/>
    </row>
    <row r="48" spans="2:12" x14ac:dyDescent="0.25">
      <c r="B48" s="76"/>
      <c r="C48" s="45" t="str">
        <f ca="1">+IF(C18&gt;C12*0.1,"DEBES EXPLORAR ALTERNATIVAS DE INVERSION QUE RENTABILICEN TU DINERO","")</f>
        <v>DEBES EXPLORAR ALTERNATIVAS DE INVERSION QUE RENTABILICEN TU DINERO</v>
      </c>
      <c r="D48" s="45"/>
      <c r="E48" s="45"/>
      <c r="F48" s="45"/>
      <c r="G48" s="52"/>
    </row>
    <row r="49" spans="2:13" ht="15.75" thickBot="1" x14ac:dyDescent="0.3">
      <c r="B49" s="75"/>
      <c r="C49" s="55" t="str">
        <f>+IF(GASTOS!D47/12&lt;'INGRESOS Y PATRIMONIO'!E11*0.05," LOS SEGUROS SON LA MEJOR OPCION PARA TRASLADAR RIESGOS Y EVITAR GASTOS OCULTOS","")</f>
        <v xml:space="preserve"> LOS SEGUROS SON LA MEJOR OPCION PARA TRASLADAR RIESGOS Y EVITAR GASTOS OCULTOS</v>
      </c>
      <c r="D49" s="55"/>
      <c r="E49" s="55"/>
      <c r="F49" s="55"/>
      <c r="G49" s="56"/>
    </row>
    <row r="54" spans="2:13" ht="15" customHeight="1" x14ac:dyDescent="0.25"/>
    <row r="55" spans="2:13" ht="28.5" customHeight="1" x14ac:dyDescent="0.25"/>
    <row r="59" spans="2:13" x14ac:dyDescent="0.25">
      <c r="B59" s="64" t="s">
        <v>86</v>
      </c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</row>
    <row r="60" spans="2:13" x14ac:dyDescent="0.25"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</row>
  </sheetData>
  <sheetProtection algorithmName="SHA-512" hashValue="U+ANLemyW3nMWakdqlTPiBiB7A91Stu2NyyDP1pJnC9DZy++qB0zUD56xhZNxiQgOGE8sacqi22qkUUZugWvkg==" saltValue="mqQ2cxBCCcZoQI6x/u+57w==" spinCount="100000" sheet="1" objects="1" scenarios="1"/>
  <mergeCells count="11">
    <mergeCell ref="B59:M60"/>
    <mergeCell ref="K34:L34"/>
    <mergeCell ref="H10:L10"/>
    <mergeCell ref="C5:I5"/>
    <mergeCell ref="C7:F7"/>
    <mergeCell ref="B29:G29"/>
    <mergeCell ref="B31:B35"/>
    <mergeCell ref="B36:B39"/>
    <mergeCell ref="B40:B43"/>
    <mergeCell ref="B44:B49"/>
    <mergeCell ref="C33:G34"/>
  </mergeCells>
  <pageMargins left="0.7" right="0.7" top="0.75" bottom="0.75" header="0.3" footer="0.3"/>
  <ignoredErrors>
    <ignoredError sqref="E18" formula="1"/>
  </ignoredErrors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0B3A84A-66DD-4847-AD7A-6D2FBFFC088F}">
            <xm:f>HM!$B$76=0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B10:G32 B35:G49 B33:C33 B34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GASTOS</vt:lpstr>
      <vt:lpstr>OBLIGACIONES</vt:lpstr>
      <vt:lpstr>INGRESOS Y PATRIMONIO</vt:lpstr>
      <vt:lpstr>HM</vt:lpstr>
      <vt:lpstr>RESULTADOS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GUZMAn</dc:creator>
  <cp:lastModifiedBy>usuario</cp:lastModifiedBy>
  <dcterms:created xsi:type="dcterms:W3CDTF">2020-03-24T14:47:42Z</dcterms:created>
  <dcterms:modified xsi:type="dcterms:W3CDTF">2020-06-17T15:22:45Z</dcterms:modified>
</cp:coreProperties>
</file>