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LIONS_CLUB\BP\finance\"/>
    </mc:Choice>
  </mc:AlternateContent>
  <xr:revisionPtr revIDLastSave="0" documentId="13_ncr:1_{995E3A79-360E-4A06-81A8-B2B52FCDAABB}" xr6:coauthVersionLast="47" xr6:coauthVersionMax="47" xr10:uidLastSave="{00000000-0000-0000-0000-000000000000}"/>
  <bookViews>
    <workbookView xWindow="-108" yWindow="-108" windowWidth="23256" windowHeight="12456" tabRatio="668" firstSheet="5" activeTab="11" xr2:uid="{00000000-000D-0000-FFFF-FFFF00000000}"/>
  </bookViews>
  <sheets>
    <sheet name="estimation_working" sheetId="1" r:id="rId1"/>
    <sheet name="Feuil2" sheetId="2" r:id="rId2"/>
    <sheet name="estimate_day_vape" sheetId="6" r:id="rId3"/>
    <sheet name="estimate_day_food" sheetId="5" r:id="rId4"/>
    <sheet name="estimate_day_game" sheetId="7" r:id="rId5"/>
    <sheet name="estimate_day_ticket" sheetId="9" r:id="rId6"/>
    <sheet name="total_estimate" sheetId="8" r:id="rId7"/>
    <sheet name="margin_vat" sheetId="3" r:id="rId8"/>
    <sheet name="charges" sheetId="10" r:id="rId9"/>
    <sheet name="total_final" sheetId="11" r:id="rId10"/>
    <sheet name="cumulative_total" sheetId="13" r:id="rId11"/>
    <sheet name="graph" sheetId="12" r:id="rId12"/>
  </sheet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2" i="3"/>
  <c r="D24" i="3"/>
  <c r="C15" i="10"/>
  <c r="C16" i="10"/>
  <c r="C17" i="10"/>
  <c r="C18" i="10"/>
  <c r="D23" i="10"/>
  <c r="H13" i="10"/>
  <c r="D26" i="10"/>
  <c r="D24" i="10"/>
  <c r="H6" i="10"/>
  <c r="H11" i="10"/>
  <c r="H5" i="10"/>
  <c r="O2" i="11"/>
  <c r="C2" i="11"/>
  <c r="I2" i="11" s="1"/>
  <c r="D22" i="10"/>
  <c r="I10" i="1"/>
  <c r="I9" i="1" s="1"/>
  <c r="I8" i="1" s="1"/>
  <c r="I7" i="1" s="1"/>
  <c r="I6" i="1" s="1"/>
  <c r="I5" i="1" s="1"/>
  <c r="I4" i="1" s="1"/>
  <c r="I3" i="1" s="1"/>
  <c r="I11" i="1"/>
  <c r="I12" i="1"/>
  <c r="M34" i="1"/>
  <c r="K37" i="1"/>
  <c r="K38" i="1"/>
  <c r="N38" i="1"/>
  <c r="K39" i="1"/>
  <c r="K40" i="1"/>
  <c r="K41" i="1"/>
  <c r="K42" i="1"/>
  <c r="P42" i="1"/>
  <c r="K43" i="1"/>
  <c r="P43" i="1"/>
  <c r="K44" i="1"/>
  <c r="P44" i="1"/>
  <c r="K45" i="1"/>
  <c r="P45" i="1"/>
  <c r="K46" i="1"/>
  <c r="P46" i="1"/>
  <c r="K47" i="1"/>
  <c r="P47" i="1"/>
  <c r="P48" i="1" s="1"/>
  <c r="P49" i="1" s="1"/>
  <c r="K48" i="1"/>
  <c r="K50" i="1"/>
  <c r="C21" i="10"/>
  <c r="D21" i="10" s="1"/>
  <c r="C19" i="10"/>
  <c r="D19" i="10" s="1"/>
  <c r="D20" i="10"/>
  <c r="D14" i="10"/>
  <c r="D13" i="10"/>
  <c r="C23" i="3"/>
  <c r="C24" i="3" s="1"/>
  <c r="C25" i="3" s="1"/>
  <c r="C26" i="3" s="1"/>
  <c r="D26" i="3" s="1"/>
  <c r="C16" i="3"/>
  <c r="D16" i="3" s="1"/>
  <c r="C9" i="3"/>
  <c r="D9" i="3" s="1"/>
  <c r="C2" i="3"/>
  <c r="C28" i="10"/>
  <c r="D28" i="10" s="1"/>
  <c r="C27" i="10"/>
  <c r="J5" i="8"/>
  <c r="C12" i="10"/>
  <c r="D12" i="10" s="1"/>
  <c r="D30" i="10"/>
  <c r="D29" i="10"/>
  <c r="D25" i="10"/>
  <c r="D18" i="10"/>
  <c r="D17" i="10"/>
  <c r="D16" i="10"/>
  <c r="D15" i="10"/>
  <c r="D11" i="10"/>
  <c r="D10" i="10"/>
  <c r="D9" i="10"/>
  <c r="D8" i="10"/>
  <c r="D7" i="10"/>
  <c r="D6" i="10"/>
  <c r="D5" i="10"/>
  <c r="D4" i="10"/>
  <c r="D3" i="10"/>
  <c r="D2" i="10"/>
  <c r="G13" i="1"/>
  <c r="C5" i="5"/>
  <c r="C3" i="5"/>
  <c r="I13" i="1"/>
  <c r="C6" i="5"/>
  <c r="C13" i="1"/>
  <c r="O22" i="1"/>
  <c r="O23" i="1"/>
  <c r="B2" i="11" l="1"/>
  <c r="B2" i="13" s="1"/>
  <c r="D25" i="3"/>
  <c r="D23" i="3"/>
  <c r="D2" i="3"/>
  <c r="Q2" i="11"/>
  <c r="J2" i="11"/>
  <c r="L2" i="11"/>
  <c r="H10" i="10"/>
  <c r="M2" i="11"/>
  <c r="H9" i="10"/>
  <c r="N2" i="11"/>
  <c r="H8" i="10"/>
  <c r="C27" i="3"/>
  <c r="D27" i="3" s="1"/>
  <c r="D27" i="10"/>
  <c r="E13" i="1"/>
  <c r="C28" i="3" l="1"/>
  <c r="D28" i="3" s="1"/>
  <c r="J23" i="3"/>
  <c r="I18" i="1"/>
  <c r="N14" i="1"/>
  <c r="E2" i="6"/>
  <c r="E3" i="6"/>
  <c r="E4" i="6"/>
  <c r="E5" i="6"/>
  <c r="E6" i="6"/>
  <c r="C2" i="5"/>
  <c r="G2" i="5" s="1"/>
  <c r="C4" i="5"/>
  <c r="J4" i="8"/>
  <c r="C5" i="9"/>
  <c r="C6" i="9"/>
  <c r="C4" i="9"/>
  <c r="C3" i="9"/>
  <c r="C2" i="9"/>
  <c r="F6" i="9"/>
  <c r="F5" i="9"/>
  <c r="F4" i="9"/>
  <c r="F3" i="9"/>
  <c r="G3" i="9" s="1"/>
  <c r="F2" i="9"/>
  <c r="G2" i="9" s="1"/>
  <c r="D4" i="6"/>
  <c r="D2" i="6"/>
  <c r="D9" i="8"/>
  <c r="D8" i="8"/>
  <c r="G6" i="7"/>
  <c r="F6" i="7"/>
  <c r="F5" i="7"/>
  <c r="G5" i="7"/>
  <c r="F4" i="7"/>
  <c r="G4" i="7"/>
  <c r="F3" i="7"/>
  <c r="D7" i="8" s="1"/>
  <c r="F7" i="8" s="1"/>
  <c r="G3" i="7"/>
  <c r="G2" i="7"/>
  <c r="F2" i="7"/>
  <c r="C29" i="3" l="1"/>
  <c r="D29" i="3" s="1"/>
  <c r="J24" i="3"/>
  <c r="G6" i="9"/>
  <c r="G5" i="9"/>
  <c r="G4" i="9"/>
  <c r="F8" i="8"/>
  <c r="F9" i="8"/>
  <c r="G4" i="6"/>
  <c r="F3" i="6"/>
  <c r="F5" i="6"/>
  <c r="F6" i="6"/>
  <c r="G3" i="6"/>
  <c r="G5" i="6"/>
  <c r="G6" i="6"/>
  <c r="F4" i="6"/>
  <c r="F2" i="6"/>
  <c r="G2" i="6"/>
  <c r="G3" i="5"/>
  <c r="F3" i="5"/>
  <c r="F4" i="5"/>
  <c r="G4" i="5" s="1"/>
  <c r="F5" i="5"/>
  <c r="G5" i="5" s="1"/>
  <c r="D3" i="8" s="1"/>
  <c r="F3" i="8" s="1"/>
  <c r="F6" i="5"/>
  <c r="G6" i="5" s="1"/>
  <c r="F2" i="5"/>
  <c r="C18" i="1"/>
  <c r="N17" i="1"/>
  <c r="O17" i="1" s="1"/>
  <c r="N15" i="1"/>
  <c r="O15" i="1" s="1"/>
  <c r="N16" i="1"/>
  <c r="C12" i="1"/>
  <c r="E18" i="1"/>
  <c r="O6" i="1"/>
  <c r="O9" i="1"/>
  <c r="O11" i="1"/>
  <c r="O14" i="1"/>
  <c r="E15" i="1"/>
  <c r="F15" i="1" s="1"/>
  <c r="O4" i="1"/>
  <c r="O5" i="1"/>
  <c r="O7" i="1"/>
  <c r="O8" i="1"/>
  <c r="O10" i="1"/>
  <c r="O12" i="1"/>
  <c r="O18" i="1"/>
  <c r="O19" i="1"/>
  <c r="O3" i="1"/>
  <c r="E12" i="1"/>
  <c r="D5" i="2"/>
  <c r="D2" i="2"/>
  <c r="D1" i="2"/>
  <c r="E11" i="1" l="1"/>
  <c r="J25" i="3"/>
  <c r="C10" i="3"/>
  <c r="J9" i="3"/>
  <c r="C3" i="3"/>
  <c r="D3" i="3" s="1"/>
  <c r="J2" i="3"/>
  <c r="C11" i="1"/>
  <c r="H9" i="3"/>
  <c r="D2" i="8"/>
  <c r="F2" i="8" s="1"/>
  <c r="D11" i="8"/>
  <c r="F11" i="8" s="1"/>
  <c r="J3" i="8" s="1"/>
  <c r="D10" i="8"/>
  <c r="F10" i="8" s="1"/>
  <c r="D6" i="8"/>
  <c r="F6" i="8" s="1"/>
  <c r="D5" i="8"/>
  <c r="F5" i="8" s="1"/>
  <c r="D4" i="8"/>
  <c r="F4" i="8" s="1"/>
  <c r="H2" i="3"/>
  <c r="E16" i="1"/>
  <c r="F16" i="1" s="1"/>
  <c r="O27" i="1" s="1"/>
  <c r="N27" i="1" s="1"/>
  <c r="O26" i="1"/>
  <c r="N26" i="1" s="1"/>
  <c r="O16" i="1"/>
  <c r="E10" i="1"/>
  <c r="H10" i="3" l="1"/>
  <c r="K10" i="3" s="1"/>
  <c r="D10" i="3"/>
  <c r="J3" i="3"/>
  <c r="K9" i="3"/>
  <c r="D34" i="10"/>
  <c r="C34" i="10" s="1"/>
  <c r="K2" i="3"/>
  <c r="C33" i="10"/>
  <c r="D33" i="10"/>
  <c r="J2" i="8"/>
  <c r="B13" i="1"/>
  <c r="J26" i="3"/>
  <c r="C4" i="3"/>
  <c r="D4" i="3" s="1"/>
  <c r="C11" i="3"/>
  <c r="D11" i="3" s="1"/>
  <c r="J10" i="3"/>
  <c r="H3" i="3"/>
  <c r="C10" i="1"/>
  <c r="G18" i="1"/>
  <c r="G12" i="1"/>
  <c r="O28" i="1"/>
  <c r="N28" i="1" s="1"/>
  <c r="E9" i="1"/>
  <c r="J4" i="3" l="1"/>
  <c r="K3" i="3"/>
  <c r="D46" i="1"/>
  <c r="B46" i="1"/>
  <c r="C46" i="1"/>
  <c r="C5" i="3"/>
  <c r="D5" i="3" s="1"/>
  <c r="C17" i="3"/>
  <c r="H16" i="3"/>
  <c r="J16" i="3"/>
  <c r="E2" i="11" s="1"/>
  <c r="N20" i="1"/>
  <c r="O20" i="1" s="1"/>
  <c r="N21" i="1"/>
  <c r="O21" i="1" s="1"/>
  <c r="H4" i="3"/>
  <c r="J27" i="3"/>
  <c r="J11" i="3"/>
  <c r="H11" i="3"/>
  <c r="K11" i="3" s="1"/>
  <c r="C12" i="3"/>
  <c r="D12" i="3" s="1"/>
  <c r="G11" i="1"/>
  <c r="B12" i="1"/>
  <c r="D45" i="1" s="1"/>
  <c r="C9" i="1"/>
  <c r="E8" i="1"/>
  <c r="B3" i="11" l="1"/>
  <c r="D17" i="3"/>
  <c r="J5" i="3"/>
  <c r="K4" i="3"/>
  <c r="M16" i="3"/>
  <c r="M17" i="3" s="1"/>
  <c r="D2" i="11"/>
  <c r="C31" i="10" s="1"/>
  <c r="B3" i="13"/>
  <c r="C3" i="11"/>
  <c r="C35" i="10"/>
  <c r="D35" i="10"/>
  <c r="H5" i="3"/>
  <c r="C6" i="3"/>
  <c r="D6" i="3" s="1"/>
  <c r="C45" i="1"/>
  <c r="B45" i="1"/>
  <c r="K16" i="3"/>
  <c r="F2" i="11" s="1"/>
  <c r="G2" i="11" s="1"/>
  <c r="H17" i="3"/>
  <c r="D3" i="11" s="1"/>
  <c r="C18" i="3"/>
  <c r="J17" i="3"/>
  <c r="E3" i="11" s="1"/>
  <c r="J28" i="3"/>
  <c r="J12" i="3"/>
  <c r="C13" i="3"/>
  <c r="D13" i="3" s="1"/>
  <c r="H12" i="3"/>
  <c r="K12" i="3" s="1"/>
  <c r="C8" i="1"/>
  <c r="G10" i="1"/>
  <c r="B11" i="1"/>
  <c r="D44" i="1" s="1"/>
  <c r="E7" i="1"/>
  <c r="B4" i="11" l="1"/>
  <c r="D18" i="3"/>
  <c r="J6" i="3"/>
  <c r="K5" i="3"/>
  <c r="Q3" i="11"/>
  <c r="I3" i="11"/>
  <c r="N3" i="11"/>
  <c r="O3" i="11"/>
  <c r="L3" i="11"/>
  <c r="J3" i="11"/>
  <c r="M3" i="11"/>
  <c r="B4" i="13"/>
  <c r="C4" i="11"/>
  <c r="P2" i="11"/>
  <c r="P4" i="11"/>
  <c r="H12" i="10"/>
  <c r="P3" i="11"/>
  <c r="H6" i="3"/>
  <c r="C7" i="3"/>
  <c r="D7" i="3" s="1"/>
  <c r="B44" i="1"/>
  <c r="C44" i="1"/>
  <c r="D31" i="10"/>
  <c r="J18" i="3"/>
  <c r="E4" i="11" s="1"/>
  <c r="H18" i="3"/>
  <c r="D4" i="11" s="1"/>
  <c r="C19" i="3"/>
  <c r="K17" i="3"/>
  <c r="F3" i="11" s="1"/>
  <c r="G3" i="11" s="1"/>
  <c r="J29" i="3"/>
  <c r="J13" i="3"/>
  <c r="C14" i="3"/>
  <c r="D14" i="3" s="1"/>
  <c r="H13" i="3"/>
  <c r="K13" i="3" s="1"/>
  <c r="G9" i="1"/>
  <c r="B10" i="1"/>
  <c r="C7" i="1"/>
  <c r="E6" i="1"/>
  <c r="H7" i="3" l="1"/>
  <c r="B5" i="11"/>
  <c r="D19" i="3"/>
  <c r="K7" i="3"/>
  <c r="B5" i="13"/>
  <c r="C5" i="11"/>
  <c r="Q4" i="11"/>
  <c r="O4" i="11"/>
  <c r="I4" i="11"/>
  <c r="L4" i="11"/>
  <c r="J4" i="11"/>
  <c r="N4" i="11"/>
  <c r="M4" i="11"/>
  <c r="K6" i="3"/>
  <c r="J7" i="3"/>
  <c r="C8" i="3"/>
  <c r="D8" i="3" s="1"/>
  <c r="N25" i="1"/>
  <c r="O25" i="1" s="1"/>
  <c r="C32" i="10"/>
  <c r="C43" i="1"/>
  <c r="B43" i="1"/>
  <c r="D43" i="1"/>
  <c r="J19" i="3"/>
  <c r="E5" i="11" s="1"/>
  <c r="C20" i="3"/>
  <c r="H19" i="3"/>
  <c r="D5" i="11" s="1"/>
  <c r="K18" i="3"/>
  <c r="F4" i="11" s="1"/>
  <c r="G4" i="11" s="1"/>
  <c r="J14" i="3"/>
  <c r="H14" i="3"/>
  <c r="K14" i="3" s="1"/>
  <c r="C15" i="3"/>
  <c r="D15" i="3" s="1"/>
  <c r="C6" i="1"/>
  <c r="G8" i="1"/>
  <c r="B9" i="1"/>
  <c r="D42" i="1" s="1"/>
  <c r="H8" i="3"/>
  <c r="E5" i="1"/>
  <c r="R10" i="1"/>
  <c r="U10" i="1"/>
  <c r="B6" i="11" l="1"/>
  <c r="D20" i="3"/>
  <c r="Q5" i="11"/>
  <c r="L5" i="11"/>
  <c r="N5" i="11"/>
  <c r="I5" i="11"/>
  <c r="M5" i="11"/>
  <c r="O5" i="11"/>
  <c r="J5" i="11"/>
  <c r="P5" i="11"/>
  <c r="B6" i="13"/>
  <c r="C6" i="11"/>
  <c r="K6" i="11" s="1"/>
  <c r="K8" i="3"/>
  <c r="J8" i="3"/>
  <c r="H2" i="11"/>
  <c r="C2" i="13" s="1"/>
  <c r="D2" i="13" s="1"/>
  <c r="E2" i="13" s="1"/>
  <c r="H5" i="11"/>
  <c r="C5" i="13" s="1"/>
  <c r="D5" i="13" s="1"/>
  <c r="H7" i="10"/>
  <c r="K4" i="11"/>
  <c r="K2" i="11"/>
  <c r="H6" i="11"/>
  <c r="C6" i="13" s="1"/>
  <c r="D6" i="13" s="1"/>
  <c r="H4" i="11"/>
  <c r="C4" i="13" s="1"/>
  <c r="D4" i="13" s="1"/>
  <c r="K3" i="11"/>
  <c r="H3" i="11"/>
  <c r="C3" i="13" s="1"/>
  <c r="D3" i="13" s="1"/>
  <c r="K5" i="11"/>
  <c r="D32" i="10"/>
  <c r="H2" i="10"/>
  <c r="I13" i="10" s="1"/>
  <c r="D41" i="1"/>
  <c r="C42" i="1"/>
  <c r="B42" i="1"/>
  <c r="K19" i="3"/>
  <c r="F5" i="11" s="1"/>
  <c r="G5" i="11" s="1"/>
  <c r="J20" i="3"/>
  <c r="E6" i="11" s="1"/>
  <c r="C21" i="3"/>
  <c r="H20" i="3"/>
  <c r="D6" i="11" s="1"/>
  <c r="J15" i="3"/>
  <c r="H15" i="3"/>
  <c r="K15" i="3" s="1"/>
  <c r="U9" i="1"/>
  <c r="R9" i="1"/>
  <c r="G7" i="1"/>
  <c r="B8" i="1"/>
  <c r="C5" i="1"/>
  <c r="E4" i="1"/>
  <c r="R11" i="1"/>
  <c r="U11" i="1"/>
  <c r="R12" i="1"/>
  <c r="U12" i="1"/>
  <c r="N13" i="1"/>
  <c r="N24" i="1" s="1"/>
  <c r="O24" i="1" s="1"/>
  <c r="B7" i="11" l="1"/>
  <c r="D21" i="3"/>
  <c r="B7" i="13"/>
  <c r="C7" i="11"/>
  <c r="Q6" i="11"/>
  <c r="M6" i="11"/>
  <c r="I6" i="11"/>
  <c r="L6" i="11"/>
  <c r="O6" i="11"/>
  <c r="N6" i="11"/>
  <c r="J6" i="11"/>
  <c r="P6" i="11"/>
  <c r="I7" i="10"/>
  <c r="I11" i="10"/>
  <c r="I5" i="10"/>
  <c r="I6" i="10"/>
  <c r="I10" i="10"/>
  <c r="I9" i="10"/>
  <c r="I8" i="10"/>
  <c r="I12" i="10"/>
  <c r="E3" i="13"/>
  <c r="E4" i="13" s="1"/>
  <c r="E5" i="13" s="1"/>
  <c r="E6" i="13" s="1"/>
  <c r="C41" i="1"/>
  <c r="B41" i="1"/>
  <c r="J21" i="3"/>
  <c r="E7" i="11" s="1"/>
  <c r="C22" i="3"/>
  <c r="H21" i="3"/>
  <c r="D7" i="11" s="1"/>
  <c r="K20" i="3"/>
  <c r="F6" i="11" s="1"/>
  <c r="G6" i="11" s="1"/>
  <c r="U8" i="1"/>
  <c r="R8" i="1"/>
  <c r="G6" i="1"/>
  <c r="B7" i="1"/>
  <c r="C4" i="1"/>
  <c r="O13" i="1"/>
  <c r="O29" i="1" s="1"/>
  <c r="P3" i="1"/>
  <c r="K13" i="1" s="1"/>
  <c r="L13" i="1" s="1"/>
  <c r="E3" i="1"/>
  <c r="R13" i="1"/>
  <c r="U13" i="1"/>
  <c r="B8" i="11" l="1"/>
  <c r="D22" i="3"/>
  <c r="Q7" i="11"/>
  <c r="L7" i="11"/>
  <c r="O7" i="11"/>
  <c r="J7" i="11"/>
  <c r="M7" i="11"/>
  <c r="N7" i="11"/>
  <c r="I7" i="11"/>
  <c r="P7" i="11"/>
  <c r="H7" i="11"/>
  <c r="C7" i="13" s="1"/>
  <c r="D7" i="13" s="1"/>
  <c r="E7" i="13" s="1"/>
  <c r="K7" i="11"/>
  <c r="B8" i="13"/>
  <c r="C8" i="11"/>
  <c r="C40" i="1"/>
  <c r="B40" i="1"/>
  <c r="D40" i="1"/>
  <c r="K21" i="3"/>
  <c r="F7" i="11" s="1"/>
  <c r="G7" i="11" s="1"/>
  <c r="J22" i="3"/>
  <c r="E8" i="11" s="1"/>
  <c r="H22" i="3"/>
  <c r="D8" i="11" s="1"/>
  <c r="U7" i="1"/>
  <c r="R7" i="1"/>
  <c r="G5" i="1"/>
  <c r="B6" i="1"/>
  <c r="C3" i="1"/>
  <c r="Q7" i="1"/>
  <c r="T12" i="1"/>
  <c r="V12" i="1" s="1"/>
  <c r="T6" i="1"/>
  <c r="Q8" i="1"/>
  <c r="S8" i="1" s="1"/>
  <c r="Q5" i="1"/>
  <c r="Q12" i="1"/>
  <c r="S12" i="1" s="1"/>
  <c r="T5" i="1"/>
  <c r="T4" i="1"/>
  <c r="T7" i="1"/>
  <c r="Q10" i="1"/>
  <c r="S10" i="1" s="1"/>
  <c r="Q9" i="1"/>
  <c r="S9" i="1" s="1"/>
  <c r="Q3" i="1"/>
  <c r="T10" i="1"/>
  <c r="V10" i="1" s="1"/>
  <c r="T9" i="1"/>
  <c r="V9" i="1" s="1"/>
  <c r="Q6" i="1"/>
  <c r="T3" i="1"/>
  <c r="Q4" i="1"/>
  <c r="Q11" i="1"/>
  <c r="S11" i="1" s="1"/>
  <c r="Q13" i="1"/>
  <c r="S13" i="1" s="1"/>
  <c r="T8" i="1"/>
  <c r="V8" i="1" s="1"/>
  <c r="T13" i="1"/>
  <c r="V13" i="1" s="1"/>
  <c r="T11" i="1"/>
  <c r="V11" i="1" s="1"/>
  <c r="K8" i="1"/>
  <c r="L8" i="1" s="1"/>
  <c r="K9" i="1"/>
  <c r="L9" i="1" s="1"/>
  <c r="K7" i="1"/>
  <c r="L7" i="1" s="1"/>
  <c r="K10" i="1"/>
  <c r="L10" i="1" s="1"/>
  <c r="K11" i="1"/>
  <c r="L11" i="1" s="1"/>
  <c r="K12" i="1"/>
  <c r="L12" i="1" s="1"/>
  <c r="Q8" i="11" l="1"/>
  <c r="N8" i="11"/>
  <c r="J8" i="11"/>
  <c r="O8" i="11"/>
  <c r="M8" i="11"/>
  <c r="L8" i="11"/>
  <c r="I8" i="11"/>
  <c r="P8" i="11"/>
  <c r="K8" i="11"/>
  <c r="H8" i="11"/>
  <c r="C8" i="13" s="1"/>
  <c r="D8" i="13" s="1"/>
  <c r="E8" i="13" s="1"/>
  <c r="C39" i="1"/>
  <c r="B39" i="1"/>
  <c r="D39" i="1"/>
  <c r="K22" i="3"/>
  <c r="F8" i="11" s="1"/>
  <c r="G8" i="11" s="1"/>
  <c r="V7" i="1"/>
  <c r="S7" i="1"/>
  <c r="G4" i="1"/>
  <c r="B5" i="1"/>
  <c r="D38" i="1" s="1"/>
  <c r="R6" i="1"/>
  <c r="S6" i="1" s="1"/>
  <c r="U6" i="1"/>
  <c r="V6" i="1" s="1"/>
  <c r="K6" i="1"/>
  <c r="L6" i="1" s="1"/>
  <c r="O30" i="1"/>
  <c r="C38" i="1" l="1"/>
  <c r="B38" i="1"/>
  <c r="R5" i="1"/>
  <c r="S5" i="1" s="1"/>
  <c r="U5" i="1"/>
  <c r="V5" i="1" s="1"/>
  <c r="K5" i="1"/>
  <c r="L5" i="1" s="1"/>
  <c r="G3" i="1"/>
  <c r="B4" i="1"/>
  <c r="C37" i="1" l="1"/>
  <c r="B37" i="1"/>
  <c r="D37" i="1"/>
  <c r="U4" i="1"/>
  <c r="V4" i="1" s="1"/>
  <c r="R4" i="1"/>
  <c r="S4" i="1" s="1"/>
  <c r="K4" i="1"/>
  <c r="L4" i="1" s="1"/>
  <c r="B3" i="1"/>
  <c r="C36" i="1" l="1"/>
  <c r="B36" i="1"/>
  <c r="D36" i="1"/>
  <c r="U3" i="1"/>
  <c r="V3" i="1" s="1"/>
  <c r="K3" i="1"/>
  <c r="L3" i="1" s="1"/>
  <c r="R3" i="1"/>
  <c r="S3" i="1" s="1"/>
</calcChain>
</file>

<file path=xl/sharedStrings.xml><?xml version="1.0" encoding="utf-8"?>
<sst xmlns="http://schemas.openxmlformats.org/spreadsheetml/2006/main" count="409" uniqueCount="195">
  <si>
    <t>loyer</t>
  </si>
  <si>
    <t>année</t>
  </si>
  <si>
    <t>coef fixe evolution</t>
  </si>
  <si>
    <t>vape</t>
  </si>
  <si>
    <t>restauration</t>
  </si>
  <si>
    <t>designation</t>
  </si>
  <si>
    <t>total charge</t>
  </si>
  <si>
    <t>beneficaire/deficitaire</t>
  </si>
  <si>
    <t>asmode</t>
  </si>
  <si>
    <t>blackrock</t>
  </si>
  <si>
    <t>gigamic</t>
  </si>
  <si>
    <t>neoludis</t>
  </si>
  <si>
    <t>pixigames</t>
  </si>
  <si>
    <t>yello</t>
  </si>
  <si>
    <t>tribuo</t>
  </si>
  <si>
    <t>matago</t>
  </si>
  <si>
    <t>matin</t>
  </si>
  <si>
    <t>midi</t>
  </si>
  <si>
    <t>après-midi</t>
  </si>
  <si>
    <t>diner</t>
  </si>
  <si>
    <t>soirée</t>
  </si>
  <si>
    <t>total par place</t>
  </si>
  <si>
    <t>charge quotidienne</t>
  </si>
  <si>
    <t>ca quotidien</t>
  </si>
  <si>
    <t>charge hebdo</t>
  </si>
  <si>
    <t>ca hebdo</t>
  </si>
  <si>
    <t>diff quo charges/ca</t>
  </si>
  <si>
    <t>diff hebdo charges/ca</t>
  </si>
  <si>
    <t>% CA</t>
  </si>
  <si>
    <t>charges annuelles</t>
  </si>
  <si>
    <t>charges mensuelles</t>
  </si>
  <si>
    <t>total charges hors stock mensuel</t>
  </si>
  <si>
    <t>total charges hors stock hebdo</t>
  </si>
  <si>
    <t>%CA jeux</t>
  </si>
  <si>
    <t>%CA vape</t>
  </si>
  <si>
    <t>%CA food</t>
  </si>
  <si>
    <t>jeux de société</t>
  </si>
  <si>
    <t>total_ca</t>
  </si>
  <si>
    <t>prêt pas de porte</t>
  </si>
  <si>
    <t>prêt travaux</t>
  </si>
  <si>
    <t>prêt mobilier salle/bar</t>
  </si>
  <si>
    <t>prêt equipement cuisine</t>
  </si>
  <si>
    <t>abattement 30%</t>
  </si>
  <si>
    <t>% loyer variable</t>
  </si>
  <si>
    <t>mois</t>
  </si>
  <si>
    <t>nb_jour_moyen_mois_ouvert</t>
  </si>
  <si>
    <t>nb_heure_ouvert_jour</t>
  </si>
  <si>
    <t>achat jeux</t>
  </si>
  <si>
    <t>achat vape</t>
  </si>
  <si>
    <t>matos vape</t>
  </si>
  <si>
    <t>liquide vape</t>
  </si>
  <si>
    <t>achat jeux/mois</t>
  </si>
  <si>
    <t>achat vape/mois</t>
  </si>
  <si>
    <t>acha food/mois</t>
  </si>
  <si>
    <t>Electricité</t>
  </si>
  <si>
    <t>Année 1</t>
  </si>
  <si>
    <t>Année 2</t>
  </si>
  <si>
    <t>Année 3</t>
  </si>
  <si>
    <t>Année 4</t>
  </si>
  <si>
    <t>Année 5</t>
  </si>
  <si>
    <t>Année 6</t>
  </si>
  <si>
    <t>Année 7</t>
  </si>
  <si>
    <t>Matériel 1/5 des ventes</t>
  </si>
  <si>
    <t>Liquides 4/5 des ventes</t>
  </si>
  <si>
    <t>food</t>
  </si>
  <si>
    <t>Nourriture 1/4 des ventes</t>
  </si>
  <si>
    <t>Boisson 3/4 des ventes</t>
  </si>
  <si>
    <t>néant</t>
  </si>
  <si>
    <t>vente à l'heure panier</t>
  </si>
  <si>
    <t>nb_place_total</t>
  </si>
  <si>
    <t>Café Jules</t>
  </si>
  <si>
    <t>Café de l'industrie</t>
  </si>
  <si>
    <t>taux d'occupation 33% de la capacité</t>
  </si>
  <si>
    <t>ca_2019</t>
  </si>
  <si>
    <t>taux d'occupation à l'heure en place</t>
  </si>
  <si>
    <t>Balthazar (vérifier si que le resto)</t>
  </si>
  <si>
    <t>day_phase</t>
  </si>
  <si>
    <t>morning</t>
  </si>
  <si>
    <t>lunch</t>
  </si>
  <si>
    <t>after-noon</t>
  </si>
  <si>
    <t>evening</t>
  </si>
  <si>
    <t>nb_hours_per_phase</t>
  </si>
  <si>
    <t>total_sales_per_phase</t>
  </si>
  <si>
    <t>seating_capacity</t>
  </si>
  <si>
    <t>capacity_rate_retained</t>
  </si>
  <si>
    <t>total_sales_per_capacity_rate_retained</t>
  </si>
  <si>
    <t>sales_in_euros_per_hours_per_place</t>
  </si>
  <si>
    <t>currently</t>
  </si>
  <si>
    <t>sales_in_euros_per_hours_currently</t>
  </si>
  <si>
    <t>sales_in_euros_per_hours_shortly</t>
  </si>
  <si>
    <t>total_sales_per_phase_currently</t>
  </si>
  <si>
    <t>total_sales_per_phase_shortly</t>
  </si>
  <si>
    <t>nb_hours per_phase_currently</t>
  </si>
  <si>
    <t>nb_hours_per_phase_shortly</t>
  </si>
  <si>
    <t>activities</t>
  </si>
  <si>
    <t>coefficient</t>
  </si>
  <si>
    <t>nb_of_day_open_per_year</t>
  </si>
  <si>
    <t>total_sales_per_year</t>
  </si>
  <si>
    <t>sales_food</t>
  </si>
  <si>
    <t>sales_vape</t>
  </si>
  <si>
    <t>sales_game</t>
  </si>
  <si>
    <t>shortly</t>
  </si>
  <si>
    <t>ticket_sale_to_play</t>
  </si>
  <si>
    <t>total_estimate_ca</t>
  </si>
  <si>
    <t>type</t>
  </si>
  <si>
    <t>estimate_day</t>
  </si>
  <si>
    <t>achat food</t>
  </si>
  <si>
    <t>ticket</t>
  </si>
  <si>
    <t>taxe CVAE</t>
  </si>
  <si>
    <t>taxe C3S (0,13% du CA)</t>
  </si>
  <si>
    <t>taxe apprentissage (0,68% du CA)</t>
  </si>
  <si>
    <t>taxe IS (15% sur les 1er 42,5k€ puis 25%)</t>
  </si>
  <si>
    <t>taxe CFE (23,59% de la valeur locative)</t>
  </si>
  <si>
    <t>charges diverses (taxes location, assurances, sacem, eau, …)</t>
  </si>
  <si>
    <t>TVA due</t>
  </si>
  <si>
    <t>CTE Salaire JC</t>
  </si>
  <si>
    <t>CTE Salaire vendeur non alimentaire</t>
  </si>
  <si>
    <t>CTE Salaire barman</t>
  </si>
  <si>
    <t>CTE Salaire serveur salle</t>
  </si>
  <si>
    <t>CTE Salaire cuisinier</t>
  </si>
  <si>
    <t>CTE Salaire Aide cuisinier</t>
  </si>
  <si>
    <t>CTE* Salaire Clem</t>
  </si>
  <si>
    <t>*CTE = cout total employeur</t>
  </si>
  <si>
    <t>target</t>
  </si>
  <si>
    <t>fiscalité (taxes - foncier, ordures, bureaux)</t>
  </si>
  <si>
    <t>charges (copro/AFUL/ASL, honoraires, prime assurance)</t>
  </si>
  <si>
    <t>inclue dans le CTE*</t>
  </si>
  <si>
    <t>stock</t>
  </si>
  <si>
    <t>complement</t>
  </si>
  <si>
    <t>edf</t>
  </si>
  <si>
    <t>0,03% du CA estimé</t>
  </si>
  <si>
    <t>estimée par l'agence immobilière</t>
  </si>
  <si>
    <t>droit d'entrée - pas de porte</t>
  </si>
  <si>
    <t>sur 7ans à 3,5%</t>
  </si>
  <si>
    <t>sur 10ans à 3,5%</t>
  </si>
  <si>
    <t>total 60k€ - crowdfunding</t>
  </si>
  <si>
    <t>commissions TPE, paypal</t>
  </si>
  <si>
    <t>eau</t>
  </si>
  <si>
    <t>TB 36KVA - 0,23€k/h - total P(KW) appareils cuisine</t>
  </si>
  <si>
    <t>estimation commission à 1,7%</t>
  </si>
  <si>
    <t>valeur max retenue</t>
  </si>
  <si>
    <t>vérifer les dépenses éligibles à la formule</t>
  </si>
  <si>
    <t>assurance restaurant</t>
  </si>
  <si>
    <t>estimation via LegalStart</t>
  </si>
  <si>
    <t>F2+F4+F9+F10</t>
  </si>
  <si>
    <t>activity</t>
  </si>
  <si>
    <t>board_game</t>
  </si>
  <si>
    <t>year</t>
  </si>
  <si>
    <t>sales_turnover</t>
  </si>
  <si>
    <t>evolution_coefficient</t>
  </si>
  <si>
    <t>margin_distribution</t>
  </si>
  <si>
    <t>average_margin</t>
  </si>
  <si>
    <t>purchase</t>
  </si>
  <si>
    <t>VAT_sold</t>
  </si>
  <si>
    <t>VAT_purchased</t>
  </si>
  <si>
    <t>VAT_due</t>
  </si>
  <si>
    <t>total_charges</t>
  </si>
  <si>
    <t>%evolution</t>
  </si>
  <si>
    <t>4,64€/m3 - estimation 30L/repas -  28 repas/jour - +30% marge d'erreur</t>
  </si>
  <si>
    <t>Étiquettes de lignes</t>
  </si>
  <si>
    <t>Total général</t>
  </si>
  <si>
    <t>cumulative</t>
  </si>
  <si>
    <t>difference</t>
  </si>
  <si>
    <t>S_cumulative</t>
  </si>
  <si>
    <t>difference per year</t>
  </si>
  <si>
    <t>Sales turnover per year</t>
  </si>
  <si>
    <t>Total charges per year</t>
  </si>
  <si>
    <t>logiciels</t>
  </si>
  <si>
    <t>animations</t>
  </si>
  <si>
    <t>assurance responsabilité civil professionnelle</t>
  </si>
  <si>
    <t>charges diverses ( sacem, fournitures, emballage, transport, …)</t>
  </si>
  <si>
    <t>sales_monthly</t>
  </si>
  <si>
    <t>purchase_monthly</t>
  </si>
  <si>
    <t>charges_annual</t>
  </si>
  <si>
    <t>charges_monthly</t>
  </si>
  <si>
    <t>salary</t>
  </si>
  <si>
    <t>CTE* salary vendeur non alimentaire</t>
  </si>
  <si>
    <t>CTE* salary barman</t>
  </si>
  <si>
    <t>CTE* salary serveur salle</t>
  </si>
  <si>
    <t>CTE* salary cuisinier</t>
  </si>
  <si>
    <t>CTE* salary Aide cuisinier</t>
  </si>
  <si>
    <t>CTE* salary Clement</t>
  </si>
  <si>
    <t>CTE* salary Jean-Charles</t>
  </si>
  <si>
    <t>rent</t>
  </si>
  <si>
    <t>% rent variable</t>
  </si>
  <si>
    <t>taxes</t>
  </si>
  <si>
    <t>loan</t>
  </si>
  <si>
    <t>loan mobilier salle/bar</t>
  </si>
  <si>
    <t>loan travaux</t>
  </si>
  <si>
    <t>loan equipement cuisine</t>
  </si>
  <si>
    <t>total 30k€ - loan d'honneur</t>
  </si>
  <si>
    <t>subscription</t>
  </si>
  <si>
    <t>others</t>
  </si>
  <si>
    <t>bank_charges</t>
  </si>
  <si>
    <t>subcontracting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</si>
</sst>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0\ &quot;€&quot;_-;\-* #,##0.000\ &quot;€&quot;_-;_-* &quot;-&quot;??\ &quot;€&quot;_-;_-@_-"/>
    <numFmt numFmtId="165" formatCode="_-* #,##0.000\ &quot;€&quot;_-;\-* #,##0.000\ &quot;€&quot;_-;_-* &quot;-&quot;???\ &quot;€&quot;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0" fontId="0" fillId="0" borderId="0" xfId="2" applyNumberFormat="1" applyFont="1"/>
    <xf numFmtId="44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44" fontId="0" fillId="3" borderId="0" xfId="1" applyFont="1" applyFill="1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9" fontId="0" fillId="0" borderId="0" xfId="2" applyFont="1"/>
    <xf numFmtId="0" fontId="0" fillId="0" borderId="1" xfId="0" applyBorder="1"/>
    <xf numFmtId="0" fontId="0" fillId="0" borderId="1" xfId="2" applyNumberFormat="1" applyFont="1" applyBorder="1"/>
    <xf numFmtId="44" fontId="0" fillId="0" borderId="1" xfId="1" applyFont="1" applyBorder="1"/>
    <xf numFmtId="44" fontId="0" fillId="0" borderId="1" xfId="0" applyNumberFormat="1" applyBorder="1"/>
    <xf numFmtId="9" fontId="0" fillId="0" borderId="1" xfId="2" applyFont="1" applyBorder="1"/>
    <xf numFmtId="9" fontId="0" fillId="0" borderId="0" xfId="2" applyFont="1" applyBorder="1"/>
    <xf numFmtId="0" fontId="0" fillId="0" borderId="2" xfId="0" applyBorder="1"/>
    <xf numFmtId="44" fontId="0" fillId="0" borderId="3" xfId="0" applyNumberFormat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9" fontId="0" fillId="0" borderId="8" xfId="2" applyFont="1" applyBorder="1"/>
    <xf numFmtId="44" fontId="0" fillId="0" borderId="8" xfId="1" applyFont="1" applyBorder="1"/>
    <xf numFmtId="44" fontId="0" fillId="0" borderId="8" xfId="0" applyNumberFormat="1" applyBorder="1"/>
    <xf numFmtId="44" fontId="0" fillId="0" borderId="9" xfId="0" applyNumberFormat="1" applyBorder="1"/>
    <xf numFmtId="0" fontId="0" fillId="0" borderId="8" xfId="2" applyNumberFormat="1" applyFont="1" applyBorder="1"/>
    <xf numFmtId="4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0" xfId="3"/>
    <xf numFmtId="0" fontId="0" fillId="5" borderId="0" xfId="0" applyFill="1"/>
    <xf numFmtId="44" fontId="0" fillId="5" borderId="0" xfId="0" applyNumberFormat="1" applyFill="1"/>
    <xf numFmtId="0" fontId="0" fillId="0" borderId="10" xfId="0" applyBorder="1"/>
    <xf numFmtId="0" fontId="0" fillId="7" borderId="11" xfId="0" applyFill="1" applyBorder="1"/>
    <xf numFmtId="0" fontId="0" fillId="0" borderId="11" xfId="0" applyBorder="1"/>
    <xf numFmtId="0" fontId="0" fillId="0" borderId="0" xfId="0" pivotButton="1"/>
    <xf numFmtId="0" fontId="4" fillId="6" borderId="12" xfId="0" applyFont="1" applyFill="1" applyBorder="1"/>
    <xf numFmtId="0" fontId="0" fillId="7" borderId="13" xfId="0" applyFill="1" applyBorder="1"/>
    <xf numFmtId="44" fontId="0" fillId="7" borderId="11" xfId="1" applyFont="1" applyFill="1" applyBorder="1"/>
    <xf numFmtId="44" fontId="0" fillId="0" borderId="11" xfId="1" applyFont="1" applyBorder="1"/>
    <xf numFmtId="44" fontId="0" fillId="7" borderId="13" xfId="1" applyFont="1" applyFill="1" applyBorder="1"/>
  </cellXfs>
  <cellStyles count="4">
    <cellStyle name="Lien hypertexte" xfId="3" builtinId="8"/>
    <cellStyle name="Monétaire" xfId="1" builtinId="4"/>
    <cellStyle name="Normal" xfId="0" builtinId="0"/>
    <cellStyle name="Pourcentage" xfId="2" builtinId="5"/>
  </cellStyles>
  <dxfs count="9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[projet_vapo_game_food_78.xlsx]graph!Tableau croisé dynamique3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Sales turnover per 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graph!$A$2:$A$9</c:f>
              <c:strCache>
                <c:ptCount val="7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  <c:pt idx="5">
                  <c:v>Année 6</c:v>
                </c:pt>
                <c:pt idx="6">
                  <c:v>Année 7</c:v>
                </c:pt>
              </c:strCache>
            </c:strRef>
          </c:cat>
          <c:val>
            <c:numRef>
              <c:f>graph!$B$2:$B$9</c:f>
              <c:numCache>
                <c:formatCode>General</c:formatCode>
                <c:ptCount val="7"/>
                <c:pt idx="0">
                  <c:v>906671</c:v>
                </c:pt>
                <c:pt idx="1">
                  <c:v>945149.14</c:v>
                </c:pt>
                <c:pt idx="2">
                  <c:v>985299.08360000001</c:v>
                </c:pt>
                <c:pt idx="3">
                  <c:v>1027195.6636240002</c:v>
                </c:pt>
                <c:pt idx="4">
                  <c:v>1070917.1838497601</c:v>
                </c:pt>
                <c:pt idx="5">
                  <c:v>1116545.5865053986</c:v>
                </c:pt>
                <c:pt idx="6">
                  <c:v>1164166.6281853616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2-4505-98DD-F168A98A2281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Total charges per year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graph!$A$2:$A$9</c:f>
              <c:strCache>
                <c:ptCount val="7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  <c:pt idx="5">
                  <c:v>Année 6</c:v>
                </c:pt>
                <c:pt idx="6">
                  <c:v>Année 7</c:v>
                </c:pt>
              </c:strCache>
            </c:strRef>
          </c:cat>
          <c:val>
            <c:numRef>
              <c:f>graph!$C$2:$C$9</c:f>
              <c:numCache>
                <c:formatCode>General</c:formatCode>
                <c:ptCount val="7"/>
                <c:pt idx="0">
                  <c:v>911072.29303550266</c:v>
                </c:pt>
                <c:pt idx="1">
                  <c:v>949737.21916807012</c:v>
                </c:pt>
                <c:pt idx="2">
                  <c:v>949774.65188322717</c:v>
                </c:pt>
                <c:pt idx="3">
                  <c:v>949812.62464460765</c:v>
                </c:pt>
                <c:pt idx="4">
                  <c:v>949851.14218537812</c:v>
                </c:pt>
                <c:pt idx="5">
                  <c:v>949890.20917499356</c:v>
                </c:pt>
                <c:pt idx="6">
                  <c:v>949929.83021488006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2-4505-98DD-F168A98A2281}"/>
            </c:ext>
          </c:extLst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difference per year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graph!$A$2:$A$9</c:f>
              <c:strCache>
                <c:ptCount val="7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  <c:pt idx="5">
                  <c:v>Année 6</c:v>
                </c:pt>
                <c:pt idx="6">
                  <c:v>Année 7</c:v>
                </c:pt>
              </c:strCache>
            </c:strRef>
          </c:cat>
          <c:val>
            <c:numRef>
              <c:f>graph!$D$2:$D$9</c:f>
              <c:numCache>
                <c:formatCode>General</c:formatCode>
                <c:ptCount val="7"/>
                <c:pt idx="0">
                  <c:v>-4401.293035502662</c:v>
                </c:pt>
                <c:pt idx="1">
                  <c:v>-4588.0791680701077</c:v>
                </c:pt>
                <c:pt idx="2">
                  <c:v>35524.431716772844</c:v>
                </c:pt>
                <c:pt idx="3">
                  <c:v>77383.038979392499</c:v>
                </c:pt>
                <c:pt idx="4">
                  <c:v>121066.04166438198</c:v>
                </c:pt>
                <c:pt idx="5">
                  <c:v>166655.37733040506</c:v>
                </c:pt>
                <c:pt idx="6">
                  <c:v>214236.79797048157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52-4505-98DD-F168A98A2281}"/>
            </c:ext>
          </c:extLst>
        </c:ser>
        <c:ser>
          <c:idx val="3"/>
          <c:order val="3"/>
          <c:tx>
            <c:strRef>
              <c:f>graph!$E$1</c:f>
              <c:strCache>
                <c:ptCount val="1"/>
                <c:pt idx="0">
                  <c:v>S_cumulative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graph!$A$2:$A$9</c:f>
              <c:strCache>
                <c:ptCount val="7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  <c:pt idx="5">
                  <c:v>Année 6</c:v>
                </c:pt>
                <c:pt idx="6">
                  <c:v>Année 7</c:v>
                </c:pt>
              </c:strCache>
            </c:strRef>
          </c:cat>
          <c:val>
            <c:numRef>
              <c:f>graph!$E$2:$E$9</c:f>
              <c:numCache>
                <c:formatCode>General</c:formatCode>
                <c:ptCount val="7"/>
                <c:pt idx="0">
                  <c:v>-4401.293035502662</c:v>
                </c:pt>
                <c:pt idx="1">
                  <c:v>-8989.3722035727696</c:v>
                </c:pt>
                <c:pt idx="2">
                  <c:v>26535.059513200074</c:v>
                </c:pt>
                <c:pt idx="3">
                  <c:v>103918.09849259257</c:v>
                </c:pt>
                <c:pt idx="4">
                  <c:v>224984.14015697455</c:v>
                </c:pt>
                <c:pt idx="5">
                  <c:v>391639.51748737961</c:v>
                </c:pt>
                <c:pt idx="6">
                  <c:v>605876.31545786117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52-4505-98DD-F168A98A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891520"/>
        <c:axId val="1026898240"/>
      </c:lineChart>
      <c:catAx>
        <c:axId val="102689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898240"/>
        <c:crosses val="autoZero"/>
        <c:auto val="1"/>
        <c:lblAlgn val="ctr"/>
        <c:lblOffset val="100"/>
        <c:noMultiLvlLbl val="0"/>
      </c:catAx>
      <c:valAx>
        <c:axId val="10268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89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1127760</xdr:colOff>
      <xdr:row>8</xdr:row>
      <xdr:rowOff>179070</xdr:rowOff>
    </xdr:from>
    <xdr:to>
      <xdr:col>5</xdr:col>
      <xdr:colOff>45720</xdr:colOff>
      <xdr:row>23</xdr:row>
      <xdr:rowOff>179070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56B7432-C679-74E9-7E06-9DAD7ECC8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msoa" refreshedDate="45502.68862789352" createdVersion="8" refreshedVersion="8" minRefreshableVersion="3" recordCount="7" xr:uid="{5A0927E4-3557-4510-99A6-181D4A7F502C}">
  <cacheSource type="worksheet">
    <worksheetSource name="cumulative_total"/>
  </cacheSource>
  <cacheFields count="5">
    <cacheField name="year" numFmtId="0">
      <sharedItems count="7">
        <s v="Année 1"/>
        <s v="Année 2"/>
        <s v="Année 3"/>
        <s v="Année 4"/>
        <s v="Année 5"/>
        <s v="Année 6"/>
        <s v="Année 7"/>
      </sharedItems>
    </cacheField>
    <cacheField name="sales_turnover" numFmtId="44">
      <sharedItems containsSemiMixedTypes="0" containsString="0" containsNumber="1" minValue="906671" maxValue="1164166.6281853616" count="7">
        <n v="906671"/>
        <n v="945149.14"/>
        <n v="985299.08360000001"/>
        <n v="1027195.6636240002"/>
        <n v="1070917.1838497601"/>
        <n v="1116545.5865053986"/>
        <n v="1164166.6281853616"/>
      </sharedItems>
    </cacheField>
    <cacheField name="total_charges" numFmtId="44">
      <sharedItems containsSemiMixedTypes="0" containsString="0" containsNumber="1" minValue="911072.29303550266" maxValue="949929.83021488006"/>
    </cacheField>
    <cacheField name="difference" numFmtId="44">
      <sharedItems containsSemiMixedTypes="0" containsString="0" containsNumber="1" minValue="-4588.0791680701077" maxValue="214236.79797048157"/>
    </cacheField>
    <cacheField name="cumulative" numFmtId="44">
      <sharedItems containsSemiMixedTypes="0" containsString="0" containsNumber="1" minValue="-8989.3722035727696" maxValue="605876.315457861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n v="911072.29303550266"/>
    <n v="-4401.293035502662"/>
    <n v="-4401.293035502662"/>
  </r>
  <r>
    <x v="1"/>
    <x v="1"/>
    <n v="949737.21916807012"/>
    <n v="-4588.0791680701077"/>
    <n v="-8989.3722035727696"/>
  </r>
  <r>
    <x v="2"/>
    <x v="2"/>
    <n v="949774.65188322717"/>
    <n v="35524.431716772844"/>
    <n v="26535.059513200074"/>
  </r>
  <r>
    <x v="3"/>
    <x v="3"/>
    <n v="949812.62464460765"/>
    <n v="77383.038979392499"/>
    <n v="103918.09849259257"/>
  </r>
  <r>
    <x v="4"/>
    <x v="4"/>
    <n v="949851.14218537812"/>
    <n v="121066.04166438198"/>
    <n v="224984.14015697455"/>
  </r>
  <r>
    <x v="5"/>
    <x v="5"/>
    <n v="949890.20917499356"/>
    <n v="166655.37733040506"/>
    <n v="391639.51748737961"/>
  </r>
  <r>
    <x v="6"/>
    <x v="6"/>
    <n v="949929.83021488006"/>
    <n v="214236.79797048157"/>
    <n v="605876.315457861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3F02B-110C-497A-A199-73F4E8C52F6E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1:E9" firstHeaderRow="0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44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44" showAll="0"/>
    <pivotField dataField="1" numFmtId="44" showAll="0"/>
    <pivotField dataField="1" numFmtId="4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ales turnover per year" fld="1" baseField="0" baseItem="0"/>
    <dataField name="Total charges per year" fld="2" baseField="0" baseItem="0"/>
    <dataField name="difference per year" fld="3" baseField="0" baseItem="0"/>
    <dataField name="S_cumulative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903CF4-1E7D-44E5-BEA7-B520E54648C6}" name="estimate_day_vape" displayName="estimate_day_vape" ref="A1:G6" totalsRowShown="0" headerRowDxfId="89" headerRowBorderDxfId="88" tableBorderDxfId="87" totalsRowBorderDxfId="86">
  <autoFilter ref="A1:G6" xr:uid="{DF903CF4-1E7D-44E5-BEA7-B520E54648C6}"/>
  <tableColumns count="7">
    <tableColumn id="1" xr3:uid="{23CFEFCF-6BE6-4B7C-AF52-8B826EC8B8D4}" name="day_phase" dataDxfId="85"/>
    <tableColumn id="2" xr3:uid="{A008C58E-40A3-4426-8E6E-D25B6A6542FE}" name="nb_hours per_phase_currently" dataDxfId="84" dataCellStyle="Pourcentage"/>
    <tableColumn id="3" xr3:uid="{10D8A708-EA2A-474A-A1B2-96F6B737E074}" name="nb_hours_per_phase_shortly" dataDxfId="83"/>
    <tableColumn id="4" xr3:uid="{62674C9A-3F0E-453A-B30E-7470779849A0}" name="sales_in_euros_per_hours_currently" dataDxfId="82" dataCellStyle="Monétaire"/>
    <tableColumn id="5" xr3:uid="{473C7E99-151D-4ABB-BC78-BBFBD411D21A}" name="sales_in_euros_per_hours_shortly" dataDxfId="81" dataCellStyle="Monétaire">
      <calculatedColumnFormula>(172500/351/15)</calculatedColumnFormula>
    </tableColumn>
    <tableColumn id="6" xr3:uid="{581BB6AE-99F8-475E-A250-7B05946FAF20}" name="total_sales_per_phase_currently" dataDxfId="80">
      <calculatedColumnFormula>B2*D2</calculatedColumnFormula>
    </tableColumn>
    <tableColumn id="7" xr3:uid="{8325D864-2851-4EF5-B443-3906E0CE532F}" name="total_sales_per_phase_shortly" dataDxfId="79">
      <calculatedColumnFormula>C2*E2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861EAE-F634-4A6C-8B5A-E8E014EC37C7}" name="estimate_day_food" displayName="estimate_day_food" ref="A1:G6" totalsRowShown="0" headerRowDxfId="78" headerRowBorderDxfId="77" tableBorderDxfId="76" totalsRowBorderDxfId="75">
  <autoFilter ref="A1:G6" xr:uid="{CF861EAE-F634-4A6C-8B5A-E8E014EC37C7}"/>
  <tableColumns count="7">
    <tableColumn id="1" xr3:uid="{9E020EF9-9A46-4E74-956C-E2FE5860F4B1}" name="day_phase" dataDxfId="74"/>
    <tableColumn id="2" xr3:uid="{A3D2F7E5-B4BE-4D75-B225-5D33FDE6465D}" name="seating_capacity" dataDxfId="73"/>
    <tableColumn id="3" xr3:uid="{6950911F-3B8A-4657-A345-383C756455F4}" name="capacity_rate_retained" dataDxfId="72" dataCellStyle="Pourcentage"/>
    <tableColumn id="4" xr3:uid="{32330EDC-3FBD-4F88-8C35-5C47B490B1B2}" name="nb_hours_per_phase" dataDxfId="71"/>
    <tableColumn id="5" xr3:uid="{8EB65EB0-272F-4E70-95AF-9FFA0F0BB2D3}" name="sales_in_euros_per_hours_per_place" dataDxfId="70" dataCellStyle="Monétaire"/>
    <tableColumn id="6" xr3:uid="{5CDE070B-F4A4-45A6-904A-19FF3B985099}" name="total_sales_per_phase" dataDxfId="69">
      <calculatedColumnFormula>E2*D2</calculatedColumnFormula>
    </tableColumn>
    <tableColumn id="7" xr3:uid="{A5570C01-187A-4898-B374-A8CBAA81543D}" name="total_sales_per_capacity_rate_retained" dataDxfId="68">
      <calculatedColumnFormula>(B2*C2)*F2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47570D-C5AF-46A2-A080-AAE2ACC7C482}" name="estimate_day_game" displayName="estimate_day_game" ref="A1:G6" totalsRowShown="0" headerRowDxfId="67" headerRowBorderDxfId="66" tableBorderDxfId="65" totalsRowBorderDxfId="64">
  <autoFilter ref="A1:G6" xr:uid="{EC47570D-C5AF-46A2-A080-AAE2ACC7C482}"/>
  <tableColumns count="7">
    <tableColumn id="1" xr3:uid="{F9979B3E-ED40-4058-895A-CFD5E567B4A2}" name="day_phase" dataDxfId="63"/>
    <tableColumn id="2" xr3:uid="{26003C65-77AC-4EA9-8B8F-4B4625D4BE47}" name="nb_hours per_phase_currently" dataDxfId="62" dataCellStyle="Pourcentage"/>
    <tableColumn id="3" xr3:uid="{412D42C2-2030-4AF0-800A-46BAF32E7E5A}" name="nb_hours_per_phase_shortly" dataDxfId="61"/>
    <tableColumn id="4" xr3:uid="{F658F7BD-470C-40E7-9900-4AD36D1A82CF}" name="sales_in_euros_per_hours_currently" dataDxfId="60" dataCellStyle="Monétaire"/>
    <tableColumn id="5" xr3:uid="{F2A2913C-9CA1-44E8-9E8C-8410C68227F1}" name="sales_in_euros_per_hours_shortly" dataDxfId="59" dataCellStyle="Monétaire"/>
    <tableColumn id="6" xr3:uid="{0179E88F-CB83-4691-8A01-7F7BACBBDF79}" name="total_sales_per_phase_currently" dataDxfId="58">
      <calculatedColumnFormula>B2*D2</calculatedColumnFormula>
    </tableColumn>
    <tableColumn id="7" xr3:uid="{A0C54FCE-F803-44D6-897C-55CF71E5FA81}" name="total_sales_per_phase_shortly" dataDxfId="57">
      <calculatedColumnFormula>C2*E2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15052A-D639-452C-92DE-66F4A35F97CC}" name="estimate_day_ticket" displayName="estimate_day_ticket" ref="A1:G6" totalsRowShown="0" headerRowDxfId="56" headerRowBorderDxfId="55" tableBorderDxfId="54">
  <autoFilter ref="A1:G6" xr:uid="{1915052A-D639-452C-92DE-66F4A35F97CC}"/>
  <tableColumns count="7">
    <tableColumn id="1" xr3:uid="{B0676726-1D7A-4B8D-9C84-E85D3F233AC1}" name="day_phase" dataDxfId="53"/>
    <tableColumn id="2" xr3:uid="{31E600A1-59D3-4D09-81F7-376E7CFAA59A}" name="seating_capacity" dataDxfId="52"/>
    <tableColumn id="3" xr3:uid="{AF746BCA-532B-4E6B-86A2-D7FF444B6C58}" name="capacity_rate_retained" dataDxfId="51" dataCellStyle="Pourcentage"/>
    <tableColumn id="4" xr3:uid="{7322EAE4-C101-4B42-AD47-C32D440A0BB2}" name="nb_hours_per_phase" dataDxfId="50"/>
    <tableColumn id="5" xr3:uid="{58E36432-F1E0-433B-B68F-CD6DAF964B2E}" name="sales_in_euros_per_hours_per_place" dataDxfId="49" dataCellStyle="Monétaire"/>
    <tableColumn id="6" xr3:uid="{413BB02B-2EDE-4F4B-8ECD-9E4586BB48D3}" name="total_sales_per_phase" dataDxfId="48">
      <calculatedColumnFormula>E2*D2</calculatedColumnFormula>
    </tableColumn>
    <tableColumn id="7" xr3:uid="{8A4248DD-3673-4C3F-9B56-7F25D196B0BD}" name="total_sales_per_capacity_rate_retained" dataDxfId="47">
      <calculatedColumnFormula>(B2*C2)*F2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4F9266-D15C-4DCC-885E-4407EDED84CA}" name="total_estimate" displayName="total_estimate" ref="A1:F11" totalsRowShown="0" headerRowDxfId="46" headerRowBorderDxfId="45" tableBorderDxfId="44" totalsRowBorderDxfId="43">
  <autoFilter ref="A1:F11" xr:uid="{134F9266-D15C-4DCC-885E-4407EDED84CA}"/>
  <tableColumns count="6">
    <tableColumn id="1" xr3:uid="{F228A9EC-5D2E-4E65-8F54-45939599B38D}" name="activities" dataDxfId="42"/>
    <tableColumn id="2" xr3:uid="{295FCA9E-2192-44F6-A53C-D0B20B5A26E9}" name="type" dataDxfId="41"/>
    <tableColumn id="3" xr3:uid="{F03D4147-79A9-4310-AE67-70606A60207A}" name="coefficient" dataDxfId="40"/>
    <tableColumn id="4" xr3:uid="{8FD31160-9710-41FB-B939-5ECD9A386CF7}" name="estimate_day" dataDxfId="39"/>
    <tableColumn id="5" xr3:uid="{7699E093-9E19-4BFE-A87B-7770CCB0B2DC}" name="nb_of_day_open_per_year" dataDxfId="38"/>
    <tableColumn id="6" xr3:uid="{B7719EC4-6026-409D-8E28-DD73557EFC25}" name="total_sales_per_year" dataDxfId="37">
      <calculatedColumnFormula>D2*E2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1B3AB0-047B-41A3-BD0B-7E11DAE57027}" name="margin_vat" displayName="margin_vat" ref="A1:K29" totalsRowShown="0">
  <autoFilter ref="A1:K29" xr:uid="{EB1B3AB0-047B-41A3-BD0B-7E11DAE57027}"/>
  <tableColumns count="11">
    <tableColumn id="1" xr3:uid="{EAABBBE8-E6BA-4E7C-908F-1A423A219B01}" name="activity"/>
    <tableColumn id="2" xr3:uid="{07A92056-AC04-45A8-A170-EAA965A32D79}" name="year"/>
    <tableColumn id="3" xr3:uid="{0DB18EA5-66F0-44AE-A23C-690CB148C9A9}" name="sales_turnover" dataDxfId="36"/>
    <tableColumn id="10" xr3:uid="{851CD4F0-2E43-479A-9E6C-3793A6E636B7}" name="sales_monthly" dataDxfId="35">
      <calculatedColumnFormula>margin_vat[[#This Row],[sales_turnover]]/12</calculatedColumnFormula>
    </tableColumn>
    <tableColumn id="4" xr3:uid="{CDF83351-B83A-4212-8F45-B38416923108}" name="evolution_coefficient"/>
    <tableColumn id="5" xr3:uid="{0820C3BC-7CAC-4FA7-9B5D-79A9957E9C49}" name="margin_distribution"/>
    <tableColumn id="6" xr3:uid="{820CB558-D68F-4C4D-8365-923F8DA14DA0}" name="average_margin"/>
    <tableColumn id="7" xr3:uid="{0233BCA9-26BE-44A4-9FEC-19B5963583D8}" name="purchase" dataDxfId="34" dataCellStyle="Monétaire"/>
    <tableColumn id="11" xr3:uid="{BD892F2E-9834-48AA-8A44-36FA74E3EACE}" name="purchase_monthly" dataDxfId="33" dataCellStyle="Monétaire">
      <calculatedColumnFormula>margin_vat[[#This Row],[purchase]]/12</calculatedColumnFormula>
    </tableColumn>
    <tableColumn id="8" xr3:uid="{F0832A6B-BDB9-4225-B8BE-2421616EAAD9}" name="VAT_sold" dataDxfId="32">
      <calculatedColumnFormula>C2*0.2</calculatedColumnFormula>
    </tableColumn>
    <tableColumn id="9" xr3:uid="{9F748B71-352D-464C-83B7-515C6043F473}" name="VAT_purchased" dataDxfId="31" dataCellStyle="Monétair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B1CC60E-43F5-4396-ADDE-1495AE9669DF}" name="charges" displayName="charges" ref="A1:E35" totalsRowShown="0">
  <autoFilter ref="A1:E35" xr:uid="{CB1CC60E-43F5-4396-ADDE-1495AE9669DF}"/>
  <tableColumns count="5">
    <tableColumn id="1" xr3:uid="{670E7DD9-C962-408C-B0FB-A13B66AC177D}" name="type"/>
    <tableColumn id="2" xr3:uid="{A6894200-F3FA-4EF7-96F2-F41A6C927546}" name="designation"/>
    <tableColumn id="3" xr3:uid="{58799E1D-5191-4FA7-B664-B02DA5C51DDB}" name="charges_annual" dataDxfId="30" dataCellStyle="Monétaire"/>
    <tableColumn id="4" xr3:uid="{EE3A998E-4A87-4745-AF00-6B894BEE34C9}" name="charges_monthly" dataDxfId="29" dataCellStyle="Monétaire"/>
    <tableColumn id="5" xr3:uid="{41A062A4-E677-4946-B612-688A94C015A2}" name="compleme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A0E667-10EC-418B-995F-26749BB2FB39}" name="total_final" displayName="total_final" ref="A1:Q8" totalsRowShown="0">
  <autoFilter ref="A1:Q8" xr:uid="{3FA0E667-10EC-418B-995F-26749BB2FB39}"/>
  <tableColumns count="17">
    <tableColumn id="1" xr3:uid="{E0F584D5-C5F3-4239-86C3-7F81D5629334}" name="year"/>
    <tableColumn id="2" xr3:uid="{333087C4-D469-464A-B5FE-6CEDEAF62FE5}" name="sales_turnover" dataDxfId="28">
      <calculatedColumnFormula>margin_vat!C2+margin_vat!C9+margin_vat!C16+margin_vat!C23</calculatedColumnFormula>
    </tableColumn>
    <tableColumn id="16" xr3:uid="{7C1343D3-616C-443C-B18D-9AE7F870E3D9}" name="%evolution" dataCellStyle="Pourcentage"/>
    <tableColumn id="3" xr3:uid="{ABDD4C6A-D06B-48E8-B65D-136D743DA3F8}" name="purchase" dataDxfId="27">
      <calculatedColumnFormula>margin_vat!H2+margin_vat!H9+margin_vat!H16+margin_vat!H23</calculatedColumnFormula>
    </tableColumn>
    <tableColumn id="4" xr3:uid="{59660459-FAD2-4B37-868A-29937DE70CDA}" name="VAT_sold" dataDxfId="26">
      <calculatedColumnFormula>margin_vat!J2+margin_vat!J9+margin_vat!J16+margin_vat!J23</calculatedColumnFormula>
    </tableColumn>
    <tableColumn id="5" xr3:uid="{0560E593-B5AC-4931-99FC-3F50F22038AC}" name="VAT_purchased" dataDxfId="25">
      <calculatedColumnFormula>margin_vat!K2+margin_vat!K9+margin_vat!K16+margin_vat!K23</calculatedColumnFormula>
    </tableColumn>
    <tableColumn id="6" xr3:uid="{8A834A4F-3F25-4E1E-9D9E-8C973B61038D}" name="VAT_due" dataDxfId="24">
      <calculatedColumnFormula>E2-F2</calculatedColumnFormula>
    </tableColumn>
    <tableColumn id="7" xr3:uid="{BD34FCBF-6048-4CE8-9540-4410BDA12B95}" name="total_charges" dataDxfId="23">
      <calculatedColumnFormula>(SUM('charges'!$C$2:$C$36))*total_final[[#This Row],[%evolution]]</calculatedColumnFormula>
    </tableColumn>
    <tableColumn id="8" xr3:uid="{D25EAF48-BAED-4E66-9598-89DB42B86C7E}" name="salary" dataDxfId="22">
      <calculatedColumnFormula>(SUMIF('charges'!$A:$A,total_final[[#Headers],[salary]],'charges'!$C:$C))*total_final[[#This Row],[%evolution]]</calculatedColumnFormula>
    </tableColumn>
    <tableColumn id="9" xr3:uid="{B3E4B1A6-BF76-4F51-ABF5-FCEF39DE676D}" name="rent" dataDxfId="21">
      <calculatedColumnFormula>(SUMIF('charges'!$A:$A,total_final[[#Headers],[rent]],'charges'!$C:$C))*total_final[[#This Row],[%evolution]]</calculatedColumnFormula>
    </tableColumn>
    <tableColumn id="10" xr3:uid="{EABF438C-289A-4537-9A89-D618D66BE776}" name="taxes" dataDxfId="20">
      <calculatedColumnFormula>(SUMIF('charges'!$A:$A,total_final[[#Headers],[taxes]],'charges'!$C:$C))*total_final[[#This Row],[%evolution]]</calculatedColumnFormula>
    </tableColumn>
    <tableColumn id="11" xr3:uid="{3DDE191A-E0E3-402B-ABEF-D9EC7BE5F738}" name="loan" dataDxfId="19">
      <calculatedColumnFormula>(SUMIF('charges'!$A:$A,total_final[[#Headers],[loan]],'charges'!$C:$C))*total_final[[#This Row],[%evolution]]</calculatedColumnFormula>
    </tableColumn>
    <tableColumn id="12" xr3:uid="{C818C5FE-B0C6-4C52-A9AE-896C1C41A581}" name="bank_charges" dataDxfId="18">
      <calculatedColumnFormula>(SUMIF('charges'!$A:$A,total_final[[#Headers],[bank_charges]],'charges'!$C:$C))*total_final[[#This Row],[%evolution]]</calculatedColumnFormula>
    </tableColumn>
    <tableColumn id="13" xr3:uid="{F1D2494B-AA40-4E47-97B4-53F07477C905}" name="subscription" dataDxfId="17">
      <calculatedColumnFormula>(SUMIF('charges'!$A:$A,total_final[[#Headers],[subscription]],'charges'!$C:$C))*total_final[[#This Row],[%evolution]]</calculatedColumnFormula>
    </tableColumn>
    <tableColumn id="14" xr3:uid="{F55C646E-051D-483F-B2CE-74AC11169FE7}" name="others" dataDxfId="16">
      <calculatedColumnFormula>(SUMIF('charges'!$A:$A,total_final[[#Headers],[others]],'charges'!$C:$C))*total_final[[#This Row],[%evolution]]</calculatedColumnFormula>
    </tableColumn>
    <tableColumn id="15" xr3:uid="{708F79BD-11F2-4799-B46F-C1108F09EAA8}" name="stock" dataDxfId="15">
      <calculatedColumnFormula>(SUMIF('charges'!$A:$A,total_final[[#Headers],[stock]],'charges'!$C:$C))*total_final[[#This Row],[%evolution]]</calculatedColumnFormula>
    </tableColumn>
    <tableColumn id="17" xr3:uid="{BB3586ED-5997-4855-8F04-73ACB85C934D}" name="subcontracting" dataDxfId="14">
      <calculatedColumnFormula>(SUMIF('charges'!$A:$A,total_final[[#Headers],[subcontracting]],'charges'!$C:$C))*total_final[[#This Row],[%evolution]]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F8320F3-0E23-4172-8766-241276694378}" name="cumulative_total" displayName="cumulative_total" ref="A1:E8" totalsRowShown="0" headerRowDxfId="13" dataDxfId="11" headerRowBorderDxfId="12" tableBorderDxfId="10" totalsRowBorderDxfId="9">
  <autoFilter ref="A1:E8" xr:uid="{8F8320F3-0E23-4172-8766-241276694378}"/>
  <tableColumns count="5">
    <tableColumn id="1" xr3:uid="{B4A280B8-15DF-49A1-A706-F6A81D214BF1}" name="year" dataDxfId="8"/>
    <tableColumn id="2" xr3:uid="{F8567E1F-0DA6-4E6F-B145-C1116ECA5623}" name="sales_turnover" dataDxfId="7" dataCellStyle="Monétaire">
      <calculatedColumnFormula>total_final[[#This Row],[sales_turnover]]</calculatedColumnFormula>
    </tableColumn>
    <tableColumn id="3" xr3:uid="{5401368D-C8BA-4D27-A3F0-F965F6D11D88}" name="total_charges" dataDxfId="6" dataCellStyle="Monétaire">
      <calculatedColumnFormula>total_final[[#This Row],[total_charges]]</calculatedColumnFormula>
    </tableColumn>
    <tableColumn id="4" xr3:uid="{1F7694BA-C328-4E3D-A970-92857DBC397E}" name="difference" dataDxfId="5" dataCellStyle="Monétaire">
      <calculatedColumnFormula>cumulative_total[[#This Row],[sales_turnover]]-cumulative_total[[#This Row],[total_charges]]</calculatedColumnFormula>
    </tableColumn>
    <tableColumn id="5" xr3:uid="{C8D255A2-A3D0-4534-9DBE-33F4C9777D7A}" name="cumulative" dataDxfId="4" dataCellStyle="Monétaire">
      <calculatedColumnFormula>E1+D2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hyperlink" Target="https://www.legalstart.fr/fiches-pratiques/assurances/comment-assurer-son-restaura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V55"/>
  <sheetViews>
    <sheetView topLeftCell="G1" zoomScale="105" workbookViewId="0">
      <selection activeCell="K17" sqref="K17"/>
    </sheetView>
  </sheetViews>
  <sheetFormatPr baseColWidth="10" defaultRowHeight="14.4" x14ac:dyDescent="0.3"/>
  <cols>
    <col min="2" max="2" width="22.21875" customWidth="1"/>
    <col min="3" max="3" width="13.109375" bestFit="1" customWidth="1"/>
    <col min="4" max="4" width="16.88671875" bestFit="1" customWidth="1"/>
    <col min="5" max="5" width="13.109375" bestFit="1" customWidth="1"/>
    <col min="6" max="6" width="16.88671875" bestFit="1" customWidth="1"/>
    <col min="7" max="7" width="14.5546875" bestFit="1" customWidth="1"/>
    <col min="8" max="8" width="16.88671875" bestFit="1" customWidth="1"/>
    <col min="9" max="10" width="16.88671875" customWidth="1"/>
    <col min="11" max="11" width="20.5546875" bestFit="1" customWidth="1"/>
    <col min="12" max="12" width="16.88671875" customWidth="1"/>
    <col min="13" max="13" width="20.33203125" bestFit="1" customWidth="1"/>
    <col min="14" max="14" width="33.21875" bestFit="1" customWidth="1"/>
    <col min="15" max="15" width="18.6640625" bestFit="1" customWidth="1"/>
    <col min="16" max="16" width="29.109375" bestFit="1" customWidth="1"/>
    <col min="17" max="17" width="18.109375" bestFit="1" customWidth="1"/>
    <col min="19" max="19" width="18.109375" bestFit="1" customWidth="1"/>
    <col min="20" max="20" width="13" bestFit="1" customWidth="1"/>
    <col min="21" max="21" width="12.109375" bestFit="1" customWidth="1"/>
    <col min="22" max="22" width="20.5546875" customWidth="1"/>
  </cols>
  <sheetData>
    <row r="1" spans="1:22" x14ac:dyDescent="0.3">
      <c r="R1">
        <v>351</v>
      </c>
      <c r="T1">
        <v>50</v>
      </c>
    </row>
    <row r="2" spans="1:22" x14ac:dyDescent="0.3">
      <c r="A2" t="s">
        <v>1</v>
      </c>
      <c r="B2" t="s">
        <v>37</v>
      </c>
      <c r="C2" t="s">
        <v>36</v>
      </c>
      <c r="D2" t="s">
        <v>2</v>
      </c>
      <c r="E2" t="s">
        <v>3</v>
      </c>
      <c r="F2" t="s">
        <v>2</v>
      </c>
      <c r="G2" t="s">
        <v>4</v>
      </c>
      <c r="H2" t="s">
        <v>2</v>
      </c>
      <c r="I2" t="s">
        <v>107</v>
      </c>
      <c r="J2" t="s">
        <v>2</v>
      </c>
      <c r="K2" t="s">
        <v>7</v>
      </c>
      <c r="L2" t="s">
        <v>28</v>
      </c>
      <c r="M2" t="s">
        <v>5</v>
      </c>
      <c r="N2" t="s">
        <v>29</v>
      </c>
      <c r="O2" t="s">
        <v>30</v>
      </c>
      <c r="P2" s="10" t="s">
        <v>6</v>
      </c>
      <c r="Q2" t="s">
        <v>22</v>
      </c>
      <c r="R2" t="s">
        <v>23</v>
      </c>
      <c r="S2" t="s">
        <v>26</v>
      </c>
      <c r="T2" t="s">
        <v>24</v>
      </c>
      <c r="U2" t="s">
        <v>25</v>
      </c>
      <c r="V2" t="s">
        <v>27</v>
      </c>
    </row>
    <row r="3" spans="1:22" x14ac:dyDescent="0.3">
      <c r="A3">
        <v>11</v>
      </c>
      <c r="B3" s="2">
        <f>C3+E3+G3+I3</f>
        <v>1376436.4322574642</v>
      </c>
      <c r="C3" s="1">
        <f t="shared" ref="C3:C12" si="0">C4*$D$13</f>
        <v>198005.07556826071</v>
      </c>
      <c r="E3" s="1">
        <f t="shared" ref="E3:E11" si="1">E4*$F$13</f>
        <v>136182.47421248766</v>
      </c>
      <c r="G3" s="2">
        <f t="shared" ref="G3:G11" si="2">G4*$H$13</f>
        <v>961196.62641172693</v>
      </c>
      <c r="I3" s="2">
        <f t="shared" ref="I3:I11" si="3">I4*$J$13</f>
        <v>81052.256064988876</v>
      </c>
      <c r="K3" s="2">
        <f>B3-$P$3</f>
        <v>396923.77523354325</v>
      </c>
      <c r="L3" s="6">
        <f>K3/B3</f>
        <v>0.2883705821289233</v>
      </c>
      <c r="M3" t="s">
        <v>121</v>
      </c>
      <c r="N3" s="1">
        <v>65000</v>
      </c>
      <c r="O3" s="1">
        <f>N3/12</f>
        <v>5416.666666666667</v>
      </c>
      <c r="P3" s="11">
        <f>SUM(N3:N28)</f>
        <v>979512.65702392091</v>
      </c>
      <c r="Q3" s="3">
        <f>$P$3/351</f>
        <v>2790.6343504955012</v>
      </c>
      <c r="R3" s="2">
        <f>B3/$R$1</f>
        <v>3921.4713169728325</v>
      </c>
      <c r="S3" s="5">
        <f>R3-Q3</f>
        <v>1130.8369664773313</v>
      </c>
      <c r="T3" s="2">
        <f>$P$3/$T$1</f>
        <v>19590.253140478417</v>
      </c>
      <c r="U3" s="2">
        <f>B3/$T$1</f>
        <v>27528.728645149284</v>
      </c>
      <c r="V3" s="5">
        <f>U3-T3</f>
        <v>7938.4755046708669</v>
      </c>
    </row>
    <row r="4" spans="1:22" x14ac:dyDescent="0.3">
      <c r="A4">
        <v>10</v>
      </c>
      <c r="B4" s="2">
        <f t="shared" ref="B4:B13" si="4">C4+E4+G4+I4</f>
        <v>1319904.3148417515</v>
      </c>
      <c r="C4" s="1">
        <f t="shared" si="0"/>
        <v>186797.24110213274</v>
      </c>
      <c r="E4" s="1">
        <f t="shared" si="1"/>
        <v>130944.6867427766</v>
      </c>
      <c r="G4" s="2">
        <f t="shared" si="2"/>
        <v>924227.52539589128</v>
      </c>
      <c r="I4" s="2">
        <f t="shared" si="3"/>
        <v>77934.861600950841</v>
      </c>
      <c r="K4" s="2">
        <f t="shared" ref="K4:K13" si="5">B4-$P$3</f>
        <v>340391.65781783056</v>
      </c>
      <c r="L4" s="6">
        <f t="shared" ref="L4:L13" si="6">K4/B4</f>
        <v>0.25789116225341036</v>
      </c>
      <c r="M4" t="s">
        <v>115</v>
      </c>
      <c r="N4" s="1">
        <v>65000</v>
      </c>
      <c r="O4" s="1">
        <f t="shared" ref="O4" si="7">N4/12</f>
        <v>5416.666666666667</v>
      </c>
      <c r="Q4" s="3">
        <f>$P$3/351</f>
        <v>2790.6343504955012</v>
      </c>
      <c r="R4" s="2">
        <f t="shared" ref="R4:R13" si="8">B4/$R$1</f>
        <v>3760.4111533953032</v>
      </c>
      <c r="S4" s="5">
        <f t="shared" ref="S4:S13" si="9">R4-Q4</f>
        <v>969.77680289980208</v>
      </c>
      <c r="T4" s="2">
        <f t="shared" ref="T4:T13" si="10">$P$3/$T$1</f>
        <v>19590.253140478417</v>
      </c>
      <c r="U4" s="2">
        <f t="shared" ref="U4:U13" si="11">B4/$T$1</f>
        <v>26398.08629683503</v>
      </c>
      <c r="V4" s="5">
        <f t="shared" ref="V4:V13" si="12">U4-T4</f>
        <v>6807.8331563566135</v>
      </c>
    </row>
    <row r="5" spans="1:22" x14ac:dyDescent="0.3">
      <c r="A5">
        <v>9</v>
      </c>
      <c r="B5" s="2">
        <f t="shared" si="4"/>
        <v>1265749.8448024436</v>
      </c>
      <c r="C5" s="1">
        <f t="shared" si="0"/>
        <v>176223.81236050258</v>
      </c>
      <c r="E5" s="1">
        <f t="shared" si="1"/>
        <v>125908.35263728519</v>
      </c>
      <c r="G5" s="2">
        <f t="shared" si="2"/>
        <v>888680.31288066471</v>
      </c>
      <c r="I5" s="2">
        <f t="shared" si="3"/>
        <v>74937.366923991183</v>
      </c>
      <c r="K5" s="2">
        <f t="shared" si="5"/>
        <v>286237.18777852273</v>
      </c>
      <c r="L5" s="6">
        <f t="shared" si="6"/>
        <v>0.22614040914474551</v>
      </c>
      <c r="M5" t="s">
        <v>116</v>
      </c>
      <c r="N5" s="1">
        <v>30041</v>
      </c>
      <c r="O5" s="1">
        <f t="shared" ref="O5:O19" si="13">N5/12</f>
        <v>2503.4166666666665</v>
      </c>
      <c r="P5" t="s">
        <v>122</v>
      </c>
      <c r="Q5" s="3">
        <f t="shared" ref="Q5:Q13" si="14">$P$3/351</f>
        <v>2790.6343504955012</v>
      </c>
      <c r="R5" s="2">
        <f t="shared" si="8"/>
        <v>3606.1249139670758</v>
      </c>
      <c r="S5" s="5">
        <f t="shared" si="9"/>
        <v>815.49056347157466</v>
      </c>
      <c r="T5" s="2">
        <f t="shared" si="10"/>
        <v>19590.253140478417</v>
      </c>
      <c r="U5" s="2">
        <f t="shared" si="11"/>
        <v>25314.996896048873</v>
      </c>
      <c r="V5" s="5">
        <f t="shared" si="12"/>
        <v>5724.7437555704564</v>
      </c>
    </row>
    <row r="6" spans="1:22" x14ac:dyDescent="0.3">
      <c r="A6">
        <v>8</v>
      </c>
      <c r="B6" s="2">
        <f t="shared" si="4"/>
        <v>1213870.0646257079</v>
      </c>
      <c r="C6" s="1">
        <f t="shared" si="0"/>
        <v>166248.87958537979</v>
      </c>
      <c r="E6" s="1">
        <f t="shared" si="1"/>
        <v>121065.72368969729</v>
      </c>
      <c r="G6" s="2">
        <f t="shared" si="2"/>
        <v>854500.30084679299</v>
      </c>
      <c r="I6" s="2">
        <f t="shared" si="3"/>
        <v>72055.160503837673</v>
      </c>
      <c r="K6" s="2">
        <f t="shared" si="5"/>
        <v>234357.40760178701</v>
      </c>
      <c r="L6" s="6">
        <f t="shared" si="6"/>
        <v>0.1930663045669968</v>
      </c>
      <c r="M6" t="s">
        <v>116</v>
      </c>
      <c r="N6" s="1"/>
      <c r="O6" s="1">
        <f t="shared" si="13"/>
        <v>0</v>
      </c>
      <c r="Q6" s="3">
        <f t="shared" si="14"/>
        <v>2790.6343504955012</v>
      </c>
      <c r="R6" s="2">
        <f t="shared" si="8"/>
        <v>3458.3192724379142</v>
      </c>
      <c r="S6" s="5">
        <f t="shared" si="9"/>
        <v>667.68492194241298</v>
      </c>
      <c r="T6" s="2">
        <f t="shared" si="10"/>
        <v>19590.253140478417</v>
      </c>
      <c r="U6" s="2">
        <f t="shared" si="11"/>
        <v>24277.401292514158</v>
      </c>
      <c r="V6" s="5">
        <f t="shared" si="12"/>
        <v>4687.1481520357411</v>
      </c>
    </row>
    <row r="7" spans="1:22" x14ac:dyDescent="0.3">
      <c r="A7">
        <v>7</v>
      </c>
      <c r="B7" s="2">
        <f t="shared" si="4"/>
        <v>1164166.6281853616</v>
      </c>
      <c r="C7" s="1">
        <f t="shared" si="0"/>
        <v>156838.5656465847</v>
      </c>
      <c r="E7" s="1">
        <f t="shared" si="1"/>
        <v>116409.349701632</v>
      </c>
      <c r="G7" s="2">
        <f t="shared" si="2"/>
        <v>821634.90466037788</v>
      </c>
      <c r="I7" s="2">
        <f t="shared" si="3"/>
        <v>69283.808176766994</v>
      </c>
      <c r="K7" s="2">
        <f t="shared" si="5"/>
        <v>184653.97116144071</v>
      </c>
      <c r="L7" s="6">
        <f t="shared" si="6"/>
        <v>0.15861472635516882</v>
      </c>
      <c r="M7" t="s">
        <v>117</v>
      </c>
      <c r="N7" s="1">
        <v>30041</v>
      </c>
      <c r="O7" s="1">
        <f t="shared" si="13"/>
        <v>2503.4166666666665</v>
      </c>
      <c r="Q7" s="3">
        <f t="shared" si="14"/>
        <v>2790.6343504955012</v>
      </c>
      <c r="R7" s="2">
        <f t="shared" si="8"/>
        <v>3316.7140404141355</v>
      </c>
      <c r="S7" s="5">
        <f t="shared" si="9"/>
        <v>526.07968991863436</v>
      </c>
      <c r="T7" s="2">
        <f t="shared" si="10"/>
        <v>19590.253140478417</v>
      </c>
      <c r="U7" s="2">
        <f t="shared" si="11"/>
        <v>23283.332563707234</v>
      </c>
      <c r="V7" s="5">
        <f t="shared" si="12"/>
        <v>3693.0794232288172</v>
      </c>
    </row>
    <row r="8" spans="1:22" x14ac:dyDescent="0.3">
      <c r="A8">
        <v>6</v>
      </c>
      <c r="B8" s="2">
        <f t="shared" si="4"/>
        <v>1116545.5865053986</v>
      </c>
      <c r="C8" s="1">
        <f t="shared" si="0"/>
        <v>147960.91098734405</v>
      </c>
      <c r="E8" s="1">
        <f t="shared" si="1"/>
        <v>111932.06702079999</v>
      </c>
      <c r="G8" s="2">
        <f t="shared" si="2"/>
        <v>790033.56217344024</v>
      </c>
      <c r="I8" s="2">
        <f t="shared" si="3"/>
        <v>66619.046323814415</v>
      </c>
      <c r="K8" s="2">
        <f t="shared" si="5"/>
        <v>137032.92948147771</v>
      </c>
      <c r="L8" s="6">
        <f t="shared" si="6"/>
        <v>0.12272936379639268</v>
      </c>
      <c r="M8" t="s">
        <v>118</v>
      </c>
      <c r="N8" s="1">
        <v>30041</v>
      </c>
      <c r="O8" s="1">
        <f t="shared" si="13"/>
        <v>2503.4166666666665</v>
      </c>
      <c r="Q8" s="3">
        <f t="shared" si="14"/>
        <v>2790.6343504955012</v>
      </c>
      <c r="R8" s="2">
        <f t="shared" si="8"/>
        <v>3181.0415569954375</v>
      </c>
      <c r="S8" s="5">
        <f t="shared" si="9"/>
        <v>390.40720649993636</v>
      </c>
      <c r="T8" s="2">
        <f t="shared" si="10"/>
        <v>19590.253140478417</v>
      </c>
      <c r="U8" s="2">
        <f t="shared" si="11"/>
        <v>22330.911730107971</v>
      </c>
      <c r="V8" s="5">
        <f t="shared" si="12"/>
        <v>2740.6585896295546</v>
      </c>
    </row>
    <row r="9" spans="1:22" x14ac:dyDescent="0.3">
      <c r="A9">
        <v>5</v>
      </c>
      <c r="B9" s="2">
        <f t="shared" si="4"/>
        <v>1070917.1838497601</v>
      </c>
      <c r="C9" s="1">
        <f t="shared" si="0"/>
        <v>139585.76508240003</v>
      </c>
      <c r="E9" s="1">
        <f t="shared" si="1"/>
        <v>107626.98752</v>
      </c>
      <c r="G9" s="2">
        <f t="shared" si="2"/>
        <v>759647.65593600017</v>
      </c>
      <c r="I9" s="2">
        <f t="shared" si="3"/>
        <v>64056.775311360012</v>
      </c>
      <c r="K9" s="2">
        <f t="shared" si="5"/>
        <v>91404.526825839188</v>
      </c>
      <c r="L9" s="6">
        <f t="shared" si="6"/>
        <v>8.5351629616452596E-2</v>
      </c>
      <c r="M9" t="s">
        <v>118</v>
      </c>
      <c r="N9" s="1">
        <v>30041</v>
      </c>
      <c r="O9" s="1">
        <f t="shared" si="13"/>
        <v>2503.4166666666665</v>
      </c>
      <c r="Q9" s="3">
        <f t="shared" si="14"/>
        <v>2790.6343504955012</v>
      </c>
      <c r="R9" s="2">
        <f t="shared" si="8"/>
        <v>3051.0461078340745</v>
      </c>
      <c r="S9" s="5">
        <f t="shared" si="9"/>
        <v>260.41175733857335</v>
      </c>
      <c r="T9" s="2">
        <f t="shared" si="10"/>
        <v>19590.253140478417</v>
      </c>
      <c r="U9" s="2">
        <f t="shared" si="11"/>
        <v>21418.343676995202</v>
      </c>
      <c r="V9" s="5">
        <f t="shared" si="12"/>
        <v>1828.0905365167855</v>
      </c>
    </row>
    <row r="10" spans="1:22" x14ac:dyDescent="0.3">
      <c r="A10">
        <v>4</v>
      </c>
      <c r="B10" s="2">
        <f t="shared" si="4"/>
        <v>1027195.6636240002</v>
      </c>
      <c r="C10" s="1">
        <f t="shared" si="0"/>
        <v>131684.68404000002</v>
      </c>
      <c r="E10" s="1">
        <f t="shared" si="1"/>
        <v>103487.488</v>
      </c>
      <c r="G10" s="2">
        <f t="shared" si="2"/>
        <v>730430.4384000001</v>
      </c>
      <c r="I10" s="2">
        <f t="shared" si="3"/>
        <v>61593.053184000011</v>
      </c>
      <c r="K10" s="2">
        <f t="shared" si="5"/>
        <v>47683.006600079243</v>
      </c>
      <c r="L10" s="6">
        <f t="shared" si="6"/>
        <v>4.6420568435667942E-2</v>
      </c>
      <c r="M10" t="s">
        <v>119</v>
      </c>
      <c r="N10" s="1">
        <v>48612</v>
      </c>
      <c r="O10" s="1">
        <f t="shared" si="13"/>
        <v>4051</v>
      </c>
      <c r="Q10" s="3">
        <f t="shared" si="14"/>
        <v>2790.6343504955012</v>
      </c>
      <c r="R10" s="2">
        <f t="shared" si="8"/>
        <v>2926.4833721481486</v>
      </c>
      <c r="S10" s="5">
        <f t="shared" si="9"/>
        <v>135.84902165264748</v>
      </c>
      <c r="T10" s="2">
        <f t="shared" si="10"/>
        <v>19590.253140478417</v>
      </c>
      <c r="U10" s="2">
        <f t="shared" si="11"/>
        <v>20543.913272480004</v>
      </c>
      <c r="V10" s="5">
        <f t="shared" si="12"/>
        <v>953.66013200158704</v>
      </c>
    </row>
    <row r="11" spans="1:22" x14ac:dyDescent="0.3">
      <c r="A11">
        <v>3</v>
      </c>
      <c r="B11" s="2">
        <f t="shared" si="4"/>
        <v>985299.08360000001</v>
      </c>
      <c r="C11" s="1">
        <f t="shared" si="0"/>
        <v>124230.83400000002</v>
      </c>
      <c r="E11" s="1">
        <f t="shared" si="1"/>
        <v>99507.199999999997</v>
      </c>
      <c r="G11" s="2">
        <f t="shared" si="2"/>
        <v>702336.96000000008</v>
      </c>
      <c r="I11" s="2">
        <f t="shared" si="3"/>
        <v>59224.089600000007</v>
      </c>
      <c r="K11" s="2">
        <f t="shared" si="5"/>
        <v>5786.4265760791022</v>
      </c>
      <c r="L11" s="6">
        <f t="shared" si="6"/>
        <v>5.8727615527025163E-3</v>
      </c>
      <c r="M11" t="s">
        <v>120</v>
      </c>
      <c r="N11" s="1">
        <v>30041</v>
      </c>
      <c r="O11" s="1">
        <f t="shared" si="13"/>
        <v>2503.4166666666665</v>
      </c>
      <c r="Q11" s="3">
        <f t="shared" si="14"/>
        <v>2790.6343504955012</v>
      </c>
      <c r="R11" s="2">
        <f t="shared" si="8"/>
        <v>2807.1198962962962</v>
      </c>
      <c r="S11" s="5">
        <f t="shared" si="9"/>
        <v>16.48554580079508</v>
      </c>
      <c r="T11" s="2">
        <f t="shared" si="10"/>
        <v>19590.253140478417</v>
      </c>
      <c r="U11" s="2">
        <f t="shared" si="11"/>
        <v>19705.981672000002</v>
      </c>
      <c r="V11" s="5">
        <f t="shared" si="12"/>
        <v>115.72853152158496</v>
      </c>
    </row>
    <row r="12" spans="1:22" x14ac:dyDescent="0.3">
      <c r="A12">
        <v>2</v>
      </c>
      <c r="B12" s="2">
        <f t="shared" si="4"/>
        <v>945149.14</v>
      </c>
      <c r="C12" s="1">
        <f t="shared" si="0"/>
        <v>117198.90000000001</v>
      </c>
      <c r="E12" s="1">
        <f>E13*$F$13</f>
        <v>95680</v>
      </c>
      <c r="G12" s="2">
        <f>G13*$H$13</f>
        <v>675324</v>
      </c>
      <c r="I12" s="2">
        <f>I13*$J$13</f>
        <v>56946.240000000005</v>
      </c>
      <c r="K12" s="2">
        <f t="shared" si="5"/>
        <v>-34363.517023920896</v>
      </c>
      <c r="L12" s="6">
        <f t="shared" si="6"/>
        <v>-3.6357772090784418E-2</v>
      </c>
      <c r="M12" t="s">
        <v>0</v>
      </c>
      <c r="N12" s="1">
        <v>120000</v>
      </c>
      <c r="O12" s="1">
        <f t="shared" si="13"/>
        <v>10000</v>
      </c>
      <c r="Q12" s="3">
        <f t="shared" si="14"/>
        <v>2790.6343504955012</v>
      </c>
      <c r="R12" s="2">
        <f t="shared" si="8"/>
        <v>2692.7325925925925</v>
      </c>
      <c r="S12" s="5">
        <f t="shared" si="9"/>
        <v>-97.901757902908685</v>
      </c>
      <c r="T12" s="2">
        <f t="shared" si="10"/>
        <v>19590.253140478417</v>
      </c>
      <c r="U12" s="2">
        <f t="shared" si="11"/>
        <v>18902.982800000002</v>
      </c>
      <c r="V12" s="5">
        <f t="shared" si="12"/>
        <v>-687.27034047841516</v>
      </c>
    </row>
    <row r="13" spans="1:22" x14ac:dyDescent="0.3">
      <c r="A13">
        <v>1</v>
      </c>
      <c r="B13" s="2">
        <f t="shared" si="4"/>
        <v>906671</v>
      </c>
      <c r="C13" s="1">
        <f>total_estimate!F9</f>
        <v>110565</v>
      </c>
      <c r="D13">
        <v>1.06</v>
      </c>
      <c r="E13" s="1">
        <f>total_estimate!F4</f>
        <v>92000</v>
      </c>
      <c r="F13">
        <v>1.04</v>
      </c>
      <c r="G13" s="2">
        <f>total_estimate!F2</f>
        <v>649350</v>
      </c>
      <c r="H13">
        <v>1.04</v>
      </c>
      <c r="I13" s="2">
        <f>total_estimate!F10</f>
        <v>54756</v>
      </c>
      <c r="J13">
        <v>1.04</v>
      </c>
      <c r="K13" s="2">
        <f t="shared" si="5"/>
        <v>-72841.65702392091</v>
      </c>
      <c r="L13" s="6">
        <f t="shared" si="6"/>
        <v>-8.0339678917623822E-2</v>
      </c>
      <c r="M13" t="s">
        <v>43</v>
      </c>
      <c r="N13" s="1">
        <f>B13*0.03</f>
        <v>27200.129999999997</v>
      </c>
      <c r="O13" s="1">
        <f t="shared" si="13"/>
        <v>2266.6774999999998</v>
      </c>
      <c r="Q13" s="3">
        <f t="shared" si="14"/>
        <v>2790.6343504955012</v>
      </c>
      <c r="R13" s="2">
        <f t="shared" si="8"/>
        <v>2583.1082621082619</v>
      </c>
      <c r="S13" s="5">
        <f t="shared" si="9"/>
        <v>-207.52608838723927</v>
      </c>
      <c r="T13" s="2">
        <f t="shared" si="10"/>
        <v>19590.253140478417</v>
      </c>
      <c r="U13" s="2">
        <f t="shared" si="11"/>
        <v>18133.419999999998</v>
      </c>
      <c r="V13" s="5">
        <f t="shared" si="12"/>
        <v>-1456.8331404784185</v>
      </c>
    </row>
    <row r="14" spans="1:22" x14ac:dyDescent="0.3">
      <c r="B14" s="2"/>
      <c r="C14" s="1"/>
      <c r="E14" s="1"/>
      <c r="G14" s="2"/>
      <c r="K14" s="2"/>
      <c r="L14" s="6"/>
      <c r="M14" t="s">
        <v>38</v>
      </c>
      <c r="N14" s="1">
        <f>1826*12</f>
        <v>21912</v>
      </c>
      <c r="O14" s="1">
        <f t="shared" si="13"/>
        <v>1826</v>
      </c>
      <c r="Q14" s="3"/>
      <c r="R14" s="2"/>
      <c r="S14" s="5"/>
      <c r="T14" s="2"/>
      <c r="U14" s="2"/>
      <c r="V14" s="5"/>
    </row>
    <row r="15" spans="1:22" x14ac:dyDescent="0.3">
      <c r="B15" s="2"/>
      <c r="C15" s="1"/>
      <c r="D15" t="s">
        <v>49</v>
      </c>
      <c r="E15" s="1">
        <f>E13/5</f>
        <v>18400</v>
      </c>
      <c r="F15" s="2">
        <f>E15/1.7</f>
        <v>10823.529411764706</v>
      </c>
      <c r="G15" s="2"/>
      <c r="K15" s="2"/>
      <c r="L15" s="6"/>
      <c r="M15" t="s">
        <v>40</v>
      </c>
      <c r="N15" s="1">
        <f>60000/5</f>
        <v>12000</v>
      </c>
      <c r="O15" s="1">
        <f t="shared" si="13"/>
        <v>1000</v>
      </c>
      <c r="Q15" s="3"/>
      <c r="R15" s="2"/>
      <c r="S15" s="5"/>
      <c r="T15" s="2"/>
      <c r="U15" s="2"/>
      <c r="V15" s="5"/>
    </row>
    <row r="16" spans="1:22" x14ac:dyDescent="0.3">
      <c r="B16" s="2"/>
      <c r="C16" s="1"/>
      <c r="D16" t="s">
        <v>50</v>
      </c>
      <c r="E16" s="1">
        <f>E15*4</f>
        <v>73600</v>
      </c>
      <c r="F16" s="2">
        <f>E16/3.5</f>
        <v>21028.571428571428</v>
      </c>
      <c r="G16" s="2"/>
      <c r="K16" s="2"/>
      <c r="L16" s="6"/>
      <c r="M16" t="s">
        <v>39</v>
      </c>
      <c r="N16" s="1">
        <f>988.86*12</f>
        <v>11866.32</v>
      </c>
      <c r="O16" s="1">
        <f t="shared" si="13"/>
        <v>988.86</v>
      </c>
      <c r="Q16" s="3"/>
      <c r="R16" s="2"/>
      <c r="S16" s="5"/>
      <c r="T16" s="2"/>
      <c r="U16" s="2"/>
      <c r="V16" s="5"/>
    </row>
    <row r="17" spans="2:22" x14ac:dyDescent="0.3">
      <c r="B17" s="2"/>
      <c r="C17" s="1"/>
      <c r="E17" s="1"/>
      <c r="G17" s="2"/>
      <c r="K17" s="2"/>
      <c r="L17" s="6"/>
      <c r="M17" t="s">
        <v>41</v>
      </c>
      <c r="N17" s="1">
        <f>30000/5</f>
        <v>6000</v>
      </c>
      <c r="O17" s="1">
        <f t="shared" si="13"/>
        <v>500</v>
      </c>
      <c r="Q17" s="3"/>
      <c r="R17" s="2"/>
      <c r="S17" s="5"/>
      <c r="T17" s="2"/>
      <c r="U17" s="2"/>
      <c r="V17" s="5"/>
    </row>
    <row r="18" spans="2:22" x14ac:dyDescent="0.3">
      <c r="B18" s="2"/>
      <c r="C18" s="1">
        <f>C13/351</f>
        <v>315</v>
      </c>
      <c r="E18" s="1">
        <f>E13/351</f>
        <v>262.10826210826212</v>
      </c>
      <c r="G18" s="2">
        <f>G13/351</f>
        <v>1850</v>
      </c>
      <c r="I18" s="2">
        <f>I13/351</f>
        <v>156</v>
      </c>
      <c r="K18" s="2"/>
      <c r="L18" s="6"/>
      <c r="M18" t="s">
        <v>54</v>
      </c>
      <c r="N18" s="1">
        <v>22152</v>
      </c>
      <c r="O18" s="1">
        <f t="shared" si="13"/>
        <v>1846</v>
      </c>
      <c r="Q18" s="3"/>
      <c r="R18" s="2"/>
      <c r="S18" s="5"/>
      <c r="T18" s="2"/>
      <c r="U18" s="2"/>
      <c r="V18" s="5"/>
    </row>
    <row r="19" spans="2:22" x14ac:dyDescent="0.3">
      <c r="B19" s="2"/>
      <c r="C19" s="1"/>
      <c r="E19" s="1"/>
      <c r="G19" s="2"/>
      <c r="K19" s="2"/>
      <c r="M19" s="4" t="s">
        <v>113</v>
      </c>
      <c r="N19" s="1">
        <v>20000</v>
      </c>
      <c r="O19" s="1">
        <f t="shared" si="13"/>
        <v>1666.6666666666667</v>
      </c>
      <c r="Q19" s="3"/>
      <c r="R19" s="2"/>
      <c r="S19" s="5"/>
      <c r="T19" s="2"/>
      <c r="U19" s="2"/>
      <c r="V19" s="5"/>
    </row>
    <row r="20" spans="2:22" x14ac:dyDescent="0.3">
      <c r="B20" s="4"/>
      <c r="C20" s="1"/>
      <c r="E20" s="1"/>
      <c r="G20" s="2"/>
      <c r="K20" s="2"/>
      <c r="M20" s="4" t="s">
        <v>110</v>
      </c>
      <c r="N20" s="1">
        <f>B13*0.0068</f>
        <v>6165.3627999999999</v>
      </c>
      <c r="O20" s="1">
        <f t="shared" ref="O20:O25" si="15">N20/12</f>
        <v>513.78023333333329</v>
      </c>
      <c r="Q20" s="3"/>
      <c r="R20" s="2"/>
      <c r="S20" s="5"/>
      <c r="T20" s="2"/>
      <c r="U20" s="2"/>
      <c r="V20" s="5"/>
    </row>
    <row r="21" spans="2:22" x14ac:dyDescent="0.3">
      <c r="B21" s="34"/>
      <c r="C21" s="1"/>
      <c r="E21" s="1"/>
      <c r="G21" s="2"/>
      <c r="K21" s="2"/>
      <c r="M21" s="4" t="s">
        <v>109</v>
      </c>
      <c r="N21" s="1">
        <f>B13*0.0013</f>
        <v>1178.6723</v>
      </c>
      <c r="O21" s="1">
        <f t="shared" si="15"/>
        <v>98.222691666666663</v>
      </c>
      <c r="Q21" s="3"/>
      <c r="R21" s="2"/>
      <c r="S21" s="5"/>
      <c r="T21" s="2"/>
      <c r="U21" s="2"/>
      <c r="V21" s="5"/>
    </row>
    <row r="22" spans="2:22" x14ac:dyDescent="0.3">
      <c r="B22" s="2"/>
      <c r="C22" s="1"/>
      <c r="E22" s="1"/>
      <c r="G22" s="2"/>
      <c r="K22" s="2"/>
      <c r="M22" s="4" t="s">
        <v>111</v>
      </c>
      <c r="N22" s="1">
        <v>0</v>
      </c>
      <c r="O22" s="1">
        <f t="shared" si="15"/>
        <v>0</v>
      </c>
      <c r="Q22" s="3"/>
      <c r="R22" s="2"/>
      <c r="S22" s="5"/>
      <c r="T22" s="2"/>
      <c r="U22" s="2"/>
      <c r="V22" s="5"/>
    </row>
    <row r="23" spans="2:22" x14ac:dyDescent="0.3">
      <c r="B23" s="2"/>
      <c r="C23" s="1"/>
      <c r="E23" s="1"/>
      <c r="G23" s="2"/>
      <c r="K23" s="2"/>
      <c r="M23" s="4" t="s">
        <v>112</v>
      </c>
      <c r="N23" s="1">
        <v>7349</v>
      </c>
      <c r="O23" s="1">
        <f t="shared" si="15"/>
        <v>612.41666666666663</v>
      </c>
      <c r="Q23" s="3"/>
      <c r="R23" s="2"/>
      <c r="S23" s="5"/>
      <c r="T23" s="2"/>
      <c r="U23" s="2"/>
      <c r="V23" s="5"/>
    </row>
    <row r="24" spans="2:22" x14ac:dyDescent="0.3">
      <c r="B24" s="2"/>
      <c r="C24" s="1"/>
      <c r="E24" s="1"/>
      <c r="G24" s="2"/>
      <c r="K24" s="2"/>
      <c r="M24" s="4" t="s">
        <v>108</v>
      </c>
      <c r="N24" s="1">
        <f>(B13-total_final!D2-N12-N13-N18-N19)*0.0075</f>
        <v>3864.3878425611151</v>
      </c>
      <c r="O24" s="1">
        <f t="shared" si="15"/>
        <v>322.03232021342626</v>
      </c>
      <c r="Q24" s="3"/>
      <c r="R24" s="2"/>
      <c r="S24" s="5"/>
      <c r="T24" s="2"/>
      <c r="U24" s="2"/>
      <c r="V24" s="5"/>
    </row>
    <row r="25" spans="2:22" x14ac:dyDescent="0.3">
      <c r="B25" s="2"/>
      <c r="C25" s="1"/>
      <c r="E25" s="1"/>
      <c r="G25" s="2"/>
      <c r="K25" s="2"/>
      <c r="M25" s="4" t="s">
        <v>114</v>
      </c>
      <c r="N25" s="2">
        <f>total_final!G2</f>
        <v>87423.183241023682</v>
      </c>
      <c r="O25" s="1">
        <f t="shared" si="15"/>
        <v>7285.2652700853068</v>
      </c>
      <c r="Q25" s="3"/>
      <c r="R25" s="2"/>
      <c r="S25" s="5"/>
      <c r="T25" s="2"/>
      <c r="U25" s="2"/>
      <c r="V25" s="5"/>
    </row>
    <row r="26" spans="2:22" x14ac:dyDescent="0.3">
      <c r="B26" s="2"/>
      <c r="C26" s="1"/>
      <c r="E26" s="1"/>
      <c r="G26" s="2"/>
      <c r="K26" s="2"/>
      <c r="M26" t="s">
        <v>47</v>
      </c>
      <c r="N26" s="1">
        <f>O26*12</f>
        <v>55282.5</v>
      </c>
      <c r="O26" s="1">
        <f>C13/2/12</f>
        <v>4606.875</v>
      </c>
      <c r="P26" t="s">
        <v>51</v>
      </c>
      <c r="Q26" s="3"/>
      <c r="R26" s="2"/>
      <c r="S26" s="5"/>
      <c r="T26" s="2"/>
      <c r="U26" s="2"/>
      <c r="V26" s="5"/>
    </row>
    <row r="27" spans="2:22" x14ac:dyDescent="0.3">
      <c r="B27" s="15"/>
      <c r="C27" s="1"/>
      <c r="E27" s="1"/>
      <c r="G27" s="2"/>
      <c r="K27" s="2"/>
      <c r="M27" t="s">
        <v>48</v>
      </c>
      <c r="N27" s="1">
        <f>O27*12</f>
        <v>31852.100840336134</v>
      </c>
      <c r="O27" s="1">
        <f>(F15+F16)/12</f>
        <v>2654.3417366946778</v>
      </c>
      <c r="P27" t="s">
        <v>52</v>
      </c>
      <c r="Q27" s="3"/>
      <c r="R27" s="2"/>
      <c r="S27" s="5"/>
      <c r="T27" s="2"/>
      <c r="U27" s="2"/>
      <c r="V27" s="5"/>
    </row>
    <row r="28" spans="2:22" x14ac:dyDescent="0.3">
      <c r="B28" s="2"/>
      <c r="C28" s="1"/>
      <c r="E28" s="1"/>
      <c r="G28" s="2"/>
      <c r="K28" s="2"/>
      <c r="L28" s="6"/>
      <c r="M28" t="s">
        <v>106</v>
      </c>
      <c r="N28" s="1">
        <f>O28*12</f>
        <v>216450</v>
      </c>
      <c r="O28" s="1">
        <f>G13/3/351*K35</f>
        <v>18037.5</v>
      </c>
      <c r="P28" t="s">
        <v>53</v>
      </c>
      <c r="Q28" s="3"/>
      <c r="R28" s="2"/>
      <c r="S28" s="5"/>
      <c r="T28" s="2"/>
      <c r="U28" s="2"/>
      <c r="V28" s="5"/>
    </row>
    <row r="29" spans="2:22" x14ac:dyDescent="0.3">
      <c r="B29" s="2"/>
      <c r="C29" s="1"/>
      <c r="E29" s="1"/>
      <c r="G29" s="2"/>
      <c r="K29" s="2"/>
      <c r="L29" s="6"/>
      <c r="M29" s="8"/>
      <c r="N29" s="9" t="s">
        <v>31</v>
      </c>
      <c r="O29" s="7">
        <f>SUM(O3:O28)</f>
        <v>81626.054751993404</v>
      </c>
      <c r="Q29" s="3"/>
      <c r="R29" s="2"/>
      <c r="S29" s="5"/>
      <c r="T29" s="2"/>
      <c r="U29" s="2"/>
      <c r="V29" s="5"/>
    </row>
    <row r="30" spans="2:22" x14ac:dyDescent="0.3">
      <c r="B30" s="2"/>
      <c r="C30" s="1"/>
      <c r="E30" s="1"/>
      <c r="G30" s="2"/>
      <c r="K30" s="2"/>
      <c r="L30" s="6"/>
      <c r="M30" s="8"/>
      <c r="N30" s="9" t="s">
        <v>32</v>
      </c>
      <c r="O30" s="7">
        <f>O29/4</f>
        <v>20406.513687998351</v>
      </c>
      <c r="Q30" s="3"/>
      <c r="R30" s="2"/>
      <c r="S30" s="5"/>
      <c r="T30" s="2"/>
      <c r="U30" s="2"/>
      <c r="V30" s="5"/>
    </row>
    <row r="31" spans="2:22" x14ac:dyDescent="0.3">
      <c r="B31" s="2"/>
      <c r="C31" s="1"/>
      <c r="E31" s="1"/>
      <c r="G31" s="2"/>
      <c r="K31" s="2"/>
      <c r="L31" s="6"/>
      <c r="O31" s="1"/>
      <c r="Q31" s="3"/>
      <c r="R31" s="2"/>
      <c r="S31" s="5"/>
      <c r="T31" s="2"/>
      <c r="U31" s="2"/>
      <c r="V31" s="5"/>
    </row>
    <row r="33" spans="1:16" x14ac:dyDescent="0.3">
      <c r="G33" s="2"/>
    </row>
    <row r="34" spans="1:16" x14ac:dyDescent="0.3">
      <c r="K34" t="s">
        <v>45</v>
      </c>
      <c r="M34">
        <f>351/12</f>
        <v>29.25</v>
      </c>
    </row>
    <row r="35" spans="1:16" x14ac:dyDescent="0.3">
      <c r="B35" s="13" t="s">
        <v>33</v>
      </c>
      <c r="C35" s="13" t="s">
        <v>34</v>
      </c>
      <c r="D35" s="13" t="s">
        <v>35</v>
      </c>
      <c r="K35">
        <v>29.25</v>
      </c>
    </row>
    <row r="36" spans="1:16" x14ac:dyDescent="0.3">
      <c r="A36">
        <v>11</v>
      </c>
      <c r="B36" s="14">
        <f t="shared" ref="B36:B46" si="16">C3/B3</f>
        <v>0.14385341082807349</v>
      </c>
      <c r="C36" s="14">
        <f t="shared" ref="C36:C46" si="17">E3/B3</f>
        <v>9.8938440614462442E-2</v>
      </c>
      <c r="D36" s="14">
        <f t="shared" ref="D36:D46" si="18">G3/B3</f>
        <v>0.69832256970653472</v>
      </c>
      <c r="E36" s="12"/>
      <c r="G36" t="s">
        <v>44</v>
      </c>
    </row>
    <row r="37" spans="1:16" x14ac:dyDescent="0.3">
      <c r="A37">
        <v>10</v>
      </c>
      <c r="B37" s="14">
        <f t="shared" si="16"/>
        <v>0.14152332029047773</v>
      </c>
      <c r="C37" s="14">
        <f t="shared" si="17"/>
        <v>9.9207711703310913E-2</v>
      </c>
      <c r="D37" s="14">
        <f t="shared" si="18"/>
        <v>0.70022312602766246</v>
      </c>
      <c r="E37" s="12"/>
      <c r="G37">
        <v>1</v>
      </c>
      <c r="H37">
        <v>0.4</v>
      </c>
      <c r="K37">
        <f>$K$35*H37</f>
        <v>11.700000000000001</v>
      </c>
      <c r="M37" t="s">
        <v>69</v>
      </c>
      <c r="N37" t="s">
        <v>74</v>
      </c>
    </row>
    <row r="38" spans="1:16" x14ac:dyDescent="0.3">
      <c r="A38">
        <v>9</v>
      </c>
      <c r="B38" s="14">
        <f t="shared" si="16"/>
        <v>0.13922483426257684</v>
      </c>
      <c r="C38" s="14">
        <f t="shared" si="17"/>
        <v>9.9473330495992898E-2</v>
      </c>
      <c r="D38" s="14">
        <f t="shared" si="18"/>
        <v>0.70209790388666304</v>
      </c>
      <c r="E38" s="12"/>
      <c r="G38">
        <v>2</v>
      </c>
      <c r="H38">
        <v>0.2</v>
      </c>
      <c r="K38">
        <f t="shared" ref="K38:K48" si="19">$K$35*H38</f>
        <v>5.8500000000000005</v>
      </c>
      <c r="M38">
        <v>40</v>
      </c>
      <c r="N38">
        <f>M38*0.33</f>
        <v>13.200000000000001</v>
      </c>
    </row>
    <row r="39" spans="1:16" x14ac:dyDescent="0.3">
      <c r="A39">
        <v>8</v>
      </c>
      <c r="B39" s="14">
        <f t="shared" si="16"/>
        <v>0.13695772260158831</v>
      </c>
      <c r="C39" s="14">
        <f t="shared" si="17"/>
        <v>9.9735323588383759E-2</v>
      </c>
      <c r="D39" s="14">
        <f t="shared" si="18"/>
        <v>0.70394709100127184</v>
      </c>
      <c r="E39" s="12"/>
      <c r="G39">
        <v>3</v>
      </c>
      <c r="H39">
        <v>0.3</v>
      </c>
      <c r="K39">
        <f t="shared" si="19"/>
        <v>8.7750000000000004</v>
      </c>
    </row>
    <row r="40" spans="1:16" x14ac:dyDescent="0.3">
      <c r="A40">
        <v>7</v>
      </c>
      <c r="B40" s="14">
        <f t="shared" si="16"/>
        <v>0.13472175017682472</v>
      </c>
      <c r="C40" s="14">
        <f t="shared" si="17"/>
        <v>9.9993718152773747E-2</v>
      </c>
      <c r="D40" s="14">
        <f t="shared" si="18"/>
        <v>0.70577087915764847</v>
      </c>
      <c r="E40" s="12"/>
      <c r="G40">
        <v>4</v>
      </c>
      <c r="H40">
        <v>0.4</v>
      </c>
      <c r="K40">
        <f t="shared" si="19"/>
        <v>11.700000000000001</v>
      </c>
      <c r="M40" t="s">
        <v>46</v>
      </c>
    </row>
    <row r="41" spans="1:16" x14ac:dyDescent="0.3">
      <c r="A41">
        <v>6</v>
      </c>
      <c r="B41" s="14">
        <f t="shared" si="16"/>
        <v>0.13251667712953577</v>
      </c>
      <c r="C41" s="14">
        <f t="shared" si="17"/>
        <v>0.10024854190783977</v>
      </c>
      <c r="D41" s="14">
        <f t="shared" si="18"/>
        <v>0.70756946399843235</v>
      </c>
      <c r="E41" s="12"/>
      <c r="G41">
        <v>5</v>
      </c>
      <c r="H41">
        <v>0.3</v>
      </c>
      <c r="K41">
        <f t="shared" si="19"/>
        <v>8.7750000000000004</v>
      </c>
      <c r="M41">
        <v>15</v>
      </c>
      <c r="N41" t="s">
        <v>68</v>
      </c>
    </row>
    <row r="42" spans="1:16" x14ac:dyDescent="0.3">
      <c r="A42">
        <v>5</v>
      </c>
      <c r="B42" s="14">
        <f t="shared" si="16"/>
        <v>0.13034225912839834</v>
      </c>
      <c r="C42" s="14">
        <f t="shared" si="17"/>
        <v>0.10049982308912048</v>
      </c>
      <c r="D42" s="14">
        <f t="shared" si="18"/>
        <v>0.70934304481435217</v>
      </c>
      <c r="E42" s="12"/>
      <c r="G42">
        <v>6</v>
      </c>
      <c r="H42">
        <v>0.6</v>
      </c>
      <c r="K42">
        <f t="shared" si="19"/>
        <v>17.55</v>
      </c>
      <c r="L42" s="4" t="s">
        <v>16</v>
      </c>
      <c r="M42">
        <v>4</v>
      </c>
      <c r="N42">
        <v>4</v>
      </c>
      <c r="P42">
        <f>M42*N42</f>
        <v>16</v>
      </c>
    </row>
    <row r="43" spans="1:16" x14ac:dyDescent="0.3">
      <c r="A43">
        <v>4</v>
      </c>
      <c r="B43" s="14">
        <f t="shared" si="16"/>
        <v>0.12819824762052592</v>
      </c>
      <c r="C43" s="14">
        <f t="shared" si="17"/>
        <v>0.1007475904200089</v>
      </c>
      <c r="D43" s="14">
        <f t="shared" si="18"/>
        <v>0.71109182433948681</v>
      </c>
      <c r="E43" s="12"/>
      <c r="G43">
        <v>7</v>
      </c>
      <c r="H43">
        <v>0.2</v>
      </c>
      <c r="K43">
        <f t="shared" si="19"/>
        <v>5.8500000000000005</v>
      </c>
      <c r="L43" s="4" t="s">
        <v>17</v>
      </c>
      <c r="M43">
        <v>2</v>
      </c>
      <c r="N43">
        <v>20</v>
      </c>
      <c r="P43">
        <f>M43*N43</f>
        <v>40</v>
      </c>
    </row>
    <row r="44" spans="1:16" x14ac:dyDescent="0.3">
      <c r="A44">
        <v>3</v>
      </c>
      <c r="B44" s="14">
        <f t="shared" si="16"/>
        <v>0.12608439007787992</v>
      </c>
      <c r="C44" s="14">
        <f t="shared" si="17"/>
        <v>0.10099187308327666</v>
      </c>
      <c r="D44" s="14">
        <f t="shared" si="18"/>
        <v>0.71281600855027938</v>
      </c>
      <c r="E44" s="12"/>
      <c r="G44">
        <v>8</v>
      </c>
      <c r="H44">
        <v>0.2</v>
      </c>
      <c r="K44">
        <f t="shared" si="19"/>
        <v>5.8500000000000005</v>
      </c>
      <c r="L44" s="4" t="s">
        <v>18</v>
      </c>
      <c r="M44">
        <v>5</v>
      </c>
      <c r="N44">
        <v>5</v>
      </c>
      <c r="P44">
        <f t="shared" ref="P44:P46" si="20">M44*N44</f>
        <v>25</v>
      </c>
    </row>
    <row r="45" spans="1:16" x14ac:dyDescent="0.3">
      <c r="A45">
        <v>2</v>
      </c>
      <c r="B45" s="14">
        <f t="shared" si="16"/>
        <v>0.12400043023897796</v>
      </c>
      <c r="C45" s="14">
        <f t="shared" si="17"/>
        <v>0.1012327006931414</v>
      </c>
      <c r="D45" s="14">
        <f t="shared" si="18"/>
        <v>0.71451580646838442</v>
      </c>
      <c r="E45" s="12"/>
      <c r="G45">
        <v>9</v>
      </c>
      <c r="H45">
        <v>0.6</v>
      </c>
      <c r="K45">
        <f t="shared" si="19"/>
        <v>17.55</v>
      </c>
      <c r="L45" s="4" t="s">
        <v>19</v>
      </c>
      <c r="M45">
        <v>2</v>
      </c>
      <c r="N45">
        <v>20</v>
      </c>
      <c r="P45">
        <f t="shared" si="20"/>
        <v>40</v>
      </c>
    </row>
    <row r="46" spans="1:16" x14ac:dyDescent="0.3">
      <c r="A46">
        <v>1</v>
      </c>
      <c r="B46" s="14">
        <f t="shared" si="16"/>
        <v>0.1219461083458057</v>
      </c>
      <c r="C46" s="14">
        <f t="shared" si="17"/>
        <v>0.10147010326788879</v>
      </c>
      <c r="D46" s="14">
        <f t="shared" si="18"/>
        <v>0.71619142996743035</v>
      </c>
      <c r="E46" s="12"/>
      <c r="G46">
        <v>10</v>
      </c>
      <c r="H46">
        <v>0.3</v>
      </c>
      <c r="K46">
        <f t="shared" si="19"/>
        <v>8.7750000000000004</v>
      </c>
      <c r="L46" s="4" t="s">
        <v>20</v>
      </c>
      <c r="M46">
        <v>2</v>
      </c>
      <c r="N46">
        <v>8</v>
      </c>
      <c r="P46">
        <f t="shared" si="20"/>
        <v>16</v>
      </c>
    </row>
    <row r="47" spans="1:16" x14ac:dyDescent="0.3">
      <c r="G47">
        <v>11</v>
      </c>
      <c r="H47">
        <v>0.4</v>
      </c>
      <c r="K47">
        <f t="shared" si="19"/>
        <v>11.700000000000001</v>
      </c>
      <c r="N47" s="4" t="s">
        <v>21</v>
      </c>
      <c r="O47" s="4"/>
      <c r="P47">
        <f>SUM(P42:P46)</f>
        <v>137</v>
      </c>
    </row>
    <row r="48" spans="1:16" x14ac:dyDescent="0.3">
      <c r="G48">
        <v>12</v>
      </c>
      <c r="H48">
        <v>0.6</v>
      </c>
      <c r="K48">
        <f t="shared" si="19"/>
        <v>17.55</v>
      </c>
      <c r="N48" s="4" t="s">
        <v>72</v>
      </c>
      <c r="O48" s="4"/>
      <c r="P48">
        <f>P47*M38*0.33</f>
        <v>1808.4</v>
      </c>
    </row>
    <row r="49" spans="11:16" x14ac:dyDescent="0.3">
      <c r="N49" s="4" t="s">
        <v>42</v>
      </c>
      <c r="O49" s="4"/>
      <c r="P49">
        <f>P48*0.7</f>
        <v>1265.8799999999999</v>
      </c>
    </row>
    <row r="50" spans="11:16" x14ac:dyDescent="0.3">
      <c r="K50">
        <f>SUM(K37:K48)</f>
        <v>131.625</v>
      </c>
    </row>
    <row r="52" spans="11:16" x14ac:dyDescent="0.3">
      <c r="O52" t="s">
        <v>73</v>
      </c>
    </row>
    <row r="53" spans="11:16" x14ac:dyDescent="0.3">
      <c r="N53" t="s">
        <v>70</v>
      </c>
      <c r="O53" s="1">
        <v>1007000</v>
      </c>
    </row>
    <row r="54" spans="11:16" x14ac:dyDescent="0.3">
      <c r="N54" t="s">
        <v>71</v>
      </c>
      <c r="O54" s="1">
        <v>1429961</v>
      </c>
    </row>
    <row r="55" spans="11:16" x14ac:dyDescent="0.3">
      <c r="N55" t="s">
        <v>75</v>
      </c>
      <c r="O55" s="1">
        <v>4935776</v>
      </c>
    </row>
  </sheetData>
  <conditionalFormatting sqref="K3:K31"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S3:S31 V3:V31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16AA4-1A81-4232-9118-EAAFFF4307FC}">
  <dimension ref="A1:Q8"/>
  <sheetViews>
    <sheetView workbookViewId="0">
      <selection activeCell="B2" sqref="B2"/>
    </sheetView>
  </sheetViews>
  <sheetFormatPr baseColWidth="10" defaultRowHeight="14.4" x14ac:dyDescent="0.3"/>
  <cols>
    <col min="1" max="1" width="16" bestFit="1" customWidth="1"/>
    <col min="2" max="2" width="15.21875" bestFit="1" customWidth="1"/>
    <col min="3" max="3" width="12.44140625" bestFit="1" customWidth="1"/>
    <col min="4" max="5" width="12.5546875" bestFit="1" customWidth="1"/>
    <col min="6" max="6" width="15.88671875" bestFit="1" customWidth="1"/>
    <col min="7" max="7" width="12.5546875" bestFit="1" customWidth="1"/>
    <col min="8" max="8" width="14.33203125" bestFit="1" customWidth="1"/>
    <col min="9" max="11" width="12.5546875" bestFit="1" customWidth="1"/>
    <col min="13" max="13" width="15.88671875" bestFit="1" customWidth="1"/>
    <col min="14" max="14" width="13.6640625" bestFit="1" customWidth="1"/>
    <col min="16" max="16" width="12.5546875" bestFit="1" customWidth="1"/>
    <col min="17" max="17" width="15.88671875" bestFit="1" customWidth="1"/>
  </cols>
  <sheetData>
    <row r="1" spans="1:17" x14ac:dyDescent="0.3">
      <c r="A1" t="s">
        <v>147</v>
      </c>
      <c r="B1" t="s">
        <v>148</v>
      </c>
      <c r="C1" t="s">
        <v>157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s="39" t="s">
        <v>175</v>
      </c>
      <c r="J1" s="39" t="s">
        <v>183</v>
      </c>
      <c r="K1" s="39" t="s">
        <v>185</v>
      </c>
      <c r="L1" s="39" t="s">
        <v>186</v>
      </c>
      <c r="M1" s="39" t="s">
        <v>193</v>
      </c>
      <c r="N1" s="39" t="s">
        <v>191</v>
      </c>
      <c r="O1" s="39" t="s">
        <v>192</v>
      </c>
      <c r="P1" s="39" t="s">
        <v>127</v>
      </c>
      <c r="Q1" s="39" t="s">
        <v>194</v>
      </c>
    </row>
    <row r="2" spans="1:17" x14ac:dyDescent="0.3">
      <c r="A2" t="s">
        <v>55</v>
      </c>
      <c r="B2" s="2">
        <f>margin_vat!C2+margin_vat!C9+margin_vat!C16+margin_vat!C23</f>
        <v>906671</v>
      </c>
      <c r="C2" s="6">
        <f>1</f>
        <v>1</v>
      </c>
      <c r="D2" s="2">
        <f>margin_vat!H2+margin_vat!H9+margin_vat!H16+margin_vat!H23</f>
        <v>202067.15765851794</v>
      </c>
      <c r="E2" s="2">
        <f>margin_vat!J2+margin_vat!J9+margin_vat!J16+margin_vat!J23</f>
        <v>116399.2</v>
      </c>
      <c r="F2" s="2">
        <f>margin_vat!K2+margin_vat!K9+margin_vat!K16+margin_vat!K23</f>
        <v>28976.016758976315</v>
      </c>
      <c r="G2" s="2">
        <f t="shared" ref="G2:G8" si="0">E2-F2</f>
        <v>87423.183241023682</v>
      </c>
      <c r="H2" s="2">
        <f>(SUM('charges'!$C$2:$C$36))*total_final[[#This Row],[%evolution]]</f>
        <v>915587.29303550266</v>
      </c>
      <c r="I2" s="2">
        <f>(SUMIF('charges'!$A:$A,total_final[[#Headers],[salary]],'charges'!$C:$C))*total_final[[#This Row],[%evolution]]</f>
        <v>328817</v>
      </c>
      <c r="J2" s="2">
        <f>(SUMIF('charges'!$A:$A,total_final[[#Headers],[rent]],'charges'!$C:$C))*total_final[[#This Row],[%evolution]]</f>
        <v>158668.68</v>
      </c>
      <c r="K2" s="2">
        <f>(SUMIF('charges'!$A:$A,total_final[[#Headers],[taxes]],'charges'!$C:$C))*total_final[[#This Row],[%evolution]]</f>
        <v>108412.25349698481</v>
      </c>
      <c r="L2" s="2">
        <f>(SUMIF('charges'!$A:$A,total_final[[#Headers],[loan]],'charges'!$C:$C))*total_final[[#This Row],[%evolution]]</f>
        <v>51778.32</v>
      </c>
      <c r="M2" s="2">
        <f>(SUMIF('charges'!$A:$A,total_final[[#Headers],[bank_charges]],'charges'!$C:$C))*total_final[[#This Row],[%evolution]]</f>
        <v>15413.407000000001</v>
      </c>
      <c r="N2" s="2">
        <f>(SUMIF('charges'!$A:$A,total_final[[#Headers],[subscription]],'charges'!$C:$C))*total_final[[#This Row],[%evolution]]</f>
        <v>30430.474880000002</v>
      </c>
      <c r="O2" s="2">
        <f>(SUMIF('charges'!$A:$A,total_final[[#Headers],[others]],'charges'!$C:$C))*total_final[[#This Row],[%evolution]]</f>
        <v>18000</v>
      </c>
      <c r="P2" s="2">
        <f>(SUMIF('charges'!$A:$A,total_final[[#Headers],[stock]],'charges'!$C:$C))*total_final[[#This Row],[%evolution]]</f>
        <v>202067.15765851794</v>
      </c>
      <c r="Q2" s="2">
        <f>(SUMIF('charges'!$A:$A,total_final[[#Headers],[subcontracting]],'charges'!$C:$C))*total_final[[#This Row],[%evolution]]</f>
        <v>2000</v>
      </c>
    </row>
    <row r="3" spans="1:17" x14ac:dyDescent="0.3">
      <c r="A3" t="s">
        <v>56</v>
      </c>
      <c r="B3" s="2">
        <f>margin_vat!C3+margin_vat!C10+margin_vat!C17+margin_vat!C24</f>
        <v>945149.14</v>
      </c>
      <c r="C3" s="6">
        <f>total_final[[#This Row],[sales_turnover]]/B2</f>
        <v>1.0424389221669161</v>
      </c>
      <c r="D3" s="2">
        <f>margin_vat!H3+margin_vat!H10+margin_vat!H17+margin_vat!H24</f>
        <v>211266.66214667686</v>
      </c>
      <c r="E3" s="2">
        <f>margin_vat!J3+margin_vat!J10+margin_vat!J17+margin_vat!J24</f>
        <v>121497.42800000001</v>
      </c>
      <c r="F3" s="2">
        <f>margin_vat!K3+margin_vat!K10+margin_vat!K17+margin_vat!K24</f>
        <v>30358.421065699007</v>
      </c>
      <c r="G3" s="2">
        <f t="shared" si="0"/>
        <v>91139.006934301011</v>
      </c>
      <c r="H3" s="2">
        <f>(SUM('charges'!$C$2:$C$36))*total_final[[#This Row],[%evolution]]</f>
        <v>954443.83090165386</v>
      </c>
      <c r="I3" s="2">
        <f>(SUMIF('charges'!$A:$A,total_final[[#Headers],[salary]],'charges'!$C:$C))*total_final[[#This Row],[%evolution]]</f>
        <v>342771.63907015888</v>
      </c>
      <c r="J3" s="2">
        <f>(SUMIF('charges'!$A:$A,total_final[[#Headers],[rent]],'charges'!$C:$C))*total_final[[#This Row],[%evolution]]</f>
        <v>165402.4077608473</v>
      </c>
      <c r="K3" s="2">
        <f>(SUMIF('charges'!$A:$A,total_final[[#Headers],[taxes]],'charges'!$C:$C))*total_final[[#This Row],[%evolution]]</f>
        <v>113013.15268508333</v>
      </c>
      <c r="L3" s="2">
        <f>(SUMIF('charges'!$A:$A,total_final[[#Headers],[loan]],'charges'!$C:$C))*total_final[[#This Row],[%evolution]]</f>
        <v>53975.736092413674</v>
      </c>
      <c r="M3" s="2">
        <f>(SUMIF('charges'!$A:$A,total_final[[#Headers],[bank_charges]],'charges'!$C:$C))*total_final[[#This Row],[%evolution]]</f>
        <v>16067.535380000001</v>
      </c>
      <c r="N3" s="2">
        <f>(SUMIF('charges'!$A:$A,total_final[[#Headers],[subscription]],'charges'!$C:$C))*total_final[[#This Row],[%evolution]]</f>
        <v>31721.91143493462</v>
      </c>
      <c r="O3" s="2">
        <f>(SUMIF('charges'!$A:$A,total_final[[#Headers],[others]],'charges'!$C:$C))*total_final[[#This Row],[%evolution]]</f>
        <v>18763.90059900449</v>
      </c>
      <c r="P3" s="2">
        <f>(SUMIF('charges'!$A:$A,total_final[[#Headers],[stock]],'charges'!$C:$C))*total_final[[#This Row],[%evolution]]</f>
        <v>210642.67003487775</v>
      </c>
      <c r="Q3" s="2">
        <f>(SUMIF('charges'!$A:$A,total_final[[#Headers],[subcontracting]],'charges'!$C:$C))*total_final[[#This Row],[%evolution]]</f>
        <v>2084.8778443338324</v>
      </c>
    </row>
    <row r="4" spans="1:17" x14ac:dyDescent="0.3">
      <c r="A4" t="s">
        <v>57</v>
      </c>
      <c r="B4" s="2">
        <f>margin_vat!C4+margin_vat!C11+margin_vat!C18+margin_vat!C25</f>
        <v>985299.08360000001</v>
      </c>
      <c r="C4" s="6">
        <f>total_final[[#This Row],[sales_turnover]]/B3</f>
        <v>1.0424800086047796</v>
      </c>
      <c r="D4" s="2">
        <f>margin_vat!H4+margin_vat!H11+margin_vat!H18+margin_vat!H25</f>
        <v>220901.15590527124</v>
      </c>
      <c r="E4" s="2">
        <f>margin_vat!J4+margin_vat!J11+margin_vat!J18+margin_vat!J25</f>
        <v>126826.12072000002</v>
      </c>
      <c r="F4" s="2">
        <f>margin_vat!K4+margin_vat!K11+margin_vat!K18+margin_vat!K25</f>
        <v>31809.523362872427</v>
      </c>
      <c r="G4" s="2">
        <f t="shared" si="0"/>
        <v>95016.597357127597</v>
      </c>
      <c r="H4" s="2">
        <f>(SUM('charges'!$C$2:$C$36))*total_final[[#This Row],[%evolution]]</f>
        <v>954481.44912207767</v>
      </c>
      <c r="I4" s="2">
        <f>(SUMIF('charges'!$A:$A,total_final[[#Headers],[salary]],'charges'!$C:$C))*total_final[[#This Row],[%evolution]]</f>
        <v>342785.1489893978</v>
      </c>
      <c r="J4" s="2">
        <f>(SUMIF('charges'!$A:$A,total_final[[#Headers],[rent]],'charges'!$C:$C))*total_final[[#This Row],[%evolution]]</f>
        <v>165408.92689170901</v>
      </c>
      <c r="K4" s="2">
        <f>(SUMIF('charges'!$A:$A,total_final[[#Headers],[taxes]],'charges'!$C:$C))*total_final[[#This Row],[%evolution]]</f>
        <v>113017.60695840027</v>
      </c>
      <c r="L4" s="2">
        <f>(SUMIF('charges'!$A:$A,total_final[[#Headers],[loan]],'charges'!$C:$C))*total_final[[#This Row],[%evolution]]</f>
        <v>53977.86347914103</v>
      </c>
      <c r="M4" s="2">
        <f>(SUMIF('charges'!$A:$A,total_final[[#Headers],[bank_charges]],'charges'!$C:$C))*total_final[[#This Row],[%evolution]]</f>
        <v>16068.168661988972</v>
      </c>
      <c r="N4" s="2">
        <f>(SUMIF('charges'!$A:$A,total_final[[#Headers],[subscription]],'charges'!$C:$C))*total_final[[#This Row],[%evolution]]</f>
        <v>31723.161714749931</v>
      </c>
      <c r="O4" s="2">
        <f>(SUMIF('charges'!$A:$A,total_final[[#Headers],[others]],'charges'!$C:$C))*total_final[[#This Row],[%evolution]]</f>
        <v>18764.640154886034</v>
      </c>
      <c r="P4" s="2">
        <f>(SUMIF('charges'!$A:$A,total_final[[#Headers],[stock]],'charges'!$C:$C))*total_final[[#This Row],[%evolution]]</f>
        <v>210650.97225459514</v>
      </c>
      <c r="Q4" s="2">
        <f>(SUMIF('charges'!$A:$A,total_final[[#Headers],[subcontracting]],'charges'!$C:$C))*total_final[[#This Row],[%evolution]]</f>
        <v>2084.9600172095593</v>
      </c>
    </row>
    <row r="5" spans="1:17" x14ac:dyDescent="0.3">
      <c r="A5" t="s">
        <v>58</v>
      </c>
      <c r="B5" s="2">
        <f>margin_vat!C5+margin_vat!C12+margin_vat!C19+margin_vat!C26</f>
        <v>1027195.6636240002</v>
      </c>
      <c r="C5" s="6">
        <f>total_final[[#This Row],[sales_turnover]]/B4</f>
        <v>1.0425216878015577</v>
      </c>
      <c r="D5" s="2">
        <f>margin_vat!H5+margin_vat!H12+margin_vat!H19+margin_vat!H26</f>
        <v>230992.05905057298</v>
      </c>
      <c r="E5" s="2">
        <f>margin_vat!J5+margin_vat!J12+margin_vat!J19+margin_vat!J26</f>
        <v>132396.08888480003</v>
      </c>
      <c r="F5" s="2">
        <f>margin_vat!K5+margin_vat!K12+margin_vat!K19+margin_vat!K26</f>
        <v>33332.875679205506</v>
      </c>
      <c r="G5" s="2">
        <f t="shared" si="0"/>
        <v>99063.213205594526</v>
      </c>
      <c r="H5" s="2">
        <f>(SUM('charges'!$C$2:$C$36))*total_final[[#This Row],[%evolution]]</f>
        <v>954519.61006503168</v>
      </c>
      <c r="I5" s="2">
        <f>(SUMIF('charges'!$A:$A,total_final[[#Headers],[salary]],'charges'!$C:$C))*total_final[[#This Row],[%evolution]]</f>
        <v>342798.85381784482</v>
      </c>
      <c r="J5" s="2">
        <f>(SUMIF('charges'!$A:$A,total_final[[#Headers],[rent]],'charges'!$C:$C))*total_final[[#This Row],[%evolution]]</f>
        <v>165415.54007484525</v>
      </c>
      <c r="K5" s="2">
        <f>(SUMIF('charges'!$A:$A,total_final[[#Headers],[taxes]],'charges'!$C:$C))*total_final[[#This Row],[%evolution]]</f>
        <v>113022.12549404694</v>
      </c>
      <c r="L5" s="2">
        <f>(SUMIF('charges'!$A:$A,total_final[[#Headers],[loan]],'charges'!$C:$C))*total_final[[#This Row],[%evolution]]</f>
        <v>53980.021557929154</v>
      </c>
      <c r="M5" s="2">
        <f>(SUMIF('charges'!$A:$A,total_final[[#Headers],[bank_charges]],'charges'!$C:$C))*total_final[[#This Row],[%evolution]]</f>
        <v>16068.811080412346</v>
      </c>
      <c r="N5" s="2">
        <f>(SUMIF('charges'!$A:$A,total_final[[#Headers],[subscription]],'charges'!$C:$C))*total_final[[#This Row],[%evolution]]</f>
        <v>31724.430032500506</v>
      </c>
      <c r="O5" s="2">
        <f>(SUMIF('charges'!$A:$A,total_final[[#Headers],[others]],'charges'!$C:$C))*total_final[[#This Row],[%evolution]]</f>
        <v>18765.390380428038</v>
      </c>
      <c r="P5" s="2">
        <f>(SUMIF('charges'!$A:$A,total_final[[#Headers],[stock]],'charges'!$C:$C))*total_final[[#This Row],[%evolution]]</f>
        <v>210659.39425142159</v>
      </c>
      <c r="Q5" s="2">
        <f>(SUMIF('charges'!$A:$A,total_final[[#Headers],[subcontracting]],'charges'!$C:$C))*total_final[[#This Row],[%evolution]]</f>
        <v>2085.0433756031157</v>
      </c>
    </row>
    <row r="6" spans="1:17" x14ac:dyDescent="0.3">
      <c r="A6" t="s">
        <v>59</v>
      </c>
      <c r="B6" s="2">
        <f>margin_vat!C6+margin_vat!C13+margin_vat!C20+margin_vat!C27</f>
        <v>1070917.1838497601</v>
      </c>
      <c r="C6" s="6">
        <f>total_final[[#This Row],[sales_turnover]]/B5</f>
        <v>1.0425639649524105</v>
      </c>
      <c r="D6" s="2">
        <f>margin_vat!H6+margin_vat!H13+margin_vat!H20+margin_vat!H27</f>
        <v>241561.88973623229</v>
      </c>
      <c r="E6" s="2">
        <f>margin_vat!J6+margin_vat!J13+margin_vat!J20+margin_vat!J27</f>
        <v>138218.67117635201</v>
      </c>
      <c r="F6" s="2">
        <f>margin_vat!K6+margin_vat!K13+margin_vat!K20+margin_vat!K27</f>
        <v>34932.220371101001</v>
      </c>
      <c r="G6" s="2">
        <f t="shared" si="0"/>
        <v>103286.45080525102</v>
      </c>
      <c r="H6" s="2">
        <f>(SUM('charges'!$C$2:$C$36))*total_final[[#This Row],[%evolution]]</f>
        <v>954558.31848713825</v>
      </c>
      <c r="I6" s="2">
        <f>(SUMIF('charges'!$A:$A,total_final[[#Headers],[salary]],'charges'!$C:$C))*total_final[[#This Row],[%evolution]]</f>
        <v>342812.75526375679</v>
      </c>
      <c r="J6" s="2">
        <f>(SUMIF('charges'!$A:$A,total_final[[#Headers],[rent]],'charges'!$C:$C))*total_final[[#This Row],[%evolution]]</f>
        <v>165422.24813456525</v>
      </c>
      <c r="K6" s="2">
        <f>(SUMIF('charges'!$A:$A,total_final[[#Headers],[taxes]],'charges'!$C:$C))*total_final[[#This Row],[%evolution]]</f>
        <v>113026.70885524231</v>
      </c>
      <c r="L6" s="2">
        <f>(SUMIF('charges'!$A:$A,total_final[[#Headers],[loan]],'charges'!$C:$C))*total_final[[#This Row],[%evolution]]</f>
        <v>53982.210597774698</v>
      </c>
      <c r="M6" s="2">
        <f>(SUMIF('charges'!$A:$A,total_final[[#Headers],[bank_charges]],'charges'!$C:$C))*total_final[[#This Row],[%evolution]]</f>
        <v>16069.46271534524</v>
      </c>
      <c r="N6" s="2">
        <f>(SUMIF('charges'!$A:$A,total_final[[#Headers],[subscription]],'charges'!$C:$C))*total_final[[#This Row],[%evolution]]</f>
        <v>31725.71654627753</v>
      </c>
      <c r="O6" s="2">
        <f>(SUMIF('charges'!$A:$A,total_final[[#Headers],[others]],'charges'!$C:$C))*total_final[[#This Row],[%evolution]]</f>
        <v>18766.15136914339</v>
      </c>
      <c r="P6" s="2">
        <f>(SUMIF('charges'!$A:$A,total_final[[#Headers],[stock]],'charges'!$C:$C))*total_final[[#This Row],[%evolution]]</f>
        <v>210667.93707512831</v>
      </c>
      <c r="Q6" s="2">
        <f>(SUMIF('charges'!$A:$A,total_final[[#Headers],[subcontracting]],'charges'!$C:$C))*total_final[[#This Row],[%evolution]]</f>
        <v>2085.127929904821</v>
      </c>
    </row>
    <row r="7" spans="1:17" x14ac:dyDescent="0.3">
      <c r="A7" t="s">
        <v>60</v>
      </c>
      <c r="B7" s="2">
        <f>margin_vat!C7+margin_vat!C14+margin_vat!C21+margin_vat!C28</f>
        <v>1116545.5865053986</v>
      </c>
      <c r="C7" s="6">
        <f>total_final[[#This Row],[sales_turnover]]/B6</f>
        <v>1.0426068451825681</v>
      </c>
      <c r="D7" s="2">
        <f>margin_vat!H7+margin_vat!H14+margin_vat!H21+margin_vat!H28</f>
        <v>252634.32254873618</v>
      </c>
      <c r="E7" s="2">
        <f>margin_vat!J7+margin_vat!J14+margin_vat!J21+margin_vat!J28</f>
        <v>144305.76108373574</v>
      </c>
      <c r="F7" s="2">
        <f>margin_vat!K7+margin_vat!K14+margin_vat!K21+margin_vat!K28</f>
        <v>36611.500630555958</v>
      </c>
      <c r="G7" s="2">
        <f t="shared" si="0"/>
        <v>107694.26045317977</v>
      </c>
      <c r="H7" s="2">
        <f>(SUM('charges'!$C$2:$C$36))*total_final[[#This Row],[%evolution]]</f>
        <v>954597.57908099296</v>
      </c>
      <c r="I7" s="2">
        <f>(SUMIF('charges'!$A:$A,total_final[[#Headers],[salary]],'charges'!$C:$C))*total_final[[#This Row],[%evolution]]</f>
        <v>342826.85501239647</v>
      </c>
      <c r="J7" s="2">
        <f>(SUMIF('charges'!$A:$A,total_final[[#Headers],[rent]],'charges'!$C:$C))*total_final[[#This Row],[%evolution]]</f>
        <v>165429.05188408244</v>
      </c>
      <c r="K7" s="2">
        <f>(SUMIF('charges'!$A:$A,total_final[[#Headers],[taxes]],'charges'!$C:$C))*total_final[[#This Row],[%evolution]]</f>
        <v>113031.35759762416</v>
      </c>
      <c r="L7" s="2">
        <f>(SUMIF('charges'!$A:$A,total_final[[#Headers],[loan]],'charges'!$C:$C))*total_final[[#This Row],[%evolution]]</f>
        <v>53984.430864053465</v>
      </c>
      <c r="M7" s="2">
        <f>(SUMIF('charges'!$A:$A,total_final[[#Headers],[bank_charges]],'charges'!$C:$C))*total_final[[#This Row],[%evolution]]</f>
        <v>16070.123645784912</v>
      </c>
      <c r="N7" s="2">
        <f>(SUMIF('charges'!$A:$A,total_final[[#Headers],[subscription]],'charges'!$C:$C))*total_final[[#This Row],[%evolution]]</f>
        <v>31727.021412044189</v>
      </c>
      <c r="O7" s="2">
        <f>(SUMIF('charges'!$A:$A,total_final[[#Headers],[others]],'charges'!$C:$C))*total_final[[#This Row],[%evolution]]</f>
        <v>18766.923213286227</v>
      </c>
      <c r="P7" s="2">
        <f>(SUMIF('charges'!$A:$A,total_final[[#Headers],[stock]],'charges'!$C:$C))*total_final[[#This Row],[%evolution]]</f>
        <v>210676.601761356</v>
      </c>
      <c r="Q7" s="2">
        <f>(SUMIF('charges'!$A:$A,total_final[[#Headers],[subcontracting]],'charges'!$C:$C))*total_final[[#This Row],[%evolution]]</f>
        <v>2085.2136903651362</v>
      </c>
    </row>
    <row r="8" spans="1:17" x14ac:dyDescent="0.3">
      <c r="A8" t="s">
        <v>61</v>
      </c>
      <c r="B8" s="2">
        <f>margin_vat!C8+margin_vat!C15+margin_vat!C22+margin_vat!C29</f>
        <v>1164166.6281853616</v>
      </c>
      <c r="C8" s="6">
        <f>total_final[[#This Row],[sales_turnover]]/B7</f>
        <v>1.042650333542591</v>
      </c>
      <c r="D8" s="2">
        <f>margin_vat!H8+margin_vat!H15+margin_vat!H22+margin_vat!H29</f>
        <v>264234.2501071234</v>
      </c>
      <c r="E8" s="2">
        <f>margin_vat!J8+margin_vat!J15+margin_vat!J22+margin_vat!J29</f>
        <v>150669.83517103453</v>
      </c>
      <c r="F8" s="2">
        <f>margin_vat!K8+margin_vat!K15+margin_vat!K22+margin_vat!K29</f>
        <v>38374.871587065754</v>
      </c>
      <c r="G8" s="2">
        <f t="shared" si="0"/>
        <v>112294.96358396878</v>
      </c>
      <c r="H8" s="2">
        <f>(SUM('charges'!$C$2:$C$36))*total_final[[#This Row],[%evolution]]</f>
        <v>954637.39647082484</v>
      </c>
      <c r="I8" s="2">
        <f>(SUMIF('charges'!$A:$A,total_final[[#Headers],[salary]],'charges'!$C:$C))*total_final[[#This Row],[%evolution]]</f>
        <v>342841.15472447412</v>
      </c>
      <c r="J8" s="2">
        <f>(SUMIF('charges'!$A:$A,total_final[[#Headers],[rent]],'charges'!$C:$C))*total_final[[#This Row],[%evolution]]</f>
        <v>165435.95212476261</v>
      </c>
      <c r="K8" s="2">
        <f>(SUMIF('charges'!$A:$A,total_final[[#Headers],[taxes]],'charges'!$C:$C))*total_final[[#This Row],[%evolution]]</f>
        <v>113036.07226873514</v>
      </c>
      <c r="L8" s="2">
        <f>(SUMIF('charges'!$A:$A,total_final[[#Headers],[loan]],'charges'!$C:$C))*total_final[[#This Row],[%evolution]]</f>
        <v>53986.682618275008</v>
      </c>
      <c r="M8" s="2">
        <f>(SUMIF('charges'!$A:$A,total_final[[#Headers],[bank_charges]],'charges'!$C:$C))*total_final[[#This Row],[%evolution]]</f>
        <v>16070.793949577708</v>
      </c>
      <c r="N8" s="2">
        <f>(SUMIF('charges'!$A:$A,total_final[[#Headers],[subscription]],'charges'!$C:$C))*total_final[[#This Row],[%evolution]]</f>
        <v>31728.344783491437</v>
      </c>
      <c r="O8" s="2">
        <f>(SUMIF('charges'!$A:$A,total_final[[#Headers],[others]],'charges'!$C:$C))*total_final[[#This Row],[%evolution]]</f>
        <v>18767.706003766638</v>
      </c>
      <c r="P8" s="2">
        <f>(SUMIF('charges'!$A:$A,total_final[[#Headers],[stock]],'charges'!$C:$C))*total_final[[#This Row],[%evolution]]</f>
        <v>210685.38933065705</v>
      </c>
      <c r="Q8" s="2">
        <f>(SUMIF('charges'!$A:$A,total_final[[#Headers],[subcontracting]],'charges'!$C:$C))*total_final[[#This Row],[%evolution]]</f>
        <v>2085.3006670851819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17C16-0392-4D50-8389-3547429C0B1C}">
  <dimension ref="A1:E8"/>
  <sheetViews>
    <sheetView workbookViewId="0">
      <selection activeCell="I26" sqref="I26"/>
    </sheetView>
  </sheetViews>
  <sheetFormatPr baseColWidth="10" defaultRowHeight="14.4" x14ac:dyDescent="0.3"/>
  <cols>
    <col min="2" max="2" width="15.21875" bestFit="1" customWidth="1"/>
    <col min="3" max="3" width="12.5546875" bestFit="1" customWidth="1"/>
    <col min="4" max="4" width="13.21875" bestFit="1" customWidth="1"/>
    <col min="5" max="5" width="15.6640625" customWidth="1"/>
  </cols>
  <sheetData>
    <row r="1" spans="1:5" x14ac:dyDescent="0.3">
      <c r="A1" s="43" t="s">
        <v>147</v>
      </c>
      <c r="B1" s="43" t="s">
        <v>148</v>
      </c>
      <c r="C1" s="43" t="s">
        <v>156</v>
      </c>
      <c r="D1" s="43" t="s">
        <v>162</v>
      </c>
      <c r="E1" s="43" t="s">
        <v>161</v>
      </c>
    </row>
    <row r="2" spans="1:5" x14ac:dyDescent="0.3">
      <c r="A2" s="40" t="s">
        <v>55</v>
      </c>
      <c r="B2" s="45">
        <f>total_final[[#This Row],[sales_turnover]]</f>
        <v>906671</v>
      </c>
      <c r="C2" s="45">
        <f>total_final[[#This Row],[total_charges]]</f>
        <v>915587.29303550266</v>
      </c>
      <c r="D2" s="45">
        <f>cumulative_total[[#This Row],[sales_turnover]]-cumulative_total[[#This Row],[total_charges]]</f>
        <v>-8916.293035502662</v>
      </c>
      <c r="E2" s="45">
        <f>D2</f>
        <v>-8916.293035502662</v>
      </c>
    </row>
    <row r="3" spans="1:5" x14ac:dyDescent="0.3">
      <c r="A3" s="41" t="s">
        <v>56</v>
      </c>
      <c r="B3" s="46">
        <f>total_final[[#This Row],[sales_turnover]]</f>
        <v>945149.14</v>
      </c>
      <c r="C3" s="46">
        <f>total_final[[#This Row],[total_charges]]</f>
        <v>954443.83090165386</v>
      </c>
      <c r="D3" s="46">
        <f>cumulative_total[[#This Row],[sales_turnover]]-cumulative_total[[#This Row],[total_charges]]</f>
        <v>-9294.6909016538411</v>
      </c>
      <c r="E3" s="46">
        <f t="shared" ref="E3:E8" si="0">E2+D3</f>
        <v>-18210.983937156503</v>
      </c>
    </row>
    <row r="4" spans="1:5" x14ac:dyDescent="0.3">
      <c r="A4" s="40" t="s">
        <v>57</v>
      </c>
      <c r="B4" s="45">
        <f>total_final[[#This Row],[sales_turnover]]</f>
        <v>985299.08360000001</v>
      </c>
      <c r="C4" s="45">
        <f>total_final[[#This Row],[total_charges]]</f>
        <v>954481.44912207767</v>
      </c>
      <c r="D4" s="45">
        <f>cumulative_total[[#This Row],[sales_turnover]]-cumulative_total[[#This Row],[total_charges]]</f>
        <v>30817.634477922344</v>
      </c>
      <c r="E4" s="45">
        <f t="shared" si="0"/>
        <v>12606.650540765841</v>
      </c>
    </row>
    <row r="5" spans="1:5" x14ac:dyDescent="0.3">
      <c r="A5" s="41" t="s">
        <v>58</v>
      </c>
      <c r="B5" s="46">
        <f>total_final[[#This Row],[sales_turnover]]</f>
        <v>1027195.6636240002</v>
      </c>
      <c r="C5" s="46">
        <f>total_final[[#This Row],[total_charges]]</f>
        <v>954519.61006503168</v>
      </c>
      <c r="D5" s="46">
        <f>cumulative_total[[#This Row],[sales_turnover]]-cumulative_total[[#This Row],[total_charges]]</f>
        <v>72676.053558968473</v>
      </c>
      <c r="E5" s="46">
        <f t="shared" si="0"/>
        <v>85282.704099734314</v>
      </c>
    </row>
    <row r="6" spans="1:5" x14ac:dyDescent="0.3">
      <c r="A6" s="40" t="s">
        <v>59</v>
      </c>
      <c r="B6" s="45">
        <f>total_final[[#This Row],[sales_turnover]]</f>
        <v>1070917.1838497601</v>
      </c>
      <c r="C6" s="45">
        <f>total_final[[#This Row],[total_charges]]</f>
        <v>954558.31848713825</v>
      </c>
      <c r="D6" s="45">
        <f>cumulative_total[[#This Row],[sales_turnover]]-cumulative_total[[#This Row],[total_charges]]</f>
        <v>116358.86536262184</v>
      </c>
      <c r="E6" s="45">
        <f t="shared" si="0"/>
        <v>201641.56946235616</v>
      </c>
    </row>
    <row r="7" spans="1:5" x14ac:dyDescent="0.3">
      <c r="A7" s="41" t="s">
        <v>60</v>
      </c>
      <c r="B7" s="46">
        <f>total_final[[#This Row],[sales_turnover]]</f>
        <v>1116545.5865053986</v>
      </c>
      <c r="C7" s="46">
        <f>total_final[[#This Row],[total_charges]]</f>
        <v>954597.57908099296</v>
      </c>
      <c r="D7" s="46">
        <f>cumulative_total[[#This Row],[sales_turnover]]-cumulative_total[[#This Row],[total_charges]]</f>
        <v>161948.00742440566</v>
      </c>
      <c r="E7" s="46">
        <f t="shared" si="0"/>
        <v>363589.57688676182</v>
      </c>
    </row>
    <row r="8" spans="1:5" x14ac:dyDescent="0.3">
      <c r="A8" s="44" t="s">
        <v>61</v>
      </c>
      <c r="B8" s="47">
        <f>total_final[[#This Row],[sales_turnover]]</f>
        <v>1164166.6281853616</v>
      </c>
      <c r="C8" s="47">
        <f>total_final[[#This Row],[total_charges]]</f>
        <v>954637.39647082484</v>
      </c>
      <c r="D8" s="47">
        <f>cumulative_total[[#This Row],[sales_turnover]]-cumulative_total[[#This Row],[total_charges]]</f>
        <v>209529.23171453679</v>
      </c>
      <c r="E8" s="47">
        <f t="shared" si="0"/>
        <v>573118.8086012986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507FD-0EC9-47A0-BEF0-B56EA4771E80}">
  <dimension ref="A1:E9"/>
  <sheetViews>
    <sheetView tabSelected="1" workbookViewId="0">
      <selection activeCell="F14" sqref="F14"/>
    </sheetView>
  </sheetViews>
  <sheetFormatPr baseColWidth="10" defaultRowHeight="14.4" x14ac:dyDescent="0.3"/>
  <cols>
    <col min="1" max="1" width="19.5546875" bestFit="1" customWidth="1"/>
    <col min="2" max="2" width="22.44140625" bestFit="1" customWidth="1"/>
    <col min="3" max="3" width="21.5546875" bestFit="1" customWidth="1"/>
    <col min="4" max="4" width="18.77734375" bestFit="1" customWidth="1"/>
    <col min="5" max="5" width="19.6640625" bestFit="1" customWidth="1"/>
    <col min="6" max="8" width="13.88671875" bestFit="1" customWidth="1"/>
    <col min="9" max="9" width="12.88671875" bestFit="1" customWidth="1"/>
    <col min="10" max="15" width="12.5546875" bestFit="1" customWidth="1"/>
    <col min="16" max="16" width="27" bestFit="1" customWidth="1"/>
    <col min="17" max="17" width="22.33203125" bestFit="1" customWidth="1"/>
  </cols>
  <sheetData>
    <row r="1" spans="1:5" x14ac:dyDescent="0.3">
      <c r="A1" s="42" t="s">
        <v>159</v>
      </c>
      <c r="B1" t="s">
        <v>165</v>
      </c>
      <c r="C1" t="s">
        <v>166</v>
      </c>
      <c r="D1" t="s">
        <v>164</v>
      </c>
      <c r="E1" t="s">
        <v>163</v>
      </c>
    </row>
    <row r="2" spans="1:5" x14ac:dyDescent="0.3">
      <c r="A2" s="35" t="s">
        <v>55</v>
      </c>
      <c r="B2">
        <v>906671</v>
      </c>
      <c r="C2">
        <v>911072.29303550266</v>
      </c>
      <c r="D2">
        <v>-4401.293035502662</v>
      </c>
      <c r="E2">
        <v>-4401.293035502662</v>
      </c>
    </row>
    <row r="3" spans="1:5" x14ac:dyDescent="0.3">
      <c r="A3" s="35" t="s">
        <v>56</v>
      </c>
      <c r="B3">
        <v>945149.14</v>
      </c>
      <c r="C3">
        <v>949737.21916807012</v>
      </c>
      <c r="D3">
        <v>-4588.0791680701077</v>
      </c>
      <c r="E3">
        <v>-8989.3722035727696</v>
      </c>
    </row>
    <row r="4" spans="1:5" x14ac:dyDescent="0.3">
      <c r="A4" s="35" t="s">
        <v>57</v>
      </c>
      <c r="B4">
        <v>985299.08360000001</v>
      </c>
      <c r="C4">
        <v>949774.65188322717</v>
      </c>
      <c r="D4">
        <v>35524.431716772844</v>
      </c>
      <c r="E4">
        <v>26535.059513200074</v>
      </c>
    </row>
    <row r="5" spans="1:5" x14ac:dyDescent="0.3">
      <c r="A5" s="35" t="s">
        <v>58</v>
      </c>
      <c r="B5">
        <v>1027195.6636240002</v>
      </c>
      <c r="C5">
        <v>949812.62464460765</v>
      </c>
      <c r="D5">
        <v>77383.038979392499</v>
      </c>
      <c r="E5">
        <v>103918.09849259257</v>
      </c>
    </row>
    <row r="6" spans="1:5" x14ac:dyDescent="0.3">
      <c r="A6" s="35" t="s">
        <v>59</v>
      </c>
      <c r="B6">
        <v>1070917.1838497601</v>
      </c>
      <c r="C6">
        <v>949851.14218537812</v>
      </c>
      <c r="D6">
        <v>121066.04166438198</v>
      </c>
      <c r="E6">
        <v>224984.14015697455</v>
      </c>
    </row>
    <row r="7" spans="1:5" x14ac:dyDescent="0.3">
      <c r="A7" s="35" t="s">
        <v>60</v>
      </c>
      <c r="B7">
        <v>1116545.5865053986</v>
      </c>
      <c r="C7">
        <v>949890.20917499356</v>
      </c>
      <c r="D7">
        <v>166655.37733040506</v>
      </c>
      <c r="E7">
        <v>391639.51748737961</v>
      </c>
    </row>
    <row r="8" spans="1:5" x14ac:dyDescent="0.3">
      <c r="A8" s="35" t="s">
        <v>61</v>
      </c>
      <c r="B8">
        <v>1164166.6281853616</v>
      </c>
      <c r="C8">
        <v>949929.83021488006</v>
      </c>
      <c r="D8">
        <v>214236.79797048157</v>
      </c>
      <c r="E8">
        <v>605876.31545786117</v>
      </c>
    </row>
    <row r="9" spans="1:5" x14ac:dyDescent="0.3">
      <c r="A9" s="35" t="s">
        <v>160</v>
      </c>
      <c r="B9">
        <v>7215944.285764521</v>
      </c>
      <c r="C9">
        <v>6610067.97030666</v>
      </c>
      <c r="D9">
        <v>605876.31545786117</v>
      </c>
      <c r="E9">
        <v>1339562.4658689327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E18"/>
  <sheetViews>
    <sheetView workbookViewId="0">
      <selection activeCell="D2" sqref="D2"/>
    </sheetView>
  </sheetViews>
  <sheetFormatPr baseColWidth="10" defaultRowHeight="14.4" x14ac:dyDescent="0.3"/>
  <cols>
    <col min="4" max="4" width="12.88671875" bestFit="1" customWidth="1"/>
  </cols>
  <sheetData>
    <row r="1" spans="1:5" x14ac:dyDescent="0.3">
      <c r="A1" t="s">
        <v>8</v>
      </c>
      <c r="B1">
        <v>364</v>
      </c>
      <c r="D1">
        <f>SUM(B1:B21)</f>
        <v>7127</v>
      </c>
      <c r="E1">
        <v>123</v>
      </c>
    </row>
    <row r="2" spans="1:5" x14ac:dyDescent="0.3">
      <c r="A2" t="s">
        <v>8</v>
      </c>
      <c r="B2">
        <v>58</v>
      </c>
      <c r="D2" s="1">
        <f>D1*E2/E1</f>
        <v>57943.08943089431</v>
      </c>
      <c r="E2">
        <v>1000</v>
      </c>
    </row>
    <row r="3" spans="1:5" x14ac:dyDescent="0.3">
      <c r="A3" t="s">
        <v>8</v>
      </c>
      <c r="B3">
        <v>382</v>
      </c>
    </row>
    <row r="4" spans="1:5" x14ac:dyDescent="0.3">
      <c r="A4" t="s">
        <v>8</v>
      </c>
      <c r="B4">
        <v>1366</v>
      </c>
    </row>
    <row r="5" spans="1:5" x14ac:dyDescent="0.3">
      <c r="A5" t="s">
        <v>8</v>
      </c>
      <c r="B5">
        <v>497</v>
      </c>
      <c r="D5" s="2">
        <f>D2*1.2</f>
        <v>69531.707317073175</v>
      </c>
    </row>
    <row r="6" spans="1:5" x14ac:dyDescent="0.3">
      <c r="A6" t="s">
        <v>8</v>
      </c>
      <c r="B6">
        <v>535</v>
      </c>
    </row>
    <row r="7" spans="1:5" x14ac:dyDescent="0.3">
      <c r="A7" t="s">
        <v>8</v>
      </c>
      <c r="B7">
        <v>328</v>
      </c>
    </row>
    <row r="8" spans="1:5" x14ac:dyDescent="0.3">
      <c r="A8" t="s">
        <v>8</v>
      </c>
      <c r="B8">
        <v>380</v>
      </c>
    </row>
    <row r="9" spans="1:5" x14ac:dyDescent="0.3">
      <c r="A9" t="s">
        <v>8</v>
      </c>
      <c r="B9">
        <v>530</v>
      </c>
    </row>
    <row r="10" spans="1:5" x14ac:dyDescent="0.3">
      <c r="A10" t="s">
        <v>9</v>
      </c>
      <c r="B10">
        <v>415</v>
      </c>
    </row>
    <row r="11" spans="1:5" x14ac:dyDescent="0.3">
      <c r="A11" t="s">
        <v>9</v>
      </c>
      <c r="B11">
        <v>384</v>
      </c>
    </row>
    <row r="12" spans="1:5" x14ac:dyDescent="0.3">
      <c r="A12" t="s">
        <v>10</v>
      </c>
      <c r="B12">
        <v>273</v>
      </c>
    </row>
    <row r="13" spans="1:5" x14ac:dyDescent="0.3">
      <c r="A13" t="s">
        <v>11</v>
      </c>
      <c r="B13">
        <v>390</v>
      </c>
    </row>
    <row r="14" spans="1:5" x14ac:dyDescent="0.3">
      <c r="A14" t="s">
        <v>12</v>
      </c>
      <c r="B14">
        <v>321</v>
      </c>
    </row>
    <row r="15" spans="1:5" x14ac:dyDescent="0.3">
      <c r="A15" t="s">
        <v>13</v>
      </c>
      <c r="B15">
        <v>267</v>
      </c>
    </row>
    <row r="16" spans="1:5" x14ac:dyDescent="0.3">
      <c r="A16" t="s">
        <v>14</v>
      </c>
      <c r="B16">
        <v>190</v>
      </c>
    </row>
    <row r="17" spans="1:2" x14ac:dyDescent="0.3">
      <c r="A17" t="s">
        <v>15</v>
      </c>
      <c r="B17">
        <v>165</v>
      </c>
    </row>
    <row r="18" spans="1:2" x14ac:dyDescent="0.3">
      <c r="A18" t="s">
        <v>15</v>
      </c>
      <c r="B18">
        <v>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9B1A5-38F7-45A4-BD9E-27F2E26975BD}">
  <sheetPr codeName="Feuil5"/>
  <dimension ref="A1:G6"/>
  <sheetViews>
    <sheetView workbookViewId="0">
      <selection activeCell="F9" sqref="F9"/>
    </sheetView>
  </sheetViews>
  <sheetFormatPr baseColWidth="10" defaultRowHeight="14.4" x14ac:dyDescent="0.3"/>
  <cols>
    <col min="1" max="1" width="11.6640625" customWidth="1"/>
    <col min="2" max="2" width="27.44140625" customWidth="1"/>
    <col min="3" max="3" width="26.109375" customWidth="1"/>
    <col min="4" max="4" width="32" customWidth="1"/>
    <col min="5" max="5" width="30.5546875" customWidth="1"/>
    <col min="6" max="6" width="29.44140625" customWidth="1"/>
    <col min="7" max="7" width="32.44140625" bestFit="1" customWidth="1"/>
  </cols>
  <sheetData>
    <row r="1" spans="1:7" x14ac:dyDescent="0.3">
      <c r="A1" s="24" t="s">
        <v>76</v>
      </c>
      <c r="B1" s="25" t="s">
        <v>92</v>
      </c>
      <c r="C1" s="25" t="s">
        <v>93</v>
      </c>
      <c r="D1" s="25" t="s">
        <v>88</v>
      </c>
      <c r="E1" s="25" t="s">
        <v>89</v>
      </c>
      <c r="F1" s="25" t="s">
        <v>90</v>
      </c>
      <c r="G1" s="26" t="s">
        <v>91</v>
      </c>
    </row>
    <row r="2" spans="1:7" x14ac:dyDescent="0.3">
      <c r="A2" s="22" t="s">
        <v>77</v>
      </c>
      <c r="B2" s="17">
        <v>3</v>
      </c>
      <c r="C2" s="16">
        <v>4</v>
      </c>
      <c r="D2" s="18">
        <f>(92000/235/8)</f>
        <v>48.936170212765958</v>
      </c>
      <c r="E2" s="18">
        <f t="shared" ref="E2:E6" si="0">(172500/351/15)</f>
        <v>32.763532763532766</v>
      </c>
      <c r="F2" s="19">
        <f>B2*D2</f>
        <v>146.80851063829789</v>
      </c>
      <c r="G2" s="23">
        <f>C2*E2</f>
        <v>131.05413105413106</v>
      </c>
    </row>
    <row r="3" spans="1:7" x14ac:dyDescent="0.3">
      <c r="A3" s="22" t="s">
        <v>78</v>
      </c>
      <c r="B3" s="17"/>
      <c r="C3" s="16">
        <v>2</v>
      </c>
      <c r="D3" s="18"/>
      <c r="E3" s="18">
        <f t="shared" si="0"/>
        <v>32.763532763532766</v>
      </c>
      <c r="F3" s="19">
        <f t="shared" ref="F3:F6" si="1">B3*D3</f>
        <v>0</v>
      </c>
      <c r="G3" s="23">
        <f t="shared" ref="G3:G6" si="2">C3*E3</f>
        <v>65.527065527065531</v>
      </c>
    </row>
    <row r="4" spans="1:7" x14ac:dyDescent="0.3">
      <c r="A4" s="22" t="s">
        <v>79</v>
      </c>
      <c r="B4" s="17">
        <v>5</v>
      </c>
      <c r="C4" s="16">
        <v>5</v>
      </c>
      <c r="D4" s="18">
        <f>(92000/235/8)</f>
        <v>48.936170212765958</v>
      </c>
      <c r="E4" s="18">
        <f t="shared" si="0"/>
        <v>32.763532763532766</v>
      </c>
      <c r="F4" s="19">
        <f t="shared" si="1"/>
        <v>244.68085106382978</v>
      </c>
      <c r="G4" s="23">
        <f t="shared" si="2"/>
        <v>163.81766381766383</v>
      </c>
    </row>
    <row r="5" spans="1:7" x14ac:dyDescent="0.3">
      <c r="A5" s="22" t="s">
        <v>19</v>
      </c>
      <c r="B5" s="17"/>
      <c r="C5" s="16">
        <v>2</v>
      </c>
      <c r="D5" s="18"/>
      <c r="E5" s="18">
        <f t="shared" si="0"/>
        <v>32.763532763532766</v>
      </c>
      <c r="F5" s="19">
        <f t="shared" si="1"/>
        <v>0</v>
      </c>
      <c r="G5" s="23">
        <f t="shared" si="2"/>
        <v>65.527065527065531</v>
      </c>
    </row>
    <row r="6" spans="1:7" x14ac:dyDescent="0.3">
      <c r="A6" s="27" t="s">
        <v>80</v>
      </c>
      <c r="B6" s="33"/>
      <c r="C6" s="28">
        <v>2</v>
      </c>
      <c r="D6" s="30"/>
      <c r="E6" s="30">
        <f t="shared" si="0"/>
        <v>32.763532763532766</v>
      </c>
      <c r="F6" s="31">
        <f t="shared" si="1"/>
        <v>0</v>
      </c>
      <c r="G6" s="32">
        <f t="shared" si="2"/>
        <v>65.527065527065531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80CA-C1CF-4521-89EB-BD57EA01C0F1}">
  <sheetPr codeName="Feuil4"/>
  <dimension ref="A1:I25"/>
  <sheetViews>
    <sheetView zoomScale="120" workbookViewId="0">
      <selection activeCell="B9" sqref="B9:D13"/>
    </sheetView>
  </sheetViews>
  <sheetFormatPr baseColWidth="10" defaultRowHeight="14.4" x14ac:dyDescent="0.3"/>
  <cols>
    <col min="1" max="1" width="11.6640625" customWidth="1"/>
    <col min="2" max="2" width="16.88671875" customWidth="1"/>
    <col min="3" max="3" width="22" customWidth="1"/>
    <col min="4" max="4" width="19.6640625" customWidth="1"/>
    <col min="5" max="5" width="32.77734375" customWidth="1"/>
    <col min="6" max="6" width="21.21875" customWidth="1"/>
    <col min="7" max="7" width="35.33203125" customWidth="1"/>
  </cols>
  <sheetData>
    <row r="1" spans="1:9" x14ac:dyDescent="0.3">
      <c r="A1" s="24" t="s">
        <v>76</v>
      </c>
      <c r="B1" s="25" t="s">
        <v>83</v>
      </c>
      <c r="C1" s="25" t="s">
        <v>84</v>
      </c>
      <c r="D1" s="25" t="s">
        <v>81</v>
      </c>
      <c r="E1" s="25" t="s">
        <v>86</v>
      </c>
      <c r="F1" s="25" t="s">
        <v>82</v>
      </c>
      <c r="G1" s="26" t="s">
        <v>85</v>
      </c>
    </row>
    <row r="2" spans="1:9" x14ac:dyDescent="0.3">
      <c r="A2" s="22" t="s">
        <v>77</v>
      </c>
      <c r="B2" s="16">
        <v>40</v>
      </c>
      <c r="C2" s="20">
        <f>0.25</f>
        <v>0.25</v>
      </c>
      <c r="D2" s="16">
        <v>4</v>
      </c>
      <c r="E2" s="18">
        <v>4</v>
      </c>
      <c r="F2" s="19">
        <f>E2*D2</f>
        <v>16</v>
      </c>
      <c r="G2" s="23">
        <f>(B2*C2)*F2</f>
        <v>160</v>
      </c>
      <c r="H2" s="2"/>
    </row>
    <row r="3" spans="1:9" x14ac:dyDescent="0.3">
      <c r="A3" s="22" t="s">
        <v>78</v>
      </c>
      <c r="B3" s="16">
        <v>40</v>
      </c>
      <c r="C3" s="20">
        <f>0.35</f>
        <v>0.35</v>
      </c>
      <c r="D3" s="16">
        <v>2</v>
      </c>
      <c r="E3" s="18">
        <v>20</v>
      </c>
      <c r="F3" s="19">
        <f t="shared" ref="F3:F6" si="0">E3*D3</f>
        <v>40</v>
      </c>
      <c r="G3" s="23">
        <f t="shared" ref="G3:G6" si="1">(B3*C3)*F3</f>
        <v>560</v>
      </c>
      <c r="I3" s="2"/>
    </row>
    <row r="4" spans="1:9" x14ac:dyDescent="0.3">
      <c r="A4" s="22" t="s">
        <v>79</v>
      </c>
      <c r="B4" s="16">
        <v>40</v>
      </c>
      <c r="C4" s="20">
        <f>0.25</f>
        <v>0.25</v>
      </c>
      <c r="D4" s="16">
        <v>5</v>
      </c>
      <c r="E4" s="18">
        <v>5</v>
      </c>
      <c r="F4" s="19">
        <f t="shared" si="0"/>
        <v>25</v>
      </c>
      <c r="G4" s="23">
        <f t="shared" si="1"/>
        <v>250</v>
      </c>
    </row>
    <row r="5" spans="1:9" x14ac:dyDescent="0.3">
      <c r="A5" s="22" t="s">
        <v>19</v>
      </c>
      <c r="B5" s="16">
        <v>40</v>
      </c>
      <c r="C5" s="20">
        <f>0.35</f>
        <v>0.35</v>
      </c>
      <c r="D5" s="16">
        <v>2</v>
      </c>
      <c r="E5" s="18">
        <v>20</v>
      </c>
      <c r="F5" s="19">
        <f t="shared" si="0"/>
        <v>40</v>
      </c>
      <c r="G5" s="23">
        <f t="shared" si="1"/>
        <v>560</v>
      </c>
    </row>
    <row r="6" spans="1:9" x14ac:dyDescent="0.3">
      <c r="A6" s="27" t="s">
        <v>80</v>
      </c>
      <c r="B6" s="28">
        <v>40</v>
      </c>
      <c r="C6" s="29">
        <f>0.5</f>
        <v>0.5</v>
      </c>
      <c r="D6" s="28">
        <v>2</v>
      </c>
      <c r="E6" s="30">
        <v>8</v>
      </c>
      <c r="F6" s="31">
        <f t="shared" si="0"/>
        <v>16</v>
      </c>
      <c r="G6" s="32">
        <f t="shared" si="1"/>
        <v>320</v>
      </c>
    </row>
    <row r="18" spans="1:6" x14ac:dyDescent="0.3">
      <c r="A18" s="4"/>
      <c r="B18" s="4"/>
      <c r="C18" s="4"/>
    </row>
    <row r="19" spans="1:6" x14ac:dyDescent="0.3">
      <c r="A19" s="4"/>
      <c r="B19" s="4"/>
      <c r="C19" s="4"/>
    </row>
    <row r="20" spans="1:6" x14ac:dyDescent="0.3">
      <c r="A20" s="4"/>
      <c r="B20" s="4"/>
      <c r="C20" s="4"/>
    </row>
    <row r="21" spans="1:6" x14ac:dyDescent="0.3">
      <c r="A21" s="4"/>
      <c r="B21" s="4"/>
      <c r="C21" s="4"/>
    </row>
    <row r="22" spans="1:6" x14ac:dyDescent="0.3">
      <c r="A22" s="4"/>
      <c r="B22" s="4"/>
      <c r="C22" s="4"/>
    </row>
    <row r="23" spans="1:6" x14ac:dyDescent="0.3">
      <c r="E23" s="4"/>
      <c r="F23" s="4"/>
    </row>
    <row r="24" spans="1:6" x14ac:dyDescent="0.3">
      <c r="E24" s="4"/>
      <c r="F24" s="4"/>
    </row>
    <row r="25" spans="1:6" x14ac:dyDescent="0.3">
      <c r="E25" s="4"/>
      <c r="F25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C681B-796E-4B28-8732-AAE5D46C70EB}">
  <sheetPr codeName="Feuil6"/>
  <dimension ref="A1:G17"/>
  <sheetViews>
    <sheetView workbookViewId="0">
      <selection activeCell="G2" sqref="G2:G6"/>
    </sheetView>
  </sheetViews>
  <sheetFormatPr baseColWidth="10" defaultRowHeight="14.4" x14ac:dyDescent="0.3"/>
  <cols>
    <col min="1" max="1" width="11.6640625" customWidth="1"/>
    <col min="2" max="2" width="27.44140625" customWidth="1"/>
    <col min="3" max="3" width="26.109375" customWidth="1"/>
    <col min="4" max="4" width="32" customWidth="1"/>
    <col min="5" max="5" width="30.21875" customWidth="1"/>
    <col min="6" max="6" width="29.44140625" customWidth="1"/>
    <col min="7" max="7" width="27.6640625" customWidth="1"/>
  </cols>
  <sheetData>
    <row r="1" spans="1:7" x14ac:dyDescent="0.3">
      <c r="A1" s="24" t="s">
        <v>76</v>
      </c>
      <c r="B1" s="25" t="s">
        <v>92</v>
      </c>
      <c r="C1" s="25" t="s">
        <v>93</v>
      </c>
      <c r="D1" s="25" t="s">
        <v>88</v>
      </c>
      <c r="E1" s="25" t="s">
        <v>89</v>
      </c>
      <c r="F1" s="25" t="s">
        <v>90</v>
      </c>
      <c r="G1" s="26" t="s">
        <v>91</v>
      </c>
    </row>
    <row r="2" spans="1:7" x14ac:dyDescent="0.3">
      <c r="A2" s="22" t="s">
        <v>77</v>
      </c>
      <c r="B2" s="17">
        <v>3</v>
      </c>
      <c r="C2" s="16">
        <v>4</v>
      </c>
      <c r="D2" s="18">
        <v>30</v>
      </c>
      <c r="E2" s="18">
        <v>30</v>
      </c>
      <c r="F2" s="19">
        <f>B2*D2</f>
        <v>90</v>
      </c>
      <c r="G2" s="23">
        <f>C2*E2</f>
        <v>120</v>
      </c>
    </row>
    <row r="3" spans="1:7" x14ac:dyDescent="0.3">
      <c r="A3" s="22" t="s">
        <v>78</v>
      </c>
      <c r="B3" s="17"/>
      <c r="C3" s="16">
        <v>2</v>
      </c>
      <c r="D3" s="18"/>
      <c r="E3" s="18">
        <v>30</v>
      </c>
      <c r="F3" s="19">
        <f t="shared" ref="F3:G6" si="0">B3*D3</f>
        <v>0</v>
      </c>
      <c r="G3" s="23">
        <f t="shared" si="0"/>
        <v>60</v>
      </c>
    </row>
    <row r="4" spans="1:7" x14ac:dyDescent="0.3">
      <c r="A4" s="22" t="s">
        <v>79</v>
      </c>
      <c r="B4" s="17">
        <v>5</v>
      </c>
      <c r="C4" s="16">
        <v>5</v>
      </c>
      <c r="D4" s="18">
        <v>30</v>
      </c>
      <c r="E4" s="18">
        <v>30</v>
      </c>
      <c r="F4" s="19">
        <f t="shared" si="0"/>
        <v>150</v>
      </c>
      <c r="G4" s="23">
        <f t="shared" si="0"/>
        <v>150</v>
      </c>
    </row>
    <row r="5" spans="1:7" x14ac:dyDescent="0.3">
      <c r="A5" s="22" t="s">
        <v>19</v>
      </c>
      <c r="B5" s="17"/>
      <c r="C5" s="16">
        <v>2</v>
      </c>
      <c r="D5" s="18"/>
      <c r="E5" s="18">
        <v>30</v>
      </c>
      <c r="F5" s="19">
        <f t="shared" si="0"/>
        <v>0</v>
      </c>
      <c r="G5" s="23">
        <f t="shared" si="0"/>
        <v>60</v>
      </c>
    </row>
    <row r="6" spans="1:7" x14ac:dyDescent="0.3">
      <c r="A6" s="27" t="s">
        <v>80</v>
      </c>
      <c r="B6" s="33"/>
      <c r="C6" s="28">
        <v>2</v>
      </c>
      <c r="D6" s="30"/>
      <c r="E6" s="30">
        <v>30</v>
      </c>
      <c r="F6" s="31">
        <f t="shared" si="0"/>
        <v>0</v>
      </c>
      <c r="G6" s="32">
        <f t="shared" si="0"/>
        <v>60</v>
      </c>
    </row>
    <row r="14" spans="1:7" x14ac:dyDescent="0.3">
      <c r="C14" s="1"/>
      <c r="D14" s="1"/>
    </row>
    <row r="17" spans="3:3" x14ac:dyDescent="0.3">
      <c r="C17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997F0-FCDE-4044-A3B5-4E2760176FAE}">
  <dimension ref="A1:G6"/>
  <sheetViews>
    <sheetView workbookViewId="0">
      <selection activeCell="G2" sqref="G2:G6"/>
    </sheetView>
  </sheetViews>
  <sheetFormatPr baseColWidth="10" defaultRowHeight="14.4" x14ac:dyDescent="0.3"/>
  <cols>
    <col min="1" max="1" width="11.6640625" customWidth="1"/>
    <col min="2" max="2" width="16.88671875" customWidth="1"/>
    <col min="3" max="3" width="22" customWidth="1"/>
    <col min="4" max="4" width="19.6640625" customWidth="1"/>
    <col min="5" max="5" width="32.77734375" customWidth="1"/>
    <col min="6" max="6" width="21.21875" customWidth="1"/>
    <col min="7" max="7" width="35.33203125" customWidth="1"/>
  </cols>
  <sheetData>
    <row r="1" spans="1:7" x14ac:dyDescent="0.3">
      <c r="A1" s="24" t="s">
        <v>76</v>
      </c>
      <c r="B1" s="25" t="s">
        <v>83</v>
      </c>
      <c r="C1" s="25" t="s">
        <v>84</v>
      </c>
      <c r="D1" s="25" t="s">
        <v>81</v>
      </c>
      <c r="E1" s="25" t="s">
        <v>86</v>
      </c>
      <c r="F1" s="25" t="s">
        <v>82</v>
      </c>
      <c r="G1" s="26" t="s">
        <v>85</v>
      </c>
    </row>
    <row r="2" spans="1:7" x14ac:dyDescent="0.3">
      <c r="A2" s="22" t="s">
        <v>77</v>
      </c>
      <c r="B2" s="16">
        <v>40</v>
      </c>
      <c r="C2" s="21">
        <f>0.05</f>
        <v>0.05</v>
      </c>
      <c r="D2" s="16">
        <v>4</v>
      </c>
      <c r="E2" s="18">
        <v>3</v>
      </c>
      <c r="F2" s="19">
        <f>E2*D2</f>
        <v>12</v>
      </c>
      <c r="G2" s="23">
        <f>(B2*C2)*F2</f>
        <v>24</v>
      </c>
    </row>
    <row r="3" spans="1:7" x14ac:dyDescent="0.3">
      <c r="A3" s="22" t="s">
        <v>78</v>
      </c>
      <c r="B3" s="16">
        <v>40</v>
      </c>
      <c r="C3" s="20">
        <f>0.05</f>
        <v>0.05</v>
      </c>
      <c r="D3" s="16">
        <v>2</v>
      </c>
      <c r="E3" s="18">
        <v>3</v>
      </c>
      <c r="F3" s="19">
        <f t="shared" ref="F3:F6" si="0">E3*D3</f>
        <v>6</v>
      </c>
      <c r="G3" s="23">
        <f t="shared" ref="G3:G6" si="1">(B3*C3)*F3</f>
        <v>12</v>
      </c>
    </row>
    <row r="4" spans="1:7" x14ac:dyDescent="0.3">
      <c r="A4" s="22" t="s">
        <v>79</v>
      </c>
      <c r="B4" s="16">
        <v>40</v>
      </c>
      <c r="C4" s="20">
        <f>0.1</f>
        <v>0.1</v>
      </c>
      <c r="D4" s="16">
        <v>5</v>
      </c>
      <c r="E4" s="18">
        <v>3</v>
      </c>
      <c r="F4" s="19">
        <f t="shared" si="0"/>
        <v>15</v>
      </c>
      <c r="G4" s="23">
        <f t="shared" si="1"/>
        <v>60</v>
      </c>
    </row>
    <row r="5" spans="1:7" x14ac:dyDescent="0.3">
      <c r="A5" s="22" t="s">
        <v>19</v>
      </c>
      <c r="B5" s="16">
        <v>40</v>
      </c>
      <c r="C5" s="20">
        <f>0.1</f>
        <v>0.1</v>
      </c>
      <c r="D5" s="16">
        <v>2</v>
      </c>
      <c r="E5" s="18">
        <v>3</v>
      </c>
      <c r="F5" s="19">
        <f t="shared" si="0"/>
        <v>6</v>
      </c>
      <c r="G5" s="23">
        <f t="shared" si="1"/>
        <v>24</v>
      </c>
    </row>
    <row r="6" spans="1:7" x14ac:dyDescent="0.3">
      <c r="A6" s="27" t="s">
        <v>80</v>
      </c>
      <c r="B6" s="28">
        <v>40</v>
      </c>
      <c r="C6" s="29">
        <f>0.15</f>
        <v>0.15</v>
      </c>
      <c r="D6" s="28">
        <v>2</v>
      </c>
      <c r="E6" s="30">
        <v>3</v>
      </c>
      <c r="F6" s="31">
        <f t="shared" si="0"/>
        <v>6</v>
      </c>
      <c r="G6" s="32">
        <f t="shared" si="1"/>
        <v>36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432D3-CADF-45CA-95B7-1C4276E47D07}">
  <sheetPr codeName="Feuil7"/>
  <dimension ref="A1:J11"/>
  <sheetViews>
    <sheetView workbookViewId="0">
      <selection activeCell="D17" sqref="D17"/>
    </sheetView>
  </sheetViews>
  <sheetFormatPr baseColWidth="10" defaultRowHeight="14.4" x14ac:dyDescent="0.3"/>
  <cols>
    <col min="1" max="1" width="15.88671875" bestFit="1" customWidth="1"/>
    <col min="2" max="2" width="14.109375" bestFit="1" customWidth="1"/>
    <col min="3" max="3" width="11.77734375" customWidth="1"/>
    <col min="4" max="4" width="13.21875" customWidth="1"/>
    <col min="5" max="5" width="23.88671875" customWidth="1"/>
    <col min="6" max="6" width="19.77734375" customWidth="1"/>
    <col min="8" max="8" width="15.109375" bestFit="1" customWidth="1"/>
    <col min="9" max="9" width="13" bestFit="1" customWidth="1"/>
    <col min="10" max="10" width="15.109375" bestFit="1" customWidth="1"/>
  </cols>
  <sheetData>
    <row r="1" spans="1:10" x14ac:dyDescent="0.3">
      <c r="A1" s="24" t="s">
        <v>94</v>
      </c>
      <c r="B1" s="25" t="s">
        <v>104</v>
      </c>
      <c r="C1" s="25" t="s">
        <v>95</v>
      </c>
      <c r="D1" s="25" t="s">
        <v>105</v>
      </c>
      <c r="E1" s="25" t="s">
        <v>96</v>
      </c>
      <c r="F1" s="26" t="s">
        <v>97</v>
      </c>
      <c r="H1" t="s">
        <v>104</v>
      </c>
      <c r="I1" t="s">
        <v>95</v>
      </c>
      <c r="J1" t="s">
        <v>103</v>
      </c>
    </row>
    <row r="2" spans="1:10" x14ac:dyDescent="0.3">
      <c r="A2" s="22" t="s">
        <v>98</v>
      </c>
      <c r="B2" s="16" t="s">
        <v>101</v>
      </c>
      <c r="C2" s="16">
        <v>1</v>
      </c>
      <c r="D2" s="19">
        <f>(SUM(estimate_day_food!$G$2:$G$6)*total_estimate!C2)</f>
        <v>1850</v>
      </c>
      <c r="E2" s="16">
        <v>351</v>
      </c>
      <c r="F2" s="23">
        <f>D2*E2</f>
        <v>649350</v>
      </c>
      <c r="H2" t="s">
        <v>101</v>
      </c>
      <c r="I2">
        <v>1</v>
      </c>
      <c r="J2" s="11">
        <f>SUMIFS($F$2:$F$11,$B$2:$B$11,H2,$C$2:$C$11,I2)</f>
        <v>1034556</v>
      </c>
    </row>
    <row r="3" spans="1:10" x14ac:dyDescent="0.3">
      <c r="A3" s="22" t="s">
        <v>98</v>
      </c>
      <c r="B3" s="16" t="s">
        <v>101</v>
      </c>
      <c r="C3" s="16">
        <v>0.7</v>
      </c>
      <c r="D3" s="19">
        <f>(SUM(estimate_day_food!$G$2:$G$6)*total_estimate!C3)</f>
        <v>1295</v>
      </c>
      <c r="E3" s="16">
        <v>351</v>
      </c>
      <c r="F3" s="23">
        <f t="shared" ref="F3:F11" si="0">D3*E3</f>
        <v>454545</v>
      </c>
      <c r="H3" t="s">
        <v>101</v>
      </c>
      <c r="I3">
        <v>0.7</v>
      </c>
      <c r="J3" s="11">
        <f>SUMIFS($F$2:$F$11,$B$2:$B$11,H3,$C$2:$C$11,I3)</f>
        <v>724189.2</v>
      </c>
    </row>
    <row r="4" spans="1:10" x14ac:dyDescent="0.3">
      <c r="A4" s="22" t="s">
        <v>99</v>
      </c>
      <c r="B4" s="16" t="s">
        <v>87</v>
      </c>
      <c r="C4" s="16">
        <v>1</v>
      </c>
      <c r="D4" s="19">
        <f>(SUM(estimate_day_vape!$F$2:$F$6)*total_estimate!C4)</f>
        <v>391.48936170212767</v>
      </c>
      <c r="E4" s="16">
        <v>235</v>
      </c>
      <c r="F4" s="23">
        <f t="shared" si="0"/>
        <v>92000</v>
      </c>
      <c r="H4" t="s">
        <v>87</v>
      </c>
      <c r="I4">
        <v>1</v>
      </c>
      <c r="J4" s="11">
        <f t="shared" ref="J4" si="1">SUMIFS($F$2:$F$11,$B$2:$B$11,H4,$C$2:$C$11,I4)</f>
        <v>148400</v>
      </c>
    </row>
    <row r="5" spans="1:10" x14ac:dyDescent="0.3">
      <c r="A5" s="22" t="s">
        <v>99</v>
      </c>
      <c r="B5" s="16" t="s">
        <v>101</v>
      </c>
      <c r="C5" s="16">
        <v>1</v>
      </c>
      <c r="D5" s="19">
        <f>(SUM(estimate_day_vape!$G$2:$G$6)*total_estimate!C5)</f>
        <v>491.45299145299145</v>
      </c>
      <c r="E5" s="16">
        <v>351</v>
      </c>
      <c r="F5" s="23">
        <f t="shared" si="0"/>
        <v>172500</v>
      </c>
      <c r="H5" s="37" t="s">
        <v>123</v>
      </c>
      <c r="I5" s="37" t="s">
        <v>144</v>
      </c>
      <c r="J5" s="38">
        <f>F2+F4+F9+F10</f>
        <v>906671</v>
      </c>
    </row>
    <row r="6" spans="1:10" x14ac:dyDescent="0.3">
      <c r="A6" s="22" t="s">
        <v>99</v>
      </c>
      <c r="B6" s="16" t="s">
        <v>101</v>
      </c>
      <c r="C6" s="16">
        <v>0.7</v>
      </c>
      <c r="D6" s="19">
        <f>(SUM(estimate_day_vape!$G$2:$G$6)*total_estimate!C6)</f>
        <v>344.017094017094</v>
      </c>
      <c r="E6" s="16">
        <v>351</v>
      </c>
      <c r="F6" s="23">
        <f t="shared" si="0"/>
        <v>120749.99999999999</v>
      </c>
    </row>
    <row r="7" spans="1:10" x14ac:dyDescent="0.3">
      <c r="A7" s="22" t="s">
        <v>100</v>
      </c>
      <c r="B7" s="16" t="s">
        <v>87</v>
      </c>
      <c r="C7" s="16">
        <v>1</v>
      </c>
      <c r="D7" s="19">
        <f>(SUM(estimate_day_game!$F$2:$F$6)*total_estimate!C7)</f>
        <v>240</v>
      </c>
      <c r="E7" s="16">
        <v>235</v>
      </c>
      <c r="F7" s="23">
        <f t="shared" si="0"/>
        <v>56400</v>
      </c>
    </row>
    <row r="8" spans="1:10" x14ac:dyDescent="0.3">
      <c r="A8" s="22" t="s">
        <v>100</v>
      </c>
      <c r="B8" s="16" t="s">
        <v>101</v>
      </c>
      <c r="C8" s="16">
        <v>1</v>
      </c>
      <c r="D8" s="19">
        <f>(SUM(estimate_day_game!$G$2:$G$6)*total_estimate!C8)</f>
        <v>450</v>
      </c>
      <c r="E8" s="16">
        <v>351</v>
      </c>
      <c r="F8" s="23">
        <f t="shared" si="0"/>
        <v>157950</v>
      </c>
    </row>
    <row r="9" spans="1:10" x14ac:dyDescent="0.3">
      <c r="A9" s="22" t="s">
        <v>100</v>
      </c>
      <c r="B9" s="16" t="s">
        <v>101</v>
      </c>
      <c r="C9" s="16">
        <v>0.7</v>
      </c>
      <c r="D9" s="19">
        <f>(SUM(estimate_day_game!$G$2:$G$6)*total_estimate!C9)</f>
        <v>315</v>
      </c>
      <c r="E9" s="16">
        <v>351</v>
      </c>
      <c r="F9" s="23">
        <f t="shared" si="0"/>
        <v>110565</v>
      </c>
    </row>
    <row r="10" spans="1:10" x14ac:dyDescent="0.3">
      <c r="A10" s="22" t="s">
        <v>102</v>
      </c>
      <c r="B10" s="16" t="s">
        <v>101</v>
      </c>
      <c r="C10" s="16">
        <v>1</v>
      </c>
      <c r="D10" s="19">
        <f>(SUM(estimate_day_ticket!$G$2:$G$6)*total_estimate!C2)</f>
        <v>156</v>
      </c>
      <c r="E10" s="16">
        <v>351</v>
      </c>
      <c r="F10" s="23">
        <f t="shared" si="0"/>
        <v>54756</v>
      </c>
    </row>
    <row r="11" spans="1:10" x14ac:dyDescent="0.3">
      <c r="A11" s="27" t="s">
        <v>102</v>
      </c>
      <c r="B11" s="28" t="s">
        <v>101</v>
      </c>
      <c r="C11" s="28">
        <v>0.7</v>
      </c>
      <c r="D11" s="31">
        <f>(SUM(estimate_day_ticket!$G$2:$G$6)*total_estimate!C3)</f>
        <v>109.19999999999999</v>
      </c>
      <c r="E11" s="28">
        <v>351</v>
      </c>
      <c r="F11" s="32">
        <f t="shared" si="0"/>
        <v>38329.199999999997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F4AD-2844-46D2-A413-C6C8090F3430}">
  <sheetPr codeName="Feuil3"/>
  <dimension ref="A1:N29"/>
  <sheetViews>
    <sheetView workbookViewId="0">
      <selection activeCell="H16" sqref="H16"/>
    </sheetView>
  </sheetViews>
  <sheetFormatPr baseColWidth="10" defaultRowHeight="14.4" x14ac:dyDescent="0.3"/>
  <cols>
    <col min="2" max="2" width="16.33203125" customWidth="1"/>
    <col min="3" max="4" width="14.88671875" customWidth="1"/>
    <col min="5" max="5" width="20.21875" customWidth="1"/>
    <col min="6" max="6" width="21.33203125" bestFit="1" customWidth="1"/>
    <col min="7" max="7" width="15.88671875" customWidth="1"/>
    <col min="8" max="8" width="12.5546875" bestFit="1" customWidth="1"/>
    <col min="9" max="9" width="18.5546875" bestFit="1" customWidth="1"/>
    <col min="10" max="10" width="12.5546875" customWidth="1"/>
    <col min="11" max="11" width="15.5546875" customWidth="1"/>
    <col min="12" max="12" width="19.44140625" customWidth="1"/>
    <col min="13" max="13" width="15.6640625" customWidth="1"/>
    <col min="14" max="14" width="13.88671875" bestFit="1" customWidth="1"/>
    <col min="15" max="15" width="13.88671875" customWidth="1"/>
    <col min="16" max="16" width="12.5546875" bestFit="1" customWidth="1"/>
    <col min="17" max="17" width="13" customWidth="1"/>
  </cols>
  <sheetData>
    <row r="1" spans="1:14" x14ac:dyDescent="0.3">
      <c r="A1" t="s">
        <v>145</v>
      </c>
      <c r="B1" t="s">
        <v>147</v>
      </c>
      <c r="C1" t="s">
        <v>148</v>
      </c>
      <c r="D1" t="s">
        <v>171</v>
      </c>
      <c r="E1" t="s">
        <v>149</v>
      </c>
      <c r="F1" t="s">
        <v>150</v>
      </c>
      <c r="G1" t="s">
        <v>151</v>
      </c>
      <c r="H1" t="s">
        <v>152</v>
      </c>
      <c r="I1" t="s">
        <v>172</v>
      </c>
      <c r="J1" t="s">
        <v>153</v>
      </c>
      <c r="K1" t="s">
        <v>154</v>
      </c>
    </row>
    <row r="2" spans="1:14" x14ac:dyDescent="0.3">
      <c r="A2" t="s">
        <v>146</v>
      </c>
      <c r="B2" t="s">
        <v>55</v>
      </c>
      <c r="C2" s="1">
        <f>total_estimate!F9</f>
        <v>110565</v>
      </c>
      <c r="D2" s="1">
        <f>margin_vat[[#This Row],[sales_turnover]]/12</f>
        <v>9213.75</v>
      </c>
      <c r="E2">
        <v>1.06</v>
      </c>
      <c r="F2" t="s">
        <v>67</v>
      </c>
      <c r="G2">
        <v>1.98</v>
      </c>
      <c r="H2" s="2">
        <f t="shared" ref="H2:H8" si="0">C2/$G$2</f>
        <v>55840.909090909088</v>
      </c>
      <c r="I2" s="2">
        <f>margin_vat[[#This Row],[purchase]]/12</f>
        <v>4653.409090909091</v>
      </c>
      <c r="J2" s="2">
        <f>C2*0.2</f>
        <v>22113</v>
      </c>
      <c r="K2" s="2">
        <f>H2*0.2</f>
        <v>11168.181818181818</v>
      </c>
      <c r="L2" s="6"/>
    </row>
    <row r="3" spans="1:14" x14ac:dyDescent="0.3">
      <c r="A3" t="s">
        <v>146</v>
      </c>
      <c r="B3" t="s">
        <v>56</v>
      </c>
      <c r="C3" s="2">
        <f>C2*$E$2</f>
        <v>117198.90000000001</v>
      </c>
      <c r="D3" s="1">
        <f>margin_vat[[#This Row],[sales_turnover]]/12</f>
        <v>9766.5750000000007</v>
      </c>
      <c r="H3" s="2">
        <f t="shared" si="0"/>
        <v>59191.36363636364</v>
      </c>
      <c r="I3" s="2">
        <f>margin_vat[[#This Row],[purchase]]/12</f>
        <v>4932.6136363636369</v>
      </c>
      <c r="J3" s="2">
        <f t="shared" ref="J3:J15" si="1">C3*0.2</f>
        <v>23439.780000000002</v>
      </c>
      <c r="K3" s="2">
        <f t="shared" ref="K3:K15" si="2">H3*0.2</f>
        <v>11838.272727272728</v>
      </c>
      <c r="L3" s="6"/>
    </row>
    <row r="4" spans="1:14" x14ac:dyDescent="0.3">
      <c r="A4" t="s">
        <v>146</v>
      </c>
      <c r="B4" t="s">
        <v>57</v>
      </c>
      <c r="C4" s="2">
        <f t="shared" ref="C4:C8" si="3">C3*$E$2</f>
        <v>124230.83400000002</v>
      </c>
      <c r="D4" s="1">
        <f>margin_vat[[#This Row],[sales_turnover]]/12</f>
        <v>10352.569500000001</v>
      </c>
      <c r="H4" s="2">
        <f t="shared" si="0"/>
        <v>62742.845454545466</v>
      </c>
      <c r="I4" s="2">
        <f>margin_vat[[#This Row],[purchase]]/12</f>
        <v>5228.5704545454555</v>
      </c>
      <c r="J4" s="2">
        <f t="shared" si="1"/>
        <v>24846.166800000006</v>
      </c>
      <c r="K4" s="2">
        <f t="shared" si="2"/>
        <v>12548.569090909094</v>
      </c>
      <c r="L4" s="6"/>
    </row>
    <row r="5" spans="1:14" x14ac:dyDescent="0.3">
      <c r="A5" t="s">
        <v>146</v>
      </c>
      <c r="B5" t="s">
        <v>58</v>
      </c>
      <c r="C5" s="2">
        <f t="shared" si="3"/>
        <v>131684.68404000002</v>
      </c>
      <c r="D5" s="1">
        <f>margin_vat[[#This Row],[sales_turnover]]/12</f>
        <v>10973.723670000001</v>
      </c>
      <c r="H5" s="2">
        <f t="shared" si="0"/>
        <v>66507.416181818189</v>
      </c>
      <c r="I5" s="2">
        <f>margin_vat[[#This Row],[purchase]]/12</f>
        <v>5542.2846818181824</v>
      </c>
      <c r="J5" s="2">
        <f t="shared" si="1"/>
        <v>26336.936808000006</v>
      </c>
      <c r="K5" s="2">
        <f t="shared" si="2"/>
        <v>13301.483236363638</v>
      </c>
      <c r="L5" s="6"/>
    </row>
    <row r="6" spans="1:14" x14ac:dyDescent="0.3">
      <c r="A6" t="s">
        <v>146</v>
      </c>
      <c r="B6" t="s">
        <v>59</v>
      </c>
      <c r="C6" s="2">
        <f t="shared" si="3"/>
        <v>139585.76508240003</v>
      </c>
      <c r="D6" s="1">
        <f>margin_vat[[#This Row],[sales_turnover]]/12</f>
        <v>11632.147090200002</v>
      </c>
      <c r="H6" s="2">
        <f t="shared" si="0"/>
        <v>70497.861152727288</v>
      </c>
      <c r="I6" s="2">
        <f>margin_vat[[#This Row],[purchase]]/12</f>
        <v>5874.8217627272743</v>
      </c>
      <c r="J6" s="2">
        <f t="shared" si="1"/>
        <v>27917.153016480006</v>
      </c>
      <c r="K6" s="2">
        <f t="shared" si="2"/>
        <v>14099.572230545458</v>
      </c>
      <c r="L6" s="6"/>
    </row>
    <row r="7" spans="1:14" x14ac:dyDescent="0.3">
      <c r="A7" t="s">
        <v>146</v>
      </c>
      <c r="B7" t="s">
        <v>60</v>
      </c>
      <c r="C7" s="2">
        <f t="shared" si="3"/>
        <v>147960.91098734405</v>
      </c>
      <c r="D7" s="1">
        <f>margin_vat[[#This Row],[sales_turnover]]/12</f>
        <v>12330.075915612004</v>
      </c>
      <c r="H7" s="2">
        <f t="shared" si="0"/>
        <v>74727.732821890939</v>
      </c>
      <c r="I7" s="2">
        <f>margin_vat[[#This Row],[purchase]]/12</f>
        <v>6227.3110684909116</v>
      </c>
      <c r="J7" s="2">
        <f t="shared" si="1"/>
        <v>29592.18219746881</v>
      </c>
      <c r="K7" s="2">
        <f t="shared" si="2"/>
        <v>14945.546564378188</v>
      </c>
      <c r="L7" s="6"/>
    </row>
    <row r="8" spans="1:14" x14ac:dyDescent="0.3">
      <c r="A8" t="s">
        <v>146</v>
      </c>
      <c r="B8" t="s">
        <v>61</v>
      </c>
      <c r="C8" s="2">
        <f t="shared" si="3"/>
        <v>156838.5656465847</v>
      </c>
      <c r="D8" s="1">
        <f>margin_vat[[#This Row],[sales_turnover]]/12</f>
        <v>13069.880470548725</v>
      </c>
      <c r="H8" s="2">
        <f t="shared" si="0"/>
        <v>79211.396791204388</v>
      </c>
      <c r="I8" s="2">
        <f>margin_vat[[#This Row],[purchase]]/12</f>
        <v>6600.9497326003657</v>
      </c>
      <c r="J8" s="2">
        <f t="shared" si="1"/>
        <v>31367.71312931694</v>
      </c>
      <c r="K8" s="2">
        <f t="shared" si="2"/>
        <v>15842.279358240878</v>
      </c>
      <c r="L8" s="6"/>
    </row>
    <row r="9" spans="1:14" x14ac:dyDescent="0.3">
      <c r="A9" t="s">
        <v>3</v>
      </c>
      <c r="B9" t="s">
        <v>55</v>
      </c>
      <c r="C9" s="1">
        <f>total_estimate!F4</f>
        <v>92000</v>
      </c>
      <c r="D9" s="1">
        <f>margin_vat[[#This Row],[sales_turnover]]/12</f>
        <v>7666.666666666667</v>
      </c>
      <c r="E9">
        <v>1.04</v>
      </c>
      <c r="F9" t="s">
        <v>62</v>
      </c>
      <c r="G9">
        <v>1.7</v>
      </c>
      <c r="H9" s="2">
        <f>((C9/5)/$G$9)+((C9/5*4)/$G$10)</f>
        <v>31852.100840336134</v>
      </c>
      <c r="I9" s="2">
        <f>margin_vat[[#This Row],[purchase]]/12</f>
        <v>2654.3417366946778</v>
      </c>
      <c r="J9" s="2">
        <f t="shared" si="1"/>
        <v>18400</v>
      </c>
      <c r="K9" s="2">
        <f t="shared" si="2"/>
        <v>6370.4201680672268</v>
      </c>
      <c r="L9" s="6"/>
    </row>
    <row r="10" spans="1:14" x14ac:dyDescent="0.3">
      <c r="A10" t="s">
        <v>3</v>
      </c>
      <c r="B10" t="s">
        <v>56</v>
      </c>
      <c r="C10" s="1">
        <f>C9*$E$9</f>
        <v>95680</v>
      </c>
      <c r="D10" s="1">
        <f>margin_vat[[#This Row],[sales_turnover]]/12</f>
        <v>7973.333333333333</v>
      </c>
      <c r="F10" t="s">
        <v>63</v>
      </c>
      <c r="G10">
        <v>3.5</v>
      </c>
      <c r="H10" s="2">
        <f t="shared" ref="H10:H15" si="4">((C10/5)/$G$9)+((C10/5*4)/$G$10)</f>
        <v>33126.184873949576</v>
      </c>
      <c r="I10" s="2">
        <f>margin_vat[[#This Row],[purchase]]/12</f>
        <v>2760.5154061624648</v>
      </c>
      <c r="J10" s="2">
        <f t="shared" si="1"/>
        <v>19136</v>
      </c>
      <c r="K10" s="2">
        <f t="shared" si="2"/>
        <v>6625.2369747899156</v>
      </c>
      <c r="L10" s="6"/>
      <c r="N10" s="2"/>
    </row>
    <row r="11" spans="1:14" x14ac:dyDescent="0.3">
      <c r="A11" t="s">
        <v>3</v>
      </c>
      <c r="B11" t="s">
        <v>57</v>
      </c>
      <c r="C11" s="1">
        <f t="shared" ref="C11:C15" si="5">C10*$E$9</f>
        <v>99507.199999999997</v>
      </c>
      <c r="D11" s="1">
        <f>margin_vat[[#This Row],[sales_turnover]]/12</f>
        <v>8292.2666666666664</v>
      </c>
      <c r="H11" s="2">
        <f t="shared" si="4"/>
        <v>34451.232268907559</v>
      </c>
      <c r="I11" s="2">
        <f>margin_vat[[#This Row],[purchase]]/12</f>
        <v>2870.9360224089633</v>
      </c>
      <c r="J11" s="2">
        <f t="shared" si="1"/>
        <v>19901.440000000002</v>
      </c>
      <c r="K11" s="2">
        <f t="shared" si="2"/>
        <v>6890.2464537815122</v>
      </c>
      <c r="L11" s="6"/>
      <c r="N11" s="2"/>
    </row>
    <row r="12" spans="1:14" x14ac:dyDescent="0.3">
      <c r="A12" t="s">
        <v>3</v>
      </c>
      <c r="B12" t="s">
        <v>58</v>
      </c>
      <c r="C12" s="1">
        <f t="shared" si="5"/>
        <v>103487.488</v>
      </c>
      <c r="D12" s="1">
        <f>margin_vat[[#This Row],[sales_turnover]]/12</f>
        <v>8623.9573333333337</v>
      </c>
      <c r="H12" s="2">
        <f t="shared" si="4"/>
        <v>35829.281559663861</v>
      </c>
      <c r="I12" s="2">
        <f>margin_vat[[#This Row],[purchase]]/12</f>
        <v>2985.7734633053219</v>
      </c>
      <c r="J12" s="2">
        <f t="shared" si="1"/>
        <v>20697.497600000002</v>
      </c>
      <c r="K12" s="2">
        <f t="shared" si="2"/>
        <v>7165.8563119327728</v>
      </c>
      <c r="L12" s="1"/>
      <c r="N12" s="2"/>
    </row>
    <row r="13" spans="1:14" x14ac:dyDescent="0.3">
      <c r="A13" t="s">
        <v>3</v>
      </c>
      <c r="B13" t="s">
        <v>59</v>
      </c>
      <c r="C13" s="1">
        <f t="shared" si="5"/>
        <v>107626.98752</v>
      </c>
      <c r="D13" s="1">
        <f>margin_vat[[#This Row],[sales_turnover]]/12</f>
        <v>8968.9156266666669</v>
      </c>
      <c r="H13" s="2">
        <f t="shared" si="4"/>
        <v>37262.452822050422</v>
      </c>
      <c r="I13" s="2">
        <f>margin_vat[[#This Row],[purchase]]/12</f>
        <v>3105.204401837535</v>
      </c>
      <c r="J13" s="2">
        <f t="shared" si="1"/>
        <v>21525.397504</v>
      </c>
      <c r="K13" s="2">
        <f t="shared" si="2"/>
        <v>7452.4905644100845</v>
      </c>
      <c r="L13" s="6"/>
      <c r="N13" s="2"/>
    </row>
    <row r="14" spans="1:14" x14ac:dyDescent="0.3">
      <c r="A14" t="s">
        <v>3</v>
      </c>
      <c r="B14" t="s">
        <v>60</v>
      </c>
      <c r="C14" s="1">
        <f t="shared" si="5"/>
        <v>111932.06702079999</v>
      </c>
      <c r="D14" s="1">
        <f>margin_vat[[#This Row],[sales_turnover]]/12</f>
        <v>9327.6722517333328</v>
      </c>
      <c r="H14" s="2">
        <f t="shared" si="4"/>
        <v>38752.950934932436</v>
      </c>
      <c r="I14" s="2">
        <f>margin_vat[[#This Row],[purchase]]/12</f>
        <v>3229.4125779110364</v>
      </c>
      <c r="J14" s="2">
        <f t="shared" si="1"/>
        <v>22386.413404160001</v>
      </c>
      <c r="K14" s="2">
        <f t="shared" si="2"/>
        <v>7750.5901869864874</v>
      </c>
      <c r="L14" s="6"/>
      <c r="N14" s="2"/>
    </row>
    <row r="15" spans="1:14" x14ac:dyDescent="0.3">
      <c r="A15" t="s">
        <v>3</v>
      </c>
      <c r="B15" t="s">
        <v>61</v>
      </c>
      <c r="C15" s="1">
        <f t="shared" si="5"/>
        <v>116409.349701632</v>
      </c>
      <c r="D15" s="1">
        <f>margin_vat[[#This Row],[sales_turnover]]/12</f>
        <v>9700.7791418026663</v>
      </c>
      <c r="H15" s="2">
        <f t="shared" si="4"/>
        <v>40303.068972329733</v>
      </c>
      <c r="I15" s="2">
        <f>margin_vat[[#This Row],[purchase]]/12</f>
        <v>3358.5890810274777</v>
      </c>
      <c r="J15" s="2">
        <f t="shared" si="1"/>
        <v>23281.869940326404</v>
      </c>
      <c r="K15" s="2">
        <f t="shared" si="2"/>
        <v>8060.6137944659467</v>
      </c>
      <c r="L15" s="6"/>
      <c r="N15" s="2"/>
    </row>
    <row r="16" spans="1:14" x14ac:dyDescent="0.3">
      <c r="A16" t="s">
        <v>64</v>
      </c>
      <c r="B16" t="s">
        <v>55</v>
      </c>
      <c r="C16" s="1">
        <f>total_estimate!F2</f>
        <v>649350</v>
      </c>
      <c r="D16" s="1">
        <f>margin_vat[[#This Row],[sales_turnover]]/12</f>
        <v>54112.5</v>
      </c>
      <c r="E16">
        <v>1.04</v>
      </c>
      <c r="F16" t="s">
        <v>65</v>
      </c>
      <c r="G16">
        <v>4</v>
      </c>
      <c r="H16" s="2">
        <f>((C16/4)/$G$16)+((C16/4*3)/$G$17)</f>
        <v>114374.14772727274</v>
      </c>
      <c r="I16" s="2">
        <f>margin_vat[[#This Row],[purchase]]/12</f>
        <v>9531.1789772727279</v>
      </c>
      <c r="J16" s="2">
        <f>C16*0.1</f>
        <v>64935</v>
      </c>
      <c r="K16" s="2">
        <f>H16*0.1</f>
        <v>11437.414772727274</v>
      </c>
      <c r="L16" s="6"/>
      <c r="M16" s="2">
        <f>margin_vat[[#This Row],[purchase]]/4</f>
        <v>28593.536931818184</v>
      </c>
    </row>
    <row r="17" spans="1:13" x14ac:dyDescent="0.3">
      <c r="A17" t="s">
        <v>64</v>
      </c>
      <c r="B17" t="s">
        <v>56</v>
      </c>
      <c r="C17" s="1">
        <f>C16*$E$16</f>
        <v>675324</v>
      </c>
      <c r="D17" s="1">
        <f>margin_vat[[#This Row],[sales_turnover]]/12</f>
        <v>56277</v>
      </c>
      <c r="F17" t="s">
        <v>66</v>
      </c>
      <c r="G17">
        <v>6.6</v>
      </c>
      <c r="H17" s="2">
        <f t="shared" ref="H17:H22" si="6">((C17/4)/$G$16)+((C17/4*3)/$G$17)</f>
        <v>118949.11363636365</v>
      </c>
      <c r="I17" s="2">
        <f>margin_vat[[#This Row],[purchase]]/12</f>
        <v>9912.4261363636379</v>
      </c>
      <c r="J17" s="2">
        <f t="shared" ref="J17:J22" si="7">C17*0.1</f>
        <v>67532.400000000009</v>
      </c>
      <c r="K17" s="2">
        <f t="shared" ref="K17:K22" si="8">H17*0.1</f>
        <v>11894.911363636365</v>
      </c>
      <c r="L17" s="6"/>
      <c r="M17" s="2">
        <f>M16*3</f>
        <v>85780.610795454559</v>
      </c>
    </row>
    <row r="18" spans="1:13" x14ac:dyDescent="0.3">
      <c r="A18" t="s">
        <v>64</v>
      </c>
      <c r="B18" t="s">
        <v>57</v>
      </c>
      <c r="C18" s="1">
        <f t="shared" ref="C18:C22" si="9">C17*$E$16</f>
        <v>702336.96000000008</v>
      </c>
      <c r="D18" s="1">
        <f>margin_vat[[#This Row],[sales_turnover]]/12</f>
        <v>58528.080000000009</v>
      </c>
      <c r="H18" s="2">
        <f t="shared" si="6"/>
        <v>123707.07818181821</v>
      </c>
      <c r="I18" s="2">
        <f>margin_vat[[#This Row],[purchase]]/12</f>
        <v>10308.923181818185</v>
      </c>
      <c r="J18" s="2">
        <f t="shared" si="7"/>
        <v>70233.696000000011</v>
      </c>
      <c r="K18" s="2">
        <f t="shared" si="8"/>
        <v>12370.707818181821</v>
      </c>
      <c r="L18" s="6"/>
    </row>
    <row r="19" spans="1:13" x14ac:dyDescent="0.3">
      <c r="A19" t="s">
        <v>64</v>
      </c>
      <c r="B19" t="s">
        <v>58</v>
      </c>
      <c r="C19" s="1">
        <f t="shared" si="9"/>
        <v>730430.4384000001</v>
      </c>
      <c r="D19" s="1">
        <f>margin_vat[[#This Row],[sales_turnover]]/12</f>
        <v>60869.203200000011</v>
      </c>
      <c r="H19" s="2">
        <f t="shared" si="6"/>
        <v>128655.36130909092</v>
      </c>
      <c r="I19" s="2">
        <f>margin_vat[[#This Row],[purchase]]/12</f>
        <v>10721.280109090911</v>
      </c>
      <c r="J19" s="2">
        <f t="shared" si="7"/>
        <v>73043.043840000013</v>
      </c>
      <c r="K19" s="2">
        <f t="shared" si="8"/>
        <v>12865.536130909093</v>
      </c>
      <c r="L19" s="6"/>
    </row>
    <row r="20" spans="1:13" x14ac:dyDescent="0.3">
      <c r="A20" t="s">
        <v>64</v>
      </c>
      <c r="B20" t="s">
        <v>59</v>
      </c>
      <c r="C20" s="1">
        <f t="shared" si="9"/>
        <v>759647.65593600017</v>
      </c>
      <c r="D20" s="1">
        <f>margin_vat[[#This Row],[sales_turnover]]/12</f>
        <v>63303.971328000014</v>
      </c>
      <c r="H20" s="2">
        <f t="shared" si="6"/>
        <v>133801.57576145459</v>
      </c>
      <c r="I20" s="2">
        <f>margin_vat[[#This Row],[purchase]]/12</f>
        <v>11150.131313454549</v>
      </c>
      <c r="J20" s="2">
        <f t="shared" si="7"/>
        <v>75964.765593600023</v>
      </c>
      <c r="K20" s="2">
        <f t="shared" si="8"/>
        <v>13380.157576145459</v>
      </c>
      <c r="L20" s="6"/>
    </row>
    <row r="21" spans="1:13" x14ac:dyDescent="0.3">
      <c r="A21" t="s">
        <v>64</v>
      </c>
      <c r="B21" t="s">
        <v>60</v>
      </c>
      <c r="C21" s="1">
        <f t="shared" si="9"/>
        <v>790033.56217344024</v>
      </c>
      <c r="D21" s="1">
        <f>margin_vat[[#This Row],[sales_turnover]]/12</f>
        <v>65836.130181120025</v>
      </c>
      <c r="H21" s="2">
        <f t="shared" si="6"/>
        <v>139153.63879191279</v>
      </c>
      <c r="I21" s="2">
        <f>margin_vat[[#This Row],[purchase]]/12</f>
        <v>11596.136565992732</v>
      </c>
      <c r="J21" s="2">
        <f t="shared" si="7"/>
        <v>79003.35621734403</v>
      </c>
      <c r="K21" s="2">
        <f t="shared" si="8"/>
        <v>13915.36387919128</v>
      </c>
      <c r="L21" s="6"/>
    </row>
    <row r="22" spans="1:13" x14ac:dyDescent="0.3">
      <c r="A22" t="s">
        <v>64</v>
      </c>
      <c r="B22" t="s">
        <v>61</v>
      </c>
      <c r="C22" s="1">
        <f t="shared" si="9"/>
        <v>821634.90466037788</v>
      </c>
      <c r="D22" s="1">
        <f>margin_vat[[#This Row],[sales_turnover]]/12</f>
        <v>68469.575388364829</v>
      </c>
      <c r="H22" s="2">
        <f t="shared" si="6"/>
        <v>144719.7843435893</v>
      </c>
      <c r="I22" s="2">
        <f>margin_vat[[#This Row],[purchase]]/12</f>
        <v>12059.982028632441</v>
      </c>
      <c r="J22" s="2">
        <f t="shared" si="7"/>
        <v>82163.490466037794</v>
      </c>
      <c r="K22" s="2">
        <f t="shared" si="8"/>
        <v>14471.978434358931</v>
      </c>
      <c r="L22" s="6"/>
    </row>
    <row r="23" spans="1:13" x14ac:dyDescent="0.3">
      <c r="A23" t="s">
        <v>107</v>
      </c>
      <c r="B23" t="s">
        <v>55</v>
      </c>
      <c r="C23" s="2">
        <f>total_estimate!F10</f>
        <v>54756</v>
      </c>
      <c r="D23" s="1">
        <f>margin_vat[[#This Row],[sales_turnover]]/12</f>
        <v>4563</v>
      </c>
      <c r="E23">
        <v>1.04</v>
      </c>
      <c r="F23" t="s">
        <v>67</v>
      </c>
      <c r="G23" s="12">
        <v>1</v>
      </c>
      <c r="H23" s="1">
        <v>0</v>
      </c>
      <c r="I23" s="2">
        <f>margin_vat[[#This Row],[purchase]]/12</f>
        <v>0</v>
      </c>
      <c r="J23" s="2">
        <f>C23*0.2</f>
        <v>10951.2</v>
      </c>
      <c r="K23" s="1">
        <v>0</v>
      </c>
    </row>
    <row r="24" spans="1:13" x14ac:dyDescent="0.3">
      <c r="A24" t="s">
        <v>107</v>
      </c>
      <c r="B24" t="s">
        <v>56</v>
      </c>
      <c r="C24" s="2">
        <f>C23*$E$23</f>
        <v>56946.240000000005</v>
      </c>
      <c r="D24" s="1">
        <f>margin_vat[[#This Row],[sales_turnover]]/12</f>
        <v>4745.5200000000004</v>
      </c>
      <c r="H24" s="1">
        <v>0</v>
      </c>
      <c r="I24" s="2">
        <f>margin_vat[[#This Row],[purchase]]/12</f>
        <v>0</v>
      </c>
      <c r="J24" s="2">
        <f t="shared" ref="J24:J29" si="10">C24*0.2</f>
        <v>11389.248000000001</v>
      </c>
      <c r="K24" s="1">
        <v>0</v>
      </c>
    </row>
    <row r="25" spans="1:13" x14ac:dyDescent="0.3">
      <c r="A25" t="s">
        <v>107</v>
      </c>
      <c r="B25" t="s">
        <v>57</v>
      </c>
      <c r="C25" s="2">
        <f t="shared" ref="C25:C29" si="11">C24*$E$23</f>
        <v>59224.089600000007</v>
      </c>
      <c r="D25" s="1">
        <f>margin_vat[[#This Row],[sales_turnover]]/12</f>
        <v>4935.3408000000009</v>
      </c>
      <c r="H25" s="1">
        <v>0</v>
      </c>
      <c r="I25" s="2">
        <f>margin_vat[[#This Row],[purchase]]/12</f>
        <v>0</v>
      </c>
      <c r="J25" s="2">
        <f t="shared" si="10"/>
        <v>11844.817920000001</v>
      </c>
      <c r="K25" s="1">
        <v>0</v>
      </c>
    </row>
    <row r="26" spans="1:13" x14ac:dyDescent="0.3">
      <c r="A26" t="s">
        <v>107</v>
      </c>
      <c r="B26" t="s">
        <v>58</v>
      </c>
      <c r="C26" s="2">
        <f t="shared" si="11"/>
        <v>61593.053184000011</v>
      </c>
      <c r="D26" s="1">
        <f>margin_vat[[#This Row],[sales_turnover]]/12</f>
        <v>5132.7544320000006</v>
      </c>
      <c r="H26" s="1">
        <v>0</v>
      </c>
      <c r="I26" s="2">
        <f>margin_vat[[#This Row],[purchase]]/12</f>
        <v>0</v>
      </c>
      <c r="J26" s="2">
        <f t="shared" si="10"/>
        <v>12318.610636800004</v>
      </c>
      <c r="K26" s="1">
        <v>0</v>
      </c>
    </row>
    <row r="27" spans="1:13" x14ac:dyDescent="0.3">
      <c r="A27" t="s">
        <v>107</v>
      </c>
      <c r="B27" t="s">
        <v>59</v>
      </c>
      <c r="C27" s="2">
        <f t="shared" si="11"/>
        <v>64056.775311360012</v>
      </c>
      <c r="D27" s="1">
        <f>margin_vat[[#This Row],[sales_turnover]]/12</f>
        <v>5338.0646092800007</v>
      </c>
      <c r="H27" s="1">
        <v>0</v>
      </c>
      <c r="I27" s="2">
        <f>margin_vat[[#This Row],[purchase]]/12</f>
        <v>0</v>
      </c>
      <c r="J27" s="2">
        <f t="shared" si="10"/>
        <v>12811.355062272003</v>
      </c>
      <c r="K27" s="1">
        <v>0</v>
      </c>
    </row>
    <row r="28" spans="1:13" x14ac:dyDescent="0.3">
      <c r="A28" t="s">
        <v>107</v>
      </c>
      <c r="B28" t="s">
        <v>60</v>
      </c>
      <c r="C28" s="2">
        <f t="shared" si="11"/>
        <v>66619.046323814415</v>
      </c>
      <c r="D28" s="1">
        <f>margin_vat[[#This Row],[sales_turnover]]/12</f>
        <v>5551.5871936512012</v>
      </c>
      <c r="H28" s="1">
        <v>0</v>
      </c>
      <c r="I28" s="2">
        <f>margin_vat[[#This Row],[purchase]]/12</f>
        <v>0</v>
      </c>
      <c r="J28" s="2">
        <f t="shared" si="10"/>
        <v>13323.809264762884</v>
      </c>
      <c r="K28" s="1">
        <v>0</v>
      </c>
    </row>
    <row r="29" spans="1:13" x14ac:dyDescent="0.3">
      <c r="A29" t="s">
        <v>107</v>
      </c>
      <c r="B29" t="s">
        <v>61</v>
      </c>
      <c r="C29" s="2">
        <f t="shared" si="11"/>
        <v>69283.808176766994</v>
      </c>
      <c r="D29" s="1">
        <f>margin_vat[[#This Row],[sales_turnover]]/12</f>
        <v>5773.6506813972492</v>
      </c>
      <c r="H29" s="1">
        <v>0</v>
      </c>
      <c r="I29" s="2">
        <f>margin_vat[[#This Row],[purchase]]/12</f>
        <v>0</v>
      </c>
      <c r="J29" s="2">
        <f t="shared" si="10"/>
        <v>13856.761635353399</v>
      </c>
      <c r="K29" s="1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4332A-5ACF-4335-B316-FE568B5CE012}">
  <dimension ref="A1:I35"/>
  <sheetViews>
    <sheetView topLeftCell="A8" zoomScaleNormal="100" workbookViewId="0">
      <selection activeCell="D15" sqref="D15"/>
    </sheetView>
  </sheetViews>
  <sheetFormatPr baseColWidth="10" defaultRowHeight="14.4" x14ac:dyDescent="0.3"/>
  <cols>
    <col min="1" max="1" width="15.44140625" bestFit="1" customWidth="1"/>
    <col min="2" max="2" width="53.109375" bestFit="1" customWidth="1"/>
    <col min="3" max="3" width="19.88671875" bestFit="1" customWidth="1"/>
    <col min="4" max="4" width="19.6640625" customWidth="1"/>
    <col min="5" max="5" width="58" bestFit="1" customWidth="1"/>
    <col min="7" max="7" width="14.5546875" customWidth="1"/>
    <col min="8" max="8" width="12.77734375" bestFit="1" customWidth="1"/>
  </cols>
  <sheetData>
    <row r="1" spans="1:9" x14ac:dyDescent="0.3">
      <c r="A1" t="s">
        <v>104</v>
      </c>
      <c r="B1" t="s">
        <v>5</v>
      </c>
      <c r="C1" t="s">
        <v>173</v>
      </c>
      <c r="D1" t="s">
        <v>174</v>
      </c>
      <c r="E1" t="s">
        <v>128</v>
      </c>
      <c r="H1" s="10" t="s">
        <v>6</v>
      </c>
    </row>
    <row r="2" spans="1:9" x14ac:dyDescent="0.3">
      <c r="A2" t="s">
        <v>175</v>
      </c>
      <c r="B2" t="s">
        <v>181</v>
      </c>
      <c r="C2" s="1">
        <v>65000</v>
      </c>
      <c r="D2" s="1">
        <f>C2/12</f>
        <v>5416.666666666667</v>
      </c>
      <c r="E2" t="s">
        <v>122</v>
      </c>
      <c r="H2" s="11">
        <f>SUM(C2:C35)</f>
        <v>915587.29303550266</v>
      </c>
    </row>
    <row r="3" spans="1:9" x14ac:dyDescent="0.3">
      <c r="A3" t="s">
        <v>175</v>
      </c>
      <c r="B3" t="s">
        <v>182</v>
      </c>
      <c r="C3" s="1">
        <v>65000</v>
      </c>
      <c r="D3" s="1">
        <f t="shared" ref="D3" si="0">C3/12</f>
        <v>5416.666666666667</v>
      </c>
      <c r="E3" t="s">
        <v>122</v>
      </c>
    </row>
    <row r="4" spans="1:9" x14ac:dyDescent="0.3">
      <c r="A4" t="s">
        <v>175</v>
      </c>
      <c r="B4" t="s">
        <v>176</v>
      </c>
      <c r="C4" s="1">
        <v>30041</v>
      </c>
      <c r="D4" s="1">
        <f t="shared" ref="D4:D26" si="1">C4/12</f>
        <v>2503.4166666666665</v>
      </c>
      <c r="E4" t="s">
        <v>122</v>
      </c>
      <c r="G4" t="s">
        <v>104</v>
      </c>
    </row>
    <row r="5" spans="1:9" x14ac:dyDescent="0.3">
      <c r="A5" t="s">
        <v>175</v>
      </c>
      <c r="B5" t="s">
        <v>176</v>
      </c>
      <c r="C5" s="1"/>
      <c r="D5" s="1">
        <f t="shared" si="1"/>
        <v>0</v>
      </c>
      <c r="E5" t="s">
        <v>122</v>
      </c>
      <c r="G5" t="s">
        <v>175</v>
      </c>
      <c r="H5" s="1">
        <f t="shared" ref="H5:H13" si="2">SUMIF(A:A,G5,C:C)</f>
        <v>328817</v>
      </c>
      <c r="I5" s="15">
        <f>H5/$H$2</f>
        <v>0.35913233233049013</v>
      </c>
    </row>
    <row r="6" spans="1:9" x14ac:dyDescent="0.3">
      <c r="A6" t="s">
        <v>175</v>
      </c>
      <c r="B6" t="s">
        <v>177</v>
      </c>
      <c r="C6" s="1">
        <v>30041</v>
      </c>
      <c r="D6" s="1">
        <f t="shared" si="1"/>
        <v>2503.4166666666665</v>
      </c>
      <c r="E6" t="s">
        <v>122</v>
      </c>
      <c r="G6" t="s">
        <v>183</v>
      </c>
      <c r="H6" s="1">
        <f t="shared" si="2"/>
        <v>158668.68</v>
      </c>
      <c r="I6" s="15">
        <f t="shared" ref="I6:I13" si="3">H6/$H$2</f>
        <v>0.1732971626047321</v>
      </c>
    </row>
    <row r="7" spans="1:9" x14ac:dyDescent="0.3">
      <c r="A7" t="s">
        <v>175</v>
      </c>
      <c r="B7" t="s">
        <v>178</v>
      </c>
      <c r="C7" s="1">
        <v>30041</v>
      </c>
      <c r="D7" s="1">
        <f t="shared" si="1"/>
        <v>2503.4166666666665</v>
      </c>
      <c r="E7" t="s">
        <v>122</v>
      </c>
      <c r="G7" t="s">
        <v>185</v>
      </c>
      <c r="H7" s="1">
        <f t="shared" si="2"/>
        <v>108412.25349698481</v>
      </c>
      <c r="I7" s="15">
        <f t="shared" si="3"/>
        <v>0.1184073373687385</v>
      </c>
    </row>
    <row r="8" spans="1:9" x14ac:dyDescent="0.3">
      <c r="A8" t="s">
        <v>175</v>
      </c>
      <c r="B8" t="s">
        <v>178</v>
      </c>
      <c r="C8" s="1">
        <v>30041</v>
      </c>
      <c r="D8" s="1">
        <f t="shared" si="1"/>
        <v>2503.4166666666665</v>
      </c>
      <c r="E8" t="s">
        <v>122</v>
      </c>
      <c r="G8" t="s">
        <v>186</v>
      </c>
      <c r="H8" s="1">
        <f t="shared" si="2"/>
        <v>51778.32</v>
      </c>
      <c r="I8" s="15">
        <f t="shared" si="3"/>
        <v>5.6552029930795743E-2</v>
      </c>
    </row>
    <row r="9" spans="1:9" x14ac:dyDescent="0.3">
      <c r="A9" t="s">
        <v>175</v>
      </c>
      <c r="B9" t="s">
        <v>179</v>
      </c>
      <c r="C9" s="1">
        <v>48612</v>
      </c>
      <c r="D9" s="1">
        <f t="shared" si="1"/>
        <v>4051</v>
      </c>
      <c r="E9" t="s">
        <v>122</v>
      </c>
      <c r="G9" t="s">
        <v>193</v>
      </c>
      <c r="H9" s="1">
        <f t="shared" si="2"/>
        <v>15413.407000000001</v>
      </c>
      <c r="I9" s="15">
        <f t="shared" si="3"/>
        <v>1.6834448355982516E-2</v>
      </c>
    </row>
    <row r="10" spans="1:9" x14ac:dyDescent="0.3">
      <c r="A10" t="s">
        <v>175</v>
      </c>
      <c r="B10" t="s">
        <v>180</v>
      </c>
      <c r="C10" s="1">
        <v>30041</v>
      </c>
      <c r="D10" s="1">
        <f t="shared" si="1"/>
        <v>2503.4166666666665</v>
      </c>
      <c r="E10" t="s">
        <v>122</v>
      </c>
      <c r="G10" t="s">
        <v>191</v>
      </c>
      <c r="H10" s="1">
        <f t="shared" si="2"/>
        <v>30430.474880000002</v>
      </c>
      <c r="I10" s="15">
        <f t="shared" si="3"/>
        <v>3.323601704771588E-2</v>
      </c>
    </row>
    <row r="11" spans="1:9" x14ac:dyDescent="0.3">
      <c r="A11" t="s">
        <v>183</v>
      </c>
      <c r="B11" t="s">
        <v>183</v>
      </c>
      <c r="C11" s="1">
        <v>120000</v>
      </c>
      <c r="D11" s="1">
        <f t="shared" si="1"/>
        <v>10000</v>
      </c>
      <c r="G11" t="s">
        <v>192</v>
      </c>
      <c r="H11" s="1">
        <f t="shared" si="2"/>
        <v>18000</v>
      </c>
      <c r="I11" s="15">
        <f t="shared" si="3"/>
        <v>1.9659512683191022E-2</v>
      </c>
    </row>
    <row r="12" spans="1:9" x14ac:dyDescent="0.3">
      <c r="A12" t="s">
        <v>183</v>
      </c>
      <c r="B12" t="s">
        <v>184</v>
      </c>
      <c r="C12" s="1">
        <f>total_estimate!J2*0.03</f>
        <v>31036.68</v>
      </c>
      <c r="D12" s="1">
        <f t="shared" si="1"/>
        <v>2586.39</v>
      </c>
      <c r="E12" t="s">
        <v>130</v>
      </c>
      <c r="G12" t="s">
        <v>127</v>
      </c>
      <c r="H12" s="1">
        <f t="shared" si="2"/>
        <v>202067.15765851794</v>
      </c>
      <c r="I12" s="15">
        <f t="shared" si="3"/>
        <v>0.22069676938022187</v>
      </c>
    </row>
    <row r="13" spans="1:9" x14ac:dyDescent="0.3">
      <c r="A13" t="s">
        <v>183</v>
      </c>
      <c r="B13" t="s">
        <v>125</v>
      </c>
      <c r="C13" s="1">
        <v>7632</v>
      </c>
      <c r="D13" s="1">
        <f t="shared" si="1"/>
        <v>636</v>
      </c>
      <c r="E13" t="s">
        <v>131</v>
      </c>
      <c r="G13" t="s">
        <v>194</v>
      </c>
      <c r="H13" s="1">
        <f t="shared" si="2"/>
        <v>2000</v>
      </c>
      <c r="I13" s="15">
        <f t="shared" si="3"/>
        <v>2.1843902981323357E-3</v>
      </c>
    </row>
    <row r="14" spans="1:9" x14ac:dyDescent="0.3">
      <c r="A14" t="s">
        <v>185</v>
      </c>
      <c r="B14" t="s">
        <v>124</v>
      </c>
      <c r="C14" s="1">
        <v>2516</v>
      </c>
      <c r="D14" s="1">
        <f t="shared" si="1"/>
        <v>209.66666666666666</v>
      </c>
      <c r="E14" t="s">
        <v>131</v>
      </c>
      <c r="H14" s="1"/>
    </row>
    <row r="15" spans="1:9" x14ac:dyDescent="0.3">
      <c r="A15" t="s">
        <v>186</v>
      </c>
      <c r="B15" t="s">
        <v>132</v>
      </c>
      <c r="C15" s="1">
        <f>1826*12</f>
        <v>21912</v>
      </c>
      <c r="D15" s="1">
        <f t="shared" si="1"/>
        <v>1826</v>
      </c>
      <c r="E15" t="s">
        <v>133</v>
      </c>
      <c r="H15" s="2"/>
    </row>
    <row r="16" spans="1:9" x14ac:dyDescent="0.3">
      <c r="A16" t="s">
        <v>186</v>
      </c>
      <c r="B16" t="s">
        <v>187</v>
      </c>
      <c r="C16" s="1">
        <f>60000/5</f>
        <v>12000</v>
      </c>
      <c r="D16" s="1">
        <f t="shared" si="1"/>
        <v>1000</v>
      </c>
      <c r="E16" t="s">
        <v>135</v>
      </c>
    </row>
    <row r="17" spans="1:8" x14ac:dyDescent="0.3">
      <c r="A17" t="s">
        <v>186</v>
      </c>
      <c r="B17" t="s">
        <v>188</v>
      </c>
      <c r="C17" s="1">
        <f>988.86*12</f>
        <v>11866.32</v>
      </c>
      <c r="D17" s="1">
        <f t="shared" si="1"/>
        <v>988.86</v>
      </c>
      <c r="E17" t="s">
        <v>134</v>
      </c>
      <c r="H17" s="2"/>
    </row>
    <row r="18" spans="1:8" x14ac:dyDescent="0.3">
      <c r="A18" t="s">
        <v>186</v>
      </c>
      <c r="B18" t="s">
        <v>189</v>
      </c>
      <c r="C18" s="1">
        <f>30000/5</f>
        <v>6000</v>
      </c>
      <c r="D18" s="1">
        <f t="shared" si="1"/>
        <v>500</v>
      </c>
      <c r="E18" t="s">
        <v>190</v>
      </c>
      <c r="H18" s="2"/>
    </row>
    <row r="19" spans="1:8" x14ac:dyDescent="0.3">
      <c r="A19" t="s">
        <v>193</v>
      </c>
      <c r="B19" t="s">
        <v>136</v>
      </c>
      <c r="C19" s="1">
        <f>total_estimate!J5*0.017</f>
        <v>15413.407000000001</v>
      </c>
      <c r="D19" s="1">
        <f t="shared" si="1"/>
        <v>1284.4505833333335</v>
      </c>
      <c r="E19" t="s">
        <v>139</v>
      </c>
    </row>
    <row r="20" spans="1:8" x14ac:dyDescent="0.3">
      <c r="A20" t="s">
        <v>191</v>
      </c>
      <c r="B20" t="s">
        <v>129</v>
      </c>
      <c r="C20" s="1">
        <v>22152</v>
      </c>
      <c r="D20" s="1">
        <f t="shared" si="1"/>
        <v>1846</v>
      </c>
      <c r="E20" t="s">
        <v>138</v>
      </c>
      <c r="H20" s="1"/>
    </row>
    <row r="21" spans="1:8" x14ac:dyDescent="0.3">
      <c r="A21" t="s">
        <v>191</v>
      </c>
      <c r="B21" t="s">
        <v>137</v>
      </c>
      <c r="C21" s="1">
        <f>(((28*30*351)/1000)*4.64)*1.3</f>
        <v>1778.47488</v>
      </c>
      <c r="D21" s="1">
        <f t="shared" si="1"/>
        <v>148.20624000000001</v>
      </c>
      <c r="E21" t="s">
        <v>158</v>
      </c>
    </row>
    <row r="22" spans="1:8" x14ac:dyDescent="0.3">
      <c r="A22" t="s">
        <v>191</v>
      </c>
      <c r="B22" t="s">
        <v>142</v>
      </c>
      <c r="C22" s="1">
        <v>2000</v>
      </c>
      <c r="D22" s="1">
        <f t="shared" si="1"/>
        <v>166.66666666666666</v>
      </c>
      <c r="E22" s="36" t="s">
        <v>143</v>
      </c>
      <c r="H22" s="2"/>
    </row>
    <row r="23" spans="1:8" x14ac:dyDescent="0.3">
      <c r="A23" t="s">
        <v>191</v>
      </c>
      <c r="B23" t="s">
        <v>169</v>
      </c>
      <c r="C23" s="1">
        <v>3000</v>
      </c>
      <c r="D23" s="1">
        <f t="shared" si="1"/>
        <v>250</v>
      </c>
      <c r="E23" s="36"/>
      <c r="H23" s="2"/>
    </row>
    <row r="24" spans="1:8" x14ac:dyDescent="0.3">
      <c r="A24" t="s">
        <v>191</v>
      </c>
      <c r="B24" t="s">
        <v>167</v>
      </c>
      <c r="C24" s="1">
        <v>1500</v>
      </c>
      <c r="D24" s="1">
        <f t="shared" si="1"/>
        <v>125</v>
      </c>
      <c r="E24" s="36"/>
    </row>
    <row r="25" spans="1:8" x14ac:dyDescent="0.3">
      <c r="A25" t="s">
        <v>192</v>
      </c>
      <c r="B25" s="35" t="s">
        <v>170</v>
      </c>
      <c r="C25" s="1">
        <v>18000</v>
      </c>
      <c r="D25" s="1">
        <f t="shared" si="1"/>
        <v>1500</v>
      </c>
    </row>
    <row r="26" spans="1:8" x14ac:dyDescent="0.3">
      <c r="A26" t="s">
        <v>194</v>
      </c>
      <c r="B26" s="35" t="s">
        <v>168</v>
      </c>
      <c r="C26" s="1">
        <v>2000</v>
      </c>
      <c r="D26" s="1">
        <f t="shared" si="1"/>
        <v>166.66666666666666</v>
      </c>
    </row>
    <row r="27" spans="1:8" x14ac:dyDescent="0.3">
      <c r="A27" t="s">
        <v>185</v>
      </c>
      <c r="B27" s="35" t="s">
        <v>110</v>
      </c>
      <c r="C27" s="1">
        <f>total_estimate!$J$5*0.0068</f>
        <v>6165.3627999999999</v>
      </c>
      <c r="D27" s="1">
        <f t="shared" ref="D27:D32" si="4">C27/12</f>
        <v>513.78023333333329</v>
      </c>
    </row>
    <row r="28" spans="1:8" x14ac:dyDescent="0.3">
      <c r="A28" t="s">
        <v>185</v>
      </c>
      <c r="B28" s="35" t="s">
        <v>109</v>
      </c>
      <c r="C28" s="1">
        <f>total_estimate!$J$5*0.0013</f>
        <v>1178.6723</v>
      </c>
      <c r="D28" s="1">
        <f t="shared" si="4"/>
        <v>98.222691666666663</v>
      </c>
    </row>
    <row r="29" spans="1:8" x14ac:dyDescent="0.3">
      <c r="A29" t="s">
        <v>185</v>
      </c>
      <c r="B29" s="35" t="s">
        <v>111</v>
      </c>
      <c r="C29" s="1">
        <v>0</v>
      </c>
      <c r="D29" s="1">
        <f t="shared" si="4"/>
        <v>0</v>
      </c>
      <c r="E29" t="s">
        <v>126</v>
      </c>
    </row>
    <row r="30" spans="1:8" x14ac:dyDescent="0.3">
      <c r="A30" t="s">
        <v>185</v>
      </c>
      <c r="B30" s="35" t="s">
        <v>112</v>
      </c>
      <c r="C30" s="1">
        <v>7349</v>
      </c>
      <c r="D30" s="1">
        <f t="shared" si="4"/>
        <v>612.41666666666663</v>
      </c>
      <c r="E30" t="s">
        <v>140</v>
      </c>
    </row>
    <row r="31" spans="1:8" x14ac:dyDescent="0.3">
      <c r="A31" t="s">
        <v>185</v>
      </c>
      <c r="B31" s="35" t="s">
        <v>108</v>
      </c>
      <c r="C31" s="1">
        <f>(total_estimate!J5-total_final!D2-C11-C12-C20-C25-C21-C13)*0.0075</f>
        <v>3780.0351559611149</v>
      </c>
      <c r="D31" s="1">
        <f t="shared" si="4"/>
        <v>315.00292966342624</v>
      </c>
      <c r="E31" t="s">
        <v>141</v>
      </c>
    </row>
    <row r="32" spans="1:8" x14ac:dyDescent="0.3">
      <c r="A32" t="s">
        <v>185</v>
      </c>
      <c r="B32" s="35" t="s">
        <v>114</v>
      </c>
      <c r="C32" s="2">
        <f>total_final!G2</f>
        <v>87423.183241023682</v>
      </c>
      <c r="D32" s="1">
        <f t="shared" si="4"/>
        <v>7285.2652700853068</v>
      </c>
    </row>
    <row r="33" spans="1:5" x14ac:dyDescent="0.3">
      <c r="A33" t="s">
        <v>127</v>
      </c>
      <c r="B33" t="s">
        <v>47</v>
      </c>
      <c r="C33" s="1">
        <f>margin_vat!H2</f>
        <v>55840.909090909088</v>
      </c>
      <c r="D33" s="1">
        <f>margin_vat!H2/12</f>
        <v>4653.409090909091</v>
      </c>
      <c r="E33" t="s">
        <v>51</v>
      </c>
    </row>
    <row r="34" spans="1:5" x14ac:dyDescent="0.3">
      <c r="A34" t="s">
        <v>127</v>
      </c>
      <c r="B34" t="s">
        <v>48</v>
      </c>
      <c r="C34" s="1">
        <f>D34*12</f>
        <v>31852.100840336134</v>
      </c>
      <c r="D34" s="1">
        <f>margin_vat!H9/12</f>
        <v>2654.3417366946778</v>
      </c>
      <c r="E34" t="s">
        <v>52</v>
      </c>
    </row>
    <row r="35" spans="1:5" x14ac:dyDescent="0.3">
      <c r="A35" t="s">
        <v>127</v>
      </c>
      <c r="B35" t="s">
        <v>106</v>
      </c>
      <c r="C35" s="1">
        <f>margin_vat!H16</f>
        <v>114374.14772727274</v>
      </c>
      <c r="D35" s="1">
        <f>margin_vat!H16/12</f>
        <v>9531.1789772727279</v>
      </c>
      <c r="E35" t="s">
        <v>53</v>
      </c>
    </row>
  </sheetData>
  <hyperlinks>
    <hyperlink ref="E22" r:id="rId1" xr:uid="{CA41DE84-E456-4741-84E4-CAA68A8BE54C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estimation_working</vt:lpstr>
      <vt:lpstr>Feuil2</vt:lpstr>
      <vt:lpstr>estimate_day_vape</vt:lpstr>
      <vt:lpstr>estimate_day_food</vt:lpstr>
      <vt:lpstr>estimate_day_game</vt:lpstr>
      <vt:lpstr>estimate_day_ticket</vt:lpstr>
      <vt:lpstr>total_estimate</vt:lpstr>
      <vt:lpstr>margin_vat</vt:lpstr>
      <vt:lpstr>charges</vt:lpstr>
      <vt:lpstr>total_final</vt:lpstr>
      <vt:lpstr>cumulative_total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SOQUET Clement</dc:creator>
  <cp:lastModifiedBy>SOQUET Clément</cp:lastModifiedBy>
  <dcterms:created xsi:type="dcterms:W3CDTF">2024-06-20T12:58:05Z</dcterms:created>
  <dcterms:modified xsi:type="dcterms:W3CDTF">2024-07-31T12:05:22Z</dcterms:modified>
</cp:coreProperties>
</file>