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0" yWindow="0" windowWidth="19440" windowHeight="7755" tabRatio="610" activeTab="2"/>
  </bookViews>
  <sheets>
    <sheet name="ATA'S" sheetId="8" r:id="rId1"/>
    <sheet name="2014" sheetId="1" r:id="rId2"/>
    <sheet name="1996" sheetId="2" r:id="rId3"/>
    <sheet name="Reportajes -1996" sheetId="14" r:id="rId4"/>
    <sheet name="2035" sheetId="9" r:id="rId5"/>
    <sheet name="Reportes -2035" sheetId="19" r:id="rId6"/>
    <sheet name="2081" sheetId="4" r:id="rId7"/>
    <sheet name="Reportes-2081 " sheetId="20" r:id="rId8"/>
    <sheet name="2082" sheetId="7" r:id="rId9"/>
    <sheet name="Reportes -2082" sheetId="21" r:id="rId10"/>
    <sheet name="Hoja1" sheetId="23" r:id="rId11"/>
    <sheet name="Reporte Global 4 aviones" sheetId="22" r:id="rId12"/>
    <sheet name="Hoja2" sheetId="24" r:id="rId13"/>
  </sheets>
  <definedNames>
    <definedName name="_xlnm._FilterDatabase" localSheetId="2" hidden="1">'1996'!$A$2:$G$36</definedName>
    <definedName name="_xlnm._FilterDatabase" localSheetId="4" hidden="1">'2035'!$A$2:$G$58</definedName>
    <definedName name="_xlnm._FilterDatabase" localSheetId="6" hidden="1">'2081'!$A$2:$G$23</definedName>
    <definedName name="_xlnm._FilterDatabase" localSheetId="8" hidden="1">'2082'!$A$2:$F$22</definedName>
    <definedName name="_xlnm.Print_Area" localSheetId="2">'1996'!$A$1:$H$63</definedName>
    <definedName name="_xlnm.Print_Area" localSheetId="6">'2081'!#REF!</definedName>
  </definedNames>
  <calcPr calcId="125725"/>
  <pivotCaches>
    <pivotCache cacheId="4" r:id="rId14"/>
    <pivotCache cacheId="5" r:id="rId15"/>
    <pivotCache cacheId="6" r:id="rId16"/>
    <pivotCache cacheId="7" r:id="rId17"/>
  </pivotCaches>
</workbook>
</file>

<file path=xl/calcChain.xml><?xml version="1.0" encoding="utf-8"?>
<calcChain xmlns="http://schemas.openxmlformats.org/spreadsheetml/2006/main">
  <c r="Z5" i="2"/>
  <c r="O4"/>
  <c r="B21" i="22" l="1"/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14"/>
  <c r="C13"/>
  <c r="C5"/>
  <c r="C6"/>
  <c r="C7"/>
  <c r="C8"/>
  <c r="C9"/>
  <c r="C10"/>
  <c r="C11"/>
  <c r="C12"/>
  <c r="C4"/>
  <c r="B33" i="22"/>
  <c r="C24"/>
  <c r="D24"/>
  <c r="E24"/>
  <c r="F24"/>
  <c r="G24"/>
  <c r="B24"/>
  <c r="C23"/>
  <c r="B32" s="1"/>
  <c r="D23"/>
  <c r="E23"/>
  <c r="F23"/>
  <c r="B23"/>
  <c r="C21"/>
  <c r="D21"/>
  <c r="E21"/>
  <c r="M3" i="7" l="1"/>
  <c r="T12" i="9"/>
  <c r="P12"/>
  <c r="M3"/>
  <c r="M3" i="4"/>
  <c r="G4" i="7"/>
  <c r="G5"/>
  <c r="U5" s="1"/>
  <c r="Z10" s="1"/>
  <c r="G6"/>
  <c r="R6" s="1"/>
  <c r="G7"/>
  <c r="S7" s="1"/>
  <c r="G8"/>
  <c r="T8" s="1"/>
  <c r="M8" s="1"/>
  <c r="G9"/>
  <c r="G10"/>
  <c r="G11"/>
  <c r="G12"/>
  <c r="G13"/>
  <c r="G14"/>
  <c r="G15"/>
  <c r="S11" s="1"/>
  <c r="G16"/>
  <c r="T12" s="1"/>
  <c r="M12" s="1"/>
  <c r="G17"/>
  <c r="U13" s="1"/>
  <c r="G18"/>
  <c r="G3"/>
  <c r="T4" s="1"/>
  <c r="G3" i="2"/>
  <c r="R4" s="1"/>
  <c r="G4"/>
  <c r="G5"/>
  <c r="G6"/>
  <c r="Q6" s="1"/>
  <c r="G7"/>
  <c r="G8"/>
  <c r="G9"/>
  <c r="Q8" s="1"/>
  <c r="G10"/>
  <c r="G11"/>
  <c r="G12"/>
  <c r="G13"/>
  <c r="G14"/>
  <c r="G15"/>
  <c r="G16"/>
  <c r="G17"/>
  <c r="O10" s="1"/>
  <c r="G18"/>
  <c r="Q4" s="1"/>
  <c r="G19"/>
  <c r="Q12" s="1"/>
  <c r="G20"/>
  <c r="O7" s="1"/>
  <c r="G21"/>
  <c r="R5" s="1"/>
  <c r="G22"/>
  <c r="G4" i="9"/>
  <c r="S5" s="1"/>
  <c r="M5" s="1"/>
  <c r="G5"/>
  <c r="U5" s="1"/>
  <c r="G6"/>
  <c r="G7"/>
  <c r="G8"/>
  <c r="G9"/>
  <c r="G10"/>
  <c r="G11"/>
  <c r="G12"/>
  <c r="G13"/>
  <c r="T6" s="1"/>
  <c r="G14"/>
  <c r="U7" s="1"/>
  <c r="G15"/>
  <c r="G16"/>
  <c r="R8" s="1"/>
  <c r="G17"/>
  <c r="T8" s="1"/>
  <c r="G18"/>
  <c r="G19"/>
  <c r="S9" s="1"/>
  <c r="M9" s="1"/>
  <c r="G20"/>
  <c r="T10" s="1"/>
  <c r="G21"/>
  <c r="R10" s="1"/>
  <c r="G22"/>
  <c r="G23"/>
  <c r="G24"/>
  <c r="G25"/>
  <c r="G26"/>
  <c r="G27"/>
  <c r="G28"/>
  <c r="U11" s="1"/>
  <c r="G29"/>
  <c r="S11" s="1"/>
  <c r="M11" s="1"/>
  <c r="G30"/>
  <c r="G31"/>
  <c r="G32"/>
  <c r="R12" s="1"/>
  <c r="G33"/>
  <c r="S13" s="1"/>
  <c r="M13" s="1"/>
  <c r="G34"/>
  <c r="G35"/>
  <c r="G36"/>
  <c r="T14" s="1"/>
  <c r="G37"/>
  <c r="G38"/>
  <c r="G39"/>
  <c r="G40"/>
  <c r="G41"/>
  <c r="G42"/>
  <c r="U15" s="1"/>
  <c r="G43"/>
  <c r="R16" s="1"/>
  <c r="G44"/>
  <c r="G45"/>
  <c r="G46"/>
  <c r="G47"/>
  <c r="G48"/>
  <c r="S17" s="1"/>
  <c r="M17" s="1"/>
  <c r="G49"/>
  <c r="G50"/>
  <c r="T18" s="1"/>
  <c r="G51"/>
  <c r="U19" s="1"/>
  <c r="G52"/>
  <c r="R20" s="1"/>
  <c r="G53"/>
  <c r="G54"/>
  <c r="G55"/>
  <c r="G56"/>
  <c r="S21" s="1"/>
  <c r="G57"/>
  <c r="G58"/>
  <c r="T22" s="1"/>
  <c r="G3"/>
  <c r="R4" s="1"/>
  <c r="G4" i="4"/>
  <c r="G5"/>
  <c r="G6"/>
  <c r="G7"/>
  <c r="U6" s="1"/>
  <c r="G8"/>
  <c r="G9"/>
  <c r="R7" s="1"/>
  <c r="G10"/>
  <c r="S8" s="1"/>
  <c r="G11"/>
  <c r="G12"/>
  <c r="G13"/>
  <c r="G14"/>
  <c r="U9" s="1"/>
  <c r="Z10" s="1"/>
  <c r="G15"/>
  <c r="G16"/>
  <c r="G17"/>
  <c r="G18"/>
  <c r="R11" s="1"/>
  <c r="G19"/>
  <c r="G20"/>
  <c r="G21"/>
  <c r="T13" s="1"/>
  <c r="M13" s="1"/>
  <c r="G22"/>
  <c r="U14" s="1"/>
  <c r="G23"/>
  <c r="R15" s="1"/>
  <c r="G3"/>
  <c r="S4" s="1"/>
  <c r="M3" i="2"/>
  <c r="D26"/>
  <c r="M21" i="9" l="1"/>
  <c r="Z8"/>
  <c r="P13" i="2"/>
  <c r="R9"/>
  <c r="P11"/>
  <c r="T7" i="4"/>
  <c r="M7" s="1"/>
  <c r="R9"/>
  <c r="O11"/>
  <c r="R13"/>
  <c r="O15"/>
  <c r="U10"/>
  <c r="P8"/>
  <c r="S6"/>
  <c r="T5"/>
  <c r="M5" s="1"/>
  <c r="O9"/>
  <c r="S9"/>
  <c r="P11"/>
  <c r="O14"/>
  <c r="P15"/>
  <c r="O4" i="9"/>
  <c r="S4"/>
  <c r="P5"/>
  <c r="T5"/>
  <c r="Q6"/>
  <c r="U6"/>
  <c r="R7"/>
  <c r="R23" s="1"/>
  <c r="O8"/>
  <c r="S8"/>
  <c r="M8" s="1"/>
  <c r="P9"/>
  <c r="T9"/>
  <c r="Q10"/>
  <c r="U10"/>
  <c r="R11"/>
  <c r="O12"/>
  <c r="S12"/>
  <c r="M12" s="1"/>
  <c r="P13"/>
  <c r="T13"/>
  <c r="Q14"/>
  <c r="U14"/>
  <c r="R15"/>
  <c r="O16"/>
  <c r="S16"/>
  <c r="M16" s="1"/>
  <c r="P17"/>
  <c r="T17"/>
  <c r="Q18"/>
  <c r="U18"/>
  <c r="R19"/>
  <c r="O20"/>
  <c r="S20"/>
  <c r="M20" s="1"/>
  <c r="P21"/>
  <c r="Z5" s="1"/>
  <c r="T21"/>
  <c r="Z9" s="1"/>
  <c r="Q22"/>
  <c r="U22"/>
  <c r="Q8" i="7"/>
  <c r="U12"/>
  <c r="U6" i="2"/>
  <c r="M4" i="7"/>
  <c r="P9" i="4"/>
  <c r="T9"/>
  <c r="S11"/>
  <c r="R14"/>
  <c r="S15"/>
  <c r="P4" i="9"/>
  <c r="T4"/>
  <c r="Q5"/>
  <c r="R6"/>
  <c r="O7"/>
  <c r="S7"/>
  <c r="M7" s="1"/>
  <c r="P8"/>
  <c r="Q9"/>
  <c r="U9"/>
  <c r="O11"/>
  <c r="Q13"/>
  <c r="U13"/>
  <c r="R14"/>
  <c r="O15"/>
  <c r="S15"/>
  <c r="M15" s="1"/>
  <c r="P16"/>
  <c r="T16"/>
  <c r="Q17"/>
  <c r="U17"/>
  <c r="R18"/>
  <c r="O19"/>
  <c r="S19"/>
  <c r="M19" s="1"/>
  <c r="P20"/>
  <c r="T20"/>
  <c r="Q21"/>
  <c r="U21"/>
  <c r="Z10" s="1"/>
  <c r="R22"/>
  <c r="R8" i="7"/>
  <c r="P7" i="4"/>
  <c r="Q9"/>
  <c r="T11"/>
  <c r="M11" s="1"/>
  <c r="S14"/>
  <c r="T15"/>
  <c r="M15" s="1"/>
  <c r="Q4" i="9"/>
  <c r="U4"/>
  <c r="R5"/>
  <c r="O6"/>
  <c r="S6"/>
  <c r="M6" s="1"/>
  <c r="P7"/>
  <c r="T7"/>
  <c r="Q8"/>
  <c r="U8"/>
  <c r="R9"/>
  <c r="O10"/>
  <c r="S10"/>
  <c r="M10" s="1"/>
  <c r="P11"/>
  <c r="T11"/>
  <c r="Q12"/>
  <c r="U12"/>
  <c r="R13"/>
  <c r="O14"/>
  <c r="S14"/>
  <c r="M14" s="1"/>
  <c r="P15"/>
  <c r="T15"/>
  <c r="Q16"/>
  <c r="U16"/>
  <c r="R17"/>
  <c r="O18"/>
  <c r="S18"/>
  <c r="M18" s="1"/>
  <c r="P19"/>
  <c r="T19"/>
  <c r="Q20"/>
  <c r="U20"/>
  <c r="R21"/>
  <c r="O22"/>
  <c r="S22"/>
  <c r="M22" s="1"/>
  <c r="U4" i="7"/>
  <c r="T11"/>
  <c r="M11" s="1"/>
  <c r="P12" i="2"/>
  <c r="O5" i="9"/>
  <c r="P6"/>
  <c r="Q7"/>
  <c r="O9"/>
  <c r="P10"/>
  <c r="Q11"/>
  <c r="O13"/>
  <c r="P14"/>
  <c r="Q15"/>
  <c r="O17"/>
  <c r="P18"/>
  <c r="Q19"/>
  <c r="O21"/>
  <c r="Z4" s="1"/>
  <c r="P22"/>
  <c r="Q7" i="7"/>
  <c r="R12"/>
  <c r="O12" i="2"/>
  <c r="Q4" i="4"/>
  <c r="O6"/>
  <c r="S10"/>
  <c r="U12"/>
  <c r="P4"/>
  <c r="T4"/>
  <c r="M4" s="1"/>
  <c r="R6"/>
  <c r="S7"/>
  <c r="T8"/>
  <c r="M8" s="1"/>
  <c r="P12"/>
  <c r="Q13"/>
  <c r="U13"/>
  <c r="R4"/>
  <c r="O5"/>
  <c r="S5"/>
  <c r="P6"/>
  <c r="T6"/>
  <c r="M6" s="1"/>
  <c r="Q7"/>
  <c r="U7"/>
  <c r="R8"/>
  <c r="P10"/>
  <c r="T10"/>
  <c r="M10" s="1"/>
  <c r="Q11"/>
  <c r="U11"/>
  <c r="R12"/>
  <c r="O13"/>
  <c r="S13"/>
  <c r="P14"/>
  <c r="T14"/>
  <c r="M14" s="1"/>
  <c r="Q15"/>
  <c r="U15"/>
  <c r="U4"/>
  <c r="R5"/>
  <c r="Q8"/>
  <c r="U8"/>
  <c r="O10"/>
  <c r="Q12"/>
  <c r="Q5"/>
  <c r="U5"/>
  <c r="O7"/>
  <c r="R10"/>
  <c r="T12"/>
  <c r="M12" s="1"/>
  <c r="O4"/>
  <c r="P5"/>
  <c r="Q6"/>
  <c r="O8"/>
  <c r="Q10"/>
  <c r="O12"/>
  <c r="S12"/>
  <c r="P13"/>
  <c r="Q14"/>
  <c r="Q9" i="2"/>
  <c r="Z6" s="1"/>
  <c r="R11"/>
  <c r="T13"/>
  <c r="M13" s="1"/>
  <c r="P7"/>
  <c r="O14"/>
  <c r="T4"/>
  <c r="U14"/>
  <c r="T12"/>
  <c r="M12" s="1"/>
  <c r="S7"/>
  <c r="Z8" s="1"/>
  <c r="R14"/>
  <c r="R13"/>
  <c r="O6"/>
  <c r="Q14"/>
  <c r="S12"/>
  <c r="R7"/>
  <c r="U10"/>
  <c r="T9"/>
  <c r="M9" s="1"/>
  <c r="S8"/>
  <c r="O8"/>
  <c r="T5"/>
  <c r="M5" s="1"/>
  <c r="U4"/>
  <c r="U13"/>
  <c r="S11"/>
  <c r="O11"/>
  <c r="U9"/>
  <c r="P8"/>
  <c r="R6"/>
  <c r="R15" s="1"/>
  <c r="E3" i="22" s="1"/>
  <c r="Q5" i="2"/>
  <c r="Q15" s="1"/>
  <c r="D3" i="22" s="1"/>
  <c r="S4" i="2"/>
  <c r="T14"/>
  <c r="M14" s="1"/>
  <c r="P14"/>
  <c r="S13"/>
  <c r="O13"/>
  <c r="R12"/>
  <c r="U11"/>
  <c r="Q11"/>
  <c r="T10"/>
  <c r="M10" s="1"/>
  <c r="P10"/>
  <c r="S9"/>
  <c r="O9"/>
  <c r="R8"/>
  <c r="U7"/>
  <c r="Z10" s="1"/>
  <c r="Q7"/>
  <c r="T6"/>
  <c r="M6" s="1"/>
  <c r="P6"/>
  <c r="S5"/>
  <c r="O5"/>
  <c r="Q10"/>
  <c r="P9"/>
  <c r="P5"/>
  <c r="Q13"/>
  <c r="R10"/>
  <c r="T8"/>
  <c r="M8" s="1"/>
  <c r="U5"/>
  <c r="P4"/>
  <c r="S14"/>
  <c r="U12"/>
  <c r="T11"/>
  <c r="M11" s="1"/>
  <c r="S10"/>
  <c r="U8"/>
  <c r="T7"/>
  <c r="S6"/>
  <c r="Q4" i="7"/>
  <c r="T6"/>
  <c r="M6" s="1"/>
  <c r="U7"/>
  <c r="P11"/>
  <c r="Q12"/>
  <c r="T14"/>
  <c r="M14" s="1"/>
  <c r="R4"/>
  <c r="P7"/>
  <c r="Q11"/>
  <c r="R10"/>
  <c r="U9"/>
  <c r="P6"/>
  <c r="T7"/>
  <c r="M7" s="1"/>
  <c r="U8"/>
  <c r="U11"/>
  <c r="P14"/>
  <c r="S5"/>
  <c r="O9"/>
  <c r="S9"/>
  <c r="T10"/>
  <c r="M10" s="1"/>
  <c r="O13"/>
  <c r="O6"/>
  <c r="R9"/>
  <c r="S10"/>
  <c r="O14"/>
  <c r="O4"/>
  <c r="S4"/>
  <c r="P5"/>
  <c r="T5"/>
  <c r="M5" s="1"/>
  <c r="Q6"/>
  <c r="U6"/>
  <c r="R7"/>
  <c r="O8"/>
  <c r="S8"/>
  <c r="P9"/>
  <c r="T9"/>
  <c r="M9" s="1"/>
  <c r="Q10"/>
  <c r="U10"/>
  <c r="R11"/>
  <c r="O12"/>
  <c r="S12"/>
  <c r="P13"/>
  <c r="T13"/>
  <c r="M13" s="1"/>
  <c r="Q14"/>
  <c r="U14"/>
  <c r="O5"/>
  <c r="P10"/>
  <c r="S13"/>
  <c r="R5"/>
  <c r="S6"/>
  <c r="O10"/>
  <c r="R13"/>
  <c r="S14"/>
  <c r="P4"/>
  <c r="P15" s="1"/>
  <c r="C6" i="22" s="1"/>
  <c r="Q5" i="7"/>
  <c r="O7"/>
  <c r="P8"/>
  <c r="Q9"/>
  <c r="O11"/>
  <c r="P12"/>
  <c r="Q13"/>
  <c r="R14"/>
  <c r="G15" i="1"/>
  <c r="G16"/>
  <c r="G18"/>
  <c r="G19"/>
  <c r="G20"/>
  <c r="G21"/>
  <c r="G22"/>
  <c r="G23"/>
  <c r="G24"/>
  <c r="G25"/>
  <c r="G27"/>
  <c r="G28"/>
  <c r="G29"/>
  <c r="G31"/>
  <c r="G32"/>
  <c r="G33"/>
  <c r="G34"/>
  <c r="G35"/>
  <c r="G36"/>
  <c r="G40"/>
  <c r="G41"/>
  <c r="G44"/>
  <c r="G52"/>
  <c r="G53"/>
  <c r="G54"/>
  <c r="G55"/>
  <c r="G56"/>
  <c r="G57"/>
  <c r="G58"/>
  <c r="G59"/>
  <c r="G10"/>
  <c r="E4" i="22" l="1"/>
  <c r="R24" i="9"/>
  <c r="E22" i="22" s="1"/>
  <c r="O15" i="2"/>
  <c r="B3" i="22" s="1"/>
  <c r="U15" i="7"/>
  <c r="Q15"/>
  <c r="D6" i="22" s="1"/>
  <c r="P15" i="2"/>
  <c r="C3" i="22" s="1"/>
  <c r="T16" i="4"/>
  <c r="Q23" i="9"/>
  <c r="S16" i="4"/>
  <c r="F5" i="22" s="1"/>
  <c r="Z6" i="9"/>
  <c r="Z7"/>
  <c r="P23"/>
  <c r="M9" i="4"/>
  <c r="Z9"/>
  <c r="S23" i="9"/>
  <c r="M4"/>
  <c r="O15" i="7"/>
  <c r="B6" i="22" s="1"/>
  <c r="U15" i="2"/>
  <c r="U23" i="9"/>
  <c r="T15" i="7"/>
  <c r="G6" i="22" s="1"/>
  <c r="T23" i="9"/>
  <c r="S15" i="7"/>
  <c r="F6" i="22" s="1"/>
  <c r="R15" i="7"/>
  <c r="E6" i="22" s="1"/>
  <c r="Z9" i="2"/>
  <c r="M7"/>
  <c r="S15"/>
  <c r="T15"/>
  <c r="M4"/>
  <c r="O23" i="9"/>
  <c r="Q16" i="4"/>
  <c r="D5" i="22" s="1"/>
  <c r="P16" i="4"/>
  <c r="C5" i="22" s="1"/>
  <c r="O16" i="4"/>
  <c r="B5" i="22" s="1"/>
  <c r="U16" i="4"/>
  <c r="R16"/>
  <c r="E5" i="22" s="1"/>
  <c r="B13" s="1"/>
  <c r="T17" i="4"/>
  <c r="G23" i="22" s="1"/>
  <c r="G5"/>
  <c r="G17" i="1"/>
  <c r="G39"/>
  <c r="G42"/>
  <c r="G3" i="22" l="1"/>
  <c r="T16" i="2"/>
  <c r="G21" i="22" s="1"/>
  <c r="P24" i="9"/>
  <c r="C22" i="22" s="1"/>
  <c r="C4"/>
  <c r="D4"/>
  <c r="Q24" i="9"/>
  <c r="D22" i="22" s="1"/>
  <c r="U16" i="7"/>
  <c r="H24" i="22" s="1"/>
  <c r="H6"/>
  <c r="B14" s="1"/>
  <c r="F3"/>
  <c r="S16" i="2"/>
  <c r="F21" i="22" s="1"/>
  <c r="B30" s="1"/>
  <c r="H4"/>
  <c r="B12" s="1"/>
  <c r="U24" i="9"/>
  <c r="H22" i="22" s="1"/>
  <c r="S24" i="9"/>
  <c r="F22" i="22" s="1"/>
  <c r="B31" s="1"/>
  <c r="F4"/>
  <c r="O24" i="9"/>
  <c r="B22" i="22" s="1"/>
  <c r="B4"/>
  <c r="H3"/>
  <c r="B11" s="1"/>
  <c r="U16" i="2"/>
  <c r="H21" i="22" s="1"/>
  <c r="G4"/>
  <c r="T24" i="9"/>
  <c r="G22" i="22" s="1"/>
  <c r="U17" i="4"/>
  <c r="H23" i="22" s="1"/>
  <c r="H5"/>
  <c r="G50" i="1"/>
  <c r="G49"/>
  <c r="G46"/>
  <c r="G51"/>
  <c r="G48"/>
  <c r="G47"/>
  <c r="G45"/>
  <c r="G43"/>
  <c r="G38"/>
  <c r="G37"/>
  <c r="G30"/>
  <c r="G26"/>
  <c r="G14"/>
  <c r="G13"/>
  <c r="G12"/>
  <c r="G11"/>
  <c r="G8"/>
  <c r="G5"/>
  <c r="G6"/>
  <c r="G9"/>
  <c r="G7" l="1"/>
  <c r="D2"/>
  <c r="G4"/>
  <c r="G60" l="1"/>
  <c r="H7" s="1"/>
  <c r="H4" l="1"/>
  <c r="H53"/>
  <c r="H59"/>
  <c r="H52"/>
  <c r="H45"/>
  <c r="H10"/>
  <c r="H37"/>
  <c r="H44"/>
  <c r="H21"/>
  <c r="H20"/>
  <c r="H42"/>
  <c r="H48"/>
  <c r="H25"/>
  <c r="H24"/>
  <c r="H38"/>
  <c r="H18"/>
  <c r="H19"/>
  <c r="H41"/>
  <c r="H47"/>
  <c r="H36"/>
  <c r="H40"/>
  <c r="H12"/>
  <c r="H22"/>
  <c r="H23"/>
  <c r="H46"/>
  <c r="H55"/>
  <c r="H49"/>
  <c r="H5"/>
  <c r="H50"/>
  <c r="H39"/>
  <c r="H30"/>
  <c r="H56"/>
  <c r="H27"/>
  <c r="H11"/>
  <c r="H54"/>
  <c r="H29"/>
  <c r="H9"/>
  <c r="H26"/>
  <c r="H57"/>
  <c r="H28"/>
  <c r="H8"/>
  <c r="H6"/>
  <c r="H17"/>
  <c r="H14"/>
  <c r="H51"/>
  <c r="H43"/>
  <c r="H35"/>
  <c r="H15"/>
  <c r="H58"/>
  <c r="H33"/>
  <c r="H13"/>
  <c r="H34"/>
  <c r="H31"/>
  <c r="H32"/>
  <c r="H16"/>
  <c r="H60" l="1"/>
</calcChain>
</file>

<file path=xl/sharedStrings.xml><?xml version="1.0" encoding="utf-8"?>
<sst xmlns="http://schemas.openxmlformats.org/spreadsheetml/2006/main" count="918" uniqueCount="627">
  <si>
    <t>ATA</t>
  </si>
  <si>
    <t>TOTALES</t>
  </si>
  <si>
    <t>ATA 21</t>
  </si>
  <si>
    <t>ATA 22</t>
  </si>
  <si>
    <t>ATA 23</t>
  </si>
  <si>
    <t>ATA 24</t>
  </si>
  <si>
    <t>ATA 25</t>
  </si>
  <si>
    <t>ATA 26</t>
  </si>
  <si>
    <t>ATA 27</t>
  </si>
  <si>
    <t>ATA 28</t>
  </si>
  <si>
    <t>ATA 29</t>
  </si>
  <si>
    <t>ATA 30</t>
  </si>
  <si>
    <t>ATA 31</t>
  </si>
  <si>
    <t>ATA 32</t>
  </si>
  <si>
    <t>ATA 33</t>
  </si>
  <si>
    <t>ATA 34</t>
  </si>
  <si>
    <t>ATA 36</t>
  </si>
  <si>
    <t>ATA 39</t>
  </si>
  <si>
    <t>ATA 45</t>
  </si>
  <si>
    <t>ATA 51</t>
  </si>
  <si>
    <t>ATA 52</t>
  </si>
  <si>
    <t>ATA 53</t>
  </si>
  <si>
    <t>ATA 62</t>
  </si>
  <si>
    <t>ATA 67</t>
  </si>
  <si>
    <t>ATA 70</t>
  </si>
  <si>
    <t>ATA 71</t>
  </si>
  <si>
    <t>ATA 73</t>
  </si>
  <si>
    <t>ATA 74</t>
  </si>
  <si>
    <t>ATA 75</t>
  </si>
  <si>
    <t>ATA 76</t>
  </si>
  <si>
    <t>ATA 77</t>
  </si>
  <si>
    <t>ATA 78</t>
  </si>
  <si>
    <t>ATA 79</t>
  </si>
  <si>
    <t>ATA 80</t>
  </si>
  <si>
    <t>ATA 55</t>
  </si>
  <si>
    <t>ATA 56</t>
  </si>
  <si>
    <t>ATA 63</t>
  </si>
  <si>
    <t>ATA 64</t>
  </si>
  <si>
    <t>ATA 65</t>
  </si>
  <si>
    <t>ATA 83</t>
  </si>
  <si>
    <t>ATA 95</t>
  </si>
  <si>
    <t>Aire Acodicionado</t>
  </si>
  <si>
    <t>Piloto Automatico</t>
  </si>
  <si>
    <t>Comunicaciones</t>
  </si>
  <si>
    <t>Sistema Electrico</t>
  </si>
  <si>
    <t>Equipo y Accesorios</t>
  </si>
  <si>
    <t>Proteccion contra fuego</t>
  </si>
  <si>
    <t>Controles de vuelo</t>
  </si>
  <si>
    <t>Combustible</t>
  </si>
  <si>
    <t>Sistema Hidraulico</t>
  </si>
  <si>
    <t>Proteccion contra hielo y lluvia</t>
  </si>
  <si>
    <t>Sist. Indicaciones e Inst. de Grabacion</t>
  </si>
  <si>
    <t>Tren de aterrizaje</t>
  </si>
  <si>
    <t>Luces</t>
  </si>
  <si>
    <t>Navegacion</t>
  </si>
  <si>
    <t>Sistema Neumatico</t>
  </si>
  <si>
    <t>Electrical/ electronic panel</t>
  </si>
  <si>
    <t>Central main System</t>
  </si>
  <si>
    <t>Estructuras</t>
  </si>
  <si>
    <t>Puertas</t>
  </si>
  <si>
    <t>Fuselaje</t>
  </si>
  <si>
    <t>Estabilizadores</t>
  </si>
  <si>
    <t>Ventanas</t>
  </si>
  <si>
    <t>Rotores</t>
  </si>
  <si>
    <t>Rotor de Cola</t>
  </si>
  <si>
    <t>Impulsor Rotor Cola</t>
  </si>
  <si>
    <t>Impulsor de Rotor Principal</t>
  </si>
  <si>
    <t>Controles de vuelo del Rotor</t>
  </si>
  <si>
    <t>Practicas Estándar del motor</t>
  </si>
  <si>
    <t>Planta motriz</t>
  </si>
  <si>
    <t>Sistema de Combustible motor</t>
  </si>
  <si>
    <t>Encendido</t>
  </si>
  <si>
    <t>Purga de aire</t>
  </si>
  <si>
    <t>Controles de motor</t>
  </si>
  <si>
    <t>Indicadores de motor</t>
  </si>
  <si>
    <t>Escape</t>
  </si>
  <si>
    <t>Lubricacion</t>
  </si>
  <si>
    <t>Arranque</t>
  </si>
  <si>
    <t>Caja de engranaje</t>
  </si>
  <si>
    <t>Equipamiento especial</t>
  </si>
  <si>
    <t>AML # 0540</t>
  </si>
  <si>
    <t>LA LUZ DE "AFCS PRESS" EN EL PANEL ANUNCIADOR, NO SE ILUMINA CON EL SISTEMA PRESSURE EN "OFF".</t>
  </si>
  <si>
    <t>SE REMOVIO Y REEMPLAZO, EL PRESS SWITCH SERVO AFCS.</t>
  </si>
  <si>
    <t>AUTO FLIGHT</t>
  </si>
  <si>
    <t>AML # 0571</t>
  </si>
  <si>
    <t>AERONAVE LATERALMENTE INESTABLE  EN EL CANAL # 1. DEL AFCS</t>
  </si>
  <si>
    <t>SE REEMPLAZO VERTICAL GYRO ON #1, P/N 145974-01-03,  REF. TMII-1520-217-20-2, CH. 2, PARA 2-19 PART.A,B,C,D.</t>
  </si>
  <si>
    <t>AML # 0582</t>
  </si>
  <si>
    <t>EXCESIVO RUIDO STATICO EN EL SISTEMA I.LS. DE LA AERONAVE.</t>
  </si>
  <si>
    <t>SE ENCONTRO QUE LA BASE POSTERIOR  DE LA CAJA DE CONTROL DE AUDIO ESTA FALLANDO, SE REEMPLAZO UNIDAD DE CONTROL DE AUDIO, P/N AA95-471,S/N ON 8573.</t>
  </si>
  <si>
    <t>COMUNICACIÓN</t>
  </si>
  <si>
    <t>AML #0543</t>
  </si>
  <si>
    <t>EL TRANSMISOR DE PRESION DEL SIST. HYD #2, SE ENCUENTRA INOPERATIVO.</t>
  </si>
  <si>
    <t>SE REMOVIO Y REEMPLAZO, EL TRANSMISOR DE PRESION DEL SIST. HYD #2.</t>
  </si>
  <si>
    <t>SIST. HYD</t>
  </si>
  <si>
    <t>AML # 0559</t>
  </si>
  <si>
    <t>EN EL SISTEMA UTILITARIO HYD., LA PRESION INDICA 2200 PSI, SIENDO EL RANGO NORMAL DE OPERACIÓN: 1700 - 2100 PSI.</t>
  </si>
  <si>
    <t>SE REGULO LA BOMBA DEL SISTEMAS UTILITARIO A 1900 PSI, REF. EAC006, CHAP 7.23.6.</t>
  </si>
  <si>
    <t>AML # 0552</t>
  </si>
  <si>
    <t xml:space="preserve"> DURANTE EL ARRANQUE DEL MOTOR #2, EL SISTEMA DE IND. DE PRESION DE ACEITE, INOPERATIVO.</t>
  </si>
  <si>
    <t>SE CHEQUEO Y SE REEMPLAZO EL TRANSMISOR DE PRESION DE ACEITE, REF. EAC006, CHAP 8.20.</t>
  </si>
  <si>
    <t>INSTRUMENTOS</t>
  </si>
  <si>
    <t>AML # 0580</t>
  </si>
  <si>
    <t>CAUTION PANEL Y ADVISORY PANEL, PARTE INFERIOR PRESENTA FALLA.</t>
  </si>
  <si>
    <t>SE REEMPLAZO EL CAUTION Y ADVISORY PANEL DE LA AERONAVE, P/N 6455-80215-109. REF. EAC006  8.57.1.</t>
  </si>
  <si>
    <t>AML # 0550</t>
  </si>
  <si>
    <t>EN LA CABINA SE SINTIO OLOR A QUEMADO ELECTRICO, POSTERIOR SE PRESENTO TRANSPONDER INOPERATIVO.</t>
  </si>
  <si>
    <t>SE INSPECCIONO EL SISTEMA TRANSPONDER Y SE REEMPLAZO EL TRANSCEIVER, REF. TM II-1520-217-20-2 TP 2-13(g).</t>
  </si>
  <si>
    <t>NAVEGACION</t>
  </si>
  <si>
    <t>AML # 0553</t>
  </si>
  <si>
    <t>SE ENCONTRO RAJADURA DE 3/4" EN EL MRB NEGRA, POCKET N°21, DESCRITO EN LA TABLA 2-3 ITEM B DEL EAC006.</t>
  </si>
  <si>
    <t>SE REPARO EL MRB NEGRO  EN EL POCKET N°21, CON UN BONDED ALUMINION PATCH, REF. EAC006, CHAP 2.128.5.</t>
  </si>
  <si>
    <t>ROTOR HEAD</t>
  </si>
  <si>
    <t>AML # 0533</t>
  </si>
  <si>
    <t>SE ENCONTRO RAJADURA DE 3/4" EN EL MRB ROJO, POCKET N°15, DESCRITO EN LA TABLA 2-3 ITEM B DEL EAC006.</t>
  </si>
  <si>
    <t>SE REPARO EL MRB ROJO  EN EL POCKET N°15, CON UN BONDED ALUMINION PATCH, REF. EAC006, CHAP 2.128.5.</t>
  </si>
  <si>
    <t>AML # 0556</t>
  </si>
  <si>
    <t>SE REPARO EL MRB ROJO EN EL POCKET N°14, CON UN BONDED ALUMINION PATCH, REF. EAC006, CHAP 2.128.5.</t>
  </si>
  <si>
    <t>AML # 0569</t>
  </si>
  <si>
    <t>SE ENCONTRO RAJADURA EN EL THOMAS COUPLING ENTRE EL IGB Y EL DRIVE SHAFT #7.</t>
  </si>
  <si>
    <t>SE REEMPLAZO EL THOMAS COUPLING, REF. EAC006, PARA 6.22.3 Y 6.22.4.</t>
  </si>
  <si>
    <t>TRANSMISION</t>
  </si>
  <si>
    <t>AML # 0539</t>
  </si>
  <si>
    <t>TDRS BEARING, REQUIEREN SER REMOVIDOS POR PROXIMO VENCIMIENTO ANUAL.</t>
  </si>
  <si>
    <t>SE REMOVIO Y REEMPLAZO, LOS BEARING DEL TRDS.</t>
  </si>
  <si>
    <t>TAIL ROTOR</t>
  </si>
  <si>
    <t>AML # 0541</t>
  </si>
  <si>
    <t>LOS RODAJES DEL PC LINK ROJO Y NEGRO, ESTAN CERCA AL LIMITE DE DESGASTE (0.015).</t>
  </si>
  <si>
    <t>SE REMOVIO Y REEMPLAZO, LOS RODAJES DEL PC LINK; REF. EAC006 CHAP 5.26.2, 5.26.4, 5.26.3, 5.26.5.</t>
  </si>
  <si>
    <t>AML # 0578</t>
  </si>
  <si>
    <t>LA FRICCION DE LOS BLOCK DEL COLECTIVO DEL PILOTO NO PROPORCIONA UNA ADECUADA FRICCION.</t>
  </si>
  <si>
    <t>SE DESMONTO,LIMPIO Y SE INSTALO EL BLOCK DEL COLECTIVO. REF.EAC006. CH. 11.12.3.</t>
  </si>
  <si>
    <t>CONTROL FLIGHT</t>
  </si>
  <si>
    <t>DURANTE EL CHEQUEO DE LOS CONTROLES DE VUELO EN TIERRA, SE SINTIO UN TIRON EN EL LADO DERECHO DEL MOVIMIENTO COLECTIVO.</t>
  </si>
  <si>
    <t>SE INSPECCIONO LOS CONTROLES Y SE REEMPLAZO ABRAZADERA DEL FLIGHT CONTROL ROD, REF. EAC006, CHAP 4.49.3, FIG. 4.44.</t>
  </si>
  <si>
    <t>ENGINE</t>
  </si>
  <si>
    <t>AML # 0562</t>
  </si>
  <si>
    <t>LA INDICACION DE TORQUE EN EL MOTOR #1, ES INTERMITENTE.</t>
  </si>
  <si>
    <t>SE CHEQUEO Y REEMPLAZO EL SENSOR DE TORQUE DEL MOTOR #1, REF. EAC006, CHAP 4.11.2.</t>
  </si>
  <si>
    <t>AML # 0542</t>
  </si>
  <si>
    <t>EL SWITCH DE PRESION DEL MOTOR #1, SE ENCUENTRA INOPERATIVO.</t>
  </si>
  <si>
    <t>SE REMOVIO Y REEMPLAZO, EL SWITCH DE PRESION DEL MOTOR #1.</t>
  </si>
  <si>
    <t>ENGINE INDICATION</t>
  </si>
  <si>
    <t>EL TRANSMISOR DE PRESION DE ACEITE DEL MOTOR #2, SE ENCUENTRA INOPERATIVO.</t>
  </si>
  <si>
    <t>SE REMOVIO Y REEMPLAZO, EL TRANSMISOR DE PRESION DE ACEITE DEL MOTOR #2.</t>
  </si>
  <si>
    <t>AML # 0583</t>
  </si>
  <si>
    <t>DURANTE LA PARADA DEL MOTOR #1 SE NOTO QUE LA CAUTION LIGHT  DE LA PRESION DE ACEITE PERMANECE ILUMINADO EN SU RANGO DE OPERACIÓN NORMAL.</t>
  </si>
  <si>
    <t>SE ENCONTRO QUE EL SISTEMA DE INDICACION DE ACEITE   FALLA,SE REEMPLAZO EL SWITCH DE PRESION, P/N 2216, S/N ON EAC21777.</t>
  </si>
  <si>
    <t>REF</t>
  </si>
  <si>
    <t>DISCREPANCIAS</t>
  </si>
  <si>
    <t>ACCION TOMADA</t>
  </si>
  <si>
    <t>FECHA</t>
  </si>
  <si>
    <t>AML # 0379</t>
  </si>
  <si>
    <t>LA BARRA DE ALT CONTROLER, TIENE LINEA DE ROZAMIENTO SOBRE EL CONTROLER.</t>
  </si>
  <si>
    <t>SE REEMPLAZO ALT CONTROLER, REF. TM II-1520-217-20-2 CAP 2-18.</t>
  </si>
  <si>
    <t>AML # 0306</t>
  </si>
  <si>
    <t>APU, NO ENCIENDE EN INTENTO DE ARRANQUE.</t>
  </si>
  <si>
    <t>SE REEMPLAZO IGNITION EXCITER PLUG.</t>
  </si>
  <si>
    <t>ELECTRICO</t>
  </si>
  <si>
    <t>AML # 0309</t>
  </si>
  <si>
    <t>LUZ DE NAVEGACION LADO IZQUIERDO, INOPERATIVO.</t>
  </si>
  <si>
    <t>SE REEMPLAZO LUZ DE NAVEGACION.</t>
  </si>
  <si>
    <t>AML # 0313</t>
  </si>
  <si>
    <t>EL PLUG DEL SWITCH DE PRESION DEL SERVO, PRESENTA DESGASTE.</t>
  </si>
  <si>
    <t>SE REEMPLAZO SWITCH DE PRESION DEL SERVO.</t>
  </si>
  <si>
    <t>AML # 0333</t>
  </si>
  <si>
    <t>EL ROMPE CIRCUITO DE BAJO NIVEL DE COMBUSTIBLE, NO RESETEA.</t>
  </si>
  <si>
    <t>SE REEMPLAZO EL ROMPE CIRCUITO DE BAJO NIVEL DE COMBUSTIBLE. REF. EAC006. CHAP 9.28.3 - 9.28.4</t>
  </si>
  <si>
    <t>AML # 0338</t>
  </si>
  <si>
    <t>NO MANTIENE LA CARGA LA BATERIA DEL A/C.</t>
  </si>
  <si>
    <t>SE REEMPLAZO LA BATERIA DEL A/C. REF. EAC006. CHAP 9.47.3 REMOVED, 9.47.4 INSTALLED.</t>
  </si>
  <si>
    <t>AML # 0387</t>
  </si>
  <si>
    <t>EL AUTO RE-LIGHT #1, FALLO EN LA POSICION "ON".</t>
  </si>
  <si>
    <t>SE REEMPLAZO EL MICRO SWITCH, REF. EAC006 PARA 3.12.3, 3.12.4.</t>
  </si>
  <si>
    <t>ELECTRICIDAD</t>
  </si>
  <si>
    <t>AML # 0394</t>
  </si>
  <si>
    <t>LA LUZ AUX FUEL PRES, INOPERATIVO.</t>
  </si>
  <si>
    <t>SE REEMPLAZO SWITCH, REF. EAC006 PARA 10.38.2, 10.38.3.</t>
  </si>
  <si>
    <t>AML # 0415</t>
  </si>
  <si>
    <t>LUZ DEL ENFRIADOR DE ACEITE SE ILUMINA EN SHUTDOWN</t>
  </si>
  <si>
    <t>SE ENCONTRO ALAMBRE ROTO EN EL PLUG DEL SWITCH DIFF. PRESS. DEL OIL COOLER, SE REPARO EL ALAMBRE DEL PLUG.REF. DWG # 6455-10180 REV. A.</t>
  </si>
  <si>
    <t>ELECTRIC. SIST.</t>
  </si>
  <si>
    <t>AML # 0422</t>
  </si>
  <si>
    <t>INDICADOR DE TEMP. DE ACEITE DEL MOTOR #2 FALLA.</t>
  </si>
  <si>
    <t>SE REPARO EL CABLE DEL PLUG DEL BULBO DE TEMPERATURA, REF. DWR 6455-11027.</t>
  </si>
  <si>
    <t>AML # 0329</t>
  </si>
  <si>
    <t>LA TURBINA DE ENFRIAMIENTO DE CABINA  (ECU), SE ENCUENTRA INOPERATIVO.</t>
  </si>
  <si>
    <t>SE REEMPLAZO LA TURBINA DE ENFRIAMIENTO DE CABINA  (ECU). REF. EAC006. CHAP 13.9.10, 13.9.11.</t>
  </si>
  <si>
    <t>EQUIPO AND FURNISHING</t>
  </si>
  <si>
    <t>AML # 0289</t>
  </si>
  <si>
    <t>SWITCH DE PRESION DE COMBUSTIBLE DE BOMBA AUXILIAR, INOPERATIVA.</t>
  </si>
  <si>
    <t>REMOVIDO Y REEMPLAZADO, SWITCH DE PRESION DE COMBUSTIBLE DE BOMBA AUXILIAR.</t>
  </si>
  <si>
    <t>SIST. COMBUSTIBLE</t>
  </si>
  <si>
    <t>AML # 0368</t>
  </si>
  <si>
    <t>EL SWITCH DE PRESION DE LA BOMBA BOOSTER LADO DERECHO, SE ENCUENTRA INOPERATIVO.</t>
  </si>
  <si>
    <t>SE REMOVIO EL SWITCH DE PRESION; REF. EAC006 CHAP 10.37.2a.c.</t>
  </si>
  <si>
    <t>AML # 344</t>
  </si>
  <si>
    <t>FUGA EN EL SISTEMA HIDRAULICO POR LA LINEA DE DESCONEXION RAPIDA DE LA BOMBA DE MANO.</t>
  </si>
  <si>
    <t>SE REEMPLAZO DESCONEXION RAPIDA DE LA BOMBA DE MANO DEL SISTEMA HIDRAULICO. REF. EAC006. CHAP 7.1.8.</t>
  </si>
  <si>
    <t>HYD</t>
  </si>
  <si>
    <t>LA BOMBA MANUAL DEL ROTOR BRAKE, ESTA SUAVE CUANDO BOMBEA.</t>
  </si>
  <si>
    <t>SE PURGO EL SISTEMA DE ROTOR BRAKE.</t>
  </si>
  <si>
    <t>HIDRAULICO</t>
  </si>
  <si>
    <t>AML # 0426</t>
  </si>
  <si>
    <t>LA BOMBA HYD. 2DA SATGE PRESENTA FUGA POR EL DRENAJE.</t>
  </si>
  <si>
    <t>SE REEMPLAZO LA BOMBA HYD. DEL 2DA STAGE REF.EAC006 CH.7.8.2.</t>
  </si>
  <si>
    <t>AML # 0305</t>
  </si>
  <si>
    <t>LIMPIAPARABRISAS, NO TRABAJA APROPIADAMENTE.</t>
  </si>
  <si>
    <t xml:space="preserve">REMOVIDO Y REEMPLAZADO, 02 EA LIMPIAPARABRISAS. </t>
  </si>
  <si>
    <t>ICE &amp; RAIN PROTECTION</t>
  </si>
  <si>
    <t>AML # 0318</t>
  </si>
  <si>
    <t>EL TRANSMISOR DEL EPR DEL MOTOR #1, PRESENTA FALSA INDICACION.</t>
  </si>
  <si>
    <t>SE REEMPLAZO TRANSMISOR DE EPR.</t>
  </si>
  <si>
    <t>INSTRUMENTO</t>
  </si>
  <si>
    <t>EPR DEL MOTOR #1, PRESENTA INDICACION FALSA, SOSPECHA DE LINEAS OBSTRUIDAS.</t>
  </si>
  <si>
    <t>SE LIMPIO LAS LINEAS DE TRANSMISION DEL EPR DE AMBOS MOTORES, QUEDANDO EN BUENAS CONDICIONES.</t>
  </si>
  <si>
    <t>AML # 0321</t>
  </si>
  <si>
    <t>REMOVER TRANSMISOR EPR S/N 2-8, SEGÚN TROUBLE SHOOTING.</t>
  </si>
  <si>
    <t>SE INSTALO TRANSMISOR EPR, S/N A-62.</t>
  </si>
  <si>
    <t>AML # 0353</t>
  </si>
  <si>
    <t>EL INDICADOR DE TEMPERATURA DE ACEITE DEL MOTOR #2, INDICA "CERO" DURANTE SU OPERACIÓN.</t>
  </si>
  <si>
    <t>SE REEMPLAZO EL INDICADOR DE TEMPERATURA DE ACEITE; REF. EAC006 PARA 8.6.1, 8.6.2.</t>
  </si>
  <si>
    <t>AML # 0354</t>
  </si>
  <si>
    <t>EL INDICADOR DE RPM DEL OIL COOLER INOPERATIVO, LUZ ROJA OCACIONALMENTE PARPADEA.</t>
  </si>
  <si>
    <t>SE REEMPLAZO EL TACOMETRO DEL OIL COOLER; REF. EAC006 PARA 8.6.1, 8.6.2.</t>
  </si>
  <si>
    <t>INDICACION DE TEMPERATURA DE ACEITE BAJA, EN EL MOTOR #2.</t>
  </si>
  <si>
    <t>SE REEMPLAZO EL BULBO DE TEMPERATURA DE ACEITE; REF. EAC006 PARA 8.23.2, 8.23.3.</t>
  </si>
  <si>
    <t>EL INDICADOR DE TEMPERATURA DE ACEITE DEL MOTOR #2, ESTA INOPERATIVO</t>
  </si>
  <si>
    <t>SE REEMPLAZO EL BULBO DE TEMPERATURA DE ACEITE DEL MOTOR #2, REF. EAC006, CHAP 8.6.1, 8.6.61.</t>
  </si>
  <si>
    <t>INDICACION</t>
  </si>
  <si>
    <t>EL INDICADOR TACOMETRO TRIPLE #1, INOPERATIVO.</t>
  </si>
  <si>
    <t>SE REEMPLAZO EL INDICADOR TACOMETRO TRIPLE DE LA POSICION #1, REF. EAC006, CHAP 8.6.1, 8.6.3.</t>
  </si>
  <si>
    <t>AML # 0293</t>
  </si>
  <si>
    <t>APP, NO INICIA CICLO DE ARRANQUE.</t>
  </si>
  <si>
    <t>REMOVIDO Y REEMPLAZADO, SWITCH DE PRESION DE ACEITE DEL APP.</t>
  </si>
  <si>
    <t>APP</t>
  </si>
  <si>
    <t>AML # 0299</t>
  </si>
  <si>
    <t>APP, PRESENTA JUEGO EN RODAJE DE TURBINA.</t>
  </si>
  <si>
    <t>REMOVIDO Y REEMPLAZADO, APP.</t>
  </si>
  <si>
    <t>AML # 0326</t>
  </si>
  <si>
    <t>NO SE PUEDO INCIAR ARRANQUE DEL APP.</t>
  </si>
  <si>
    <t>SE LIMPIO EL START FUEL NOZZLE DEL APP. REF. EAC006. PARA 15.12.7,15.12.8,15.12.9,15.12.10,15.12.11.</t>
  </si>
  <si>
    <t>AML # 0352</t>
  </si>
  <si>
    <t xml:space="preserve">EN EL PANEL ANUNCIADOR DE CABINA, LA LUZ DEL APU, NO SE APAGO. </t>
  </si>
  <si>
    <t>SE REMOVIO, LIMPIO Y REINSTALO, EL FUEL NOSSLE DEL ARRANCADOR; REF. EAC006 PARA 15.12.7, 15.12.9.</t>
  </si>
  <si>
    <t>APU</t>
  </si>
  <si>
    <t>AML # 0406</t>
  </si>
  <si>
    <t>EL RODAJE DEL TAIL SKID PARTE INFERIOR, REQUIERE CAMBIO POR EXCESIVO DESGASTE.</t>
  </si>
  <si>
    <t>SE REEMPLAZO RODAJE DEL TAIL SKID PARTE INFERIOR.</t>
  </si>
  <si>
    <t>FUSELAJE</t>
  </si>
  <si>
    <t>AML # 0391</t>
  </si>
  <si>
    <t>EL RODAJE DEL DAMPER DEL MRB BLUE, SE ENCUENTRA BAJO LOS LIMITES DE DESGASTE.</t>
  </si>
  <si>
    <t>SE REEMPLAZO EL RODAJE DEL DAMPER MRB BLUE OUTBOARD , REF. EAC006 PARA 5.11.7, 5.11.8.</t>
  </si>
  <si>
    <t>EN EL MRH  SLEEVE AND SPINDLE  RED, PRESENTA FUGA POR EL HORIZONTAL PIN HINGE.</t>
  </si>
  <si>
    <t>SE REEMPLAZO PACKING DEL HORIZONTAL PIN HINGE, REF. EAC006, CHAP 5.4.4.</t>
  </si>
  <si>
    <t>EN EL MRH  SLEEVE AND SPINDLE RED, PRESENTA FUGA POR EL HORIZONTAL PIN HINGE.</t>
  </si>
  <si>
    <t>AML # 0334</t>
  </si>
  <si>
    <t>EL MGB OIL COOLER RADIATOR, PRESENTA SIGNOS DE FUGA.</t>
  </si>
  <si>
    <t>SE REEMPLAZO EL MOTOR DEL VENTILADOR DEL OIL COOLER RADIATOR DEL MRB. REF. EAC002. FIG 63.15 PAG 63-00-83</t>
  </si>
  <si>
    <t>LA LUZ DE CHIP DETECTOR DEL MGB, SE PRENDIO AL CONECTAR LA BATERIA.</t>
  </si>
  <si>
    <t>SE REMOVIO EL CHIP DETECTOR Y EL FILTRO, NO SE ENCONTRO CONTAMINACION, SE REINSTALO; REF. EAC006 PARA 6.4.2 TABLA 6.1 - 6.2.</t>
  </si>
  <si>
    <t>AML # 0362</t>
  </si>
  <si>
    <t>EL MONTANTE FLEXIBLE DE LA TRANSMISION DE PRESION DE ACEITE DEL MGB, ESTA DESPEGADO.</t>
  </si>
  <si>
    <t>SE REEMPLAZO EL MONTANTE FLEXIBLE; REF. IPC EAC002 FIG 69:41 PAG 63.00.1.</t>
  </si>
  <si>
    <t>AML # 0365</t>
  </si>
  <si>
    <t>TRDS BEARINGS 1-5, REQUIERE CAMBIO POR VENCIMIENTO DE SLL.</t>
  </si>
  <si>
    <t>SE REEMPLAZARON LOS BEARINGS TRDS; REF. EAC006 PARA 6.20.8 a-g.</t>
  </si>
  <si>
    <t>EL TACOMETRO TRIPLE, NO TIENE INDICACION DE NR EN AMBOS INDICADORES (PILOTO-COPILOTO).</t>
  </si>
  <si>
    <t>SE REEMPLAZO TACOMETRO DEL MGB; REF. EAC006 CAHP 6.15.3a.</t>
  </si>
  <si>
    <t>AML # 0420</t>
  </si>
  <si>
    <t>02 EA BEARING SLEEVE ASSY  SE ENCUENTRAN RAJADO</t>
  </si>
  <si>
    <t xml:space="preserve">SE REEMPLAZARON 2  BEARING  DEL SLEEVE ASSY REF. MM. EAC006  CH. 6.13.2. </t>
  </si>
  <si>
    <t>XMSN</t>
  </si>
  <si>
    <t>RODAJE DEL BRAZO DE SOPORTE DEL MOTOR #1, PRESENTA DESGASTE.</t>
  </si>
  <si>
    <t>SE REEMPLAZO RODAJE DEL BRAZO DIAGONAL INFERIOR DEL MOTOR #1, REF. EAC016, CHAP 4.3.3.</t>
  </si>
  <si>
    <t>AML # 0323</t>
  </si>
  <si>
    <t>LA FREE TURBINE DEL MOTOR #2, REQUIERE SER REMOVIDO PARA SU O/H.</t>
  </si>
  <si>
    <t>SE REEMPLAZO LA FREE TURBINE REF. EAC006. PARA 4.7.2-4.7.3.</t>
  </si>
  <si>
    <t>AML # 0380</t>
  </si>
  <si>
    <t>EL N2, TORQUE Y EPR SE MOSTRABAN POR DEBAJO DEL LIMITE, DURANTE EL DECOLAJE Y NO SE NOTABA NINGUN INCREMENTO.</t>
  </si>
  <si>
    <t>SE APAGARON LOS  MOTORES Y SE REALIZO UNA INSPECCION VISUAL, SE VERIFICO LA POTENCIA Y SE SINCRONIZO AMBOS MOTORES APROPIADAMENTE.</t>
  </si>
  <si>
    <t>AML # 0407</t>
  </si>
  <si>
    <t>EN LOS MOTORES #1 Y #2, EL BELL MOUNTH ANTI-ICE VALVE, ESTA INOPERATIVO.</t>
  </si>
  <si>
    <t>MANTENIMIENTO DIFERIDO POR STOCK.</t>
  </si>
  <si>
    <t>AML # 0413</t>
  </si>
  <si>
    <t>SE INSTALO LA VALVULA ANTI ICE DEL BELLMOUNTH EN LOS MOTORES #1 y #2 P/N 6430-80131-101  REF.EAC006  4.28.3</t>
  </si>
  <si>
    <t>EL INDICADOR DE TORQUE DEL MOTOR #2 FLUCTUA</t>
  </si>
  <si>
    <t>SE REEMPLAZO SENSOR  DE TORQUE P/N 40096-0102, S/N OFF 1114, S/N ON 1137. REF.EAC006  4.11.2</t>
  </si>
  <si>
    <t>EL FCU DEL MOTOR N°2 REQUIERE SER REMOVIDO PARA SU O/H.</t>
  </si>
  <si>
    <t>SE REEMPLAZO EL FCU REF. EAC006. PARA 4.56.1-4.56.2</t>
  </si>
  <si>
    <t>ENG. FUEL CONTROL</t>
  </si>
  <si>
    <t>AML # 0336</t>
  </si>
  <si>
    <t>SE ENCENDIO LA LUZ DE BY PASS DEL FILTRO DE COMBUSTIBLE DEL MOTOR #1.</t>
  </si>
  <si>
    <t>SE REEMPLAZO EL SWITCH DEL BY PASS DEL FILTRO DE COMBUSTIBLE DEL MOTOR #1.</t>
  </si>
  <si>
    <t>AML # 0302</t>
  </si>
  <si>
    <t>MOTOR N° 1, NO INICIA CICLO DE ARRANQUE.</t>
  </si>
  <si>
    <t>REMOVIDO Y REEMPLAZADO, 02 EA PLUGS DEL SISTEMA DE ENCENDIDO.</t>
  </si>
  <si>
    <t>ENG. IGNITION</t>
  </si>
  <si>
    <t>AML # 0381</t>
  </si>
  <si>
    <t>EL ANTI-ICE DEL IGV DEL MOTOR #1, ESTA INOPERATIVO.</t>
  </si>
  <si>
    <t>SE REEMPLAZO LA VALVULA DEL ANTI-ICE DEL IGV DEL MOTOR #1, REF. P&amp;W MM 435/07 PARA 2.172, 2.173.</t>
  </si>
  <si>
    <t>ENG AIR</t>
  </si>
  <si>
    <t>MOTOR N° 2, PRESENTA FALLA AL MOMENTO DE AJUSTE DEL N2.</t>
  </si>
  <si>
    <t>REMOVIDO Y REEMPLAZADO, MOTOR DEL ACTUADOR DEL N2.</t>
  </si>
  <si>
    <t>ENG. CONTROL</t>
  </si>
  <si>
    <t>AML # 0304</t>
  </si>
  <si>
    <t>MOTOR N° 2, EL TORQUE NO RESPONDE APROPIADAMENTE.</t>
  </si>
  <si>
    <t>REMOVIDO Y REEMPLAZADO, 02 EA SENSORES DE TORQUE MAS ARNESES.</t>
  </si>
  <si>
    <t>AML # 0307</t>
  </si>
  <si>
    <t>EL TORQUE DEL MOTOR #2, SE RETRAZA CON RELACION AL TORQUE DEL MOTOR #1.</t>
  </si>
  <si>
    <t>SE REGULARON AMBOS MOTORES, SEGÚN TABLA.</t>
  </si>
  <si>
    <t>AML # 0311</t>
  </si>
  <si>
    <t>EL TORQUE DEL MOTOR #2, SE RETRAZA EN RELACION AL MOTOR #1 CON INCREMENTO DE POTENCIA.</t>
  </si>
  <si>
    <t>SE REGULO MOTOR #2 EN EL CUADRANTE DE VIAS, SEGUN TABLA.</t>
  </si>
  <si>
    <t>EL INDICADOR DE TEMPERATURA DE ACEITE DEL MOTOR #2, INDICA APROX. 30° BAJO EL RANGO SUPERIOR DE OPERACIÓN.</t>
  </si>
  <si>
    <t>SE REEMPLAZO EL BULBO DE TEMPERATURA DE ACEITE DEL MOTOR #2.</t>
  </si>
  <si>
    <t>EL TORQUE EN EL MOTOR #2, DA FALASA INDICACION DURANTE EL VUELO.</t>
  </si>
  <si>
    <t>SE REEMPLAZO EL ARNES DE TORQUE, REF. SB 64B30-7.</t>
  </si>
  <si>
    <t>EL DUCTO DE ESCAPE DEL MOTOR #2, SE ENCUENTRA RAJADO.</t>
  </si>
  <si>
    <t>SE REEMPLAZO EL DUCTO DE ESCAPE DEL MOTOR #2. REF. EAC006. PARA 4.33.2-4.33.4.</t>
  </si>
  <si>
    <t>EXHAUST</t>
  </si>
  <si>
    <t>AML # 0017</t>
  </si>
  <si>
    <t>LUZ DE ATERRIZAJE  LH, NO SE ILUMINA/EXTIENDE Y RETRACTA.</t>
  </si>
  <si>
    <t>SE REEMPLAZO LA LUZ DE ATERRIZAJE, REF. EAC006, CHAP 954.2, 9.54.4.</t>
  </si>
  <si>
    <t>AML # 0019</t>
  </si>
  <si>
    <t>EL SHIMING DEL CONJUNTO DE FRENO DEL ROTOR, ESTAN DESIGUALES.</t>
  </si>
  <si>
    <t>SE AFLOJO EL CALIPER Y SE CORRIGIO EL SHIMING, REF. EAC006, CHAP 6.19.4, STEPS f-g.</t>
  </si>
  <si>
    <t>AML # 0028</t>
  </si>
  <si>
    <t>EL VISOR DEL RESERVORIO DEL SIST. UTILITY PRESENTE RAJADURA</t>
  </si>
  <si>
    <t>SE REEMPLAZO EL VISOR P/N  P#6465-62406-101</t>
  </si>
  <si>
    <t>HYD.</t>
  </si>
  <si>
    <t>AML # 0031</t>
  </si>
  <si>
    <t>LA PALANCA DE BLOQUEO DE LA RUEDA DE NARIZ NO PERMANECE EN LA POSICION VERTICAL DE ASEGURADO.</t>
  </si>
  <si>
    <t>SE DESMONTO, LIMPIO Y REINSTALO EL SISTEMA DE CONTROL MANUAL. REF. EAC006 CH.3.23.3.</t>
  </si>
  <si>
    <t>AML # 0041</t>
  </si>
  <si>
    <t>EL SISTEMA DE INDICACION DE CANTIDAD DE COMBUSTIBLE POSTERIOR, INOP.</t>
  </si>
  <si>
    <t>SE REEMPLAZO INDICADOR. P/N B118-156  S/N ON 601. REF.EAC006. CH. 8.6.1</t>
  </si>
  <si>
    <t>AML # 0043</t>
  </si>
  <si>
    <t>EL INDICADOR DE CANTIDAD DE COMBUSTIBLE AUX. FALLA, SE DETIENE EL LLENADO DE LA CELDA AUX. A 300 LBS. SIN IMPORTAR DONDE ESTEE SELECTADO.</t>
  </si>
  <si>
    <t>SE REEMPLAZO EL INDICADOR DE CANTIDAD DE COMBUSTIBLE,  P/N DSF695,  S/N ON 0067. REF. EAC006 CH.8.6.1.</t>
  </si>
  <si>
    <t>INTRUMENTOS</t>
  </si>
  <si>
    <t>AML # 0020</t>
  </si>
  <si>
    <t>EL INDICADOR DE TURN-SLIP LADO RH, REQUIERE REEMPLAZO.</t>
  </si>
  <si>
    <t>SE REEMPLAZO EL INDICADOR DE TURN-SLIP, REF. EAC006, CHAP 8.6.1, 8.6.3.</t>
  </si>
  <si>
    <t>AML # 0005</t>
  </si>
  <si>
    <t>APU, NO ARRANCA.</t>
  </si>
  <si>
    <t>SE REEMPLAZO EXCITER IGNITOR, REF. TM-55-2835-204-24.</t>
  </si>
  <si>
    <t>AML # 0009</t>
  </si>
  <si>
    <t>APU, ENGANCHA A 92%.</t>
  </si>
  <si>
    <t>SE RELIZO AJUSTE EN EL EMBRAGUE, REF. EAC006, CHAP 15 PARA 15.5.2 d-f. ENGANCHANDO A 87%</t>
  </si>
  <si>
    <t>AML # 0022</t>
  </si>
  <si>
    <t>EL EMBRAGUE DEL APP, ENGANCHA EN ALTO.</t>
  </si>
  <si>
    <t>SE AJUSTO EL AMBRAGUE A 86%, REF. EAC006, PARA 15.5.2.</t>
  </si>
  <si>
    <t>EL APU FALLA AL MOMENTO DE ARRANQUE</t>
  </si>
  <si>
    <t>SE REEMPLAZO EL IGNITER PLUG, REF. EAC006, CHAP 15.18.3.</t>
  </si>
  <si>
    <t>AML # 0001</t>
  </si>
  <si>
    <t>EL DAMPER ASSY AZUL, PRESENTA FUGA DE FLUIDO HYD.</t>
  </si>
  <si>
    <t>SE REEMPLAZO DAMPER ASSY AZUL, REF. EAC006, CHAP 5.11.7, 5.11.10.</t>
  </si>
  <si>
    <t>AML # 0042</t>
  </si>
  <si>
    <t>EL VISOR DE PRESION DE NITROGENO DEL DAMPER MR ILEGIBLE.</t>
  </si>
  <si>
    <t>SE REEMPLAZO VISOR. P/N 1218-005-00. REF. EAC006, CH. 5.11.3</t>
  </si>
  <si>
    <t>ROTOR</t>
  </si>
  <si>
    <t>AML # 0018</t>
  </si>
  <si>
    <t>EL SEGURO DE TUERCA DEL DAMPER DEL MRB BLANCO, SE ENCONTRO SIZALLADO.</t>
  </si>
  <si>
    <t>SE RETORQUEO EL DAMPER Y SE CAMBIO EL SEGURO.</t>
  </si>
  <si>
    <t>EL SEGURO DE TUERCA DEL MRB VERDE, ESTA SIZALLADO.</t>
  </si>
  <si>
    <t>SE CAMBIO EL SEGURO Y SE RETORQUEO EL DAMPER, REF. EAC006, PARA 5.11.7 (3) c&amp;d 5.11.10-d&amp;g.</t>
  </si>
  <si>
    <t>AML # 0047</t>
  </si>
  <si>
    <t>EL TIP CAP DEL TRB AMARILLO, RAJADO JUNTO AL ORIFICIO DE ALIVIO</t>
  </si>
  <si>
    <t>SE REEMPLAZO  EL TIP CAP. P/N 65160-00009-083. REF. EAC006, CH. 5.22.5</t>
  </si>
  <si>
    <t>TAILROTOR</t>
  </si>
  <si>
    <t>AML # 0016</t>
  </si>
  <si>
    <t>EL DUCTO DE SALIDA DEL MOTOR #1, PRESENTA RAJADURA SOBRE EL ORIFICIO DE ALIVIO, REQUIERE REPARACION O CAMBIO.</t>
  </si>
  <si>
    <t>SE REEMPLAZO EL DUCTO DE SALIDA, REF. EAC006 CHAP 4.33.2, 4.33.4.</t>
  </si>
  <si>
    <t>AML # 0029</t>
  </si>
  <si>
    <t>FREE TURBINE  DEL MOTOR #1 PRESENTA RAJADURA POR EL REFUERZO DEL BOSST N2. EAC RECOMIENDA REMPLAZO</t>
  </si>
  <si>
    <t>SE REMPLAZO FREE TURBINE #1 P/N 658199 .REF.EAC006 CH. 4.7.2</t>
  </si>
  <si>
    <t>ENG.</t>
  </si>
  <si>
    <t>EL HARNES OVERSPEED DEL COMPRESOR #2, PRESENTA RAJADURA Y CABLE EXPUESTO.</t>
  </si>
  <si>
    <t>SE REEMPLAZO EL OVERSPEED HARNES DEL COMPRESOR #2, REF. EAC006, CHAP 4.</t>
  </si>
  <si>
    <t>ENG ING.</t>
  </si>
  <si>
    <t>AML # 0003</t>
  </si>
  <si>
    <t xml:space="preserve">EL TACOMETRO TRIPLE PRESENTA INDICACION "0", PARA EL N2 DEL MOTOR #2, DURANTE LA CORRIDA EN TIERRA. </t>
  </si>
  <si>
    <t xml:space="preserve">SE REEMPLAZO EL GEN. TACH. DE N2 DEL MOTOR #2, REF. EAC006, CHAP 8.12.2, 8.12.3. </t>
  </si>
  <si>
    <t>AML # 0010</t>
  </si>
  <si>
    <t>EL DUCTO DE ESCAPE DEL MOTOR #1, PRESENTA 2 RAJADURAS.</t>
  </si>
  <si>
    <t>SE REEMPLAZO LA EXTENSION DEL DUCTO DE ESCAPE.</t>
  </si>
  <si>
    <t>ENGINE EXHAUST</t>
  </si>
  <si>
    <t>ATA 100:</t>
  </si>
  <si>
    <t>01: Generalidades</t>
  </si>
  <si>
    <t>02: Peso y balance</t>
  </si>
  <si>
    <t xml:space="preserve">03: Equipo mínimo </t>
  </si>
  <si>
    <t xml:space="preserve">04: airworthiness limitations </t>
  </si>
  <si>
    <t>05: Límites de tiempo</t>
  </si>
  <si>
    <t xml:space="preserve">06: Dimensiones y áreas </t>
  </si>
  <si>
    <t xml:space="preserve">07: Levantamiento y anclaje </t>
  </si>
  <si>
    <t xml:space="preserve">08: Nivelación y peso </t>
  </si>
  <si>
    <t xml:space="preserve">09: Remolque y rodaje </t>
  </si>
  <si>
    <t xml:space="preserve">10: Estacionamiento y anclaje </t>
  </si>
  <si>
    <t xml:space="preserve">11: Letreros y señalamientos </t>
  </si>
  <si>
    <t xml:space="preserve">12: Servicios </t>
  </si>
  <si>
    <t xml:space="preserve">14: Herramientas </t>
  </si>
  <si>
    <t xml:space="preserve">15: Entrenamientos Externos </t>
  </si>
  <si>
    <t xml:space="preserve">16: Equipo de soporte en tierra </t>
  </si>
  <si>
    <t xml:space="preserve">17: Equipo auxiliar </t>
  </si>
  <si>
    <t xml:space="preserve">18: Vibración y ruido </t>
  </si>
  <si>
    <t xml:space="preserve">19: Reparación estructural </t>
  </si>
  <si>
    <t xml:space="preserve">20: Prácticas estándar </t>
  </si>
  <si>
    <t xml:space="preserve">21: Aire acondicionado </t>
  </si>
  <si>
    <t xml:space="preserve">22: Piloto automático </t>
  </si>
  <si>
    <t xml:space="preserve">23: Comunicaciones </t>
  </si>
  <si>
    <t xml:space="preserve">24: Sistema eléctrico </t>
  </si>
  <si>
    <t xml:space="preserve">25: Equipo y accesorios </t>
  </si>
  <si>
    <t xml:space="preserve">26: Protección contra fuego </t>
  </si>
  <si>
    <t xml:space="preserve">27: Controles de vuelo </t>
  </si>
  <si>
    <t xml:space="preserve">28: Combustible </t>
  </si>
  <si>
    <t xml:space="preserve">29: Sistema hidráulico </t>
  </si>
  <si>
    <t xml:space="preserve">30: Protección contra hielo y lluvia </t>
  </si>
  <si>
    <t xml:space="preserve">31: Sistema de indicaciones e instrumentos de grabación </t>
  </si>
  <si>
    <t xml:space="preserve">32: Tren de aterrizaje </t>
  </si>
  <si>
    <t xml:space="preserve">33: Luces </t>
  </si>
  <si>
    <t xml:space="preserve">34: Navegación </t>
  </si>
  <si>
    <t xml:space="preserve">35: Oxigeno </t>
  </si>
  <si>
    <t xml:space="preserve">36: Sistema Neumático </t>
  </si>
  <si>
    <t xml:space="preserve">37: Presión y vacío </t>
  </si>
  <si>
    <t xml:space="preserve">38: Aguas y desechos </t>
  </si>
  <si>
    <t xml:space="preserve">39: Electrical/electronic panel </t>
  </si>
  <si>
    <t xml:space="preserve">41: Water ballast </t>
  </si>
  <si>
    <t xml:space="preserve">45: Central main system </t>
  </si>
  <si>
    <t xml:space="preserve">46: Información del sistema </t>
  </si>
  <si>
    <t>49: Unidad de potencia auxiliar (UPA)</t>
  </si>
  <si>
    <t>50: Aire</t>
  </si>
  <si>
    <t xml:space="preserve">51: Estructuras </t>
  </si>
  <si>
    <t xml:space="preserve">52: Puertas </t>
  </si>
  <si>
    <t xml:space="preserve">53: Fuselaje </t>
  </si>
  <si>
    <t xml:space="preserve">54: Pilones y barquillas </t>
  </si>
  <si>
    <t xml:space="preserve">55: Estabilizadores </t>
  </si>
  <si>
    <t xml:space="preserve">56: Ventanas </t>
  </si>
  <si>
    <t xml:space="preserve">57: Alas </t>
  </si>
  <si>
    <t xml:space="preserve">60: Practicas Estándar de hélices y rotores </t>
  </si>
  <si>
    <t xml:space="preserve">61: Hélices y propulsores </t>
  </si>
  <si>
    <t xml:space="preserve">62: Rotores </t>
  </si>
  <si>
    <t xml:space="preserve">63: Impulsor del rotor </t>
  </si>
  <si>
    <t xml:space="preserve">64: Rotor de cola </t>
  </si>
  <si>
    <t xml:space="preserve">65: Impulsor de rotor de cola </t>
  </si>
  <si>
    <t xml:space="preserve">66: Palas plegables y pilones </t>
  </si>
  <si>
    <t xml:space="preserve">67: Controles de vuelo del rotor </t>
  </si>
  <si>
    <t xml:space="preserve">70: Prácticas estándar del motor </t>
  </si>
  <si>
    <t xml:space="preserve">71: Planta motriz </t>
  </si>
  <si>
    <t xml:space="preserve">72: Turbinas y turbo hélices(motor) </t>
  </si>
  <si>
    <t xml:space="preserve">73: Sistema de combustible de motor </t>
  </si>
  <si>
    <t xml:space="preserve">74: Encendido </t>
  </si>
  <si>
    <t xml:space="preserve">75: Purga de aire </t>
  </si>
  <si>
    <t xml:space="preserve">76: Controles de motor </t>
  </si>
  <si>
    <t xml:space="preserve">77: Indicadores de motor </t>
  </si>
  <si>
    <t xml:space="preserve">78: Escape </t>
  </si>
  <si>
    <t xml:space="preserve">79: Lubricación </t>
  </si>
  <si>
    <t xml:space="preserve">80: Arranque </t>
  </si>
  <si>
    <t xml:space="preserve">81: Turbina de motor recíproco </t>
  </si>
  <si>
    <t xml:space="preserve">82: Inyección de agua </t>
  </si>
  <si>
    <t xml:space="preserve">83: cajas de engranes de accesorios </t>
  </si>
  <si>
    <t xml:space="preserve">84: Incremento de la propulsión </t>
  </si>
  <si>
    <t xml:space="preserve">91: Gráficos y diagramas </t>
  </si>
  <si>
    <r>
      <rPr>
        <sz val="7"/>
        <color rgb="FF336699"/>
        <rFont val="Times New Roman"/>
        <family val="1"/>
      </rPr>
      <t xml:space="preserve"> </t>
    </r>
    <r>
      <rPr>
        <sz val="10"/>
        <color rgb="FF336699"/>
        <rFont val="Verdana"/>
        <family val="2"/>
      </rPr>
      <t xml:space="preserve">95: Equipamiento especial </t>
    </r>
  </si>
  <si>
    <t>AML # 0026</t>
  </si>
  <si>
    <t>EL INVERSOR #2, INOPERATIVO.</t>
  </si>
  <si>
    <t>SE EMPALMO EL CABLE DEL INVERSOR, QUEDANDO OPERATIVO, REF. BHT.214 - ELEC SPM CHAP 4.10.</t>
  </si>
  <si>
    <t xml:space="preserve">EL INVERSOR #2, FALLA DURANTE EL VUELO. </t>
  </si>
  <si>
    <t>SE REEMPLAZO EL ALIMENTADOR DEL REMOT CONTROL CIRCUIT BREAKER DEL LADO DERECHO, REF. BHT.214ST MM 96.50.</t>
  </si>
  <si>
    <t>AMB # 0072</t>
  </si>
  <si>
    <t>EL SISTEMA ELECTRICO DE CARGO HOOK  FALLA</t>
  </si>
  <si>
    <t xml:space="preserve">SE REEMPLAZO EL CARGO HOOK  P/N 214-070-921-003 </t>
  </si>
  <si>
    <t>EQ. FURNISHING</t>
  </si>
  <si>
    <t>EL DETECTOR DE HUMO DEL COMPARTIMIENTO DE EQUIPAJE R/H FALLA</t>
  </si>
  <si>
    <t xml:space="preserve">SE REEMPLAZO EL DETECTOR DE HUMO BHT 214ST MM CH 96.139 P/N 30-231-31  </t>
  </si>
  <si>
    <t>FIRE DETECTION</t>
  </si>
  <si>
    <t>EL TANQUE DE COMBUSTIBLE DEL LADO IZQUIERDO, PRESENTA FUGA POR EL PROBE.</t>
  </si>
  <si>
    <t xml:space="preserve">SE REEMPLAZO PROBE, REF. BHT.214 STMM CHAP 28, PARA 28.96 - 28.98 </t>
  </si>
  <si>
    <t>FUEL SYSTEM</t>
  </si>
  <si>
    <t>AML # 0048</t>
  </si>
  <si>
    <t>LA VALVULA DE ALIVIO DEL SISTEMA HYD. UTILITARIO, PRESENTE FUGA.</t>
  </si>
  <si>
    <t>SE CAMBIO LA VALVULA DE ALIVIO DEL SISTEMA HYD.</t>
  </si>
  <si>
    <t>AML # 0037</t>
  </si>
  <si>
    <t>EL IND. DE POSICION DE ELEVADOR, SE ENCUENTRA INOPERATIVO.</t>
  </si>
  <si>
    <t>SE REEMPALZO EL IND. DE POSICION DEL ELEVADOR.</t>
  </si>
  <si>
    <t>AML # 0054</t>
  </si>
  <si>
    <t>EL INDICADOR DIGITAL DE CANTIDAD DE COMBUSTIBLE, NO ESTA FUNCIONANDO.</t>
  </si>
  <si>
    <t>SE REEMPLAZO EL INDICADOR DE CANTIDAD DE COMBUSTIBLE, REF. BHT 214ST MM CHAP 15-65.</t>
  </si>
  <si>
    <t>AMB # 0068</t>
  </si>
  <si>
    <t>INDICADOR DE TORQUE DEL MOTOR # 1 , INOPERATIVO</t>
  </si>
  <si>
    <t>SE REEMPLAZO EL DUAL TORQUE INDICADOR BHT214ST MM CH 95.54.</t>
  </si>
  <si>
    <t>INSTRUMNETOS</t>
  </si>
  <si>
    <t>INDICADOR DE TORQUE DEL MOTOR # 1 ESTA FALLANDO</t>
  </si>
  <si>
    <t xml:space="preserve">SE REINSTALO EL INDICADOR DE TORQUE SE SECO EL AGUA Y SE LIMPIO CONECTORES </t>
  </si>
  <si>
    <t>AML # 0049</t>
  </si>
  <si>
    <t>EL SWITCH DE LA UNIDAD DE CONTROL DEL BLUE SKY, OPERA INTERMITENTEMENTE.</t>
  </si>
  <si>
    <t>SE REEMPLAZO LA UNIDAD DE CONTROL DEL BLUE SKY.</t>
  </si>
  <si>
    <t>AML # 0057</t>
  </si>
  <si>
    <t>LA UNIDAD DEL MODEN DEL BLUE SKY, FUNCIONA INTERMITENTEMENTE.</t>
  </si>
  <si>
    <t>SE REEMPLAZO LA UNIDAD DEL MODEN DEL BLUE SKY.</t>
  </si>
  <si>
    <t>LA LINEA DE RETORNO DE ACEITE DEL OIL COOLER DE LA XMSN, ESTA ROTO.</t>
  </si>
  <si>
    <t>SE REEMPLAZO LA LINEA DE RETORNO DEL OIL COOLER DE LA XMSN.</t>
  </si>
  <si>
    <t>AMB # 0079</t>
  </si>
  <si>
    <t>EL ROD &amp; BEARING DEL PC LINK TRB  ROJO PRESENTA LIMITE DE DESGASTE .</t>
  </si>
  <si>
    <t>SE REEMPLAZO EL ROD &amp; BEARING BHT 214ST MM 64.6</t>
  </si>
  <si>
    <t>AML # 0051</t>
  </si>
  <si>
    <t>EL RODAJE EXTERIOR DEL CODO/SOPORTE DEL L/H DEL COLECTIVO, SE ENCUENTRA BAJO LOS LIMITES DE DESGASTE.</t>
  </si>
  <si>
    <t>SE REEMPLAZO RODAJE DEL CONJUNTO DE SOPORTE DEL COLECTIVO L/H, REF. BHT 214ST MM CHAP 67.21.</t>
  </si>
  <si>
    <t>FLY CONTROL</t>
  </si>
  <si>
    <t>AML # 0058</t>
  </si>
  <si>
    <t>EL MGT DEL MOTOR #2, ES 20° MAS CALIENTE QUE EL MOTOR #1.</t>
  </si>
  <si>
    <t>SE REALIZO LA LIMPIEZA DEL COMPRESOR Y ZONA CALIENTE DEL MOTOR #2.</t>
  </si>
  <si>
    <t>ESTADISTICAS DE FALLA POR ATAS PERIODO ENERO - JULIO 2014</t>
  </si>
  <si>
    <t>PERIODO</t>
  </si>
  <si>
    <t xml:space="preserve">Aire acondicionado </t>
  </si>
  <si>
    <t xml:space="preserve">Piloto automático </t>
  </si>
  <si>
    <t xml:space="preserve">Comunicaciones </t>
  </si>
  <si>
    <t xml:space="preserve">Sistema eléctrico </t>
  </si>
  <si>
    <t xml:space="preserve">Equipo y accesorios </t>
  </si>
  <si>
    <t xml:space="preserve">Protección contra fuego </t>
  </si>
  <si>
    <t xml:space="preserve">Controles de vuelo </t>
  </si>
  <si>
    <t xml:space="preserve">Combustible </t>
  </si>
  <si>
    <t xml:space="preserve">Sistema hidráulico </t>
  </si>
  <si>
    <t xml:space="preserve">Protección contra hielo y lluvia </t>
  </si>
  <si>
    <t xml:space="preserve">Sist. de indicac. e inst. de grab. </t>
  </si>
  <si>
    <t xml:space="preserve">Tren de aterrizaje </t>
  </si>
  <si>
    <t xml:space="preserve">Luces </t>
  </si>
  <si>
    <t xml:space="preserve">Navegación </t>
  </si>
  <si>
    <t xml:space="preserve">Oxigeno </t>
  </si>
  <si>
    <t xml:space="preserve">Sistema Neumático </t>
  </si>
  <si>
    <t xml:space="preserve">Presión y vacío </t>
  </si>
  <si>
    <t xml:space="preserve">Aguas y desechos </t>
  </si>
  <si>
    <t xml:space="preserve">Electrical/electronic panel </t>
  </si>
  <si>
    <t xml:space="preserve">Water ballast </t>
  </si>
  <si>
    <t xml:space="preserve">Central main system </t>
  </si>
  <si>
    <t xml:space="preserve">Información del sistema </t>
  </si>
  <si>
    <t>Unidad de potencia auxiliar (UPA)</t>
  </si>
  <si>
    <t>Aire</t>
  </si>
  <si>
    <t xml:space="preserve">Estructuras </t>
  </si>
  <si>
    <t xml:space="preserve">Puertas </t>
  </si>
  <si>
    <t xml:space="preserve">Fuselaje </t>
  </si>
  <si>
    <t xml:space="preserve">Pilones y barquillas </t>
  </si>
  <si>
    <t xml:space="preserve">Estabilizadores </t>
  </si>
  <si>
    <t xml:space="preserve">Ventanas </t>
  </si>
  <si>
    <t xml:space="preserve">Alas </t>
  </si>
  <si>
    <t xml:space="preserve">Hélices y propulsores </t>
  </si>
  <si>
    <t xml:space="preserve">Rotores </t>
  </si>
  <si>
    <t xml:space="preserve">Impulsor del rotor </t>
  </si>
  <si>
    <t xml:space="preserve">Rotor de cola </t>
  </si>
  <si>
    <t xml:space="preserve">Impulsor de rotor de cola </t>
  </si>
  <si>
    <t xml:space="preserve">Palas plegables y pilones </t>
  </si>
  <si>
    <t xml:space="preserve">Controles de vuelo del rotor </t>
  </si>
  <si>
    <t xml:space="preserve">Prácticas estándar del motor </t>
  </si>
  <si>
    <t xml:space="preserve">Planta motriz </t>
  </si>
  <si>
    <t xml:space="preserve">Turbinas y turbo hélices(motor) </t>
  </si>
  <si>
    <t xml:space="preserve">Sistema de combustible de motor </t>
  </si>
  <si>
    <t xml:space="preserve">Encendido </t>
  </si>
  <si>
    <t xml:space="preserve">Purga de aire </t>
  </si>
  <si>
    <t xml:space="preserve">Controles de motor </t>
  </si>
  <si>
    <t xml:space="preserve">Indicadores de motor </t>
  </si>
  <si>
    <t xml:space="preserve">Escape </t>
  </si>
  <si>
    <t xml:space="preserve">Lubricación </t>
  </si>
  <si>
    <t xml:space="preserve">Arranque </t>
  </si>
  <si>
    <t xml:space="preserve">Turbina de motor recíproco </t>
  </si>
  <si>
    <t xml:space="preserve">Inyección de agua </t>
  </si>
  <si>
    <t xml:space="preserve">Cajas de engranes de accesorios </t>
  </si>
  <si>
    <t xml:space="preserve">Incremento de la propulsión </t>
  </si>
  <si>
    <t xml:space="preserve">Gráficos y diagramas </t>
  </si>
  <si>
    <t xml:space="preserve">Equipamiento especial </t>
  </si>
  <si>
    <t xml:space="preserve">Practica Estándar hélices/rotores </t>
  </si>
  <si>
    <t>ENE-JUL/2014</t>
  </si>
  <si>
    <t>BELLMOUNTH ANTI  ICE VALVE REQUIERE INSTALACION</t>
  </si>
  <si>
    <t>TOTAL FALLAS</t>
  </si>
  <si>
    <t>REPR. (%)</t>
  </si>
  <si>
    <t>Mes</t>
  </si>
  <si>
    <t>N° Ata</t>
  </si>
  <si>
    <t>MES</t>
  </si>
  <si>
    <t>Rótulos de fila</t>
  </si>
  <si>
    <t>Total general</t>
  </si>
  <si>
    <t>Cuenta de ATA2</t>
  </si>
  <si>
    <t>(Todas)</t>
  </si>
  <si>
    <t>ABRIL</t>
  </si>
  <si>
    <t>MAYO</t>
  </si>
  <si>
    <t>JUNIO</t>
  </si>
  <si>
    <t>JULIO</t>
  </si>
  <si>
    <t>Enero</t>
  </si>
  <si>
    <t>Febrero</t>
  </si>
  <si>
    <t>Marzo</t>
  </si>
  <si>
    <t>Abril</t>
  </si>
  <si>
    <t>Mayo</t>
  </si>
  <si>
    <t>Junio</t>
  </si>
  <si>
    <t>Julio</t>
  </si>
  <si>
    <t>Seleccionar Mes</t>
  </si>
  <si>
    <t>Seleccione Ata</t>
  </si>
  <si>
    <t>Incide</t>
  </si>
  <si>
    <t>mayo</t>
  </si>
  <si>
    <t>junio</t>
  </si>
  <si>
    <t>julio</t>
  </si>
  <si>
    <t>Total Reportes-1996.en Mes</t>
  </si>
  <si>
    <t>Total Reportes-2082.en Mes</t>
  </si>
  <si>
    <t>Total Reportes-2081.en Mes</t>
  </si>
  <si>
    <t>Total Reportes-2035.en Mes</t>
  </si>
  <si>
    <t>Indice de Falla-1996 en mes</t>
  </si>
  <si>
    <t>Indice de Falla-3035 en mes</t>
  </si>
  <si>
    <t>Indice de Falla-2081 en mes</t>
  </si>
  <si>
    <t>Indice de Falla-2082 en mes</t>
  </si>
  <si>
    <t>Avion</t>
  </si>
  <si>
    <t>Selleciones mes</t>
  </si>
  <si>
    <t>N° Incidencias</t>
  </si>
  <si>
    <t>Reporte de Incidencias por aviones</t>
  </si>
  <si>
    <t>Reportes vs. Atas en funciones al mes</t>
  </si>
  <si>
    <t>Indice de fallas vs Atas  en funcion al mes</t>
  </si>
  <si>
    <t>Indice de fallas  vs Mes por cada Ata</t>
  </si>
  <si>
    <t>Reportes vs. Mes por cada Ata</t>
  </si>
  <si>
    <t>Reportes del avion 1966 en Meses</t>
  </si>
  <si>
    <t>Indice de fallas del avion 1966 en Meses</t>
  </si>
  <si>
    <t>Reportes del avion 2035 en Meses</t>
  </si>
  <si>
    <t>Reportes del avion 2081 en Meses</t>
  </si>
  <si>
    <t>Indice de fallas del avion 2081 en Meses</t>
  </si>
  <si>
    <t>Reportes del avion 2082 en Meses</t>
  </si>
  <si>
    <t>Indice de fallas del avion 2082 en Meses</t>
  </si>
  <si>
    <t>Incidencias vs Aeronave en funcion al Mes</t>
  </si>
  <si>
    <t>Numero de Reportes en Meses</t>
  </si>
  <si>
    <t>Ir a Seleccion de Mes</t>
  </si>
  <si>
    <t>Ir a Seleccion de Ata</t>
  </si>
  <si>
    <t>As clip</t>
  </si>
  <si>
    <t>l</t>
  </si>
</sst>
</file>

<file path=xl/styles.xml><?xml version="1.0" encoding="utf-8"?>
<styleSheet xmlns="http://schemas.openxmlformats.org/spreadsheetml/2006/main">
  <numFmts count="1">
    <numFmt numFmtId="164" formatCode="[$-C0A]mmm\-yy;@"/>
  </numFmts>
  <fonts count="23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8000"/>
      <name val="Verdana"/>
      <family val="2"/>
    </font>
    <font>
      <sz val="10"/>
      <color rgb="FF336699"/>
      <name val="Verdana"/>
      <family val="2"/>
    </font>
    <font>
      <sz val="10"/>
      <color rgb="FF336699"/>
      <name val="Symbol"/>
      <family val="1"/>
      <charset val="2"/>
    </font>
    <font>
      <sz val="7"/>
      <color rgb="FF336699"/>
      <name val="Times New Roman"/>
      <family val="1"/>
    </font>
    <font>
      <sz val="8"/>
      <color theme="1"/>
      <name val="Calibri"/>
      <family val="2"/>
      <scheme val="minor"/>
    </font>
    <font>
      <b/>
      <sz val="20"/>
      <color theme="1"/>
      <name val="Arial"/>
      <family val="2"/>
    </font>
    <font>
      <sz val="8"/>
      <color theme="1"/>
      <name val="Antique Olive"/>
      <family val="2"/>
    </font>
    <font>
      <sz val="8"/>
      <color indexed="8"/>
      <name val="Antique Olive"/>
      <family val="2"/>
    </font>
    <font>
      <b/>
      <sz val="8"/>
      <color indexed="8"/>
      <name val="Antique Olive"/>
      <family val="2"/>
    </font>
    <font>
      <b/>
      <sz val="12"/>
      <color theme="1"/>
      <name val="Antique Olive"/>
      <family val="2"/>
    </font>
    <font>
      <b/>
      <sz val="8"/>
      <name val="Antique Olive"/>
      <family val="2"/>
    </font>
    <font>
      <b/>
      <sz val="8"/>
      <color theme="1"/>
      <name val="Antique Olive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10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10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Fill="1" applyBorder="1" applyAlignment="1">
      <alignment horizontal="center" vertical="center" wrapText="1"/>
    </xf>
    <xf numFmtId="10" fontId="9" fillId="0" borderId="15" xfId="0" applyNumberFormat="1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" fontId="0" fillId="0" borderId="0" xfId="0" applyNumberFormat="1"/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12" xfId="0" applyNumberFormat="1" applyBorder="1"/>
    <xf numFmtId="2" fontId="0" fillId="0" borderId="15" xfId="0" applyNumberFormat="1" applyBorder="1"/>
    <xf numFmtId="0" fontId="2" fillId="3" borderId="1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left"/>
    </xf>
    <xf numFmtId="17" fontId="7" fillId="0" borderId="0" xfId="0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6" fillId="5" borderId="0" xfId="0" applyFont="1" applyFill="1"/>
    <xf numFmtId="2" fontId="0" fillId="0" borderId="11" xfId="0" applyNumberFormat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5" borderId="0" xfId="0" applyFill="1"/>
    <xf numFmtId="164" fontId="0" fillId="4" borderId="9" xfId="0" applyNumberFormat="1" applyFill="1" applyBorder="1" applyAlignment="1">
      <alignment horizontal="center" vertical="center"/>
    </xf>
    <xf numFmtId="17" fontId="0" fillId="0" borderId="11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18" fillId="0" borderId="12" xfId="0" applyFont="1" applyBorder="1" applyAlignment="1">
      <alignment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" fontId="0" fillId="0" borderId="0" xfId="0" applyNumberFormat="1" applyBorder="1"/>
    <xf numFmtId="2" fontId="0" fillId="0" borderId="0" xfId="0" applyNumberFormat="1" applyBorder="1"/>
    <xf numFmtId="17" fontId="0" fillId="0" borderId="13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21" xfId="0" applyFont="1" applyBorder="1"/>
    <xf numFmtId="2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6" borderId="3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2" fontId="0" fillId="6" borderId="25" xfId="0" applyNumberFormat="1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0" fontId="20" fillId="0" borderId="0" xfId="0" applyFo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5" xfId="0" applyBorder="1"/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" fontId="0" fillId="0" borderId="12" xfId="0" applyNumberFormat="1" applyBorder="1"/>
    <xf numFmtId="0" fontId="15" fillId="0" borderId="0" xfId="0" applyFont="1" applyBorder="1"/>
    <xf numFmtId="4" fontId="0" fillId="0" borderId="10" xfId="0" applyNumberFormat="1" applyBorder="1"/>
    <xf numFmtId="4" fontId="0" fillId="0" borderId="15" xfId="0" applyNumberFormat="1" applyBorder="1"/>
    <xf numFmtId="0" fontId="16" fillId="0" borderId="0" xfId="0" applyFont="1" applyBorder="1"/>
    <xf numFmtId="0" fontId="16" fillId="0" borderId="24" xfId="0" applyFont="1" applyBorder="1" applyAlignment="1">
      <alignment horizontal="center" vertical="center"/>
    </xf>
    <xf numFmtId="0" fontId="0" fillId="0" borderId="26" xfId="0" applyBorder="1"/>
    <xf numFmtId="0" fontId="19" fillId="0" borderId="0" xfId="0" applyFont="1"/>
    <xf numFmtId="0" fontId="19" fillId="0" borderId="21" xfId="0" applyFont="1" applyBorder="1"/>
    <xf numFmtId="0" fontId="22" fillId="0" borderId="0" xfId="1" applyAlignment="1" applyProtection="1"/>
    <xf numFmtId="164" fontId="0" fillId="4" borderId="30" xfId="0" applyNumberForma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PE"/>
              <a:t>GRAFICO FALLAS POR ATAS % POR TIPO DE FALLA</a:t>
            </a:r>
          </a:p>
          <a:p>
            <a:pPr>
              <a:defRPr/>
            </a:pPr>
            <a:r>
              <a:rPr lang="es-PE"/>
              <a:t>PERIODO ENERO - JULIO 2014</a:t>
            </a:r>
          </a:p>
        </c:rich>
      </c:tx>
    </c:title>
    <c:plotArea>
      <c:layout>
        <c:manualLayout>
          <c:layoutTarget val="inner"/>
          <c:xMode val="edge"/>
          <c:yMode val="edge"/>
          <c:x val="0.19841182484450001"/>
          <c:y val="0.16543078777389791"/>
          <c:w val="0.59748464089974307"/>
          <c:h val="0.82404227833235455"/>
        </c:manualLayout>
      </c:layout>
      <c:doughnutChart>
        <c:varyColors val="1"/>
        <c:ser>
          <c:idx val="1"/>
          <c:order val="0"/>
          <c:explosion val="25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2.3970665190677681E-3"/>
                  <c:y val="2.110906867837426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-4.7941330381355354E-3"/>
                  <c:y val="-1.1366421596047692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'2014'!$H$4:$H$59</c:f>
              <c:numCache>
                <c:formatCode>0.00%</c:formatCode>
                <c:ptCount val="56"/>
                <c:pt idx="0">
                  <c:v>0</c:v>
                </c:pt>
                <c:pt idx="1">
                  <c:v>2.7522935779816515E-2</c:v>
                </c:pt>
                <c:pt idx="2">
                  <c:v>9.1743119266055051E-3</c:v>
                </c:pt>
                <c:pt idx="3">
                  <c:v>9.1743119266055051E-2</c:v>
                </c:pt>
                <c:pt idx="4">
                  <c:v>9.1743119266055051E-3</c:v>
                </c:pt>
                <c:pt idx="5">
                  <c:v>0</c:v>
                </c:pt>
                <c:pt idx="6">
                  <c:v>0</c:v>
                </c:pt>
                <c:pt idx="7">
                  <c:v>2.7522935779816515E-2</c:v>
                </c:pt>
                <c:pt idx="8">
                  <c:v>8.2568807339449546E-2</c:v>
                </c:pt>
                <c:pt idx="9">
                  <c:v>9.1743119266055051E-3</c:v>
                </c:pt>
                <c:pt idx="10">
                  <c:v>0.14678899082568808</c:v>
                </c:pt>
                <c:pt idx="11">
                  <c:v>0</c:v>
                </c:pt>
                <c:pt idx="12">
                  <c:v>0</c:v>
                </c:pt>
                <c:pt idx="13">
                  <c:v>3.669724770642202E-2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7.3394495412844041E-2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9.1743119266055051E-3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7.3394495412844041E-2</c:v>
                </c:pt>
                <c:pt idx="34">
                  <c:v>9.1743119266055051E-2</c:v>
                </c:pt>
                <c:pt idx="35">
                  <c:v>3.669724770642202E-2</c:v>
                </c:pt>
                <c:pt idx="36">
                  <c:v>0</c:v>
                </c:pt>
                <c:pt idx="37">
                  <c:v>0</c:v>
                </c:pt>
                <c:pt idx="38">
                  <c:v>1.834862385321101E-2</c:v>
                </c:pt>
                <c:pt idx="39">
                  <c:v>9.1743119266055051E-3</c:v>
                </c:pt>
                <c:pt idx="40">
                  <c:v>0</c:v>
                </c:pt>
                <c:pt idx="41">
                  <c:v>9.1743119266055051E-2</c:v>
                </c:pt>
                <c:pt idx="42">
                  <c:v>1.834862385321101E-2</c:v>
                </c:pt>
                <c:pt idx="43">
                  <c:v>1.834862385321101E-2</c:v>
                </c:pt>
                <c:pt idx="44">
                  <c:v>9.1743119266055051E-3</c:v>
                </c:pt>
                <c:pt idx="45">
                  <c:v>3.669724770642202E-2</c:v>
                </c:pt>
                <c:pt idx="46">
                  <c:v>5.5045871559633031E-2</c:v>
                </c:pt>
                <c:pt idx="47">
                  <c:v>1.834862385321101E-2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 -2035!Tabla dinámica4</c:name>
    <c:fmtId val="0"/>
  </c:pivotSource>
  <c:chart>
    <c:title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 -2035'!$B$30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 -2035'!$A$31:$A$38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'Reportes -2035'!$B$31:$B$38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shape val="cylinder"/>
        <c:axId val="96383744"/>
        <c:axId val="96385280"/>
        <c:axId val="0"/>
      </c:bar3DChart>
      <c:catAx>
        <c:axId val="96383744"/>
        <c:scaling>
          <c:orientation val="minMax"/>
        </c:scaling>
        <c:axPos val="b"/>
        <c:numFmt formatCode="General" sourceLinked="0"/>
        <c:tickLblPos val="nextTo"/>
        <c:crossAx val="96385280"/>
        <c:crosses val="autoZero"/>
        <c:auto val="1"/>
        <c:lblAlgn val="ctr"/>
        <c:lblOffset val="100"/>
      </c:catAx>
      <c:valAx>
        <c:axId val="96385280"/>
        <c:scaling>
          <c:orientation val="minMax"/>
        </c:scaling>
        <c:axPos val="l"/>
        <c:majorGridlines/>
        <c:numFmt formatCode="General" sourceLinked="1"/>
        <c:tickLblPos val="nextTo"/>
        <c:crossAx val="96383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PE"/>
              <a:t>Indice de fallas por Mes</a:t>
            </a:r>
          </a:p>
        </c:rich>
      </c:tx>
      <c:layout>
        <c:manualLayout>
          <c:xMode val="edge"/>
          <c:yMode val="edge"/>
          <c:x val="0.45777777777777795"/>
          <c:y val="2.7586206896551738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Indice de fallas por ata</c:v>
          </c:tx>
          <c:cat>
            <c:numRef>
              <c:f>'2035'!$N$4:$N$22</c:f>
              <c:numCache>
                <c:formatCode>General</c:formatCode>
                <c:ptCount val="19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63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</c:numCache>
            </c:numRef>
          </c:cat>
          <c:val>
            <c:numRef>
              <c:f>'2035'!$M$4:$M$22</c:f>
              <c:numCache>
                <c:formatCode>0.00</c:formatCode>
                <c:ptCount val="19"/>
                <c:pt idx="0">
                  <c:v>1.7857142857142856E-2</c:v>
                </c:pt>
                <c:pt idx="1">
                  <c:v>3.5714285714285712E-2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3.5714285714285712E-2</c:v>
                </c:pt>
                <c:pt idx="7">
                  <c:v>0</c:v>
                </c:pt>
                <c:pt idx="8">
                  <c:v>0</c:v>
                </c:pt>
                <c:pt idx="9">
                  <c:v>1.7857142857142856E-2</c:v>
                </c:pt>
                <c:pt idx="10">
                  <c:v>0</c:v>
                </c:pt>
                <c:pt idx="11">
                  <c:v>1.7857142857142856E-2</c:v>
                </c:pt>
                <c:pt idx="12">
                  <c:v>1.7857142857142856E-2</c:v>
                </c:pt>
                <c:pt idx="13">
                  <c:v>0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hape val="cylinder"/>
        <c:axId val="96393472"/>
        <c:axId val="96481280"/>
        <c:axId val="0"/>
      </c:bar3DChart>
      <c:catAx>
        <c:axId val="96393472"/>
        <c:scaling>
          <c:orientation val="minMax"/>
        </c:scaling>
        <c:axPos val="b"/>
        <c:numFmt formatCode="General" sourceLinked="1"/>
        <c:tickLblPos val="nextTo"/>
        <c:crossAx val="96481280"/>
        <c:crosses val="autoZero"/>
        <c:auto val="1"/>
        <c:lblAlgn val="ctr"/>
        <c:lblOffset val="100"/>
      </c:catAx>
      <c:valAx>
        <c:axId val="96481280"/>
        <c:scaling>
          <c:orientation val="minMax"/>
        </c:scaling>
        <c:axPos val="l"/>
        <c:majorGridlines/>
        <c:numFmt formatCode="0.00" sourceLinked="1"/>
        <c:tickLblPos val="nextTo"/>
        <c:crossAx val="96393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Evolución de Indice Fallas por Ata</a:t>
            </a:r>
            <a:endParaRPr lang="es-P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Evolución de Ata por Mes</c:v>
          </c:tx>
          <c:cat>
            <c:strRef>
              <c:f>'2035'!$Y$4:$Y$10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'2035'!$Z$4:$Z$10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1.3698630136986301E-2</c:v>
                </c:pt>
                <c:pt idx="3">
                  <c:v>1.3157894736842105E-2</c:v>
                </c:pt>
                <c:pt idx="4">
                  <c:v>0</c:v>
                </c:pt>
                <c:pt idx="5">
                  <c:v>2.9411764705882353E-2</c:v>
                </c:pt>
                <c:pt idx="6">
                  <c:v>0</c:v>
                </c:pt>
              </c:numCache>
            </c:numRef>
          </c:val>
        </c:ser>
        <c:axId val="96501120"/>
        <c:axId val="96502912"/>
      </c:barChart>
      <c:catAx>
        <c:axId val="96501120"/>
        <c:scaling>
          <c:orientation val="minMax"/>
        </c:scaling>
        <c:axPos val="b"/>
        <c:numFmt formatCode="General" sourceLinked="0"/>
        <c:tickLblPos val="nextTo"/>
        <c:crossAx val="96502912"/>
        <c:crosses val="autoZero"/>
        <c:auto val="1"/>
        <c:lblAlgn val="ctr"/>
        <c:lblOffset val="100"/>
      </c:catAx>
      <c:valAx>
        <c:axId val="96502912"/>
        <c:scaling>
          <c:orientation val="minMax"/>
        </c:scaling>
        <c:axPos val="l"/>
        <c:majorGridlines/>
        <c:numFmt formatCode="0.00" sourceLinked="1"/>
        <c:tickLblPos val="nextTo"/>
        <c:crossAx val="96501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Reportajes de 2035 en meses</c:v>
          </c:tx>
          <c:cat>
            <c:strRef>
              <c:f>'2035'!$O$3:$U$3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'2035'!$O$23:$U$23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shape val="cylinder"/>
        <c:axId val="96523392"/>
        <c:axId val="96524928"/>
        <c:axId val="0"/>
      </c:bar3DChart>
      <c:catAx>
        <c:axId val="96523392"/>
        <c:scaling>
          <c:orientation val="minMax"/>
        </c:scaling>
        <c:axPos val="b"/>
        <c:numFmt formatCode="General" sourceLinked="0"/>
        <c:tickLblPos val="nextTo"/>
        <c:crossAx val="96524928"/>
        <c:crosses val="autoZero"/>
        <c:auto val="1"/>
        <c:lblAlgn val="ctr"/>
        <c:lblOffset val="100"/>
      </c:catAx>
      <c:valAx>
        <c:axId val="96524928"/>
        <c:scaling>
          <c:orientation val="minMax"/>
        </c:scaling>
        <c:axPos val="l"/>
        <c:majorGridlines/>
        <c:numFmt formatCode="General" sourceLinked="1"/>
        <c:tickLblPos val="nextTo"/>
        <c:crossAx val="96523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Indice de fallas total Meses-2035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Indice de fallas total Meses-1996</c:v>
          </c:tx>
          <c:cat>
            <c:strRef>
              <c:f>'2035'!$O$3:$U$3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'2035'!$O$24:$U$24</c:f>
              <c:numCache>
                <c:formatCode>0.00</c:formatCode>
                <c:ptCount val="7"/>
                <c:pt idx="0">
                  <c:v>0.17948717948717949</c:v>
                </c:pt>
                <c:pt idx="1">
                  <c:v>0.13333333333333333</c:v>
                </c:pt>
                <c:pt idx="2">
                  <c:v>0.15068493150684931</c:v>
                </c:pt>
                <c:pt idx="3">
                  <c:v>0.11842105263157894</c:v>
                </c:pt>
                <c:pt idx="4">
                  <c:v>0.16071428571428573</c:v>
                </c:pt>
                <c:pt idx="5">
                  <c:v>0.17647058823529413</c:v>
                </c:pt>
                <c:pt idx="6">
                  <c:v>0.10909090909090909</c:v>
                </c:pt>
              </c:numCache>
            </c:numRef>
          </c:val>
        </c:ser>
        <c:shape val="cylinder"/>
        <c:axId val="96426624"/>
        <c:axId val="96444800"/>
        <c:axId val="0"/>
      </c:bar3DChart>
      <c:catAx>
        <c:axId val="96426624"/>
        <c:scaling>
          <c:orientation val="minMax"/>
        </c:scaling>
        <c:axPos val="b"/>
        <c:numFmt formatCode="General" sourceLinked="0"/>
        <c:tickLblPos val="nextTo"/>
        <c:crossAx val="96444800"/>
        <c:crosses val="autoZero"/>
        <c:auto val="1"/>
        <c:lblAlgn val="ctr"/>
        <c:lblOffset val="100"/>
      </c:catAx>
      <c:valAx>
        <c:axId val="96444800"/>
        <c:scaling>
          <c:orientation val="minMax"/>
        </c:scaling>
        <c:axPos val="l"/>
        <c:majorGridlines/>
        <c:numFmt formatCode="0.00" sourceLinked="1"/>
        <c:tickLblPos val="nextTo"/>
        <c:crossAx val="96426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COMPLETO.xlsx]Reportes-2081 !Tabla dinámica5</c:name>
    <c:fmtId val="0"/>
  </c:pivotSource>
  <c:chart>
    <c:title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'Reportes-2081 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'Reportes-2081 '!$A$5:$A$17</c:f>
              <c:strCache>
                <c:ptCount val="12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72</c:v>
                </c:pt>
                <c:pt idx="9">
                  <c:v>74</c:v>
                </c:pt>
                <c:pt idx="10">
                  <c:v>77</c:v>
                </c:pt>
                <c:pt idx="11">
                  <c:v>78</c:v>
                </c:pt>
              </c:strCache>
            </c:strRef>
          </c:cat>
          <c:val>
            <c:numRef>
              <c:f>'Reportes-2081 '!$B$5:$B$17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hape val="cylinder"/>
        <c:axId val="98838784"/>
        <c:axId val="98848768"/>
        <c:axId val="0"/>
      </c:bar3DChart>
      <c:catAx>
        <c:axId val="98838784"/>
        <c:scaling>
          <c:orientation val="minMax"/>
        </c:scaling>
        <c:axPos val="b"/>
        <c:numFmt formatCode="General" sourceLinked="0"/>
        <c:tickLblPos val="nextTo"/>
        <c:crossAx val="98848768"/>
        <c:crosses val="autoZero"/>
        <c:auto val="1"/>
        <c:lblAlgn val="ctr"/>
        <c:lblOffset val="100"/>
      </c:catAx>
      <c:valAx>
        <c:axId val="98848768"/>
        <c:scaling>
          <c:orientation val="minMax"/>
        </c:scaling>
        <c:axPos val="l"/>
        <c:majorGridlines/>
        <c:numFmt formatCode="General" sourceLinked="1"/>
        <c:tickLblPos val="nextTo"/>
        <c:crossAx val="98838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COMPLETO.xlsx]Reportes-2081 !Tabla dinámica6</c:name>
    <c:fmtId val="0"/>
  </c:pivotSource>
  <c:chart>
    <c:title>
      <c:layout>
        <c:manualLayout>
          <c:xMode val="edge"/>
          <c:yMode val="edge"/>
          <c:x val="0.70777777777777773"/>
          <c:y val="2.7118644067796599E-2"/>
        </c:manualLayout>
      </c:layout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'Reportes-2081 '!$B$23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'Reportes-2081 '!$A$24:$A$27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'Reportes-2081 '!$B$24:$B$27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</c:ser>
        <c:shape val="cylinder"/>
        <c:axId val="98865152"/>
        <c:axId val="98866688"/>
        <c:axId val="0"/>
      </c:bar3DChart>
      <c:catAx>
        <c:axId val="98865152"/>
        <c:scaling>
          <c:orientation val="minMax"/>
        </c:scaling>
        <c:axPos val="b"/>
        <c:numFmt formatCode="General" sourceLinked="0"/>
        <c:tickLblPos val="nextTo"/>
        <c:crossAx val="98866688"/>
        <c:crosses val="autoZero"/>
        <c:auto val="1"/>
        <c:lblAlgn val="ctr"/>
        <c:lblOffset val="100"/>
      </c:catAx>
      <c:valAx>
        <c:axId val="98866688"/>
        <c:scaling>
          <c:orientation val="minMax"/>
        </c:scaling>
        <c:axPos val="l"/>
        <c:majorGridlines/>
        <c:numFmt formatCode="General" sourceLinked="1"/>
        <c:tickLblPos val="nextTo"/>
        <c:crossAx val="98865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Indice de fallas por Mes</c:v>
          </c:tx>
          <c:cat>
            <c:numRef>
              <c:f>'2081'!$N$4:$N$15</c:f>
              <c:numCache>
                <c:formatCode>General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72</c:v>
                </c:pt>
                <c:pt idx="9">
                  <c:v>74</c:v>
                </c:pt>
                <c:pt idx="10">
                  <c:v>77</c:v>
                </c:pt>
                <c:pt idx="11">
                  <c:v>78</c:v>
                </c:pt>
              </c:numCache>
            </c:numRef>
          </c:cat>
          <c:val>
            <c:numRef>
              <c:f>'2081'!$M$4:$M$15</c:f>
              <c:numCache>
                <c:formatCode>0.00</c:formatCode>
                <c:ptCount val="12"/>
                <c:pt idx="0">
                  <c:v>6.6666666666666666E-2</c:v>
                </c:pt>
                <c:pt idx="1">
                  <c:v>6.6666666666666666E-2</c:v>
                </c:pt>
                <c:pt idx="2">
                  <c:v>0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</c:v>
                </c:pt>
                <c:pt idx="6">
                  <c:v>0.13333333333333333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98874880"/>
        <c:axId val="98876416"/>
        <c:axId val="0"/>
      </c:bar3DChart>
      <c:catAx>
        <c:axId val="98874880"/>
        <c:scaling>
          <c:orientation val="minMax"/>
        </c:scaling>
        <c:axPos val="b"/>
        <c:numFmt formatCode="General" sourceLinked="1"/>
        <c:tickLblPos val="nextTo"/>
        <c:crossAx val="98876416"/>
        <c:crosses val="autoZero"/>
        <c:auto val="1"/>
        <c:lblAlgn val="ctr"/>
        <c:lblOffset val="100"/>
      </c:catAx>
      <c:valAx>
        <c:axId val="98876416"/>
        <c:scaling>
          <c:orientation val="minMax"/>
        </c:scaling>
        <c:axPos val="l"/>
        <c:majorGridlines/>
        <c:numFmt formatCode="0.00" sourceLinked="1"/>
        <c:tickLblPos val="nextTo"/>
        <c:crossAx val="98874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Evolución de Indice Fallas por Ata</a:t>
            </a:r>
          </a:p>
        </c:rich>
      </c:tx>
    </c:title>
    <c:plotArea>
      <c:layout>
        <c:manualLayout>
          <c:layoutTarget val="inner"/>
          <c:xMode val="edge"/>
          <c:yMode val="edge"/>
          <c:x val="0.11808573928258992"/>
          <c:y val="0.21332203266258384"/>
          <c:w val="0.55813648293963258"/>
          <c:h val="0.6008628608923885"/>
        </c:manualLayout>
      </c:layout>
      <c:barChart>
        <c:barDir val="col"/>
        <c:grouping val="clustered"/>
        <c:ser>
          <c:idx val="0"/>
          <c:order val="0"/>
          <c:tx>
            <c:v>Evolución de Indice fallas por Ata</c:v>
          </c:tx>
          <c:cat>
            <c:strRef>
              <c:f>'2081'!$Y$4:$Y$10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'2081'!$Z$4:$Z$10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3.4482758620689655E-2</c:v>
                </c:pt>
              </c:numCache>
            </c:numRef>
          </c:val>
        </c:ser>
        <c:axId val="95955584"/>
        <c:axId val="95961472"/>
      </c:barChart>
      <c:catAx>
        <c:axId val="95955584"/>
        <c:scaling>
          <c:orientation val="minMax"/>
        </c:scaling>
        <c:axPos val="b"/>
        <c:numFmt formatCode="General" sourceLinked="0"/>
        <c:tickLblPos val="nextTo"/>
        <c:crossAx val="95961472"/>
        <c:crosses val="autoZero"/>
        <c:auto val="1"/>
        <c:lblAlgn val="ctr"/>
        <c:lblOffset val="100"/>
      </c:catAx>
      <c:valAx>
        <c:axId val="95961472"/>
        <c:scaling>
          <c:orientation val="minMax"/>
        </c:scaling>
        <c:axPos val="l"/>
        <c:majorGridlines/>
        <c:numFmt formatCode="0.00" sourceLinked="1"/>
        <c:tickLblPos val="nextTo"/>
        <c:crossAx val="95955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Reportajes del 2081 en meses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Reportes del 2081 en meses</c:v>
          </c:tx>
          <c:cat>
            <c:strRef>
              <c:f>'2081'!$O$3:$U$3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'2081'!$O$16:$U$16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hape val="cylinder"/>
        <c:axId val="95981952"/>
        <c:axId val="95983488"/>
        <c:axId val="0"/>
      </c:bar3DChart>
      <c:catAx>
        <c:axId val="95981952"/>
        <c:scaling>
          <c:orientation val="minMax"/>
        </c:scaling>
        <c:axPos val="b"/>
        <c:numFmt formatCode="General" sourceLinked="0"/>
        <c:tickLblPos val="nextTo"/>
        <c:crossAx val="95983488"/>
        <c:crosses val="autoZero"/>
        <c:auto val="1"/>
        <c:lblAlgn val="ctr"/>
        <c:lblOffset val="100"/>
      </c:catAx>
      <c:valAx>
        <c:axId val="95983488"/>
        <c:scaling>
          <c:orientation val="minMax"/>
        </c:scaling>
        <c:axPos val="l"/>
        <c:majorGridlines/>
        <c:numFmt formatCode="General" sourceLinked="1"/>
        <c:tickLblPos val="nextTo"/>
        <c:crossAx val="95981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10"/>
  <c:chart>
    <c:title>
      <c:tx>
        <c:rich>
          <a:bodyPr/>
          <a:lstStyle/>
          <a:p>
            <a:pPr>
              <a:defRPr/>
            </a:pPr>
            <a:r>
              <a:rPr lang="es-MX"/>
              <a:t>Representación</a:t>
            </a:r>
            <a:r>
              <a:rPr lang="es-MX" baseline="0"/>
              <a:t> Graficas Atas vs. Numero de Incidencias </a:t>
            </a:r>
            <a:endParaRPr lang="es-MX"/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v>Numero de Incidencia</c:v>
          </c:tx>
          <c:cat>
            <c:numRef>
              <c:f>'2014'!$A$4:$A$59</c:f>
              <c:numCache>
                <c:formatCode>General</c:formatCode>
                <c:ptCount val="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41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91</c:v>
                </c:pt>
                <c:pt idx="55">
                  <c:v>95</c:v>
                </c:pt>
              </c:numCache>
            </c:numRef>
          </c:cat>
          <c:val>
            <c:numRef>
              <c:f>'2014'!$G$4:$G$59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9</c:v>
                </c:pt>
                <c:pt idx="9">
                  <c:v>1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10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axId val="94726400"/>
        <c:axId val="94736384"/>
      </c:barChart>
      <c:catAx>
        <c:axId val="94726400"/>
        <c:scaling>
          <c:orientation val="minMax"/>
        </c:scaling>
        <c:axPos val="b"/>
        <c:numFmt formatCode="General" sourceLinked="0"/>
        <c:majorTickMark val="none"/>
        <c:tickLblPos val="nextTo"/>
        <c:crossAx val="94736384"/>
        <c:crosses val="autoZero"/>
        <c:auto val="1"/>
        <c:lblAlgn val="ctr"/>
        <c:lblOffset val="100"/>
      </c:catAx>
      <c:valAx>
        <c:axId val="947363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72640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solidFill>
        <a:schemeClr val="tx2">
          <a:lumMod val="75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Indice de fallas total Meses-2081</c:v>
          </c:tx>
          <c:cat>
            <c:strRef>
              <c:f>'2081'!$O$3:$U$3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'2081'!$O$17:$U$17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0.46666666666666667</c:v>
                </c:pt>
                <c:pt idx="6">
                  <c:v>0.27586206896551724</c:v>
                </c:pt>
              </c:numCache>
            </c:numRef>
          </c:val>
        </c:ser>
        <c:shape val="cylinder"/>
        <c:axId val="98903936"/>
        <c:axId val="98905472"/>
        <c:axId val="0"/>
      </c:bar3DChart>
      <c:catAx>
        <c:axId val="98903936"/>
        <c:scaling>
          <c:orientation val="minMax"/>
        </c:scaling>
        <c:axPos val="b"/>
        <c:numFmt formatCode="General" sourceLinked="0"/>
        <c:tickLblPos val="nextTo"/>
        <c:crossAx val="98905472"/>
        <c:crosses val="autoZero"/>
        <c:auto val="1"/>
        <c:lblAlgn val="ctr"/>
        <c:lblOffset val="100"/>
      </c:catAx>
      <c:valAx>
        <c:axId val="98905472"/>
        <c:scaling>
          <c:orientation val="minMax"/>
        </c:scaling>
        <c:axPos val="l"/>
        <c:majorGridlines/>
        <c:numFmt formatCode="0.00" sourceLinked="1"/>
        <c:tickLblPos val="nextTo"/>
        <c:crossAx val="98903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 -2082!Tabla dinámica7</c:name>
    <c:fmtId val="0"/>
  </c:pivotSource>
  <c:chart>
    <c:title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 -2082'!$B$4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 -2082'!$A$5:$A$16</c:f>
              <c:strCach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63</c:v>
                </c:pt>
                <c:pt idx="8">
                  <c:v>64</c:v>
                </c:pt>
                <c:pt idx="9">
                  <c:v>67</c:v>
                </c:pt>
                <c:pt idx="10">
                  <c:v>72</c:v>
                </c:pt>
              </c:strCache>
            </c:strRef>
          </c:cat>
          <c:val>
            <c:numRef>
              <c:f>'Reportes -2082'!$B$5:$B$16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hape val="cylinder"/>
        <c:axId val="99054720"/>
        <c:axId val="99056256"/>
        <c:axId val="0"/>
      </c:bar3DChart>
      <c:catAx>
        <c:axId val="99054720"/>
        <c:scaling>
          <c:orientation val="minMax"/>
        </c:scaling>
        <c:axPos val="b"/>
        <c:numFmt formatCode="General" sourceLinked="0"/>
        <c:tickLblPos val="nextTo"/>
        <c:crossAx val="99056256"/>
        <c:crosses val="autoZero"/>
        <c:auto val="1"/>
        <c:lblAlgn val="ctr"/>
        <c:lblOffset val="100"/>
      </c:catAx>
      <c:valAx>
        <c:axId val="99056256"/>
        <c:scaling>
          <c:orientation val="minMax"/>
        </c:scaling>
        <c:axPos val="l"/>
        <c:majorGridlines/>
        <c:numFmt formatCode="General" sourceLinked="1"/>
        <c:tickLblPos val="nextTo"/>
        <c:crossAx val="99054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 -2082!Tabla dinámica8</c:name>
    <c:fmtId val="0"/>
  </c:pivotSource>
  <c:chart>
    <c:title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 -2082'!$B$25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 -2082'!$A$26:$A$29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'Reportes -2082'!$B$26:$B$29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hape val="cylinder"/>
        <c:axId val="99076736"/>
        <c:axId val="99086720"/>
        <c:axId val="0"/>
      </c:bar3DChart>
      <c:catAx>
        <c:axId val="99076736"/>
        <c:scaling>
          <c:orientation val="minMax"/>
        </c:scaling>
        <c:axPos val="b"/>
        <c:numFmt formatCode="General" sourceLinked="0"/>
        <c:tickLblPos val="nextTo"/>
        <c:crossAx val="99086720"/>
        <c:crosses val="autoZero"/>
        <c:auto val="1"/>
        <c:lblAlgn val="ctr"/>
        <c:lblOffset val="100"/>
      </c:catAx>
      <c:valAx>
        <c:axId val="99086720"/>
        <c:scaling>
          <c:orientation val="minMax"/>
        </c:scaling>
        <c:axPos val="l"/>
        <c:majorGridlines/>
        <c:numFmt formatCode="General" sourceLinked="1"/>
        <c:tickLblPos val="nextTo"/>
        <c:crossAx val="99076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Indice de fallas por Mes</a:t>
            </a:r>
            <a:endParaRPr lang="es-P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ryer</c:v>
          </c:tx>
          <c:cat>
            <c:numRef>
              <c:f>'2082'!$N$4:$N$14</c:f>
              <c:numCache>
                <c:formatCode>General</c:formatCod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63</c:v>
                </c:pt>
                <c:pt idx="8">
                  <c:v>64</c:v>
                </c:pt>
                <c:pt idx="9">
                  <c:v>67</c:v>
                </c:pt>
                <c:pt idx="10">
                  <c:v>72</c:v>
                </c:pt>
              </c:numCache>
            </c:numRef>
          </c:cat>
          <c:val>
            <c:numRef>
              <c:f>'2082'!$M$4:$M$14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2.9411764705882353E-2</c:v>
                </c:pt>
                <c:pt idx="5">
                  <c:v>5.8823529411764705E-2</c:v>
                </c:pt>
                <c:pt idx="6">
                  <c:v>5.8823529411764705E-2</c:v>
                </c:pt>
                <c:pt idx="7">
                  <c:v>2.9411764705882353E-2</c:v>
                </c:pt>
                <c:pt idx="8">
                  <c:v>0</c:v>
                </c:pt>
                <c:pt idx="9">
                  <c:v>2.9411764705882353E-2</c:v>
                </c:pt>
                <c:pt idx="10">
                  <c:v>2.9411764705882353E-2</c:v>
                </c:pt>
              </c:numCache>
            </c:numRef>
          </c:val>
        </c:ser>
        <c:shape val="cylinder"/>
        <c:axId val="99127680"/>
        <c:axId val="99129216"/>
        <c:axId val="0"/>
      </c:bar3DChart>
      <c:catAx>
        <c:axId val="99127680"/>
        <c:scaling>
          <c:orientation val="minMax"/>
        </c:scaling>
        <c:axPos val="b"/>
        <c:numFmt formatCode="General" sourceLinked="1"/>
        <c:tickLblPos val="nextTo"/>
        <c:crossAx val="99129216"/>
        <c:crosses val="autoZero"/>
        <c:auto val="1"/>
        <c:lblAlgn val="ctr"/>
        <c:lblOffset val="100"/>
      </c:catAx>
      <c:valAx>
        <c:axId val="99129216"/>
        <c:scaling>
          <c:orientation val="minMax"/>
        </c:scaling>
        <c:axPos val="l"/>
        <c:majorGridlines/>
        <c:numFmt formatCode="0.00" sourceLinked="1"/>
        <c:tickLblPos val="nextTo"/>
        <c:crossAx val="99127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plotArea>
      <c:layout/>
      <c:barChart>
        <c:barDir val="col"/>
        <c:grouping val="clustered"/>
        <c:ser>
          <c:idx val="0"/>
          <c:order val="0"/>
          <c:tx>
            <c:v>Evolución de Indice Fallas por Ata</c:v>
          </c:tx>
          <c:cat>
            <c:strRef>
              <c:f>'2082'!$Y$4:$Y$10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'2082'!$Z$4:$Z$10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</c:ser>
        <c:axId val="99153408"/>
        <c:axId val="99154944"/>
      </c:barChart>
      <c:catAx>
        <c:axId val="99153408"/>
        <c:scaling>
          <c:orientation val="minMax"/>
        </c:scaling>
        <c:axPos val="b"/>
        <c:numFmt formatCode="General" sourceLinked="0"/>
        <c:tickLblPos val="nextTo"/>
        <c:crossAx val="99154944"/>
        <c:crosses val="autoZero"/>
        <c:auto val="1"/>
        <c:lblAlgn val="ctr"/>
        <c:lblOffset val="100"/>
      </c:catAx>
      <c:valAx>
        <c:axId val="99154944"/>
        <c:scaling>
          <c:orientation val="minMax"/>
        </c:scaling>
        <c:axPos val="l"/>
        <c:majorGridlines/>
        <c:numFmt formatCode="0.00" sourceLinked="1"/>
        <c:tickLblPos val="nextTo"/>
        <c:crossAx val="99153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Reportajes del 2082 en meses</c:v>
          </c:tx>
          <c:cat>
            <c:strRef>
              <c:f>'2082'!$O$3:$U$3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'2082'!$O$15:$U$15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</c:ser>
        <c:shape val="cylinder"/>
        <c:axId val="99236864"/>
        <c:axId val="99242752"/>
        <c:axId val="0"/>
      </c:bar3DChart>
      <c:catAx>
        <c:axId val="99236864"/>
        <c:scaling>
          <c:orientation val="minMax"/>
        </c:scaling>
        <c:axPos val="b"/>
        <c:numFmt formatCode="General" sourceLinked="0"/>
        <c:tickLblPos val="nextTo"/>
        <c:crossAx val="99242752"/>
        <c:crosses val="autoZero"/>
        <c:auto val="1"/>
        <c:lblAlgn val="ctr"/>
        <c:lblOffset val="100"/>
      </c:catAx>
      <c:valAx>
        <c:axId val="99242752"/>
        <c:scaling>
          <c:orientation val="minMax"/>
        </c:scaling>
        <c:axPos val="l"/>
        <c:majorGridlines/>
        <c:numFmt formatCode="General" sourceLinked="1"/>
        <c:tickLblPos val="nextTo"/>
        <c:crossAx val="99236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layout>
        <c:manualLayout>
          <c:xMode val="edge"/>
          <c:yMode val="edge"/>
          <c:x val="0.24017245493216174"/>
          <c:y val="2.693602693602693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Indice de fallas total Meses-2082</c:v>
          </c:tx>
          <c:cat>
            <c:strRef>
              <c:f>'2082'!$O$3:$U$3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'2082'!$O$16:$U$16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</c:numCache>
            </c:numRef>
          </c:val>
        </c:ser>
        <c:shape val="cylinder"/>
        <c:axId val="99283712"/>
        <c:axId val="99285248"/>
        <c:axId val="0"/>
      </c:bar3DChart>
      <c:catAx>
        <c:axId val="99283712"/>
        <c:scaling>
          <c:orientation val="minMax"/>
        </c:scaling>
        <c:axPos val="b"/>
        <c:numFmt formatCode="General" sourceLinked="0"/>
        <c:tickLblPos val="nextTo"/>
        <c:crossAx val="99285248"/>
        <c:crosses val="autoZero"/>
        <c:auto val="1"/>
        <c:lblAlgn val="ctr"/>
        <c:lblOffset val="100"/>
      </c:catAx>
      <c:valAx>
        <c:axId val="99285248"/>
        <c:scaling>
          <c:orientation val="minMax"/>
        </c:scaling>
        <c:axPos val="l"/>
        <c:majorGridlines/>
        <c:numFmt formatCode="0.00" sourceLinked="1"/>
        <c:tickLblPos val="nextTo"/>
        <c:crossAx val="99283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Aviones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 Global 4 aviones'!$A$10</c:f>
              <c:strCache>
                <c:ptCount val="1"/>
                <c:pt idx="0">
                  <c:v>Avion</c:v>
                </c:pt>
              </c:strCache>
            </c:strRef>
          </c:tx>
          <c:cat>
            <c:numRef>
              <c:f>'Reporte Global 4 aviones'!$A$11:$A$14</c:f>
              <c:numCache>
                <c:formatCode>General</c:formatCode>
                <c:ptCount val="4"/>
                <c:pt idx="0">
                  <c:v>1996</c:v>
                </c:pt>
                <c:pt idx="1">
                  <c:v>2035</c:v>
                </c:pt>
                <c:pt idx="2">
                  <c:v>2081</c:v>
                </c:pt>
                <c:pt idx="3">
                  <c:v>2082</c:v>
                </c:pt>
              </c:numCache>
            </c:numRef>
          </c:cat>
          <c:val>
            <c:numRef>
              <c:f>'Reporte Global 4 aviones'!$B$11:$B$14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cylinder"/>
        <c:axId val="99340672"/>
        <c:axId val="99342208"/>
        <c:axId val="0"/>
      </c:bar3DChart>
      <c:catAx>
        <c:axId val="99340672"/>
        <c:scaling>
          <c:orientation val="minMax"/>
        </c:scaling>
        <c:axPos val="b"/>
        <c:numFmt formatCode="General" sourceLinked="1"/>
        <c:tickLblPos val="nextTo"/>
        <c:crossAx val="99342208"/>
        <c:crosses val="autoZero"/>
        <c:auto val="1"/>
        <c:lblAlgn val="ctr"/>
        <c:lblOffset val="100"/>
      </c:catAx>
      <c:valAx>
        <c:axId val="99342208"/>
        <c:scaling>
          <c:orientation val="minMax"/>
        </c:scaling>
        <c:axPos val="l"/>
        <c:majorGridlines/>
        <c:numFmt formatCode="General" sourceLinked="1"/>
        <c:tickLblPos val="nextTo"/>
        <c:crossAx val="99340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Incidencias vs. Aeronave</c:v>
          </c:tx>
          <c:cat>
            <c:numRef>
              <c:f>'Reporte Global 4 aviones'!$A$30:$A$33</c:f>
              <c:numCache>
                <c:formatCode>General</c:formatCode>
                <c:ptCount val="4"/>
                <c:pt idx="0">
                  <c:v>1996</c:v>
                </c:pt>
                <c:pt idx="1">
                  <c:v>2035</c:v>
                </c:pt>
                <c:pt idx="2">
                  <c:v>2081</c:v>
                </c:pt>
                <c:pt idx="3">
                  <c:v>2082</c:v>
                </c:pt>
              </c:numCache>
            </c:numRef>
          </c:cat>
          <c:val>
            <c:numRef>
              <c:f>'Reporte Global 4 aviones'!$B$30:$B$33</c:f>
              <c:numCache>
                <c:formatCode>#,##0.00</c:formatCode>
                <c:ptCount val="4"/>
                <c:pt idx="0">
                  <c:v>0</c:v>
                </c:pt>
                <c:pt idx="1">
                  <c:v>0.11842105263157894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cylinder"/>
        <c:axId val="99370880"/>
        <c:axId val="99372416"/>
        <c:axId val="0"/>
      </c:bar3DChart>
      <c:catAx>
        <c:axId val="99370880"/>
        <c:scaling>
          <c:orientation val="minMax"/>
        </c:scaling>
        <c:axPos val="b"/>
        <c:numFmt formatCode="General" sourceLinked="1"/>
        <c:tickLblPos val="nextTo"/>
        <c:crossAx val="99372416"/>
        <c:crosses val="autoZero"/>
        <c:auto val="1"/>
        <c:lblAlgn val="ctr"/>
        <c:lblOffset val="100"/>
      </c:catAx>
      <c:valAx>
        <c:axId val="99372416"/>
        <c:scaling>
          <c:orientation val="minMax"/>
        </c:scaling>
        <c:axPos val="l"/>
        <c:majorGridlines/>
        <c:numFmt formatCode="#,##0.00" sourceLinked="1"/>
        <c:tickLblPos val="nextTo"/>
        <c:crossAx val="99370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COMPLETO.xlsx]Reportajes -1996!Tabla dinámica6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'Reportajes -1996'!$B$4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'Reportajes -1996'!$A$5:$A$16</c:f>
              <c:strCache>
                <c:ptCount val="11"/>
                <c:pt idx="0">
                  <c:v>22</c:v>
                </c:pt>
                <c:pt idx="1">
                  <c:v>23</c:v>
                </c:pt>
                <c:pt idx="2">
                  <c:v>29</c:v>
                </c:pt>
                <c:pt idx="3">
                  <c:v>31</c:v>
                </c:pt>
                <c:pt idx="4">
                  <c:v>34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</c:strCache>
            </c:strRef>
          </c:cat>
          <c:val>
            <c:numRef>
              <c:f>'Reportajes -1996'!$B$5:$B$16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hape val="cylinder"/>
        <c:axId val="94188288"/>
        <c:axId val="94189824"/>
        <c:axId val="0"/>
      </c:bar3DChart>
      <c:catAx>
        <c:axId val="94188288"/>
        <c:scaling>
          <c:orientation val="minMax"/>
        </c:scaling>
        <c:axPos val="b"/>
        <c:numFmt formatCode="General" sourceLinked="0"/>
        <c:tickLblPos val="nextTo"/>
        <c:crossAx val="94189824"/>
        <c:crosses val="autoZero"/>
        <c:auto val="1"/>
        <c:lblAlgn val="ctr"/>
        <c:lblOffset val="100"/>
      </c:catAx>
      <c:valAx>
        <c:axId val="94189824"/>
        <c:scaling>
          <c:orientation val="minMax"/>
        </c:scaling>
        <c:axPos val="l"/>
        <c:majorGridlines/>
        <c:numFmt formatCode="General" sourceLinked="1"/>
        <c:tickLblPos val="nextTo"/>
        <c:crossAx val="941882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COMPLETO.xlsx]Reportajes -1996!Tabla dinámica9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'Reportajes -1996'!$B$22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'Reportajes -1996'!$A$23:$A$27</c:f>
              <c:strCache>
                <c:ptCount val="4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</c:strCache>
            </c:strRef>
          </c:cat>
          <c:val>
            <c:numRef>
              <c:f>'Reportajes -1996'!$B$23:$B$27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</c:ser>
        <c:shape val="cylinder"/>
        <c:axId val="94214400"/>
        <c:axId val="94220288"/>
        <c:axId val="0"/>
      </c:bar3DChart>
      <c:catAx>
        <c:axId val="94214400"/>
        <c:scaling>
          <c:orientation val="minMax"/>
        </c:scaling>
        <c:axPos val="b"/>
        <c:numFmt formatCode="General" sourceLinked="0"/>
        <c:tickLblPos val="nextTo"/>
        <c:crossAx val="94220288"/>
        <c:crosses val="autoZero"/>
        <c:auto val="1"/>
        <c:lblAlgn val="ctr"/>
        <c:lblOffset val="100"/>
      </c:catAx>
      <c:valAx>
        <c:axId val="94220288"/>
        <c:scaling>
          <c:orientation val="minMax"/>
        </c:scaling>
        <c:axPos val="l"/>
        <c:majorGridlines/>
        <c:numFmt formatCode="General" sourceLinked="1"/>
        <c:tickLblPos val="nextTo"/>
        <c:crossAx val="94214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Indice de fallas por Mes</a:t>
            </a:r>
            <a:endParaRPr lang="es-PE"/>
          </a:p>
        </c:rich>
      </c:tx>
      <c:layout>
        <c:manualLayout>
          <c:xMode val="edge"/>
          <c:yMode val="edge"/>
          <c:x val="0.18204412573176892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Indicador por Mes</c:v>
          </c:tx>
          <c:cat>
            <c:numRef>
              <c:f>'1996'!$N$4:$N$14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29</c:v>
                </c:pt>
                <c:pt idx="3">
                  <c:v>31</c:v>
                </c:pt>
                <c:pt idx="4">
                  <c:v>34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</c:numCache>
            </c:numRef>
          </c:cat>
          <c:val>
            <c:numRef>
              <c:f>'1996'!$M$4:$M$14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</c:v>
                </c:pt>
                <c:pt idx="5">
                  <c:v>7.4999999999999997E-2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  <c:pt idx="10">
                  <c:v>0</c:v>
                </c:pt>
              </c:numCache>
            </c:numRef>
          </c:val>
        </c:ser>
        <c:axId val="94227840"/>
        <c:axId val="94237824"/>
      </c:barChart>
      <c:catAx>
        <c:axId val="94227840"/>
        <c:scaling>
          <c:orientation val="minMax"/>
        </c:scaling>
        <c:axPos val="b"/>
        <c:numFmt formatCode="General" sourceLinked="1"/>
        <c:tickLblPos val="nextTo"/>
        <c:crossAx val="94237824"/>
        <c:crosses val="autoZero"/>
        <c:auto val="1"/>
        <c:lblAlgn val="ctr"/>
        <c:lblOffset val="100"/>
      </c:catAx>
      <c:valAx>
        <c:axId val="94237824"/>
        <c:scaling>
          <c:orientation val="minMax"/>
        </c:scaling>
        <c:axPos val="l"/>
        <c:majorGridlines/>
        <c:numFmt formatCode="0.00" sourceLinked="1"/>
        <c:tickLblPos val="nextTo"/>
        <c:crossAx val="94227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Evolución de Indice Fallas por Ata</a:t>
            </a:r>
            <a:endParaRPr lang="es-PE"/>
          </a:p>
        </c:rich>
      </c:tx>
      <c:layout/>
    </c:title>
    <c:plotArea>
      <c:layout>
        <c:manualLayout>
          <c:layoutTarget val="inner"/>
          <c:xMode val="edge"/>
          <c:yMode val="edge"/>
          <c:x val="0.13659269142038041"/>
          <c:y val="0.19353384713836574"/>
          <c:w val="0.60347790868047735"/>
          <c:h val="0.68372573569646589"/>
        </c:manualLayout>
      </c:layout>
      <c:barChart>
        <c:barDir val="col"/>
        <c:grouping val="clustered"/>
        <c:ser>
          <c:idx val="0"/>
          <c:order val="0"/>
          <c:tx>
            <c:v>Indice de Fallas vs. Mes</c:v>
          </c:tx>
          <c:cat>
            <c:strRef>
              <c:f>'1996'!$Y$4:$Y$12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'1996'!$Z$4:$Z$12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  <c:pt idx="6">
                  <c:v>0</c:v>
                </c:pt>
              </c:numCache>
            </c:numRef>
          </c:val>
        </c:ser>
        <c:axId val="96031488"/>
        <c:axId val="96033024"/>
      </c:barChart>
      <c:catAx>
        <c:axId val="96031488"/>
        <c:scaling>
          <c:orientation val="minMax"/>
        </c:scaling>
        <c:axPos val="b"/>
        <c:numFmt formatCode="General" sourceLinked="1"/>
        <c:majorTickMark val="none"/>
        <c:tickLblPos val="nextTo"/>
        <c:crossAx val="96033024"/>
        <c:crosses val="autoZero"/>
        <c:auto val="1"/>
        <c:lblAlgn val="ctr"/>
        <c:lblOffset val="100"/>
      </c:catAx>
      <c:valAx>
        <c:axId val="960330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6031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Reportajes del 1996 en meses</c:v>
          </c:tx>
          <c:cat>
            <c:strRef>
              <c:f>'1996'!$O$3:$U$3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'1996'!$O$15:$U$15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hape val="cylinder"/>
        <c:axId val="96061696"/>
        <c:axId val="96071680"/>
        <c:axId val="0"/>
      </c:bar3DChart>
      <c:catAx>
        <c:axId val="96061696"/>
        <c:scaling>
          <c:orientation val="minMax"/>
        </c:scaling>
        <c:axPos val="b"/>
        <c:numFmt formatCode="General" sourceLinked="0"/>
        <c:tickLblPos val="nextTo"/>
        <c:crossAx val="96071680"/>
        <c:crosses val="autoZero"/>
        <c:auto val="1"/>
        <c:lblAlgn val="ctr"/>
        <c:lblOffset val="100"/>
      </c:catAx>
      <c:valAx>
        <c:axId val="96071680"/>
        <c:scaling>
          <c:orientation val="minMax"/>
        </c:scaling>
        <c:axPos val="l"/>
        <c:majorGridlines/>
        <c:numFmt formatCode="General" sourceLinked="1"/>
        <c:tickLblPos val="nextTo"/>
        <c:crossAx val="96061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n-US"/>
              <a:t>Indice de fallas total Meses-1996</a:t>
            </a: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8.6348056627308087E-2"/>
          <c:y val="0.22143208661417324"/>
          <c:w val="0.71187024368109431"/>
          <c:h val="0.69276213910761075"/>
        </c:manualLayout>
      </c:layout>
      <c:bar3DChart>
        <c:barDir val="col"/>
        <c:grouping val="clustered"/>
        <c:ser>
          <c:idx val="0"/>
          <c:order val="0"/>
          <c:tx>
            <c:v>Indice de fallas total Meses</c:v>
          </c:tx>
          <c:cat>
            <c:strRef>
              <c:f>'1996'!$O$3:$U$3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'1996'!$O$16:$U$16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0.2857142857142857</c:v>
                </c:pt>
                <c:pt idx="5" formatCode="0.00">
                  <c:v>0.17499999999999999</c:v>
                </c:pt>
                <c:pt idx="6" formatCode="0.00">
                  <c:v>0.16666666666666666</c:v>
                </c:pt>
              </c:numCache>
            </c:numRef>
          </c:val>
        </c:ser>
        <c:shape val="cylinder"/>
        <c:axId val="96096256"/>
        <c:axId val="96097792"/>
        <c:axId val="0"/>
      </c:bar3DChart>
      <c:catAx>
        <c:axId val="96096256"/>
        <c:scaling>
          <c:orientation val="minMax"/>
        </c:scaling>
        <c:axPos val="b"/>
        <c:numFmt formatCode="General" sourceLinked="0"/>
        <c:tickLblPos val="nextTo"/>
        <c:crossAx val="96097792"/>
        <c:crosses val="autoZero"/>
        <c:auto val="1"/>
        <c:lblAlgn val="ctr"/>
        <c:lblOffset val="100"/>
      </c:catAx>
      <c:valAx>
        <c:axId val="96097792"/>
        <c:scaling>
          <c:orientation val="minMax"/>
        </c:scaling>
        <c:axPos val="l"/>
        <c:majorGridlines/>
        <c:numFmt formatCode="General" sourceLinked="1"/>
        <c:tickLblPos val="nextTo"/>
        <c:crossAx val="9609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92825154122"/>
          <c:y val="0.15185859580052496"/>
          <c:w val="0.27331071748458974"/>
          <c:h val="7.5345472440944888E-2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pivotSource>
    <c:name>[Estadistica de fallas COMPLETO.xlsx]Reportes -2035!Tabla dinámica3</c:name>
    <c:fmtId val="0"/>
  </c:pivotSource>
  <c:chart>
    <c:title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'Reportes -2035'!$B$4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'Reportes -2035'!$A$5:$A$24</c:f>
              <c:strCache>
                <c:ptCount val="19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63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</c:strCache>
            </c:strRef>
          </c:cat>
          <c:val>
            <c:numRef>
              <c:f>'Reportes -2035'!$B$5:$B$24</c:f>
              <c:numCache>
                <c:formatCode>General</c:formatCode>
                <c:ptCount val="19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hape val="cylinder"/>
        <c:axId val="96148480"/>
        <c:axId val="96363264"/>
        <c:axId val="0"/>
      </c:bar3DChart>
      <c:catAx>
        <c:axId val="96148480"/>
        <c:scaling>
          <c:orientation val="minMax"/>
        </c:scaling>
        <c:axPos val="b"/>
        <c:numFmt formatCode="General" sourceLinked="0"/>
        <c:tickLblPos val="nextTo"/>
        <c:crossAx val="96363264"/>
        <c:crosses val="autoZero"/>
        <c:auto val="1"/>
        <c:lblAlgn val="ctr"/>
        <c:lblOffset val="100"/>
      </c:catAx>
      <c:valAx>
        <c:axId val="96363264"/>
        <c:scaling>
          <c:orientation val="minMax"/>
        </c:scaling>
        <c:axPos val="l"/>
        <c:majorGridlines/>
        <c:numFmt formatCode="General" sourceLinked="1"/>
        <c:tickLblPos val="nextTo"/>
        <c:crossAx val="96148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264687</xdr:colOff>
      <xdr:row>2</xdr:row>
      <xdr:rowOff>189461</xdr:rowOff>
    </xdr:from>
    <xdr:to>
      <xdr:col>22</xdr:col>
      <xdr:colOff>192972</xdr:colOff>
      <xdr:row>58</xdr:row>
      <xdr:rowOff>67722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178170</xdr:colOff>
      <xdr:row>8</xdr:row>
      <xdr:rowOff>57151</xdr:rowOff>
    </xdr:from>
    <xdr:to>
      <xdr:col>9</xdr:col>
      <xdr:colOff>721095</xdr:colOff>
      <xdr:row>10</xdr:row>
      <xdr:rowOff>108698</xdr:rowOff>
    </xdr:to>
    <xdr:sp macro="" textlink="">
      <xdr:nvSpPr>
        <xdr:cNvPr id="7" name="6 Rectángulo"/>
        <xdr:cNvSpPr/>
      </xdr:nvSpPr>
      <xdr:spPr>
        <a:xfrm>
          <a:off x="6979020" y="1371601"/>
          <a:ext cx="542925" cy="3563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0</xdr:col>
      <xdr:colOff>0</xdr:colOff>
      <xdr:row>64</xdr:row>
      <xdr:rowOff>14006</xdr:rowOff>
    </xdr:from>
    <xdr:to>
      <xdr:col>20</xdr:col>
      <xdr:colOff>435349</xdr:colOff>
      <xdr:row>87</xdr:row>
      <xdr:rowOff>124944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694765</xdr:colOff>
      <xdr:row>81</xdr:row>
      <xdr:rowOff>56029</xdr:rowOff>
    </xdr:from>
    <xdr:to>
      <xdr:col>20</xdr:col>
      <xdr:colOff>475690</xdr:colOff>
      <xdr:row>83</xdr:row>
      <xdr:rowOff>107576</xdr:rowOff>
    </xdr:to>
    <xdr:sp macro="" textlink="">
      <xdr:nvSpPr>
        <xdr:cNvPr id="6" name="5 Rectángulo"/>
        <xdr:cNvSpPr/>
      </xdr:nvSpPr>
      <xdr:spPr>
        <a:xfrm>
          <a:off x="14948647" y="11979088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161925</xdr:rowOff>
    </xdr:from>
    <xdr:to>
      <xdr:col>17</xdr:col>
      <xdr:colOff>76200</xdr:colOff>
      <xdr:row>14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26</xdr:row>
      <xdr:rowOff>38100</xdr:rowOff>
    </xdr:from>
    <xdr:to>
      <xdr:col>13</xdr:col>
      <xdr:colOff>676275</xdr:colOff>
      <xdr:row>40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666750</xdr:colOff>
      <xdr:row>27</xdr:row>
      <xdr:rowOff>142875</xdr:rowOff>
    </xdr:from>
    <xdr:ext cx="184731" cy="264560"/>
    <xdr:sp macro="" textlink="">
      <xdr:nvSpPr>
        <xdr:cNvPr id="3" name="2 CuadroTexto"/>
        <xdr:cNvSpPr txBox="1"/>
      </xdr:nvSpPr>
      <xdr:spPr>
        <a:xfrm>
          <a:off x="8886825" y="4177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8051006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5" name="4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133350</xdr:rowOff>
    </xdr:from>
    <xdr:to>
      <xdr:col>16</xdr:col>
      <xdr:colOff>95250</xdr:colOff>
      <xdr:row>16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188258</xdr:colOff>
      <xdr:row>18</xdr:row>
      <xdr:rowOff>74519</xdr:rowOff>
    </xdr:from>
    <xdr:to>
      <xdr:col>16</xdr:col>
      <xdr:colOff>239806</xdr:colOff>
      <xdr:row>34</xdr:row>
      <xdr:rowOff>26894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37</xdr:row>
      <xdr:rowOff>28574</xdr:rowOff>
    </xdr:from>
    <xdr:to>
      <xdr:col>8</xdr:col>
      <xdr:colOff>392205</xdr:colOff>
      <xdr:row>50</xdr:row>
      <xdr:rowOff>156881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54</xdr:row>
      <xdr:rowOff>114300</xdr:rowOff>
    </xdr:from>
    <xdr:to>
      <xdr:col>8</xdr:col>
      <xdr:colOff>295275</xdr:colOff>
      <xdr:row>68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72</xdr:row>
      <xdr:rowOff>0</xdr:rowOff>
    </xdr:from>
    <xdr:to>
      <xdr:col>8</xdr:col>
      <xdr:colOff>171450</xdr:colOff>
      <xdr:row>86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85724</xdr:colOff>
      <xdr:row>89</xdr:row>
      <xdr:rowOff>171450</xdr:rowOff>
    </xdr:from>
    <xdr:to>
      <xdr:col>7</xdr:col>
      <xdr:colOff>590550</xdr:colOff>
      <xdr:row>105</xdr:row>
      <xdr:rowOff>171450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2" name="1 CuadroTexto"/>
        <xdr:cNvSpPr txBox="1"/>
      </xdr:nvSpPr>
      <xdr:spPr>
        <a:xfrm>
          <a:off x="9270206" y="102941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3" name="2 CuadroTexto"/>
        <xdr:cNvSpPr txBox="1"/>
      </xdr:nvSpPr>
      <xdr:spPr>
        <a:xfrm>
          <a:off x="4137025" y="8162925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7" name="6 CuadroTexto"/>
        <xdr:cNvSpPr txBox="1"/>
      </xdr:nvSpPr>
      <xdr:spPr>
        <a:xfrm>
          <a:off x="80605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8" name="7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twoCellAnchor>
    <xdr:from>
      <xdr:col>5</xdr:col>
      <xdr:colOff>552450</xdr:colOff>
      <xdr:row>71</xdr:row>
      <xdr:rowOff>85725</xdr:rowOff>
    </xdr:from>
    <xdr:to>
      <xdr:col>5</xdr:col>
      <xdr:colOff>1095375</xdr:colOff>
      <xdr:row>73</xdr:row>
      <xdr:rowOff>47625</xdr:rowOff>
    </xdr:to>
    <xdr:sp macro="" textlink="">
      <xdr:nvSpPr>
        <xdr:cNvPr id="10" name="9 Rectángulo"/>
        <xdr:cNvSpPr/>
      </xdr:nvSpPr>
      <xdr:spPr>
        <a:xfrm>
          <a:off x="8610600" y="19192875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2</xdr:row>
      <xdr:rowOff>28574</xdr:rowOff>
    </xdr:from>
    <xdr:to>
      <xdr:col>11</xdr:col>
      <xdr:colOff>95250</xdr:colOff>
      <xdr:row>21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26</xdr:row>
      <xdr:rowOff>95250</xdr:rowOff>
    </xdr:from>
    <xdr:to>
      <xdr:col>9</xdr:col>
      <xdr:colOff>95250</xdr:colOff>
      <xdr:row>41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47624</xdr:colOff>
      <xdr:row>44</xdr:row>
      <xdr:rowOff>180975</xdr:rowOff>
    </xdr:from>
    <xdr:to>
      <xdr:col>9</xdr:col>
      <xdr:colOff>485774</xdr:colOff>
      <xdr:row>59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62</xdr:row>
      <xdr:rowOff>114300</xdr:rowOff>
    </xdr:from>
    <xdr:to>
      <xdr:col>9</xdr:col>
      <xdr:colOff>323850</xdr:colOff>
      <xdr:row>75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79</xdr:row>
      <xdr:rowOff>9525</xdr:rowOff>
    </xdr:from>
    <xdr:to>
      <xdr:col>8</xdr:col>
      <xdr:colOff>542924</xdr:colOff>
      <xdr:row>92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96</xdr:row>
      <xdr:rowOff>171450</xdr:rowOff>
    </xdr:from>
    <xdr:to>
      <xdr:col>8</xdr:col>
      <xdr:colOff>447675</xdr:colOff>
      <xdr:row>110</xdr:row>
      <xdr:rowOff>161925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6" name="5 CuadroTexto"/>
        <xdr:cNvSpPr txBox="1"/>
      </xdr:nvSpPr>
      <xdr:spPr>
        <a:xfrm>
          <a:off x="80605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8" name="7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4</xdr:col>
      <xdr:colOff>666750</xdr:colOff>
      <xdr:row>23</xdr:row>
      <xdr:rowOff>0</xdr:rowOff>
    </xdr:from>
    <xdr:ext cx="184731" cy="264560"/>
    <xdr:sp macro="" textlink="">
      <xdr:nvSpPr>
        <xdr:cNvPr id="9" name="8 CuadroTexto"/>
        <xdr:cNvSpPr txBox="1"/>
      </xdr:nvSpPr>
      <xdr:spPr>
        <a:xfrm>
          <a:off x="777240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twoCellAnchor>
    <xdr:from>
      <xdr:col>5</xdr:col>
      <xdr:colOff>209550</xdr:colOff>
      <xdr:row>36</xdr:row>
      <xdr:rowOff>85725</xdr:rowOff>
    </xdr:from>
    <xdr:to>
      <xdr:col>5</xdr:col>
      <xdr:colOff>752475</xdr:colOff>
      <xdr:row>38</xdr:row>
      <xdr:rowOff>47625</xdr:rowOff>
    </xdr:to>
    <xdr:sp macro="" textlink="">
      <xdr:nvSpPr>
        <xdr:cNvPr id="10" name="9 Rectángulo"/>
        <xdr:cNvSpPr/>
      </xdr:nvSpPr>
      <xdr:spPr>
        <a:xfrm>
          <a:off x="8258175" y="9144000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104775</xdr:rowOff>
    </xdr:from>
    <xdr:to>
      <xdr:col>10</xdr:col>
      <xdr:colOff>152400</xdr:colOff>
      <xdr:row>16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0</xdr:colOff>
      <xdr:row>35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40</xdr:row>
      <xdr:rowOff>104774</xdr:rowOff>
    </xdr:from>
    <xdr:to>
      <xdr:col>8</xdr:col>
      <xdr:colOff>723900</xdr:colOff>
      <xdr:row>55</xdr:row>
      <xdr:rowOff>47624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58</xdr:row>
      <xdr:rowOff>142874</xdr:rowOff>
    </xdr:from>
    <xdr:to>
      <xdr:col>8</xdr:col>
      <xdr:colOff>723899</xdr:colOff>
      <xdr:row>73</xdr:row>
      <xdr:rowOff>123824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77</xdr:row>
      <xdr:rowOff>9525</xdr:rowOff>
    </xdr:from>
    <xdr:to>
      <xdr:col>8</xdr:col>
      <xdr:colOff>638175</xdr:colOff>
      <xdr:row>91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95</xdr:row>
      <xdr:rowOff>76200</xdr:rowOff>
    </xdr:from>
    <xdr:to>
      <xdr:col>8</xdr:col>
      <xdr:colOff>647700</xdr:colOff>
      <xdr:row>110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3" name="2 CuadroTexto"/>
        <xdr:cNvSpPr txBox="1"/>
      </xdr:nvSpPr>
      <xdr:spPr>
        <a:xfrm>
          <a:off x="81367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4" name="3 CuadroTexto"/>
        <xdr:cNvSpPr txBox="1"/>
      </xdr:nvSpPr>
      <xdr:spPr>
        <a:xfrm>
          <a:off x="15462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4</xdr:col>
      <xdr:colOff>666750</xdr:colOff>
      <xdr:row>18</xdr:row>
      <xdr:rowOff>0</xdr:rowOff>
    </xdr:from>
    <xdr:ext cx="184731" cy="264560"/>
    <xdr:sp macro="" textlink="">
      <xdr:nvSpPr>
        <xdr:cNvPr id="5" name="4 CuadroTexto"/>
        <xdr:cNvSpPr txBox="1"/>
      </xdr:nvSpPr>
      <xdr:spPr>
        <a:xfrm>
          <a:off x="7848600" y="770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5</xdr:col>
      <xdr:colOff>0</xdr:colOff>
      <xdr:row>0</xdr:row>
      <xdr:rowOff>0</xdr:rowOff>
    </xdr:from>
    <xdr:ext cx="184731" cy="264560"/>
    <xdr:sp macro="" textlink="">
      <xdr:nvSpPr>
        <xdr:cNvPr id="8" name="7 CuadroTexto"/>
        <xdr:cNvSpPr txBox="1"/>
      </xdr:nvSpPr>
      <xdr:spPr>
        <a:xfrm>
          <a:off x="8051006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9" name="8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</xdr:row>
      <xdr:rowOff>66675</xdr:rowOff>
    </xdr:from>
    <xdr:to>
      <xdr:col>9</xdr:col>
      <xdr:colOff>504824</xdr:colOff>
      <xdr:row>16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352424</xdr:colOff>
      <xdr:row>22</xdr:row>
      <xdr:rowOff>47625</xdr:rowOff>
    </xdr:from>
    <xdr:to>
      <xdr:col>9</xdr:col>
      <xdr:colOff>47625</xdr:colOff>
      <xdr:row>32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19051</xdr:rowOff>
    </xdr:from>
    <xdr:to>
      <xdr:col>9</xdr:col>
      <xdr:colOff>66675</xdr:colOff>
      <xdr:row>53</xdr:row>
      <xdr:rowOff>57151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1066799</xdr:colOff>
      <xdr:row>57</xdr:row>
      <xdr:rowOff>0</xdr:rowOff>
    </xdr:from>
    <xdr:to>
      <xdr:col>9</xdr:col>
      <xdr:colOff>152399</xdr:colOff>
      <xdr:row>73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78</xdr:row>
      <xdr:rowOff>9525</xdr:rowOff>
    </xdr:from>
    <xdr:to>
      <xdr:col>8</xdr:col>
      <xdr:colOff>704850</xdr:colOff>
      <xdr:row>93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97</xdr:row>
      <xdr:rowOff>38100</xdr:rowOff>
    </xdr:from>
    <xdr:to>
      <xdr:col>8</xdr:col>
      <xdr:colOff>666750</xdr:colOff>
      <xdr:row>112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adistica%20de%20falla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adistica%20de%20falla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adistica%20de%20falla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adistica%20de%20falla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61.753357175927" createdVersion="3" refreshedVersion="3" minRefreshableVersion="3" recordCount="20">
  <cacheSource type="worksheet">
    <worksheetSource ref="A2:G22" sheet="1996" r:id="rId2"/>
  </cacheSource>
  <cacheFields count="7">
    <cacheField name="REF" numFmtId="0">
      <sharedItems/>
    </cacheField>
    <cacheField name="FECHA" numFmtId="14">
      <sharedItems containsSemiMixedTypes="0" containsNonDate="0" containsDate="1" containsString="0" minDate="2014-04-03T00:00:00" maxDate="2014-07-25T00:00:00" count="15">
        <d v="2014-04-03T00:00:00"/>
        <d v="2014-04-08T00:00:00"/>
        <d v="2014-04-16T00:00:00"/>
        <d v="2014-05-31T00:00:00"/>
        <d v="2014-06-04T00:00:00"/>
        <d v="2014-06-05T00:00:00"/>
        <d v="2014-06-07T00:00:00"/>
        <d v="2014-06-11T00:00:00"/>
        <d v="2014-06-15T00:00:00"/>
        <d v="2014-06-30T00:00:00"/>
        <d v="2014-07-03T00:00:00"/>
        <d v="2014-07-15T00:00:00"/>
        <d v="2014-07-18T00:00:00"/>
        <d v="2014-07-22T00:00:00"/>
        <d v="2014-07-24T00:00:00"/>
      </sharedItems>
    </cacheField>
    <cacheField name="DISCREPANCIAS" numFmtId="0">
      <sharedItems count="20">
        <s v="LA LUZ DE &quot;AFCS PRESS&quot; EN EL PANEL ANUNCIADOR, NO SE ILUMINA CON EL SISTEMA PRESSURE EN &quot;OFF&quot;."/>
        <s v="TDRS BEARING, REQUIEREN SER REMOVIDOS POR PROXIMO VENCIMIENTO ANUAL."/>
        <s v="LOS RODAJES DEL PC LINK ROJO Y NEGRO, ESTAN CERCA AL LIMITE DE DESGASTE (0.015)."/>
        <s v="EL TRANSMISOR DE PRESION DEL SIST. HYD #2, SE ENCUENTRA INOPERATIVO."/>
        <s v="EL SWITCH DE PRESION DEL MOTOR #1, SE ENCUENTRA INOPERATIVO."/>
        <s v="EL TRANSMISOR DE PRESION DE ACEITE DEL MOTOR #2, SE ENCUENTRA INOPERATIVO."/>
        <s v="EN LA CABINA SE SINTIO OLOR A QUEMADO ELECTRICO, POSTERIOR SE PRESENTO TRANSPONDER INOPERATIVO."/>
        <s v="DURANTE EL CHEQUEO DE LOS CONTROLES DE VUELO EN TIERRA, SE SINTIO UN TIRON EN EL LADO DERECHO DEL MOVIMIENTO COLECTIVO."/>
        <s v=" DURANTE EL ARRANQUE DEL MOTOR #2, EL SISTEMA DE IND. DE PRESION DE ACEITE, INOPERATIVO."/>
        <s v="SE ENCONTRO RAJADURA DE 3/4&quot; EN EL MRB NEGRA, POCKET N°21, DESCRITO EN LA TABLA 2-3 ITEM B DEL EAC006."/>
        <s v="SE ENCONTRO RAJADURA DE 3/4&quot; EN EL MRB ROJO, POCKET N°15, DESCRITO EN LA TABLA 2-3 ITEM B DEL EAC006."/>
        <s v="SE ENCONTRO RAJADURA DE 7/8&quot; EN EL MRB ROJO, POCKET N°14, DESCRITO EN LA TABLA 2-3 ITEM B DEL EAC006."/>
        <s v="EN EL SISTEMA UTILITARIO HYD., LA PRESION INDICA 2200 PSI, SIENDO EL RANGO NORMAL DE OPERACIÓN: 1700 - 2100 PSI."/>
        <s v="LA INDICACION DE TORQUE EN EL MOTOR #1, ES INTERMITENTE."/>
        <s v="SE ENCONTRO RAJADURA EN EL THOMAS COUPLING ENTRE EL IGB Y EL DRIVE SHAFT #7."/>
        <s v="AERONAVE LATERALMENTE INESTABLE  EN EL CANAL # 1. DEL AFCS"/>
        <s v="LA FRICCION DE LOS BLOCK DEL COLECTIVO DEL PILOTO NO PROPORCIONA UNA ADECUADA FRICCION."/>
        <s v="CAUTION PANEL Y ADVISORY PANEL, PARTE INFERIOR PRESENTA FALLA."/>
        <s v="EXCESIVO RUIDO STATICO EN EL SISTEMA I.LS. DE LA AERONAVE."/>
        <s v="DURANTE LA PARADA DEL MOTOR #1 SE NOTO QUE LA CAUTION LIGHT  DE LA PRESION DE ACEITE PERMANECE ILUMINADO EN SU RANGO DE OPERACIÓN NORMAL."/>
      </sharedItems>
    </cacheField>
    <cacheField name="ACCION TOMADA" numFmtId="0">
      <sharedItems count="20">
        <s v="SE REMOVIO Y REEMPLAZO, EL PRESS SWITCH SERVO AFCS."/>
        <s v="SE REMOVIO Y REEMPLAZO, LOS BEARING DEL TRDS."/>
        <s v="SE REMOVIO Y REEMPLAZO, LOS RODAJES DEL PC LINK; REF. EAC006 CHAP 5.26.2, 5.26.4, 5.26.3, 5.26.5."/>
        <s v="SE REMOVIO Y REEMPLAZO, EL TRANSMISOR DE PRESION DEL SIST. HYD #2."/>
        <s v="SE REMOVIO Y REEMPLAZO, EL SWITCH DE PRESION DEL MOTOR #1."/>
        <s v="SE REMOVIO Y REEMPLAZO, EL TRANSMISOR DE PRESION DE ACEITE DEL MOTOR #2."/>
        <s v="SE INSPECCIONO EL SISTEMA TRANSPONDER Y SE REEMPLAZO EL TRANSCEIVER, REF. TM II-1520-217-20-2 TP 2-13(g)."/>
        <s v="SE INSPECCIONO LOS CONTROLES Y SE REEMPLAZO ABRAZADERA DEL FLIGHT CONTROL ROD, REF. EAC006, CHAP 4.49.3, FIG. 4.44."/>
        <s v="SE CHEQUEO Y SE REEMPLAZO EL TRANSMISOR DE PRESION DE ACEITE, REF. EAC006, CHAP 8.20."/>
        <s v="SE REPARO EL MRB NEGRO  EN EL POCKET N°21, CON UN BONDED ALUMINION PATCH, REF. EAC006, CHAP 2.128.5."/>
        <s v="SE REPARO EL MRB ROJO  EN EL POCKET N°15, CON UN BONDED ALUMINION PATCH, REF. EAC006, CHAP 2.128.5."/>
        <s v="SE REPARO EL MRB ROJO EN EL POCKET N°14, CON UN BONDED ALUMINION PATCH, REF. EAC006, CHAP 2.128.5."/>
        <s v="SE REGULO LA BOMBA DEL SISTEMAS UTILITARIO A 1900 PSI, REF. EAC006, CHAP 7.23.6."/>
        <s v="SE CHEQUEO Y REEMPLAZO EL SENSOR DE TORQUE DEL MOTOR #1, REF. EAC006, CHAP 4.11.2."/>
        <s v="SE REEMPLAZO EL THOMAS COUPLING, REF. EAC006, PARA 6.22.3 Y 6.22.4."/>
        <s v="SE REEMPLAZO VERTICAL GYRO ON #1, P/N 145974-01-03,  REF. TMII-1520-217-20-2, CH. 2, PARA 2-19 PART.A,B,C,D."/>
        <s v="SE DESMONTO,LIMPIO Y SE INSTALO EL BLOCK DEL COLECTIVO. REF.EAC006. CH. 11.12.3."/>
        <s v="SE REEMPLAZO EL CAUTION Y ADVISORY PANEL DE LA AERONAVE, P/N 6455-80215-109. REF. EAC006  8.57.1."/>
        <s v="SE ENCONTRO QUE LA BASE POSTERIOR  DE LA CAJA DE CONTROL DE AUDIO ESTA FALLANDO, SE REEMPLAZO UNIDAD DE CONTROL DE AUDIO, P/N AA95-471,S/N ON 8573."/>
        <s v="SE ENCONTRO QUE EL SISTEMA DE INDICACION DE ACEITE   FALLA,SE REEMPLAZO EL SWITCH DE PRESION, P/N 2216, S/N ON EAC21777."/>
      </sharedItems>
    </cacheField>
    <cacheField name="ATA" numFmtId="0">
      <sharedItems containsSemiMixedTypes="0" containsString="0" containsNumber="1" containsInteger="1" minValue="22" maxValue="77" count="11">
        <n v="22"/>
        <n v="64"/>
        <n v="29"/>
        <n v="77"/>
        <n v="34"/>
        <n v="72"/>
        <n v="31"/>
        <n v="62"/>
        <n v="63"/>
        <n v="67"/>
        <n v="23"/>
      </sharedItems>
    </cacheField>
    <cacheField name="ATA2" numFmtId="0">
      <sharedItems count="11">
        <s v="AUTO FLIGHT"/>
        <s v="TAIL ROTOR"/>
        <s v="SIST. HYD"/>
        <s v="ENGINE INDICATION"/>
        <s v="NAVEGACION"/>
        <s v="ENGINE"/>
        <s v="INSTRUMENTOS"/>
        <s v="ROTOR HEAD"/>
        <s v="TRANSMISION"/>
        <s v="CONTROL FLIGHT"/>
        <s v="COMUNICACIÓN"/>
      </sharedItems>
    </cacheField>
    <cacheField name="MES" numFmtId="14">
      <sharedItems count="4">
        <s v="ABRIL"/>
        <s v="MAYO"/>
        <s v="JUNIO"/>
        <s v="JUL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1864.703298379631" createdVersion="3" refreshedVersion="3" minRefreshableVersion="3" recordCount="56">
  <cacheSource type="worksheet">
    <worksheetSource ref="A2:G58" sheet="2035" r:id="rId2"/>
  </cacheSource>
  <cacheFields count="7">
    <cacheField name="REF" numFmtId="0">
      <sharedItems/>
    </cacheField>
    <cacheField name="FECHA" numFmtId="14">
      <sharedItems containsSemiMixedTypes="0" containsNonDate="0" containsDate="1" containsString="0" minDate="2014-01-10T00:00:00" maxDate="2014-07-27T00:00:00"/>
    </cacheField>
    <cacheField name="DISCREPANCIAS" numFmtId="0">
      <sharedItems/>
    </cacheField>
    <cacheField name="ACCION TOMADA" numFmtId="0">
      <sharedItems/>
    </cacheField>
    <cacheField name="ATA" numFmtId="0">
      <sharedItems containsSemiMixedTypes="0" containsString="0" containsNumber="1" containsInteger="1" minValue="22" maxValue="78" count="19">
        <n v="22"/>
        <n v="24"/>
        <n v="25"/>
        <n v="28"/>
        <n v="29"/>
        <n v="30"/>
        <n v="31"/>
        <n v="49"/>
        <n v="53"/>
        <n v="62"/>
        <n v="63"/>
        <n v="70"/>
        <n v="72"/>
        <n v="73"/>
        <n v="74"/>
        <n v="75"/>
        <n v="76"/>
        <n v="77"/>
        <n v="78"/>
      </sharedItems>
    </cacheField>
    <cacheField name="ATA2" numFmtId="0">
      <sharedItems/>
    </cacheField>
    <cacheField name="Mes" numFmtId="0">
      <sharedItems count="7">
        <s v="Mayo"/>
        <s v="Febrero"/>
        <s v="Marzo"/>
        <s v="Julio"/>
        <s v="Enero"/>
        <s v="Abril"/>
        <s v="Jun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1864.718430439818" createdVersion="3" refreshedVersion="3" minRefreshableVersion="3" recordCount="21">
  <cacheSource type="worksheet">
    <worksheetSource ref="A2:G23" sheet="2081" r:id="rId2"/>
  </cacheSource>
  <cacheFields count="7">
    <cacheField name="REF" numFmtId="0">
      <sharedItems/>
    </cacheField>
    <cacheField name="FECHA" numFmtId="14">
      <sharedItems containsSemiMixedTypes="0" containsNonDate="0" containsDate="1" containsString="0" minDate="2014-05-07T00:00:00" maxDate="2014-07-31T00:00:00"/>
    </cacheField>
    <cacheField name="DISCREPANCIAS" numFmtId="0">
      <sharedItems/>
    </cacheField>
    <cacheField name="ACCION TOMADA" numFmtId="0">
      <sharedItems/>
    </cacheField>
    <cacheField name="ATA" numFmtId="0">
      <sharedItems containsSemiMixedTypes="0" containsString="0" containsNumber="1" containsInteger="1" minValue="24" maxValue="78" count="12">
        <n v="62"/>
        <n v="74"/>
        <n v="77"/>
        <n v="49"/>
        <n v="78"/>
        <n v="72"/>
        <n v="24"/>
        <n v="63"/>
        <n v="29"/>
        <n v="34"/>
        <n v="31"/>
        <n v="64"/>
      </sharedItems>
    </cacheField>
    <cacheField name="ATA2" numFmtId="0">
      <sharedItems/>
    </cacheField>
    <cacheField name="Mes" numFmtId="0">
      <sharedItems count="3">
        <s v="mayo"/>
        <s v="junio"/>
        <s v="jul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1864.721704166666" createdVersion="3" refreshedVersion="3" minRefreshableVersion="3" recordCount="16">
  <cacheSource type="worksheet">
    <worksheetSource ref="A2:G18" sheet="2082" r:id="rId2"/>
  </cacheSource>
  <cacheFields count="7">
    <cacheField name="REF" numFmtId="0">
      <sharedItems/>
    </cacheField>
    <cacheField name="FECHA" numFmtId="14">
      <sharedItems containsSemiMixedTypes="0" containsNonDate="0" containsDate="1" containsString="0" minDate="2014-05-13T00:00:00" maxDate="2014-07-31T00:00:00"/>
    </cacheField>
    <cacheField name="DISCREPANCIAS" numFmtId="0">
      <sharedItems/>
    </cacheField>
    <cacheField name="ACCION TOMADA" numFmtId="0">
      <sharedItems/>
    </cacheField>
    <cacheField name="ATA" numFmtId="0">
      <sharedItems containsSemiMixedTypes="0" containsString="0" containsNumber="1" containsInteger="1" minValue="24" maxValue="72" count="11">
        <n v="24"/>
        <n v="25"/>
        <n v="26"/>
        <n v="28"/>
        <n v="29"/>
        <n v="31"/>
        <n v="34"/>
        <n v="63"/>
        <n v="64"/>
        <n v="67"/>
        <n v="72"/>
      </sharedItems>
    </cacheField>
    <cacheField name="ATA2" numFmtId="0">
      <sharedItems/>
    </cacheField>
    <cacheField name="Mes" numFmtId="0">
      <sharedItems count="3">
        <s v="mayo"/>
        <s v="julio"/>
        <s v="jun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AML # 0540"/>
    <x v="0"/>
    <x v="0"/>
    <x v="0"/>
    <x v="0"/>
    <x v="0"/>
    <x v="0"/>
  </r>
  <r>
    <s v="AML # 0539"/>
    <x v="0"/>
    <x v="1"/>
    <x v="1"/>
    <x v="1"/>
    <x v="1"/>
    <x v="0"/>
  </r>
  <r>
    <s v="AML # 0541"/>
    <x v="1"/>
    <x v="2"/>
    <x v="2"/>
    <x v="1"/>
    <x v="1"/>
    <x v="0"/>
  </r>
  <r>
    <s v="AML #0543"/>
    <x v="2"/>
    <x v="3"/>
    <x v="3"/>
    <x v="2"/>
    <x v="2"/>
    <x v="0"/>
  </r>
  <r>
    <s v="AML # 0542"/>
    <x v="2"/>
    <x v="4"/>
    <x v="4"/>
    <x v="3"/>
    <x v="3"/>
    <x v="0"/>
  </r>
  <r>
    <s v="AML # 0542"/>
    <x v="2"/>
    <x v="5"/>
    <x v="5"/>
    <x v="3"/>
    <x v="3"/>
    <x v="0"/>
  </r>
  <r>
    <s v="AML # 0550"/>
    <x v="3"/>
    <x v="6"/>
    <x v="6"/>
    <x v="4"/>
    <x v="4"/>
    <x v="1"/>
  </r>
  <r>
    <s v="AML # 0550"/>
    <x v="3"/>
    <x v="7"/>
    <x v="7"/>
    <x v="5"/>
    <x v="5"/>
    <x v="1"/>
  </r>
  <r>
    <s v="AML # 0552"/>
    <x v="4"/>
    <x v="8"/>
    <x v="8"/>
    <x v="6"/>
    <x v="6"/>
    <x v="2"/>
  </r>
  <r>
    <s v="AML # 0553"/>
    <x v="5"/>
    <x v="9"/>
    <x v="9"/>
    <x v="7"/>
    <x v="7"/>
    <x v="2"/>
  </r>
  <r>
    <s v="AML # 0533"/>
    <x v="5"/>
    <x v="10"/>
    <x v="10"/>
    <x v="7"/>
    <x v="7"/>
    <x v="2"/>
  </r>
  <r>
    <s v="AML # 0556"/>
    <x v="6"/>
    <x v="11"/>
    <x v="11"/>
    <x v="7"/>
    <x v="7"/>
    <x v="2"/>
  </r>
  <r>
    <s v="AML # 0559"/>
    <x v="7"/>
    <x v="12"/>
    <x v="12"/>
    <x v="2"/>
    <x v="2"/>
    <x v="2"/>
  </r>
  <r>
    <s v="AML # 0562"/>
    <x v="8"/>
    <x v="13"/>
    <x v="13"/>
    <x v="5"/>
    <x v="5"/>
    <x v="2"/>
  </r>
  <r>
    <s v="AML # 0569"/>
    <x v="9"/>
    <x v="14"/>
    <x v="14"/>
    <x v="8"/>
    <x v="8"/>
    <x v="2"/>
  </r>
  <r>
    <s v="AML # 0571"/>
    <x v="10"/>
    <x v="15"/>
    <x v="15"/>
    <x v="0"/>
    <x v="0"/>
    <x v="3"/>
  </r>
  <r>
    <s v="AML # 0578"/>
    <x v="11"/>
    <x v="16"/>
    <x v="16"/>
    <x v="9"/>
    <x v="9"/>
    <x v="3"/>
  </r>
  <r>
    <s v="AML # 0580"/>
    <x v="12"/>
    <x v="17"/>
    <x v="17"/>
    <x v="6"/>
    <x v="6"/>
    <x v="3"/>
  </r>
  <r>
    <s v="AML # 0582"/>
    <x v="13"/>
    <x v="18"/>
    <x v="18"/>
    <x v="10"/>
    <x v="10"/>
    <x v="3"/>
  </r>
  <r>
    <s v="AML # 0583"/>
    <x v="14"/>
    <x v="19"/>
    <x v="19"/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s v="AML # 0379"/>
    <d v="2014-05-06T00:00:00"/>
    <s v="LA BARRA DE ALT CONTROLER, TIENE LINEA DE ROZAMIENTO SOBRE EL CONTROLER."/>
    <s v="SE REEMPLAZO ALT CONTROLER, REF. TM II-1520-217-20-2 CAP 2-18."/>
    <x v="0"/>
    <s v="AUTO FLIGHT"/>
    <x v="0"/>
  </r>
  <r>
    <s v="AML # 0306"/>
    <d v="2014-02-02T00:00:00"/>
    <s v="APU, NO ENCIENDE EN INTENTO DE ARRANQUE."/>
    <s v="SE REEMPLAZO IGNITION EXCITER PLUG."/>
    <x v="1"/>
    <s v="ELECTRICO"/>
    <x v="1"/>
  </r>
  <r>
    <s v="AML # 0309"/>
    <d v="2014-02-06T00:00:00"/>
    <s v="LUZ DE NAVEGACION LADO IZQUIERDO, INOPERATIVO."/>
    <s v="SE REEMPLAZO LUZ DE NAVEGACION."/>
    <x v="1"/>
    <s v="ELECTRICO"/>
    <x v="1"/>
  </r>
  <r>
    <s v="AML # 0313"/>
    <d v="2014-02-14T00:00:00"/>
    <s v="EL PLUG DEL SWITCH DE PRESION DEL SERVO, PRESENTA DESGASTE."/>
    <s v="SE REEMPLAZO SWITCH DE PRESION DEL SERVO."/>
    <x v="1"/>
    <s v="ELECTRICO"/>
    <x v="1"/>
  </r>
  <r>
    <s v="AML # 0333"/>
    <d v="2014-03-20T00:00:00"/>
    <s v="EL ROMPE CIRCUITO DE BAJO NIVEL DE COMBUSTIBLE, NO RESETEA."/>
    <s v="SE REEMPLAZO EL ROMPE CIRCUITO DE BAJO NIVEL DE COMBUSTIBLE. REF. EAC006. CHAP 9.28.3 - 9.28.4"/>
    <x v="1"/>
    <s v="ELECTRICO"/>
    <x v="2"/>
  </r>
  <r>
    <s v="AML # 0338"/>
    <d v="2014-03-24T00:00:00"/>
    <s v="NO MANTIENE LA CARGA LA BATERIA DEL A/C."/>
    <s v="SE REEMPLAZO LA BATERIA DEL A/C. REF. EAC006. CHAP 9.47.3 REMOVED, 9.47.4 INSTALLED."/>
    <x v="1"/>
    <s v="ELECTRICO"/>
    <x v="2"/>
  </r>
  <r>
    <s v="AML # 0387"/>
    <d v="2014-05-17T00:00:00"/>
    <s v="EL AUTO RE-LIGHT #1, FALLO EN LA POSICION &quot;ON&quot;."/>
    <s v="SE REEMPLAZO EL MICRO SWITCH, REF. EAC006 PARA 3.12.3, 3.12.4."/>
    <x v="1"/>
    <s v="ELECTRICIDAD"/>
    <x v="0"/>
  </r>
  <r>
    <s v="AML # 0394"/>
    <d v="2014-05-29T00:00:00"/>
    <s v="LA LUZ AUX FUEL PRES, INOPERATIVO."/>
    <s v="SE REEMPLAZO SWITCH, REF. EAC006 PARA 10.38.2, 10.38.3."/>
    <x v="1"/>
    <s v="ELECTRICIDAD"/>
    <x v="0"/>
  </r>
  <r>
    <s v="AML # 0415"/>
    <d v="2014-07-14T00:00:00"/>
    <s v="LUZ DEL ENFRIADOR DE ACEITE SE ILUMINA EN SHUTDOWN"/>
    <s v="SE ENCONTRO ALAMBRE ROTO EN EL PLUG DEL SWITCH DIFF. PRESS. DEL OIL COOLER, SE REPARO EL ALAMBRE DEL PLUG.REF. DWG # 6455-10180 REV. A."/>
    <x v="1"/>
    <s v="ELECTRIC. SIST."/>
    <x v="3"/>
  </r>
  <r>
    <s v="AML # 0422"/>
    <d v="2014-07-21T00:00:00"/>
    <s v="INDICADOR DE TEMP. DE ACEITE DEL MOTOR #2 FALLA."/>
    <s v="SE REPARO EL CABLE DEL PLUG DEL BULBO DE TEMPERATURA, REF. DWR 6455-11027."/>
    <x v="1"/>
    <s v="ELECTRIC. SIST."/>
    <x v="3"/>
  </r>
  <r>
    <s v="AML # 0329"/>
    <d v="2014-03-14T00:00:00"/>
    <s v="LA TURBINA DE ENFRIAMIENTO DE CABINA  (ECU), SE ENCUENTRA INOPERATIVO."/>
    <s v="SE REEMPLAZO LA TURBINA DE ENFRIAMIENTO DE CABINA  (ECU). REF. EAC006. CHAP 13.9.10, 13.9.11."/>
    <x v="2"/>
    <s v="EQUIPO AND FURNISHING"/>
    <x v="2"/>
  </r>
  <r>
    <s v="AML # 0289"/>
    <d v="2014-01-10T00:00:00"/>
    <s v="SWITCH DE PRESION DE COMBUSTIBLE DE BOMBA AUXILIAR, INOPERATIVA."/>
    <s v="REMOVIDO Y REEMPLAZADO, SWITCH DE PRESION DE COMBUSTIBLE DE BOMBA AUXILIAR."/>
    <x v="3"/>
    <s v="SIST. COMBUSTIBLE"/>
    <x v="4"/>
  </r>
  <r>
    <s v="AML # 0368"/>
    <d v="2014-04-27T00:00:00"/>
    <s v="EL SWITCH DE PRESION DE LA BOMBA BOOSTER LADO DERECHO, SE ENCUENTRA INOPERATIVO."/>
    <s v="SE REMOVIO EL SWITCH DE PRESION; REF. EAC006 CHAP 10.37.2a.c."/>
    <x v="3"/>
    <s v="SIST. COMBUSTIBLE"/>
    <x v="5"/>
  </r>
  <r>
    <s v="AML # 344"/>
    <d v="2014-03-31T00:00:00"/>
    <s v="FUGA EN EL SISTEMA HIDRAULICO POR LA LINEA DE DESCONEXION RAPIDA DE LA BOMBA DE MANO."/>
    <s v="SE REEMPLAZO DESCONEXION RAPIDA DE LA BOMBA DE MANO DEL SISTEMA HIDRAULICO. REF. EAC006. CHAP 7.1.8."/>
    <x v="4"/>
    <s v="HYD"/>
    <x v="2"/>
  </r>
  <r>
    <s v="AML # 0379"/>
    <d v="2014-06-04T00:00:00"/>
    <s v="LA BOMBA MANUAL DEL ROTOR BRAKE, ESTA SUAVE CUANDO BOMBEA."/>
    <s v="SE PURGO EL SISTEMA DE ROTOR BRAKE."/>
    <x v="4"/>
    <s v="HIDRAULICO"/>
    <x v="6"/>
  </r>
  <r>
    <s v="AML # 0426"/>
    <d v="2014-07-26T00:00:00"/>
    <s v="LA BOMBA HYD. 2DA SATGE PRESENTA FUGA POR EL DRENAJE."/>
    <s v="SE REEMPLAZO LA BOMBA HYD. DEL 2DA STAGE REF.EAC006 CH.7.8.2."/>
    <x v="4"/>
    <s v="HYD"/>
    <x v="3"/>
  </r>
  <r>
    <s v="AML # 0305"/>
    <d v="2014-01-31T00:00:00"/>
    <s v="LIMPIAPARABRISAS, NO TRABAJA APROPIADAMENTE."/>
    <s v="REMOVIDO Y REEMPLAZADO, 02 EA LIMPIAPARABRISAS. "/>
    <x v="5"/>
    <s v="ICE &amp; RAIN PROTECTION"/>
    <x v="4"/>
  </r>
  <r>
    <s v="AML # 0318"/>
    <d v="2014-02-22T00:00:00"/>
    <s v="EL TRANSMISOR DEL EPR DEL MOTOR #1, PRESENTA FALSA INDICACION."/>
    <s v="SE REEMPLAZO TRANSMISOR DE EPR."/>
    <x v="6"/>
    <s v="INSTRUMENTO"/>
    <x v="1"/>
  </r>
  <r>
    <s v="AML # 0318"/>
    <d v="2014-02-22T00:00:00"/>
    <s v="EPR DEL MOTOR #1, PRESENTA INDICACION FALSA, SOSPECHA DE LINEAS OBSTRUIDAS."/>
    <s v="SE LIMPIO LAS LINEAS DE TRANSMISION DEL EPR DE AMBOS MOTORES, QUEDANDO EN BUENAS CONDICIONES."/>
    <x v="6"/>
    <s v="INSTRUMENTO"/>
    <x v="1"/>
  </r>
  <r>
    <s v="AML # 0321"/>
    <d v="2014-02-27T00:00:00"/>
    <s v="REMOVER TRANSMISOR EPR S/N 2-8, SEGÚN TROUBLE SHOOTING."/>
    <s v="SE INSTALO TRANSMISOR EPR, S/N A-62."/>
    <x v="6"/>
    <s v="INSTRUMENTO"/>
    <x v="1"/>
  </r>
  <r>
    <s v="AML # 0353"/>
    <d v="2014-04-13T00:00:00"/>
    <s v="EL INDICADOR DE TEMPERATURA DE ACEITE DEL MOTOR #2, INDICA &quot;CERO&quot; DURANTE SU OPERACIÓN."/>
    <s v="SE REEMPLAZO EL INDICADOR DE TEMPERATURA DE ACEITE; REF. EAC006 PARA 8.6.1, 8.6.2."/>
    <x v="6"/>
    <s v="INSTRUMENTOS"/>
    <x v="5"/>
  </r>
  <r>
    <s v="AML # 0354"/>
    <d v="2014-04-16T00:00:00"/>
    <s v="EL INDICADOR DE RPM DEL OIL COOLER INOPERATIVO, LUZ ROJA OCACIONALMENTE PARPADEA."/>
    <s v="SE REEMPLAZO EL TACOMETRO DEL OIL COOLER; REF. EAC006 PARA 8.6.1, 8.6.2."/>
    <x v="6"/>
    <s v="INSTRUMENTOS"/>
    <x v="5"/>
  </r>
  <r>
    <s v="AML # 0354"/>
    <d v="2014-04-16T00:00:00"/>
    <s v="INDICACION DE TEMPERATURA DE ACEITE BAJA, EN EL MOTOR #2."/>
    <s v="SE REEMPLAZO EL BULBO DE TEMPERATURA DE ACEITE; REF. EAC006 PARA 8.23.2, 8.23.3."/>
    <x v="6"/>
    <s v="INSTRUMENTOS"/>
    <x v="5"/>
  </r>
  <r>
    <s v="AML # 0379"/>
    <d v="2014-05-06T00:00:00"/>
    <s v="EL INDICADOR DE TEMPERATURA DE ACEITE DEL MOTOR #2, ESTA INOPERATIVO"/>
    <s v="SE REEMPLAZO EL BULBO DE TEMPERATURA DE ACEITE DEL MOTOR #2, REF. EAC006, CHAP 8.6.1, 8.6.61."/>
    <x v="6"/>
    <s v="INDICACION"/>
    <x v="0"/>
  </r>
  <r>
    <s v="AML # 0379"/>
    <d v="2014-05-06T00:00:00"/>
    <s v="EL INDICADOR TACOMETRO TRIPLE #1, INOPERATIVO."/>
    <s v="SE REEMPLAZO EL INDICADOR TACOMETRO TRIPLE DE LA POSICION #1, REF. EAC006, CHAP 8.6.1, 8.6.3."/>
    <x v="6"/>
    <s v="INDICACION"/>
    <x v="0"/>
  </r>
  <r>
    <s v="AML # 0293"/>
    <d v="2014-01-18T00:00:00"/>
    <s v="APP, NO INICIA CICLO DE ARRANQUE."/>
    <s v="REMOVIDO Y REEMPLAZADO, SWITCH DE PRESION DE ACEITE DEL APP."/>
    <x v="7"/>
    <s v="APP"/>
    <x v="4"/>
  </r>
  <r>
    <s v="AML # 0299"/>
    <d v="2014-01-24T00:00:00"/>
    <s v="APP, PRESENTA JUEGO EN RODAJE DE TURBINA."/>
    <s v="REMOVIDO Y REEMPLAZADO, APP."/>
    <x v="7"/>
    <s v="APP"/>
    <x v="4"/>
  </r>
  <r>
    <s v="AML # 0326"/>
    <d v="2014-03-11T00:00:00"/>
    <s v="NO SE PUEDO INCIAR ARRANQUE DEL APP."/>
    <s v="SE LIMPIO EL START FUEL NOZZLE DEL APP. REF. EAC006. PARA 15.12.7,15.12.8,15.12.9,15.12.10,15.12.11."/>
    <x v="7"/>
    <s v="APP"/>
    <x v="2"/>
  </r>
  <r>
    <s v="AML # 0352"/>
    <d v="2014-04-13T00:00:00"/>
    <s v="EN EL PANEL ANUNCIADOR DE CABINA, LA LUZ DEL APU, NO SE APAGO. "/>
    <s v="SE REMOVIO, LIMPIO Y REINSTALO, EL FUEL NOSSLE DEL ARRANCADOR; REF. EAC006 PARA 15.12.7, 15.12.9."/>
    <x v="7"/>
    <s v="APU"/>
    <x v="5"/>
  </r>
  <r>
    <s v="AML # 0406"/>
    <d v="2014-06-17T00:00:00"/>
    <s v="EL RODAJE DEL TAIL SKID PARTE INFERIOR, REQUIERE CAMBIO POR EXCESIVO DESGASTE."/>
    <s v="SE REEMPLAZO RODAJE DEL TAIL SKID PARTE INFERIOR."/>
    <x v="8"/>
    <s v="FUSELAJE"/>
    <x v="6"/>
  </r>
  <r>
    <s v="AML # 0391"/>
    <d v="2014-05-24T00:00:00"/>
    <s v="EL RODAJE DEL DAMPER DEL MRB BLUE, SE ENCUENTRA BAJO LOS LIMITES DE DESGASTE."/>
    <s v="SE REEMPLAZO EL RODAJE DEL DAMPER MRB BLUE OUTBOARD , REF. EAC006 PARA 5.11.7, 5.11.8."/>
    <x v="9"/>
    <s v="ROTOR HEAD"/>
    <x v="0"/>
  </r>
  <r>
    <s v="AML # 0379"/>
    <d v="2014-06-03T00:00:00"/>
    <s v="EN EL MRH  SLEEVE AND SPINDLE  RED, PRESENTA FUGA POR EL HORIZONTAL PIN HINGE."/>
    <s v="SE REEMPLAZO PACKING DEL HORIZONTAL PIN HINGE, REF. EAC006, CHAP 5.4.4."/>
    <x v="9"/>
    <s v="ROTOR HEAD"/>
    <x v="6"/>
  </r>
  <r>
    <s v="AML # 0379"/>
    <d v="2014-06-12T00:00:00"/>
    <s v="EN EL MRH  SLEEVE AND SPINDLE RED, PRESENTA FUGA POR EL HORIZONTAL PIN HINGE."/>
    <s v="SE REEMPLAZO PACKING DEL HORIZONTAL PIN HINGE, REF. EAC006, CHAP 5.4.4."/>
    <x v="9"/>
    <s v="ROTOR HEAD"/>
    <x v="6"/>
  </r>
  <r>
    <s v="AML # 0334"/>
    <d v="2014-03-21T00:00:00"/>
    <s v="EL MGB OIL COOLER RADIATOR, PRESENTA SIGNOS DE FUGA."/>
    <s v="SE REEMPLAZO EL MOTOR DEL VENTILADOR DEL OIL COOLER RADIATOR DEL MRB. REF. EAC002. FIG 63.15 PAG 63-00-83"/>
    <x v="10"/>
    <s v="TRANSMISION"/>
    <x v="2"/>
  </r>
  <r>
    <s v="AML # 0352"/>
    <d v="2014-04-13T00:00:00"/>
    <s v="LA LUZ DE CHIP DETECTOR DEL MGB, SE PRENDIO AL CONECTAR LA BATERIA."/>
    <s v="SE REMOVIO EL CHIP DETECTOR Y EL FILTRO, NO SE ENCONTRO CONTAMINACION, SE REINSTALO; REF. EAC006 PARA 6.4.2 TABLA 6.1 - 6.2."/>
    <x v="10"/>
    <s v="TRANSMISION"/>
    <x v="5"/>
  </r>
  <r>
    <s v="AML # 0362"/>
    <d v="2014-04-24T00:00:00"/>
    <s v="EL MONTANTE FLEXIBLE DE LA TRANSMISION DE PRESION DE ACEITE DEL MGB, ESTA DESPEGADO."/>
    <s v="SE REEMPLAZO EL MONTANTE FLEXIBLE; REF. IPC EAC002 FIG 69:41 PAG 63.00.1."/>
    <x v="10"/>
    <s v="TRANSMISION"/>
    <x v="5"/>
  </r>
  <r>
    <s v="AML # 0365"/>
    <d v="2014-04-26T00:00:00"/>
    <s v="TRDS BEARINGS 1-5, REQUIERE CAMBIO POR VENCIMIENTO DE SLL."/>
    <s v="SE REEMPLAZARON LOS BEARINGS TRDS; REF. EAC006 PARA 6.20.8 a-g."/>
    <x v="10"/>
    <s v="TRANSMISION"/>
    <x v="5"/>
  </r>
  <r>
    <s v="AML # 0368"/>
    <d v="2014-04-27T00:00:00"/>
    <s v="EL TACOMETRO TRIPLE, NO TIENE INDICACION DE NR EN AMBOS INDICADORES (PILOTO-COPILOTO)."/>
    <s v="SE REEMPLAZO TACOMETRO DEL MGB; REF. EAC006 CAHP 6.15.3a."/>
    <x v="10"/>
    <s v="TRANSMISION"/>
    <x v="5"/>
  </r>
  <r>
    <s v="AML # 0420"/>
    <d v="2014-07-19T00:00:00"/>
    <s v="02 EA BEARING SLEEVE ASSY  SE ENCUENTRAN RAJADO"/>
    <s v="SE REEMPLAZARON 2  BEARING  DEL SLEEVE ASSY REF. MM. EAC006  CH. 6.13.2. "/>
    <x v="10"/>
    <s v="XMSN"/>
    <x v="3"/>
  </r>
  <r>
    <s v="AML # 0379"/>
    <d v="2014-05-06T00:00:00"/>
    <s v="RODAJE DEL BRAZO DE SOPORTE DEL MOTOR #1, PRESENTA DESGASTE."/>
    <s v="SE REEMPLAZO RODAJE DEL BRAZO DIAGONAL INFERIOR DEL MOTOR #1, REF. EAC016, CHAP 4.3.3."/>
    <x v="11"/>
    <s v="ENGINE"/>
    <x v="0"/>
  </r>
  <r>
    <s v="AML # 0323"/>
    <d v="2014-03-03T00:00:00"/>
    <s v="LA FREE TURBINE DEL MOTOR #2, REQUIERE SER REMOVIDO PARA SU O/H."/>
    <s v="SE REEMPLAZO LA FREE TURBINE REF. EAC006. PARA 4.7.2-4.7.3."/>
    <x v="12"/>
    <s v="ENGINE"/>
    <x v="2"/>
  </r>
  <r>
    <s v="AML # 0380"/>
    <d v="2014-05-07T00:00:00"/>
    <s v="EL N2, TORQUE Y EPR SE MOSTRABAN POR DEBAJO DEL LIMITE, DURANTE EL DECOLAJE Y NO SE NOTABA NINGUN INCREMENTO."/>
    <s v="SE APAGARON LOS  MOTORES Y SE REALIZO UNA INSPECCION VISUAL, SE VERIFICO LA POTENCIA Y SE SINCRONIZO AMBOS MOTORES APROPIADAMENTE."/>
    <x v="12"/>
    <s v="ENGINE"/>
    <x v="0"/>
  </r>
  <r>
    <s v="AML # 0407"/>
    <d v="2014-06-17T00:00:00"/>
    <s v="EN LOS MOTORES #1 Y #2, EL BELL MOUNTH ANTI-ICE VALVE, ESTA INOPERATIVO."/>
    <s v="MANTENIMIENTO DIFERIDO POR STOCK."/>
    <x v="12"/>
    <s v="ENGINE"/>
    <x v="6"/>
  </r>
  <r>
    <s v="AML # 0413"/>
    <d v="2014-07-12T00:00:00"/>
    <s v="BELLMOUNTH ANTI  ICE VALVE REQUIERE INSTALACION"/>
    <s v="SE INSTALO LA VALVULA ANTI ICE DEL BELLMOUNTH EN LOS MOTORES #1 y #2 P/N 6430-80131-101  REF.EAC006  4.28.3"/>
    <x v="12"/>
    <s v="ENGINE"/>
    <x v="3"/>
  </r>
  <r>
    <s v="AML # 0413"/>
    <d v="2014-07-12T00:00:00"/>
    <s v="EL INDICADOR DE TORQUE DEL MOTOR #2 FLUCTUA"/>
    <s v="SE REEMPLAZO SENSOR  DE TORQUE P/N 40096-0102, S/N OFF 1114, S/N ON 1137. REF.EAC006  4.11.2"/>
    <x v="12"/>
    <s v="ENGINE"/>
    <x v="3"/>
  </r>
  <r>
    <s v="AML # 0323"/>
    <d v="2014-03-03T00:00:00"/>
    <s v="EL FCU DEL MOTOR N°2 REQUIERE SER REMOVIDO PARA SU O/H."/>
    <s v="SE REEMPLAZO EL FCU REF. EAC006. PARA 4.56.1-4.56.2"/>
    <x v="13"/>
    <s v="ENG. FUEL CONTROL"/>
    <x v="2"/>
  </r>
  <r>
    <s v="AML # 0336"/>
    <d v="2014-03-22T00:00:00"/>
    <s v="SE ENCENDIO LA LUZ DE BY PASS DEL FILTRO DE COMBUSTIBLE DEL MOTOR #1."/>
    <s v="SE REEMPLAZO EL SWITCH DEL BY PASS DEL FILTRO DE COMBUSTIBLE DEL MOTOR #1."/>
    <x v="13"/>
    <s v="ENG. FUEL CONTROL"/>
    <x v="2"/>
  </r>
  <r>
    <s v="AML # 0302"/>
    <d v="2014-01-26T00:00:00"/>
    <s v="MOTOR N° 1, NO INICIA CICLO DE ARRANQUE."/>
    <s v="REMOVIDO Y REEMPLAZADO, 02 EA PLUGS DEL SISTEMA DE ENCENDIDO."/>
    <x v="14"/>
    <s v="ENG. IGNITION"/>
    <x v="4"/>
  </r>
  <r>
    <s v="AML # 0381"/>
    <d v="2014-05-08T00:00:00"/>
    <s v="EL ANTI-ICE DEL IGV DEL MOTOR #1, ESTA INOPERATIVO."/>
    <s v="SE REEMPLAZO LA VALVULA DEL ANTI-ICE DEL IGV DEL MOTOR #1, REF. P&amp;W MM 435/07 PARA 2.172, 2.173."/>
    <x v="15"/>
    <s v="ENG AIR"/>
    <x v="0"/>
  </r>
  <r>
    <s v="AML # 0302"/>
    <d v="2014-01-26T00:00:00"/>
    <s v="MOTOR N° 2, PRESENTA FALLA AL MOMENTO DE AJUSTE DEL N2."/>
    <s v="REMOVIDO Y REEMPLAZADO, MOTOR DEL ACTUADOR DEL N2."/>
    <x v="16"/>
    <s v="ENG. CONTROL"/>
    <x v="4"/>
  </r>
  <r>
    <s v="AML # 0304"/>
    <d v="2014-01-28T00:00:00"/>
    <s v="MOTOR N° 2, EL TORQUE NO RESPONDE APROPIADAMENTE."/>
    <s v="REMOVIDO Y REEMPLAZADO, 02 EA SENSORES DE TORQUE MAS ARNESES."/>
    <x v="16"/>
    <s v="ENG. CONTROL"/>
    <x v="4"/>
  </r>
  <r>
    <s v="AML # 0307"/>
    <d v="2014-02-03T00:00:00"/>
    <s v="EL TORQUE DEL MOTOR #2, SE RETRAZA CON RELACION AL TORQUE DEL MOTOR #1."/>
    <s v="SE REGULARON AMBOS MOTORES, SEGÚN TABLA."/>
    <x v="16"/>
    <s v="ENG. CONTROL"/>
    <x v="1"/>
  </r>
  <r>
    <s v="AML # 0311"/>
    <d v="2014-02-12T00:00:00"/>
    <s v="EL TORQUE DEL MOTOR #2, SE RETRAZA EN RELACION AL MOTOR #1 CON INCREMENTO DE POTENCIA."/>
    <s v="SE REGULO MOTOR #2 EN EL CUADRANTE DE VIAS, SEGUN TABLA."/>
    <x v="16"/>
    <s v="ENG. CONTROL"/>
    <x v="1"/>
  </r>
  <r>
    <s v="AML # 344"/>
    <d v="2014-03-31T00:00:00"/>
    <s v="EL INDICADOR DE TEMPERATURA DE ACEITE DEL MOTOR #2, INDICA APROX. 30° BAJO EL RANGO SUPERIOR DE OPERACIÓN."/>
    <s v="SE REEMPLAZO EL BULBO DE TEMPERATURA DE ACEITE DEL MOTOR #2."/>
    <x v="17"/>
    <s v="ENGINE INDICATION"/>
    <x v="2"/>
  </r>
  <r>
    <s v="AML # 0379"/>
    <d v="2014-06-07T00:00:00"/>
    <s v="EL TORQUE EN EL MOTOR #2, DA FALASA INDICACION DURANTE EL VUELO."/>
    <s v="SE REEMPLAZO EL ARNES DE TORQUE, REF. SB 64B30-7."/>
    <x v="17"/>
    <s v="ENGINE INDICATION"/>
    <x v="6"/>
  </r>
  <r>
    <s v="AML # 0323"/>
    <d v="2014-03-03T00:00:00"/>
    <s v="EL DUCTO DE ESCAPE DEL MOTOR #2, SE ENCUENTRA RAJADO."/>
    <s v="SE REEMPLAZO EL DUCTO DE ESCAPE DEL MOTOR #2. REF. EAC006. PARA 4.33.2-4.33.4."/>
    <x v="18"/>
    <s v="EXHAUST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s v="AML # 0001"/>
    <d v="2014-05-07T00:00:00"/>
    <s v="EL DAMPER ASSY AZUL, PRESENTA FUGA DE FLUIDO HYD."/>
    <s v="SE REEMPLAZO DAMPER ASSY AZUL, REF. EAC006, CHAP 5.11.7, 5.11.10."/>
    <x v="0"/>
    <s v="ROTOR HEAD"/>
    <x v="0"/>
  </r>
  <r>
    <s v="AML # 0001"/>
    <d v="2014-05-07T00:00:00"/>
    <s v="EL HARNES OVERSPEED DEL COMPRESOR #2, PRESENTA RAJADURA Y CABLE EXPUESTO."/>
    <s v="SE REEMPLAZO EL OVERSPEED HARNES DEL COMPRESOR #2, REF. EAC006, CHAP 4."/>
    <x v="1"/>
    <s v="ENG ING."/>
    <x v="0"/>
  </r>
  <r>
    <s v="AML # 0003"/>
    <d v="2014-05-10T00:00:00"/>
    <s v="EL TACOMETRO TRIPLE PRESENTA INDICACION &quot;0&quot;, PARA EL N2 DEL MOTOR #2, DURANTE LA CORRIDA EN TIERRA. "/>
    <s v="SE REEMPLAZO EL GEN. TACH. DE N2 DEL MOTOR #2, REF. EAC006, CHAP 8.12.2, 8.12.3. "/>
    <x v="2"/>
    <s v="ENGINE INDICATION"/>
    <x v="0"/>
  </r>
  <r>
    <s v="AML # 0005"/>
    <d v="2014-05-14T00:00:00"/>
    <s v="APU, NO ARRANCA."/>
    <s v="SE REEMPLAZO EXCITER IGNITOR, REF. TM-55-2835-204-24."/>
    <x v="3"/>
    <s v="APU"/>
    <x v="0"/>
  </r>
  <r>
    <s v="AML # 0009"/>
    <d v="2014-05-26T00:00:00"/>
    <s v="APU, ENGANCHA A 92%."/>
    <s v="SE RELIZO AJUSTE EN EL EMBRAGUE, REF. EAC006, CHAP 15 PARA 15.5.2 d-f. ENGANCHANDO A 87%"/>
    <x v="3"/>
    <s v="APU"/>
    <x v="0"/>
  </r>
  <r>
    <s v="AML # 0010"/>
    <d v="2014-05-28T00:00:00"/>
    <s v="EL DUCTO DE ESCAPE DEL MOTOR #1, PRESENTA 2 RAJADURAS."/>
    <s v="SE REEMPLAZO LA EXTENSION DEL DUCTO DE ESCAPE."/>
    <x v="4"/>
    <s v="ENGINE EXHAUST"/>
    <x v="0"/>
  </r>
  <r>
    <s v="AML # 0016"/>
    <d v="2014-06-10T00:00:00"/>
    <s v="EL DUCTO DE SALIDA DEL MOTOR #1, PRESENTA RAJADURA SOBRE EL ORIFICIO DE ALIVIO, REQUIERE REPARACION O CAMBIO."/>
    <s v="SE REEMPLAZO EL DUCTO DE SALIDA, REF. EAC006 CHAP 4.33.2, 4.33.4."/>
    <x v="5"/>
    <s v="ENGINE"/>
    <x v="1"/>
  </r>
  <r>
    <s v="AML # 0017"/>
    <d v="2014-06-11T00:00:00"/>
    <s v="LUZ DE ATERRIZAJE  LH, NO SE ILUMINA/EXTIENDE Y RETRACTA."/>
    <s v="SE REEMPLAZO LA LUZ DE ATERRIZAJE, REF. EAC006, CHAP 954.2, 9.54.4."/>
    <x v="6"/>
    <s v="ELECTRICIDAD"/>
    <x v="1"/>
  </r>
  <r>
    <s v="AML # 0018"/>
    <d v="2014-06-12T00:00:00"/>
    <s v="EL SEGURO DE TUERCA DEL DAMPER DEL MRB BLANCO, SE ENCONTRO SIZALLADO."/>
    <s v="SE RETORQUEO EL DAMPER Y SE CAMBIO EL SEGURO."/>
    <x v="7"/>
    <s v="TRANSMISION"/>
    <x v="1"/>
  </r>
  <r>
    <s v="AML # 0019"/>
    <d v="2014-06-13T00:00:00"/>
    <s v="EL SHIMING DEL CONJUNTO DE FRENO DEL ROTOR, ESTAN DESIGUALES."/>
    <s v="SE AFLOJO EL CALIPER Y SE CORRIGIO EL SHIMING, REF. EAC006, CHAP 6.19.4, STEPS f-g."/>
    <x v="8"/>
    <s v="HIDRAULICO"/>
    <x v="1"/>
  </r>
  <r>
    <s v="AML # 0020"/>
    <d v="2014-06-14T00:00:00"/>
    <s v="EL INDICADOR DE TURN-SLIP LADO RH, REQUIERE REEMPLAZO."/>
    <s v="SE REEMPLAZO EL INDICADOR DE TURN-SLIP, REF. EAC006, CHAP 8.6.1, 8.6.3."/>
    <x v="9"/>
    <s v="NAVEGACION"/>
    <x v="1"/>
  </r>
  <r>
    <s v="AML # 0022"/>
    <d v="2014-06-20T00:00:00"/>
    <s v="EL EMBRAGUE DEL APP, ENGANCHA EN ALTO."/>
    <s v="SE AJUSTO EL AMBRAGUE A 86%, REF. EAC006, PARA 15.5.2."/>
    <x v="3"/>
    <s v="APU"/>
    <x v="1"/>
  </r>
  <r>
    <s v="AML # 0022"/>
    <d v="2014-06-20T00:00:00"/>
    <s v="EL SEGURO DE TUERCA DEL MRB VERDE, ESTA SIZALLADO."/>
    <s v="SE CAMBIO EL SEGURO Y SE RETORQUEO EL DAMPER, REF. EAC006, PARA 5.11.7 (3) c&amp;d 5.11.10-d&amp;g."/>
    <x v="7"/>
    <s v="TRANSMISION"/>
    <x v="1"/>
  </r>
  <r>
    <s v="AML # 0028"/>
    <d v="2014-07-06T00:00:00"/>
    <s v="EL VISOR DEL RESERVORIO DEL SIST. UTILITY PRESENTE RAJADURA"/>
    <s v="SE REEMPLAZO EL VISOR P/N  P#6465-62406-101"/>
    <x v="8"/>
    <s v="HYD."/>
    <x v="2"/>
  </r>
  <r>
    <s v="AML # 0029"/>
    <d v="2014-07-08T00:00:00"/>
    <s v="FREE TURBINE  DEL MOTOR #1 PRESENTA RAJADURA POR EL REFUERZO DEL BOSST N2. EAC RECOMIENDA REMPLAZO"/>
    <s v="SE REMPLAZO FREE TURBINE #1 P/N 658199 .REF.EAC006 CH. 4.7.2"/>
    <x v="5"/>
    <s v="ENG."/>
    <x v="2"/>
  </r>
  <r>
    <s v="AML # 0031"/>
    <d v="2014-07-10T00:00:00"/>
    <s v="LA PALANCA DE BLOQUEO DE LA RUEDA DE NARIZ NO PERMANECE EN LA POSICION VERTICAL DE ASEGURADO."/>
    <s v="SE DESMONTO, LIMPIO Y REINSTALO EL SISTEMA DE CONTROL MANUAL. REF. EAC006 CH.3.23.3."/>
    <x v="8"/>
    <s v="HYD."/>
    <x v="2"/>
  </r>
  <r>
    <s v="AML # 0041"/>
    <d v="2014-07-18T00:00:00"/>
    <s v="EL SISTEMA DE INDICACION DE CANTIDAD DE COMBUSTIBLE POSTERIOR, INOP."/>
    <s v="SE REEMPLAZO INDICADOR. P/N B118-156  S/N ON 601. REF.EAC006. CH. 8.6.1"/>
    <x v="10"/>
    <s v="INSTRUMENTO"/>
    <x v="2"/>
  </r>
  <r>
    <s v="AML # 0041"/>
    <d v="2014-07-18T00:00:00"/>
    <s v="EL APU FALLA AL MOMENTO DE ARRANQUE"/>
    <s v="SE REEMPLAZO EL IGNITER PLUG, REF. EAC006, CHAP 15.18.3."/>
    <x v="3"/>
    <s v="APU"/>
    <x v="2"/>
  </r>
  <r>
    <s v="AML # 0042"/>
    <d v="2014-07-21T00:00:00"/>
    <s v="EL VISOR DE PRESION DE NITROGENO DEL DAMPER MR ILEGIBLE."/>
    <s v="SE REEMPLAZO VISOR. P/N 1218-005-00. REF. EAC006, CH. 5.11.3"/>
    <x v="0"/>
    <s v="ROTOR"/>
    <x v="2"/>
  </r>
  <r>
    <s v="AML # 0043"/>
    <d v="2014-07-24T00:00:00"/>
    <s v="EL INDICADOR DE CANTIDAD DE COMBUSTIBLE AUX. FALLA, SE DETIENE EL LLENADO DE LA CELDA AUX. A 300 LBS. SIN IMPORTAR DONDE ESTEE SELECTADO."/>
    <s v="SE REEMPLAZO EL INDICADOR DE CANTIDAD DE COMBUSTIBLE,  P/N DSF695,  S/N ON 0067. REF. EAC006 CH.8.6.1."/>
    <x v="10"/>
    <s v="INTRUMENTOS"/>
    <x v="2"/>
  </r>
  <r>
    <s v="AML # 0047"/>
    <d v="2014-07-30T00:00:00"/>
    <s v="EL TIP CAP DEL TRB AMARILLO, RAJADO JUNTO AL ORIFICIO DE ALIVIO"/>
    <s v="SE REEMPLAZO  EL TIP CAP. P/N 65160-00009-083. REF. EAC006, CH. 5.22.5"/>
    <x v="11"/>
    <s v="TAILROTOR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s v="AML # 0026"/>
    <d v="2014-05-29T00:00:00"/>
    <s v="EL INVERSOR #2, INOPERATIVO."/>
    <s v="SE EMPALMO EL CABLE DEL INVERSOR, QUEDANDO OPERATIVO, REF. BHT.214 - ELEC SPM CHAP 4.10."/>
    <x v="0"/>
    <s v="ELECTRICIDAD"/>
    <x v="0"/>
  </r>
  <r>
    <s v="AML # 0028"/>
    <d v="2014-05-31T00:00:00"/>
    <s v="EL INVERSOR #2, FALLA DURANTE EL VUELO. "/>
    <s v="SE REEMPLAZO EL ALIMENTADOR DEL REMOT CONTROL CIRCUIT BREAKER DEL LADO DERECHO, REF. BHT.214ST MM 96.50."/>
    <x v="0"/>
    <s v="ELECTRICIDAD"/>
    <x v="0"/>
  </r>
  <r>
    <s v="AMB # 0072"/>
    <d v="2014-07-16T00:00:00"/>
    <s v="EL SISTEMA ELECTRICO DE CARGO HOOK  FALLA"/>
    <s v="SE REEMPLAZO EL CARGO HOOK  P/N 214-070-921-003 "/>
    <x v="1"/>
    <s v="EQ. FURNISHING"/>
    <x v="1"/>
  </r>
  <r>
    <s v="AMB # 0072"/>
    <d v="2014-07-16T00:00:00"/>
    <s v="EL DETECTOR DE HUMO DEL COMPARTIMIENTO DE EQUIPAJE R/H FALLA"/>
    <s v="SE REEMPLAZO EL DETECTOR DE HUMO BHT 214ST MM CH 96.139 P/N 30-231-31  "/>
    <x v="2"/>
    <s v="FIRE DETECTION"/>
    <x v="1"/>
  </r>
  <r>
    <s v="AML # 0010"/>
    <d v="2014-05-13T00:00:00"/>
    <s v="EL TANQUE DE COMBUSTIBLE DEL LADO IZQUIERDO, PRESENTA FUGA POR EL PROBE."/>
    <s v="SE REEMPLAZO PROBE, REF. BHT.214 STMM CHAP 28, PARA 28.96 - 28.98 "/>
    <x v="3"/>
    <s v="FUEL SYSTEM"/>
    <x v="0"/>
  </r>
  <r>
    <s v="AML # 0048"/>
    <d v="2014-06-21T00:00:00"/>
    <s v="LA VALVULA DE ALIVIO DEL SISTEMA HYD. UTILITARIO, PRESENTE FUGA."/>
    <s v="SE CAMBIO LA VALVULA DE ALIVIO DEL SISTEMA HYD."/>
    <x v="4"/>
    <s v="HIDRAULICO"/>
    <x v="2"/>
  </r>
  <r>
    <s v="AML # 0037"/>
    <d v="2014-06-11T00:00:00"/>
    <s v="EL IND. DE POSICION DE ELEVADOR, SE ENCUENTRA INOPERATIVO."/>
    <s v="SE REEMPALZO EL IND. DE POSICION DEL ELEVADOR."/>
    <x v="5"/>
    <s v="INSTRUMENTOS"/>
    <x v="2"/>
  </r>
  <r>
    <s v="AML # 0054"/>
    <d v="2014-06-24T00:00:00"/>
    <s v="EL INDICADOR DIGITAL DE CANTIDAD DE COMBUSTIBLE, NO ESTA FUNCIONANDO."/>
    <s v="SE REEMPLAZO EL INDICADOR DE CANTIDAD DE COMBUSTIBLE, REF. BHT 214ST MM CHAP 15-65."/>
    <x v="5"/>
    <s v="INSTRUMENTOS"/>
    <x v="2"/>
  </r>
  <r>
    <s v="AMB # 0068"/>
    <d v="2014-07-09T00:00:00"/>
    <s v="INDICADOR DE TORQUE DEL MOTOR # 1 , INOPERATIVO"/>
    <s v="SE REEMPLAZO EL DUAL TORQUE INDICADOR BHT214ST MM CH 95.54."/>
    <x v="5"/>
    <s v="INSTRUMNETOS"/>
    <x v="1"/>
  </r>
  <r>
    <s v="AMB # 0068"/>
    <d v="2014-07-09T00:00:00"/>
    <s v="INDICADOR DE TORQUE DEL MOTOR # 1 ESTA FALLANDO"/>
    <s v="SE REINSTALO EL INDICADOR DE TORQUE SE SECO EL AGUA Y SE LIMPIO CONECTORES "/>
    <x v="5"/>
    <s v="INSTRUMNETOS"/>
    <x v="1"/>
  </r>
  <r>
    <s v="AML # 0049"/>
    <d v="2014-06-21T00:00:00"/>
    <s v="EL SWITCH DE LA UNIDAD DE CONTROL DEL BLUE SKY, OPERA INTERMITENTEMENTE."/>
    <s v="SE REEMPLAZO LA UNIDAD DE CONTROL DEL BLUE SKY."/>
    <x v="6"/>
    <s v="NAVEGACION"/>
    <x v="2"/>
  </r>
  <r>
    <s v="AML # 0057"/>
    <d v="2014-06-28T00:00:00"/>
    <s v="LA UNIDAD DEL MODEN DEL BLUE SKY, FUNCIONA INTERMITENTEMENTE."/>
    <s v="SE REEMPLAZO LA UNIDAD DEL MODEN DEL BLUE SKY."/>
    <x v="6"/>
    <s v="NAVEGACION"/>
    <x v="2"/>
  </r>
  <r>
    <s v="AML # 0031"/>
    <d v="2014-06-05T00:00:00"/>
    <s v="LA LINEA DE RETORNO DE ACEITE DEL OIL COOLER DE LA XMSN, ESTA ROTO."/>
    <s v="SE REEMPLAZO LA LINEA DE RETORNO DEL OIL COOLER DE LA XMSN."/>
    <x v="7"/>
    <s v="XMSN"/>
    <x v="2"/>
  </r>
  <r>
    <s v="AMB # 0079"/>
    <d v="2014-07-30T00:00:00"/>
    <s v="EL ROD &amp; BEARING DEL PC LINK TRB  ROJO PRESENTA LIMITE DE DESGASTE ."/>
    <s v="SE REEMPLAZO EL ROD &amp; BEARING BHT 214ST MM 64.6"/>
    <x v="8"/>
    <s v="TAILROTOR"/>
    <x v="1"/>
  </r>
  <r>
    <s v="AML # 0051"/>
    <d v="2014-06-23T00:00:00"/>
    <s v="EL RODAJE EXTERIOR DEL CODO/SOPORTE DEL L/H DEL COLECTIVO, SE ENCUENTRA BAJO LOS LIMITES DE DESGASTE."/>
    <s v="SE REEMPLAZO RODAJE DEL CONJUNTO DE SOPORTE DEL COLECTIVO L/H, REF. BHT 214ST MM CHAP 67.21."/>
    <x v="9"/>
    <s v="FLY CONTROL"/>
    <x v="2"/>
  </r>
  <r>
    <s v="AML # 0058"/>
    <d v="2014-06-29T00:00:00"/>
    <s v="EL MGT DEL MOTOR #2, ES 20° MAS CALIENTE QUE EL MOTOR #1."/>
    <s v="SE REALIZO LA LIMPIEZA DEL COMPRESOR Y ZONA CALIENTE DEL MOTOR #2."/>
    <x v="10"/>
    <s v="ENGIN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9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22:B27" firstHeaderRow="1" firstDataRow="1" firstDataCol="1" rowPageCount="1" colPageCount="1"/>
  <pivotFields count="7">
    <pivotField showAll="0"/>
    <pivotField numFmtId="14" showAll="0"/>
    <pivotField showAll="0"/>
    <pivotField showAll="0"/>
    <pivotField axis="axisPage" multipleItemSelectionAllowed="1" showAll="0">
      <items count="12">
        <item x="0"/>
        <item x="10"/>
        <item x="2"/>
        <item x="6"/>
        <item x="4"/>
        <item x="7"/>
        <item x="8"/>
        <item x="1"/>
        <item x="9"/>
        <item x="5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4:B16" firstHeaderRow="1" firstDataRow="1" firstDataCol="1" rowPageCount="1" colPageCount="1"/>
  <pivotFields count="7">
    <pivotField showAll="0"/>
    <pivotField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21">
        <item x="8"/>
        <item x="15"/>
        <item x="17"/>
        <item x="7"/>
        <item x="19"/>
        <item x="4"/>
        <item x="5"/>
        <item x="3"/>
        <item x="12"/>
        <item x="6"/>
        <item x="18"/>
        <item x="16"/>
        <item x="13"/>
        <item x="0"/>
        <item x="2"/>
        <item x="9"/>
        <item x="10"/>
        <item x="11"/>
        <item x="14"/>
        <item x="1"/>
        <item t="default"/>
      </items>
    </pivotField>
    <pivotField showAll="0">
      <items count="21">
        <item x="13"/>
        <item x="8"/>
        <item x="16"/>
        <item x="19"/>
        <item x="18"/>
        <item x="6"/>
        <item x="7"/>
        <item x="17"/>
        <item x="14"/>
        <item x="15"/>
        <item x="12"/>
        <item x="0"/>
        <item x="4"/>
        <item x="5"/>
        <item x="3"/>
        <item x="1"/>
        <item x="2"/>
        <item x="9"/>
        <item x="10"/>
        <item x="11"/>
        <item t="default"/>
      </items>
    </pivotField>
    <pivotField axis="axisRow" multipleItemSelectionAllowed="1" showAll="0">
      <items count="12">
        <item x="0"/>
        <item x="10"/>
        <item x="2"/>
        <item x="6"/>
        <item x="4"/>
        <item x="7"/>
        <item x="8"/>
        <item x="1"/>
        <item x="9"/>
        <item x="5"/>
        <item x="3"/>
        <item t="default"/>
      </items>
    </pivotField>
    <pivotField dataField="1" showAll="0"/>
    <pivotField axis="axisPage" multipleItemSelectionAllowed="1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6" hier="-1"/>
  </pageFields>
  <dataFields count="1">
    <dataField name="Cuenta de ATA2" fld="5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0:B38" firstHeaderRow="1" firstDataRow="1" firstDataCol="1" rowPageCount="1" colPageCount="1"/>
  <pivotFields count="7">
    <pivotField showAll="0"/>
    <pivotField numFmtId="14" showAll="0"/>
    <pivotField showAll="0"/>
    <pivotField showAll="0"/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Row" showAll="0">
      <items count="8">
        <item x="4"/>
        <item x="1"/>
        <item x="2"/>
        <item x="5"/>
        <item x="0"/>
        <item x="6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4:B24" firstHeaderRow="1" firstDataRow="1" firstDataCol="1" rowPageCount="1" colPageCount="1"/>
  <pivotFields count="7">
    <pivotField showAll="0"/>
    <pivotField numFmtId="14"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Page" multipleItemSelectionAllowed="1" showAll="0">
      <items count="8">
        <item x="4"/>
        <item x="1"/>
        <item x="2"/>
        <item x="5"/>
        <item x="0"/>
        <item x="6"/>
        <item x="3"/>
        <item t="default"/>
      </items>
    </pivotField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6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5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4:B17" firstHeaderRow="1" firstDataRow="1" firstDataCol="1" rowPageCount="1" colPageCount="1"/>
  <pivotFields count="7">
    <pivotField showAll="0"/>
    <pivotField numFmtId="14" showAll="0"/>
    <pivotField showAll="0"/>
    <pivotField showAll="0"/>
    <pivotField axis="axisRow" showAll="0">
      <items count="13">
        <item x="6"/>
        <item x="8"/>
        <item x="10"/>
        <item x="9"/>
        <item x="3"/>
        <item x="0"/>
        <item x="7"/>
        <item x="11"/>
        <item x="5"/>
        <item x="1"/>
        <item x="2"/>
        <item x="4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6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23:B27" firstHeaderRow="1" firstDataRow="1" firstDataCol="1" rowPageCount="1" colPageCount="1"/>
  <pivotFields count="7">
    <pivotField showAll="0"/>
    <pivotField numFmtId="14" showAll="0"/>
    <pivotField showAll="0"/>
    <pivotField showAll="0"/>
    <pivotField axis="axisPage" multipleItemSelectionAllowed="1" showAll="0">
      <items count="13">
        <item x="6"/>
        <item x="8"/>
        <item x="10"/>
        <item x="9"/>
        <item x="3"/>
        <item x="0"/>
        <item x="7"/>
        <item x="11"/>
        <item x="5"/>
        <item x="1"/>
        <item x="2"/>
        <item x="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8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25:B29" firstHeaderRow="1" firstDataRow="1" firstDataCol="1" rowPageCount="1" colPageCount="1"/>
  <pivotFields count="7">
    <pivotField showAll="0"/>
    <pivotField numFmtId="14" showAll="0"/>
    <pivotField showAll="0"/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7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4:B16" firstHeaderRow="1" firstDataRow="1" firstDataCol="1" rowPageCount="1" colPageCount="1"/>
  <pivotFields count="7">
    <pivotField showAll="0"/>
    <pivotField numFmtId="14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4">
        <item x="0"/>
        <item x="2"/>
        <item x="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6" hier="-1"/>
  </pageFields>
  <dataFields count="1">
    <dataField name="Cuenta de ATA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6"/>
  <sheetViews>
    <sheetView topLeftCell="A37" workbookViewId="0">
      <selection activeCell="E1" sqref="E1"/>
    </sheetView>
  </sheetViews>
  <sheetFormatPr baseColWidth="10" defaultColWidth="11.42578125" defaultRowHeight="15"/>
  <cols>
    <col min="2" max="2" width="56.140625" bestFit="1" customWidth="1"/>
    <col min="5" max="5" width="7" bestFit="1" customWidth="1"/>
    <col min="6" max="6" width="34.5703125" bestFit="1" customWidth="1"/>
  </cols>
  <sheetData>
    <row r="1" spans="2:2">
      <c r="B1" s="7" t="s">
        <v>388</v>
      </c>
    </row>
    <row r="2" spans="2:2">
      <c r="B2" s="8" t="s">
        <v>389</v>
      </c>
    </row>
    <row r="3" spans="2:2">
      <c r="B3" s="8" t="s">
        <v>390</v>
      </c>
    </row>
    <row r="4" spans="2:2">
      <c r="B4" s="8" t="s">
        <v>391</v>
      </c>
    </row>
    <row r="5" spans="2:2">
      <c r="B5" s="8" t="s">
        <v>392</v>
      </c>
    </row>
    <row r="6" spans="2:2">
      <c r="B6" s="8" t="s">
        <v>393</v>
      </c>
    </row>
    <row r="7" spans="2:2">
      <c r="B7" s="8" t="s">
        <v>394</v>
      </c>
    </row>
    <row r="8" spans="2:2">
      <c r="B8" s="8" t="s">
        <v>395</v>
      </c>
    </row>
    <row r="9" spans="2:2">
      <c r="B9" s="8" t="s">
        <v>396</v>
      </c>
    </row>
    <row r="10" spans="2:2">
      <c r="B10" s="8" t="s">
        <v>397</v>
      </c>
    </row>
    <row r="11" spans="2:2">
      <c r="B11" s="8" t="s">
        <v>398</v>
      </c>
    </row>
    <row r="12" spans="2:2">
      <c r="B12" s="8" t="s">
        <v>399</v>
      </c>
    </row>
    <row r="13" spans="2:2">
      <c r="B13" s="8" t="s">
        <v>400</v>
      </c>
    </row>
    <row r="14" spans="2:2">
      <c r="B14" s="8" t="s">
        <v>401</v>
      </c>
    </row>
    <row r="15" spans="2:2">
      <c r="B15" s="8" t="s">
        <v>402</v>
      </c>
    </row>
    <row r="16" spans="2:2">
      <c r="B16" s="8" t="s">
        <v>403</v>
      </c>
    </row>
    <row r="17" spans="2:2">
      <c r="B17" s="8" t="s">
        <v>404</v>
      </c>
    </row>
    <row r="18" spans="2:2">
      <c r="B18" s="8" t="s">
        <v>405</v>
      </c>
    </row>
    <row r="19" spans="2:2">
      <c r="B19" s="8" t="s">
        <v>406</v>
      </c>
    </row>
    <row r="20" spans="2:2">
      <c r="B20" s="8" t="s">
        <v>407</v>
      </c>
    </row>
    <row r="21" spans="2:2">
      <c r="B21" s="8" t="s">
        <v>408</v>
      </c>
    </row>
    <row r="22" spans="2:2">
      <c r="B22" s="8" t="s">
        <v>409</v>
      </c>
    </row>
    <row r="23" spans="2:2">
      <c r="B23" s="8" t="s">
        <v>410</v>
      </c>
    </row>
    <row r="24" spans="2:2">
      <c r="B24" s="8" t="s">
        <v>411</v>
      </c>
    </row>
    <row r="25" spans="2:2">
      <c r="B25" s="8" t="s">
        <v>412</v>
      </c>
    </row>
    <row r="26" spans="2:2">
      <c r="B26" s="8" t="s">
        <v>413</v>
      </c>
    </row>
    <row r="27" spans="2:2">
      <c r="B27" s="8" t="s">
        <v>414</v>
      </c>
    </row>
    <row r="28" spans="2:2">
      <c r="B28" s="8" t="s">
        <v>415</v>
      </c>
    </row>
    <row r="29" spans="2:2">
      <c r="B29" s="8" t="s">
        <v>416</v>
      </c>
    </row>
    <row r="30" spans="2:2">
      <c r="B30" s="8" t="s">
        <v>417</v>
      </c>
    </row>
    <row r="31" spans="2:2">
      <c r="B31" s="8" t="s">
        <v>418</v>
      </c>
    </row>
    <row r="32" spans="2:2">
      <c r="B32" s="8" t="s">
        <v>419</v>
      </c>
    </row>
    <row r="33" spans="2:6">
      <c r="B33" s="8" t="s">
        <v>420</v>
      </c>
    </row>
    <row r="34" spans="2:6">
      <c r="B34" s="8" t="s">
        <v>421</v>
      </c>
    </row>
    <row r="35" spans="2:6">
      <c r="B35" s="8" t="s">
        <v>422</v>
      </c>
    </row>
    <row r="36" spans="2:6">
      <c r="B36" s="8" t="s">
        <v>423</v>
      </c>
    </row>
    <row r="37" spans="2:6">
      <c r="B37" s="8" t="s">
        <v>424</v>
      </c>
    </row>
    <row r="38" spans="2:6">
      <c r="B38" s="8" t="s">
        <v>425</v>
      </c>
      <c r="E38" t="s">
        <v>2</v>
      </c>
      <c r="F38" t="s">
        <v>41</v>
      </c>
    </row>
    <row r="39" spans="2:6">
      <c r="B39" s="8" t="s">
        <v>426</v>
      </c>
      <c r="E39" t="s">
        <v>3</v>
      </c>
      <c r="F39" t="s">
        <v>42</v>
      </c>
    </row>
    <row r="40" spans="2:6">
      <c r="B40" s="8" t="s">
        <v>427</v>
      </c>
      <c r="E40" t="s">
        <v>4</v>
      </c>
      <c r="F40" t="s">
        <v>43</v>
      </c>
    </row>
    <row r="41" spans="2:6">
      <c r="B41" s="8" t="s">
        <v>428</v>
      </c>
      <c r="E41" t="s">
        <v>5</v>
      </c>
      <c r="F41" t="s">
        <v>44</v>
      </c>
    </row>
    <row r="42" spans="2:6">
      <c r="B42" s="8" t="s">
        <v>429</v>
      </c>
      <c r="E42" t="s">
        <v>6</v>
      </c>
      <c r="F42" t="s">
        <v>45</v>
      </c>
    </row>
    <row r="43" spans="2:6">
      <c r="B43" s="8" t="s">
        <v>430</v>
      </c>
      <c r="E43" t="s">
        <v>7</v>
      </c>
      <c r="F43" t="s">
        <v>46</v>
      </c>
    </row>
    <row r="44" spans="2:6">
      <c r="B44" s="8" t="s">
        <v>431</v>
      </c>
      <c r="E44" t="s">
        <v>8</v>
      </c>
      <c r="F44" t="s">
        <v>47</v>
      </c>
    </row>
    <row r="45" spans="2:6">
      <c r="B45" s="8" t="s">
        <v>432</v>
      </c>
      <c r="E45" t="s">
        <v>9</v>
      </c>
      <c r="F45" t="s">
        <v>48</v>
      </c>
    </row>
    <row r="46" spans="2:6">
      <c r="B46" s="8" t="s">
        <v>433</v>
      </c>
      <c r="E46" t="s">
        <v>10</v>
      </c>
      <c r="F46" t="s">
        <v>49</v>
      </c>
    </row>
    <row r="47" spans="2:6">
      <c r="B47" s="8" t="s">
        <v>434</v>
      </c>
      <c r="E47" t="s">
        <v>11</v>
      </c>
      <c r="F47" t="s">
        <v>50</v>
      </c>
    </row>
    <row r="48" spans="2:6">
      <c r="B48" s="8" t="s">
        <v>435</v>
      </c>
      <c r="E48" t="s">
        <v>12</v>
      </c>
      <c r="F48" t="s">
        <v>51</v>
      </c>
    </row>
    <row r="49" spans="2:6">
      <c r="B49" s="8" t="s">
        <v>436</v>
      </c>
      <c r="E49" t="s">
        <v>13</v>
      </c>
      <c r="F49" t="s">
        <v>52</v>
      </c>
    </row>
    <row r="50" spans="2:6">
      <c r="B50" s="8" t="s">
        <v>437</v>
      </c>
      <c r="E50" t="s">
        <v>14</v>
      </c>
      <c r="F50" t="s">
        <v>53</v>
      </c>
    </row>
    <row r="51" spans="2:6">
      <c r="B51" s="8" t="s">
        <v>438</v>
      </c>
      <c r="E51" t="s">
        <v>15</v>
      </c>
      <c r="F51" t="s">
        <v>54</v>
      </c>
    </row>
    <row r="52" spans="2:6">
      <c r="B52" s="8" t="s">
        <v>439</v>
      </c>
      <c r="E52" t="s">
        <v>16</v>
      </c>
      <c r="F52" t="s">
        <v>55</v>
      </c>
    </row>
    <row r="53" spans="2:6">
      <c r="B53" s="8" t="s">
        <v>440</v>
      </c>
      <c r="E53" t="s">
        <v>17</v>
      </c>
      <c r="F53" s="2" t="s">
        <v>56</v>
      </c>
    </row>
    <row r="54" spans="2:6">
      <c r="B54" s="8" t="s">
        <v>441</v>
      </c>
      <c r="E54" t="s">
        <v>18</v>
      </c>
      <c r="F54" t="s">
        <v>57</v>
      </c>
    </row>
    <row r="55" spans="2:6">
      <c r="B55" s="8" t="s">
        <v>442</v>
      </c>
      <c r="E55" t="s">
        <v>19</v>
      </c>
      <c r="F55" t="s">
        <v>58</v>
      </c>
    </row>
    <row r="56" spans="2:6">
      <c r="B56" s="8" t="s">
        <v>443</v>
      </c>
      <c r="E56" t="s">
        <v>20</v>
      </c>
      <c r="F56" t="s">
        <v>59</v>
      </c>
    </row>
    <row r="57" spans="2:6">
      <c r="B57" s="8" t="s">
        <v>444</v>
      </c>
      <c r="E57" t="s">
        <v>21</v>
      </c>
      <c r="F57" t="s">
        <v>60</v>
      </c>
    </row>
    <row r="58" spans="2:6">
      <c r="B58" s="8" t="s">
        <v>445</v>
      </c>
      <c r="E58" t="s">
        <v>34</v>
      </c>
      <c r="F58" t="s">
        <v>61</v>
      </c>
    </row>
    <row r="59" spans="2:6">
      <c r="B59" s="8" t="s">
        <v>446</v>
      </c>
      <c r="E59" t="s">
        <v>35</v>
      </c>
      <c r="F59" t="s">
        <v>62</v>
      </c>
    </row>
    <row r="60" spans="2:6">
      <c r="B60" s="8" t="s">
        <v>447</v>
      </c>
      <c r="E60" t="s">
        <v>22</v>
      </c>
      <c r="F60" t="s">
        <v>63</v>
      </c>
    </row>
    <row r="61" spans="2:6">
      <c r="B61" s="8" t="s">
        <v>448</v>
      </c>
      <c r="E61" t="s">
        <v>36</v>
      </c>
      <c r="F61" t="s">
        <v>66</v>
      </c>
    </row>
    <row r="62" spans="2:6">
      <c r="B62" s="8" t="s">
        <v>449</v>
      </c>
      <c r="E62" t="s">
        <v>37</v>
      </c>
      <c r="F62" t="s">
        <v>64</v>
      </c>
    </row>
    <row r="63" spans="2:6">
      <c r="B63" s="8" t="s">
        <v>450</v>
      </c>
      <c r="E63" t="s">
        <v>38</v>
      </c>
      <c r="F63" t="s">
        <v>65</v>
      </c>
    </row>
    <row r="64" spans="2:6">
      <c r="B64" s="8" t="s">
        <v>451</v>
      </c>
      <c r="E64" t="s">
        <v>23</v>
      </c>
      <c r="F64" t="s">
        <v>67</v>
      </c>
    </row>
    <row r="65" spans="2:6">
      <c r="B65" s="8" t="s">
        <v>452</v>
      </c>
      <c r="E65" t="s">
        <v>24</v>
      </c>
      <c r="F65" t="s">
        <v>68</v>
      </c>
    </row>
    <row r="66" spans="2:6">
      <c r="B66" s="8" t="s">
        <v>453</v>
      </c>
      <c r="E66" t="s">
        <v>25</v>
      </c>
      <c r="F66" t="s">
        <v>69</v>
      </c>
    </row>
    <row r="67" spans="2:6">
      <c r="B67" s="8" t="s">
        <v>454</v>
      </c>
      <c r="E67" t="s">
        <v>26</v>
      </c>
      <c r="F67" t="s">
        <v>70</v>
      </c>
    </row>
    <row r="68" spans="2:6">
      <c r="B68" s="8" t="s">
        <v>455</v>
      </c>
      <c r="E68" t="s">
        <v>27</v>
      </c>
      <c r="F68" t="s">
        <v>71</v>
      </c>
    </row>
    <row r="69" spans="2:6">
      <c r="B69" s="8" t="s">
        <v>456</v>
      </c>
      <c r="E69" t="s">
        <v>28</v>
      </c>
      <c r="F69" t="s">
        <v>72</v>
      </c>
    </row>
    <row r="70" spans="2:6">
      <c r="B70" s="8" t="s">
        <v>457</v>
      </c>
      <c r="E70" t="s">
        <v>29</v>
      </c>
      <c r="F70" t="s">
        <v>73</v>
      </c>
    </row>
    <row r="71" spans="2:6">
      <c r="B71" s="8" t="s">
        <v>458</v>
      </c>
      <c r="E71" t="s">
        <v>30</v>
      </c>
      <c r="F71" t="s">
        <v>74</v>
      </c>
    </row>
    <row r="72" spans="2:6">
      <c r="B72" s="8" t="s">
        <v>459</v>
      </c>
      <c r="E72" t="s">
        <v>31</v>
      </c>
      <c r="F72" t="s">
        <v>75</v>
      </c>
    </row>
    <row r="73" spans="2:6">
      <c r="B73" s="8" t="s">
        <v>460</v>
      </c>
      <c r="E73" t="s">
        <v>32</v>
      </c>
      <c r="F73" t="s">
        <v>76</v>
      </c>
    </row>
    <row r="74" spans="2:6">
      <c r="B74" s="8" t="s">
        <v>461</v>
      </c>
      <c r="E74" t="s">
        <v>33</v>
      </c>
      <c r="F74" t="s">
        <v>77</v>
      </c>
    </row>
    <row r="75" spans="2:6">
      <c r="B75" s="8" t="s">
        <v>462</v>
      </c>
      <c r="E75" t="s">
        <v>39</v>
      </c>
      <c r="F75" t="s">
        <v>78</v>
      </c>
    </row>
    <row r="76" spans="2:6">
      <c r="B76" s="9" t="s">
        <v>463</v>
      </c>
      <c r="E76" t="s">
        <v>40</v>
      </c>
      <c r="F76" t="s">
        <v>79</v>
      </c>
    </row>
  </sheetData>
  <phoneticPr fontId="0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6"/>
  <sheetViews>
    <sheetView topLeftCell="A25" workbookViewId="0">
      <selection activeCell="A5" sqref="A5:A15"/>
      <pivotSelection pane="bottomRight" showHeader="1" axis="axisRow" activeRow="4" previousRow="4" click="1" r:id="rId2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/>
  <cols>
    <col min="1" max="1" width="16" customWidth="1"/>
    <col min="2" max="2" width="15" customWidth="1"/>
  </cols>
  <sheetData>
    <row r="1" spans="1:7" ht="19.5" thickBot="1">
      <c r="C1" s="163" t="s">
        <v>610</v>
      </c>
      <c r="D1" s="164"/>
      <c r="E1" s="164"/>
      <c r="F1" s="164"/>
      <c r="G1" s="165"/>
    </row>
    <row r="2" spans="1:7">
      <c r="A2" s="54" t="s">
        <v>574</v>
      </c>
      <c r="B2" t="s">
        <v>580</v>
      </c>
    </row>
    <row r="4" spans="1:7">
      <c r="A4" s="54" t="s">
        <v>577</v>
      </c>
      <c r="B4" t="s">
        <v>579</v>
      </c>
    </row>
    <row r="5" spans="1:7">
      <c r="A5" s="56">
        <v>24</v>
      </c>
      <c r="B5" s="55">
        <v>2</v>
      </c>
    </row>
    <row r="6" spans="1:7">
      <c r="A6" s="56">
        <v>25</v>
      </c>
      <c r="B6" s="55">
        <v>1</v>
      </c>
    </row>
    <row r="7" spans="1:7">
      <c r="A7" s="56">
        <v>26</v>
      </c>
      <c r="B7" s="55">
        <v>1</v>
      </c>
    </row>
    <row r="8" spans="1:7">
      <c r="A8" s="56">
        <v>28</v>
      </c>
      <c r="B8" s="55">
        <v>1</v>
      </c>
    </row>
    <row r="9" spans="1:7">
      <c r="A9" s="56">
        <v>29</v>
      </c>
      <c r="B9" s="55">
        <v>1</v>
      </c>
    </row>
    <row r="10" spans="1:7">
      <c r="A10" s="56">
        <v>31</v>
      </c>
      <c r="B10" s="55">
        <v>4</v>
      </c>
    </row>
    <row r="11" spans="1:7">
      <c r="A11" s="56">
        <v>34</v>
      </c>
      <c r="B11" s="55">
        <v>2</v>
      </c>
    </row>
    <row r="12" spans="1:7">
      <c r="A12" s="56">
        <v>63</v>
      </c>
      <c r="B12" s="55">
        <v>1</v>
      </c>
    </row>
    <row r="13" spans="1:7">
      <c r="A13" s="56">
        <v>64</v>
      </c>
      <c r="B13" s="55">
        <v>1</v>
      </c>
    </row>
    <row r="14" spans="1:7">
      <c r="A14" s="56">
        <v>67</v>
      </c>
      <c r="B14" s="55">
        <v>1</v>
      </c>
    </row>
    <row r="15" spans="1:7">
      <c r="A15" s="56">
        <v>72</v>
      </c>
      <c r="B15" s="55">
        <v>1</v>
      </c>
    </row>
    <row r="16" spans="1:7">
      <c r="A16" s="56" t="s">
        <v>578</v>
      </c>
      <c r="B16" s="55">
        <v>16</v>
      </c>
    </row>
    <row r="19" spans="1:7" ht="15.75" thickBot="1"/>
    <row r="20" spans="1:7" ht="19.5" thickBot="1">
      <c r="C20" s="163" t="s">
        <v>613</v>
      </c>
      <c r="D20" s="164"/>
      <c r="E20" s="164"/>
      <c r="F20" s="164"/>
      <c r="G20" s="165"/>
    </row>
    <row r="23" spans="1:7">
      <c r="A23" s="54" t="s">
        <v>0</v>
      </c>
      <c r="B23" t="s">
        <v>580</v>
      </c>
    </row>
    <row r="25" spans="1:7">
      <c r="A25" s="54" t="s">
        <v>577</v>
      </c>
      <c r="B25" t="s">
        <v>579</v>
      </c>
    </row>
    <row r="26" spans="1:7">
      <c r="A26" s="56" t="s">
        <v>595</v>
      </c>
      <c r="B26" s="55">
        <v>3</v>
      </c>
    </row>
    <row r="27" spans="1:7">
      <c r="A27" s="56" t="s">
        <v>596</v>
      </c>
      <c r="B27" s="55">
        <v>8</v>
      </c>
    </row>
    <row r="28" spans="1:7">
      <c r="A28" s="56" t="s">
        <v>597</v>
      </c>
      <c r="B28" s="55">
        <v>5</v>
      </c>
    </row>
    <row r="29" spans="1:7">
      <c r="A29" s="56" t="s">
        <v>578</v>
      </c>
      <c r="B29" s="55">
        <v>16</v>
      </c>
    </row>
    <row r="35" spans="1:7" ht="15.75" thickBot="1"/>
    <row r="36" spans="1:7" ht="19.5" thickBot="1">
      <c r="C36" s="163" t="s">
        <v>611</v>
      </c>
      <c r="D36" s="164"/>
      <c r="E36" s="164"/>
      <c r="F36" s="164"/>
      <c r="G36" s="165"/>
    </row>
    <row r="37" spans="1:7">
      <c r="A37" s="145" t="s">
        <v>625</v>
      </c>
      <c r="B37" s="147" t="s">
        <v>623</v>
      </c>
    </row>
    <row r="54" spans="1:7" ht="15.75" thickBot="1"/>
    <row r="55" spans="1:7" ht="19.5" thickBot="1">
      <c r="C55" s="163" t="s">
        <v>612</v>
      </c>
      <c r="D55" s="164"/>
      <c r="E55" s="164"/>
      <c r="F55" s="164"/>
      <c r="G55" s="165"/>
    </row>
    <row r="56" spans="1:7">
      <c r="A56" s="145" t="s">
        <v>625</v>
      </c>
      <c r="B56" s="147" t="s">
        <v>624</v>
      </c>
    </row>
    <row r="76" spans="3:7" ht="15.75" thickBot="1"/>
    <row r="77" spans="3:7" ht="19.5" thickBot="1">
      <c r="C77" s="163" t="s">
        <v>619</v>
      </c>
      <c r="D77" s="164"/>
      <c r="E77" s="164"/>
      <c r="F77" s="164"/>
      <c r="G77" s="165"/>
    </row>
    <row r="95" spans="3:7" ht="15.75" thickBot="1"/>
    <row r="96" spans="3:7" ht="19.5" thickBot="1">
      <c r="C96" s="163" t="s">
        <v>620</v>
      </c>
      <c r="D96" s="164"/>
      <c r="E96" s="164"/>
      <c r="F96" s="164"/>
      <c r="G96" s="165"/>
    </row>
  </sheetData>
  <mergeCells count="6">
    <mergeCell ref="C96:G96"/>
    <mergeCell ref="C1:G1"/>
    <mergeCell ref="C20:G20"/>
    <mergeCell ref="C36:G36"/>
    <mergeCell ref="C55:G55"/>
    <mergeCell ref="C77:G77"/>
  </mergeCells>
  <hyperlinks>
    <hyperlink ref="B37" location="'2082'!M2" display="Ir a Seleccion de Mes"/>
    <hyperlink ref="B56" location="'2082'!A1" display="Ir a Seleccion de Ata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baseColWidth="10" defaultRowHeight="15"/>
  <cols>
    <col min="1" max="1" width="18.140625" customWidth="1"/>
    <col min="2" max="2" width="16" bestFit="1" customWidth="1"/>
    <col min="3" max="3" width="9.85546875" customWidth="1"/>
    <col min="4" max="4" width="13.28515625" customWidth="1"/>
    <col min="5" max="5" width="12.5703125" customWidth="1"/>
    <col min="6" max="6" width="6.85546875" customWidth="1"/>
    <col min="7" max="7" width="8.85546875" customWidth="1"/>
    <col min="8" max="8" width="6.85546875" customWidth="1"/>
    <col min="9" max="9" width="12.5703125" customWidth="1"/>
    <col min="10" max="10" width="6.85546875" customWidth="1"/>
    <col min="11" max="11" width="4.85546875" customWidth="1"/>
    <col min="12" max="12" width="6.85546875" customWidth="1"/>
    <col min="13" max="13" width="7.85546875" customWidth="1"/>
    <col min="14" max="14" width="12.5703125" customWidth="1"/>
    <col min="15" max="16" width="6.85546875" customWidth="1"/>
    <col min="17" max="17" width="7.85546875" customWidth="1"/>
    <col min="18" max="18" width="12.5703125" customWidth="1"/>
    <col min="19" max="20" width="6.85546875" customWidth="1"/>
    <col min="21" max="21" width="7.85546875" customWidth="1"/>
    <col min="22" max="22" width="12.5703125" customWidth="1"/>
    <col min="23" max="24" width="6.85546875" customWidth="1"/>
    <col min="25" max="25" width="7.85546875" customWidth="1"/>
    <col min="26" max="26" width="12.5703125" customWidth="1"/>
    <col min="27" max="27" width="6.85546875" customWidth="1"/>
    <col min="28" max="28" width="12.5703125" bestFit="1" customWidth="1"/>
  </cols>
  <sheetData>
    <row r="1" spans="1:8" ht="19.5" thickBot="1">
      <c r="B1" s="163" t="s">
        <v>609</v>
      </c>
      <c r="C1" s="164"/>
      <c r="D1" s="164"/>
      <c r="E1" s="164"/>
      <c r="F1" s="164"/>
      <c r="G1" s="165"/>
    </row>
    <row r="2" spans="1:8">
      <c r="A2" s="130" t="s">
        <v>606</v>
      </c>
      <c r="B2" s="131" t="s">
        <v>585</v>
      </c>
      <c r="C2" s="131" t="s">
        <v>586</v>
      </c>
      <c r="D2" s="131" t="s">
        <v>587</v>
      </c>
      <c r="E2" s="131" t="s">
        <v>588</v>
      </c>
      <c r="F2" s="131" t="s">
        <v>589</v>
      </c>
      <c r="G2" s="131" t="s">
        <v>590</v>
      </c>
      <c r="H2" s="132" t="s">
        <v>591</v>
      </c>
    </row>
    <row r="3" spans="1:8">
      <c r="A3" s="126">
        <v>1996</v>
      </c>
      <c r="B3" s="66">
        <f>'1996'!O15</f>
        <v>0</v>
      </c>
      <c r="C3" s="66">
        <f>'1996'!P15</f>
        <v>0</v>
      </c>
      <c r="D3" s="66">
        <f>'1996'!Q15</f>
        <v>0</v>
      </c>
      <c r="E3" s="66">
        <f>'1996'!R15</f>
        <v>6</v>
      </c>
      <c r="F3" s="66">
        <f>'1996'!S15</f>
        <v>2</v>
      </c>
      <c r="G3" s="66">
        <f>'1996'!T15</f>
        <v>7</v>
      </c>
      <c r="H3" s="127">
        <f>'1996'!U15</f>
        <v>5</v>
      </c>
    </row>
    <row r="4" spans="1:8">
      <c r="A4" s="126">
        <v>2035</v>
      </c>
      <c r="B4" s="66">
        <f>'2035'!O23</f>
        <v>7</v>
      </c>
      <c r="C4" s="66">
        <f>'2035'!P23</f>
        <v>8</v>
      </c>
      <c r="D4" s="66">
        <f>'2035'!Q23</f>
        <v>11</v>
      </c>
      <c r="E4" s="66">
        <f>'2035'!R23</f>
        <v>9</v>
      </c>
      <c r="F4" s="66">
        <f>'2035'!S23</f>
        <v>9</v>
      </c>
      <c r="G4" s="66">
        <f>'2035'!T23</f>
        <v>6</v>
      </c>
      <c r="H4" s="127">
        <f>'2035'!U23</f>
        <v>6</v>
      </c>
    </row>
    <row r="5" spans="1:8">
      <c r="A5" s="126">
        <v>2081</v>
      </c>
      <c r="B5" s="66">
        <f>'2081'!O16</f>
        <v>0</v>
      </c>
      <c r="C5" s="66">
        <f>'2081'!P16</f>
        <v>0</v>
      </c>
      <c r="D5" s="66">
        <f>'2081'!Q16</f>
        <v>0</v>
      </c>
      <c r="E5" s="66">
        <f>'2081'!R16</f>
        <v>0</v>
      </c>
      <c r="F5" s="66">
        <f>'2081'!S16</f>
        <v>6</v>
      </c>
      <c r="G5" s="66">
        <f>'2081'!T16</f>
        <v>7</v>
      </c>
      <c r="H5" s="127">
        <f>'2081'!U16</f>
        <v>8</v>
      </c>
    </row>
    <row r="6" spans="1:8" ht="15.75" thickBot="1">
      <c r="A6" s="128">
        <v>2082</v>
      </c>
      <c r="B6" s="67">
        <f>'2082'!O15</f>
        <v>0</v>
      </c>
      <c r="C6" s="67">
        <f>'2082'!P15</f>
        <v>0</v>
      </c>
      <c r="D6" s="67">
        <f>'2082'!Q15</f>
        <v>0</v>
      </c>
      <c r="E6" s="67">
        <f>'2082'!R15</f>
        <v>0</v>
      </c>
      <c r="F6" s="67">
        <f>'2082'!S15</f>
        <v>3</v>
      </c>
      <c r="G6" s="67">
        <f>'2082'!T15</f>
        <v>8</v>
      </c>
      <c r="H6" s="129">
        <f>'2082'!U15</f>
        <v>5</v>
      </c>
    </row>
    <row r="7" spans="1:8" ht="15.75" thickBot="1"/>
    <row r="8" spans="1:8" ht="15.75" thickBot="1">
      <c r="A8" s="146" t="s">
        <v>607</v>
      </c>
      <c r="B8" s="112" t="s">
        <v>588</v>
      </c>
    </row>
    <row r="9" spans="1:8" ht="15.75" thickBot="1"/>
    <row r="10" spans="1:8">
      <c r="A10" s="130" t="s">
        <v>606</v>
      </c>
      <c r="B10" s="133" t="s">
        <v>608</v>
      </c>
    </row>
    <row r="11" spans="1:8">
      <c r="A11" s="126">
        <v>1996</v>
      </c>
      <c r="B11" s="134">
        <f>IF(B$8="Enero",B3,IF(B$8="Febrero",C3,IF(B$8="Marzo",D3,IF(B$8="Abril",E3,IF(B$8="Mayo",F3,IF(B$8="Junio",G3,IF(B$8="Julio",H3)))))))</f>
        <v>6</v>
      </c>
    </row>
    <row r="12" spans="1:8">
      <c r="A12" s="126">
        <v>2035</v>
      </c>
      <c r="B12" s="134">
        <f t="shared" ref="B12:B14" si="0">IF(B$8="Enero",B4,IF(B$8="Febrero",C4,IF(B$8="Marzo",D4,IF(B$8="Abril",E4,IF(B$8="Mayo",F4,IF(B$8="Junio",G4,IF(B$8="Julio",H4)))))))</f>
        <v>9</v>
      </c>
    </row>
    <row r="13" spans="1:8">
      <c r="A13" s="126">
        <v>2081</v>
      </c>
      <c r="B13" s="134">
        <f t="shared" si="0"/>
        <v>0</v>
      </c>
    </row>
    <row r="14" spans="1:8" ht="15.75" thickBot="1">
      <c r="A14" s="128">
        <v>2082</v>
      </c>
      <c r="B14" s="135">
        <f t="shared" si="0"/>
        <v>0</v>
      </c>
    </row>
    <row r="18" spans="1:8" ht="15.75" thickBot="1"/>
    <row r="19" spans="1:8" ht="19.5" thickBot="1">
      <c r="B19" s="163" t="s">
        <v>621</v>
      </c>
      <c r="C19" s="164"/>
      <c r="D19" s="164"/>
      <c r="E19" s="164"/>
      <c r="F19" s="164"/>
      <c r="G19" s="165"/>
    </row>
    <row r="20" spans="1:8">
      <c r="A20" s="130" t="s">
        <v>606</v>
      </c>
      <c r="B20" s="131" t="s">
        <v>585</v>
      </c>
      <c r="C20" s="131" t="s">
        <v>586</v>
      </c>
      <c r="D20" s="131" t="s">
        <v>587</v>
      </c>
      <c r="E20" s="131" t="s">
        <v>588</v>
      </c>
      <c r="F20" s="131" t="s">
        <v>589</v>
      </c>
      <c r="G20" s="131" t="s">
        <v>590</v>
      </c>
      <c r="H20" s="132" t="s">
        <v>591</v>
      </c>
    </row>
    <row r="21" spans="1:8">
      <c r="A21" s="126">
        <v>1996</v>
      </c>
      <c r="B21" s="136">
        <f>'1996'!O16</f>
        <v>0</v>
      </c>
      <c r="C21" s="136">
        <f>'1996'!P16</f>
        <v>0</v>
      </c>
      <c r="D21" s="136">
        <f>'1996'!Q16</f>
        <v>0</v>
      </c>
      <c r="E21" s="136">
        <f>'1996'!R16</f>
        <v>0</v>
      </c>
      <c r="F21" s="136">
        <f>'1996'!S16</f>
        <v>0.2857142857142857</v>
      </c>
      <c r="G21" s="136">
        <f>'1996'!T16</f>
        <v>0.17499999999999999</v>
      </c>
      <c r="H21" s="136">
        <f>'1996'!U16</f>
        <v>0.16666666666666666</v>
      </c>
    </row>
    <row r="22" spans="1:8">
      <c r="A22" s="126">
        <v>2035</v>
      </c>
      <c r="B22" s="136">
        <f>'2035'!O24</f>
        <v>0.17948717948717949</v>
      </c>
      <c r="C22" s="136">
        <f>'2035'!P24</f>
        <v>0.13333333333333333</v>
      </c>
      <c r="D22" s="136">
        <f>'2035'!Q24</f>
        <v>0.15068493150684931</v>
      </c>
      <c r="E22" s="136">
        <f>'2035'!R24</f>
        <v>0.11842105263157894</v>
      </c>
      <c r="F22" s="136">
        <f>'2035'!S24</f>
        <v>0.16071428571428573</v>
      </c>
      <c r="G22" s="136">
        <f>'2035'!T24</f>
        <v>0.17647058823529413</v>
      </c>
      <c r="H22" s="136">
        <f>'2035'!U24</f>
        <v>0.10909090909090909</v>
      </c>
    </row>
    <row r="23" spans="1:8">
      <c r="A23" s="126">
        <v>2081</v>
      </c>
      <c r="B23" s="136">
        <f>'2081'!O17</f>
        <v>0</v>
      </c>
      <c r="C23" s="136">
        <f>'2081'!P17</f>
        <v>0</v>
      </c>
      <c r="D23" s="136">
        <f>'2081'!Q17</f>
        <v>0</v>
      </c>
      <c r="E23" s="136">
        <f>'2081'!R17</f>
        <v>0</v>
      </c>
      <c r="F23" s="136">
        <f>'2081'!S17</f>
        <v>0</v>
      </c>
      <c r="G23" s="136">
        <f>'2081'!T17</f>
        <v>0.46666666666666667</v>
      </c>
      <c r="H23" s="136">
        <f>'2081'!U17</f>
        <v>0.27586206896551724</v>
      </c>
    </row>
    <row r="24" spans="1:8" ht="15.75" thickBot="1">
      <c r="A24" s="128">
        <v>2082</v>
      </c>
      <c r="B24" s="137">
        <f>'2082'!O16</f>
        <v>0</v>
      </c>
      <c r="C24" s="137">
        <f>'2082'!P16</f>
        <v>0</v>
      </c>
      <c r="D24" s="137">
        <f>'2082'!Q16</f>
        <v>0</v>
      </c>
      <c r="E24" s="137">
        <f>'2082'!R16</f>
        <v>0</v>
      </c>
      <c r="F24" s="137">
        <f>'2082'!S16</f>
        <v>0</v>
      </c>
      <c r="G24" s="137">
        <f>'2082'!T16</f>
        <v>0</v>
      </c>
      <c r="H24" s="137">
        <f>'2082'!U16</f>
        <v>2.5</v>
      </c>
    </row>
    <row r="26" spans="1:8" ht="15.75" thickBot="1"/>
    <row r="27" spans="1:8" ht="15.75" thickBot="1">
      <c r="A27" s="146" t="s">
        <v>607</v>
      </c>
      <c r="B27" s="112" t="s">
        <v>588</v>
      </c>
    </row>
    <row r="28" spans="1:8" ht="15.75" thickBot="1">
      <c r="A28" s="142"/>
      <c r="B28" s="139"/>
    </row>
    <row r="29" spans="1:8" ht="15.75" thickBot="1">
      <c r="A29" s="143" t="s">
        <v>606</v>
      </c>
      <c r="B29" s="144" t="s">
        <v>608</v>
      </c>
    </row>
    <row r="30" spans="1:8">
      <c r="A30" s="125">
        <v>1996</v>
      </c>
      <c r="B30" s="140">
        <f>IF(B$27="Enero",B21,IF(B$27="Febrero",C21,IF(B$27="Marzo",D21,IF(B$27="Abril",E21,IF(B$27="Mayo",F21,IF(B$27="Junio",G21,IF(B$27="Julio",H21)))))))</f>
        <v>0</v>
      </c>
    </row>
    <row r="31" spans="1:8">
      <c r="A31" s="126">
        <v>2035</v>
      </c>
      <c r="B31" s="138">
        <f t="shared" ref="B31:B33" si="1">IF(B$27="Enero",B22,IF(B$27="Febrero",C22,IF(B$27="Marzo",D22,IF(B$27="Abril",E22,IF(B$27="Mayo",F22,IF(B$27="Junio",G22,IF(B$27="Julio",H22)))))))</f>
        <v>0.11842105263157894</v>
      </c>
    </row>
    <row r="32" spans="1:8">
      <c r="A32" s="126">
        <v>2081</v>
      </c>
      <c r="B32" s="138">
        <f t="shared" si="1"/>
        <v>0</v>
      </c>
    </row>
    <row r="33" spans="1:2" ht="15.75" thickBot="1">
      <c r="A33" s="128">
        <v>2082</v>
      </c>
      <c r="B33" s="141">
        <f t="shared" si="1"/>
        <v>0</v>
      </c>
    </row>
  </sheetData>
  <mergeCells count="2">
    <mergeCell ref="B1:G1"/>
    <mergeCell ref="B19:G19"/>
  </mergeCells>
  <dataValidations count="1">
    <dataValidation type="list" allowBlank="1" showInputMessage="1" showErrorMessage="1" sqref="B8 B27">
      <formula1>$B$2:$H$2</formula1>
    </dataValidation>
  </dataValidations>
  <pageMargins left="0.7" right="0.7" top="0.75" bottom="0.75" header="0.3" footer="0.3"/>
  <pageSetup paperSize="2833" orientation="portrait" horizontalDpi="203" verticalDpi="20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zoomScaleNormal="100" workbookViewId="0">
      <pane ySplit="3" topLeftCell="A7" activePane="bottomLeft" state="frozen"/>
      <selection pane="bottomLeft" activeCell="H60" sqref="H60"/>
    </sheetView>
  </sheetViews>
  <sheetFormatPr baseColWidth="10" defaultColWidth="11.42578125" defaultRowHeight="11.25"/>
  <cols>
    <col min="1" max="1" width="2.7109375" style="14" bestFit="1" customWidth="1"/>
    <col min="2" max="2" width="29" style="17" bestFit="1" customWidth="1"/>
    <col min="3" max="5" width="7.85546875" style="14" bestFit="1" customWidth="1"/>
    <col min="6" max="6" width="7.7109375" style="14" bestFit="1" customWidth="1"/>
    <col min="7" max="7" width="13.42578125" style="12" bestFit="1" customWidth="1"/>
    <col min="8" max="8" width="14.140625" style="14" customWidth="1"/>
    <col min="9" max="16384" width="11.42578125" style="14"/>
  </cols>
  <sheetData>
    <row r="1" spans="1:8" ht="12" thickBot="1">
      <c r="C1" s="15"/>
    </row>
    <row r="2" spans="1:8" ht="15" customHeight="1" thickBot="1">
      <c r="A2" s="150" t="s">
        <v>0</v>
      </c>
      <c r="B2" s="150"/>
      <c r="C2" s="36" t="s">
        <v>151</v>
      </c>
      <c r="D2" s="16">
        <f ca="1">TODAY()</f>
        <v>42090</v>
      </c>
      <c r="F2" s="35" t="s">
        <v>513</v>
      </c>
      <c r="G2" s="154" t="s">
        <v>570</v>
      </c>
      <c r="H2" s="155"/>
    </row>
    <row r="3" spans="1:8" ht="16.5" thickBot="1">
      <c r="A3" s="151"/>
      <c r="B3" s="151"/>
      <c r="C3" s="20">
        <v>1996</v>
      </c>
      <c r="D3" s="21">
        <v>2035</v>
      </c>
      <c r="E3" s="21">
        <v>2081</v>
      </c>
      <c r="F3" s="21">
        <v>2082</v>
      </c>
      <c r="G3" s="34" t="s">
        <v>1</v>
      </c>
      <c r="H3" s="34" t="s">
        <v>573</v>
      </c>
    </row>
    <row r="4" spans="1:8" ht="12" thickBot="1">
      <c r="A4" s="22">
        <v>21</v>
      </c>
      <c r="B4" s="23" t="s">
        <v>514</v>
      </c>
      <c r="C4" s="24">
        <f>COUNTIFS('1996'!E$3:E$22,'2014'!A4)</f>
        <v>0</v>
      </c>
      <c r="D4" s="24">
        <f>COUNTIFS('2035'!E$3:E$58,'2014'!A4)</f>
        <v>0</v>
      </c>
      <c r="E4" s="24">
        <f>COUNTIFS('2081'!E$3:E$58,'2014'!A4)</f>
        <v>0</v>
      </c>
      <c r="F4" s="24">
        <f>COUNTIFS('2082'!E$3:E$58,'2014'!A4)</f>
        <v>0</v>
      </c>
      <c r="G4" s="25">
        <f t="shared" ref="G4" si="0">SUM(C4:E4)</f>
        <v>0</v>
      </c>
      <c r="H4" s="26">
        <f>G4/$G$60</f>
        <v>0</v>
      </c>
    </row>
    <row r="5" spans="1:8" ht="12" thickBot="1">
      <c r="A5" s="27">
        <v>22</v>
      </c>
      <c r="B5" s="18" t="s">
        <v>515</v>
      </c>
      <c r="C5" s="24">
        <f>COUNTIFS('1996'!E$3:E$22,'2014'!A5)</f>
        <v>2</v>
      </c>
      <c r="D5" s="24">
        <f>COUNTIFS('2035'!E$3:E$58,'2014'!A5)</f>
        <v>1</v>
      </c>
      <c r="E5" s="24">
        <f>COUNTIFS('2081'!E$3:E$58,'2014'!A5)</f>
        <v>0</v>
      </c>
      <c r="F5" s="24">
        <f>COUNTIFS('2082'!E$3:E$58,'2014'!A5)</f>
        <v>0</v>
      </c>
      <c r="G5" s="13">
        <f t="shared" ref="G5:G9" si="1">SUM(C5:E5)</f>
        <v>3</v>
      </c>
      <c r="H5" s="28">
        <f t="shared" ref="H5:H59" si="2">G5/$G$60</f>
        <v>2.7522935779816515E-2</v>
      </c>
    </row>
    <row r="6" spans="1:8" ht="12" thickBot="1">
      <c r="A6" s="27">
        <v>23</v>
      </c>
      <c r="B6" s="18" t="s">
        <v>516</v>
      </c>
      <c r="C6" s="24">
        <f>COUNTIFS('1996'!E$3:E$22,'2014'!A6)</f>
        <v>1</v>
      </c>
      <c r="D6" s="24">
        <f>COUNTIFS('2035'!E$3:E$58,'2014'!A6)</f>
        <v>0</v>
      </c>
      <c r="E6" s="24">
        <f>COUNTIFS('2081'!E$3:E$58,'2014'!A6)</f>
        <v>0</v>
      </c>
      <c r="F6" s="24">
        <f>COUNTIFS('2082'!E$3:E$58,'2014'!A6)</f>
        <v>0</v>
      </c>
      <c r="G6" s="13">
        <f t="shared" si="1"/>
        <v>1</v>
      </c>
      <c r="H6" s="28">
        <f t="shared" si="2"/>
        <v>9.1743119266055051E-3</v>
      </c>
    </row>
    <row r="7" spans="1:8" ht="12" thickBot="1">
      <c r="A7" s="27">
        <v>24</v>
      </c>
      <c r="B7" s="18" t="s">
        <v>517</v>
      </c>
      <c r="C7" s="24">
        <f>COUNTIFS('1996'!E$3:E$22,'2014'!A7)</f>
        <v>0</v>
      </c>
      <c r="D7" s="24">
        <f>COUNTIFS('2035'!E$3:E$58,'2014'!A7)</f>
        <v>9</v>
      </c>
      <c r="E7" s="24">
        <f>COUNTIFS('2081'!E$3:E$58,'2014'!A7)</f>
        <v>1</v>
      </c>
      <c r="F7" s="24">
        <f>COUNTIFS('2082'!E$3:E$58,'2014'!A7)</f>
        <v>2</v>
      </c>
      <c r="G7" s="13">
        <f t="shared" si="1"/>
        <v>10</v>
      </c>
      <c r="H7" s="28">
        <f>G7/$G$60</f>
        <v>9.1743119266055051E-2</v>
      </c>
    </row>
    <row r="8" spans="1:8" ht="12" thickBot="1">
      <c r="A8" s="27">
        <v>25</v>
      </c>
      <c r="B8" s="18" t="s">
        <v>518</v>
      </c>
      <c r="C8" s="24">
        <f>COUNTIFS('1996'!E$3:E$22,'2014'!A8)</f>
        <v>0</v>
      </c>
      <c r="D8" s="24">
        <f>COUNTIFS('2035'!E$3:E$58,'2014'!A8)</f>
        <v>1</v>
      </c>
      <c r="E8" s="24">
        <f>COUNTIFS('2081'!E$3:E$58,'2014'!A8)</f>
        <v>0</v>
      </c>
      <c r="F8" s="24">
        <f>COUNTIFS('2082'!E$3:E$58,'2014'!A8)</f>
        <v>1</v>
      </c>
      <c r="G8" s="13">
        <f t="shared" si="1"/>
        <v>1</v>
      </c>
      <c r="H8" s="28">
        <f t="shared" si="2"/>
        <v>9.1743119266055051E-3</v>
      </c>
    </row>
    <row r="9" spans="1:8" ht="12" thickBot="1">
      <c r="A9" s="27">
        <v>26</v>
      </c>
      <c r="B9" s="18" t="s">
        <v>519</v>
      </c>
      <c r="C9" s="24">
        <f>COUNTIFS('1996'!E$3:E$22,'2014'!A9)</f>
        <v>0</v>
      </c>
      <c r="D9" s="24">
        <f>COUNTIFS('2035'!E$3:E$58,'2014'!A9)</f>
        <v>0</v>
      </c>
      <c r="E9" s="24">
        <f>COUNTIFS('2081'!E$3:E$58,'2014'!A9)</f>
        <v>0</v>
      </c>
      <c r="F9" s="24">
        <f>COUNTIFS('2082'!E$3:E$58,'2014'!A9)</f>
        <v>1</v>
      </c>
      <c r="G9" s="13">
        <f t="shared" si="1"/>
        <v>0</v>
      </c>
      <c r="H9" s="28">
        <f t="shared" si="2"/>
        <v>0</v>
      </c>
    </row>
    <row r="10" spans="1:8" ht="12" thickBot="1">
      <c r="A10" s="27">
        <v>27</v>
      </c>
      <c r="B10" s="18" t="s">
        <v>520</v>
      </c>
      <c r="C10" s="24">
        <f>COUNTIFS('1996'!E$3:E$22,'2014'!A10)</f>
        <v>0</v>
      </c>
      <c r="D10" s="24">
        <f>COUNTIFS('2035'!E$3:E$58,'2014'!A10)</f>
        <v>0</v>
      </c>
      <c r="E10" s="24">
        <f>COUNTIFS('2081'!E$3:E$58,'2014'!A10)</f>
        <v>0</v>
      </c>
      <c r="F10" s="24">
        <f>COUNTIFS('2082'!E$3:E$58,'2014'!A10)</f>
        <v>0</v>
      </c>
      <c r="G10" s="13">
        <f>SUM(C10:F10)</f>
        <v>0</v>
      </c>
      <c r="H10" s="28">
        <f t="shared" si="2"/>
        <v>0</v>
      </c>
    </row>
    <row r="11" spans="1:8" ht="12" thickBot="1">
      <c r="A11" s="27">
        <v>28</v>
      </c>
      <c r="B11" s="18" t="s">
        <v>521</v>
      </c>
      <c r="C11" s="24">
        <f>COUNTIFS('1996'!E$3:E$22,'2014'!A11)</f>
        <v>0</v>
      </c>
      <c r="D11" s="24">
        <f>COUNTIFS('2035'!E$3:E$58,'2014'!A11)</f>
        <v>2</v>
      </c>
      <c r="E11" s="24">
        <f>COUNTIFS('2081'!E$3:E$58,'2014'!A11)</f>
        <v>0</v>
      </c>
      <c r="F11" s="24">
        <f>COUNTIFS('2082'!E$3:E$58,'2014'!A11)</f>
        <v>1</v>
      </c>
      <c r="G11" s="13">
        <f t="shared" ref="G11:G59" si="3">SUM(C11:F11)</f>
        <v>3</v>
      </c>
      <c r="H11" s="28">
        <f t="shared" si="2"/>
        <v>2.7522935779816515E-2</v>
      </c>
    </row>
    <row r="12" spans="1:8" ht="12" thickBot="1">
      <c r="A12" s="27">
        <v>29</v>
      </c>
      <c r="B12" s="18" t="s">
        <v>522</v>
      </c>
      <c r="C12" s="24">
        <f>COUNTIFS('1996'!E$3:E$22,'2014'!A12)</f>
        <v>2</v>
      </c>
      <c r="D12" s="24">
        <f>COUNTIFS('2035'!E$3:E$58,'2014'!A12)</f>
        <v>3</v>
      </c>
      <c r="E12" s="24">
        <f>COUNTIFS('2081'!E$3:E$58,'2014'!A12)</f>
        <v>3</v>
      </c>
      <c r="F12" s="24">
        <f>COUNTIFS('2082'!E$3:E$58,'2014'!A12)</f>
        <v>1</v>
      </c>
      <c r="G12" s="13">
        <f t="shared" si="3"/>
        <v>9</v>
      </c>
      <c r="H12" s="28">
        <f t="shared" si="2"/>
        <v>8.2568807339449546E-2</v>
      </c>
    </row>
    <row r="13" spans="1:8" ht="12" thickBot="1">
      <c r="A13" s="27">
        <v>30</v>
      </c>
      <c r="B13" s="18" t="s">
        <v>523</v>
      </c>
      <c r="C13" s="24">
        <f>COUNTIFS('1996'!E$3:E$22,'2014'!A13)</f>
        <v>0</v>
      </c>
      <c r="D13" s="24">
        <f>COUNTIFS('2035'!E$3:E$58,'2014'!A13)</f>
        <v>1</v>
      </c>
      <c r="E13" s="24">
        <f>COUNTIFS('2081'!E$3:E$58,'2014'!A13)</f>
        <v>0</v>
      </c>
      <c r="F13" s="24">
        <f>COUNTIFS('2082'!E$3:E$58,'2014'!A13)</f>
        <v>0</v>
      </c>
      <c r="G13" s="13">
        <f t="shared" si="3"/>
        <v>1</v>
      </c>
      <c r="H13" s="28">
        <f t="shared" si="2"/>
        <v>9.1743119266055051E-3</v>
      </c>
    </row>
    <row r="14" spans="1:8" ht="12" thickBot="1">
      <c r="A14" s="27">
        <v>31</v>
      </c>
      <c r="B14" s="18" t="s">
        <v>524</v>
      </c>
      <c r="C14" s="24">
        <f>COUNTIFS('1996'!E$3:E$22,'2014'!A14)</f>
        <v>2</v>
      </c>
      <c r="D14" s="24">
        <f>COUNTIFS('2035'!E$3:E$58,'2014'!A14)</f>
        <v>8</v>
      </c>
      <c r="E14" s="24">
        <f>COUNTIFS('2081'!E$3:E$58,'2014'!A14)</f>
        <v>2</v>
      </c>
      <c r="F14" s="24">
        <f>COUNTIFS('2082'!E$3:E$58,'2014'!A14)</f>
        <v>4</v>
      </c>
      <c r="G14" s="13">
        <f t="shared" si="3"/>
        <v>16</v>
      </c>
      <c r="H14" s="28">
        <f t="shared" si="2"/>
        <v>0.14678899082568808</v>
      </c>
    </row>
    <row r="15" spans="1:8" ht="12" thickBot="1">
      <c r="A15" s="27">
        <v>32</v>
      </c>
      <c r="B15" s="18" t="s">
        <v>525</v>
      </c>
      <c r="C15" s="24">
        <f>COUNTIFS('1996'!E$3:E$22,'2014'!A15)</f>
        <v>0</v>
      </c>
      <c r="D15" s="24">
        <f>COUNTIFS('2035'!E$3:E$58,'2014'!A15)</f>
        <v>0</v>
      </c>
      <c r="E15" s="24">
        <f>COUNTIFS('2081'!E$3:E$58,'2014'!A15)</f>
        <v>0</v>
      </c>
      <c r="F15" s="24">
        <f>COUNTIFS('2082'!E$3:E$58,'2014'!A15)</f>
        <v>0</v>
      </c>
      <c r="G15" s="13">
        <f t="shared" si="3"/>
        <v>0</v>
      </c>
      <c r="H15" s="28">
        <f t="shared" si="2"/>
        <v>0</v>
      </c>
    </row>
    <row r="16" spans="1:8" ht="12" thickBot="1">
      <c r="A16" s="27">
        <v>33</v>
      </c>
      <c r="B16" s="18" t="s">
        <v>526</v>
      </c>
      <c r="C16" s="24">
        <f>COUNTIFS('1996'!E$3:E$22,'2014'!A16)</f>
        <v>0</v>
      </c>
      <c r="D16" s="24">
        <f>COUNTIFS('2035'!E$3:E$58,'2014'!A16)</f>
        <v>0</v>
      </c>
      <c r="E16" s="24">
        <f>COUNTIFS('2081'!E$3:E$58,'2014'!A16)</f>
        <v>0</v>
      </c>
      <c r="F16" s="24">
        <f>COUNTIFS('2082'!E$3:E$58,'2014'!A16)</f>
        <v>0</v>
      </c>
      <c r="G16" s="13">
        <f t="shared" si="3"/>
        <v>0</v>
      </c>
      <c r="H16" s="28">
        <f t="shared" si="2"/>
        <v>0</v>
      </c>
    </row>
    <row r="17" spans="1:8" ht="12" thickBot="1">
      <c r="A17" s="27">
        <v>34</v>
      </c>
      <c r="B17" s="18" t="s">
        <v>527</v>
      </c>
      <c r="C17" s="24">
        <f>COUNTIFS('1996'!E$3:E$22,'2014'!A17)</f>
        <v>1</v>
      </c>
      <c r="D17" s="24">
        <f>COUNTIFS('2035'!E$3:E$58,'2014'!A17)</f>
        <v>0</v>
      </c>
      <c r="E17" s="24">
        <f>COUNTIFS('2081'!E$3:E$58,'2014'!A17)</f>
        <v>1</v>
      </c>
      <c r="F17" s="24">
        <f>COUNTIFS('2082'!E$3:E$58,'2014'!A17)</f>
        <v>2</v>
      </c>
      <c r="G17" s="13">
        <f t="shared" si="3"/>
        <v>4</v>
      </c>
      <c r="H17" s="28">
        <f t="shared" si="2"/>
        <v>3.669724770642202E-2</v>
      </c>
    </row>
    <row r="18" spans="1:8" ht="12" thickBot="1">
      <c r="A18" s="27">
        <v>35</v>
      </c>
      <c r="B18" s="18" t="s">
        <v>528</v>
      </c>
      <c r="C18" s="24">
        <f>COUNTIFS('1996'!E$3:E$22,'2014'!A18)</f>
        <v>0</v>
      </c>
      <c r="D18" s="24">
        <f>COUNTIFS('2035'!E$3:E$58,'2014'!A18)</f>
        <v>0</v>
      </c>
      <c r="E18" s="24">
        <f>COUNTIFS('2081'!E$3:E$58,'2014'!A18)</f>
        <v>0</v>
      </c>
      <c r="F18" s="24">
        <f>COUNTIFS('2082'!E$3:E$58,'2014'!A18)</f>
        <v>0</v>
      </c>
      <c r="G18" s="13">
        <f t="shared" si="3"/>
        <v>0</v>
      </c>
      <c r="H18" s="28">
        <f t="shared" si="2"/>
        <v>0</v>
      </c>
    </row>
    <row r="19" spans="1:8" ht="12" thickBot="1">
      <c r="A19" s="27">
        <v>36</v>
      </c>
      <c r="B19" s="18" t="s">
        <v>529</v>
      </c>
      <c r="C19" s="24">
        <f>COUNTIFS('1996'!E$3:E$22,'2014'!A19)</f>
        <v>0</v>
      </c>
      <c r="D19" s="24">
        <f>COUNTIFS('2035'!E$3:E$58,'2014'!A19)</f>
        <v>0</v>
      </c>
      <c r="E19" s="24">
        <f>COUNTIFS('2081'!E$3:E$58,'2014'!A19)</f>
        <v>0</v>
      </c>
      <c r="F19" s="24">
        <f>COUNTIFS('2082'!E$3:E$58,'2014'!A19)</f>
        <v>0</v>
      </c>
      <c r="G19" s="13">
        <f t="shared" si="3"/>
        <v>0</v>
      </c>
      <c r="H19" s="28">
        <f t="shared" si="2"/>
        <v>0</v>
      </c>
    </row>
    <row r="20" spans="1:8" ht="12" thickBot="1">
      <c r="A20" s="27">
        <v>37</v>
      </c>
      <c r="B20" s="18" t="s">
        <v>530</v>
      </c>
      <c r="C20" s="24">
        <f>COUNTIFS('1996'!E$3:E$22,'2014'!A20)</f>
        <v>0</v>
      </c>
      <c r="D20" s="24">
        <f>COUNTIFS('2035'!E$3:E$58,'2014'!A20)</f>
        <v>0</v>
      </c>
      <c r="E20" s="24">
        <f>COUNTIFS('2081'!E$3:E$58,'2014'!A20)</f>
        <v>0</v>
      </c>
      <c r="F20" s="24">
        <f>COUNTIFS('2082'!E$3:E$58,'2014'!A20)</f>
        <v>0</v>
      </c>
      <c r="G20" s="13">
        <f t="shared" si="3"/>
        <v>0</v>
      </c>
      <c r="H20" s="28">
        <f t="shared" si="2"/>
        <v>0</v>
      </c>
    </row>
    <row r="21" spans="1:8" ht="12" thickBot="1">
      <c r="A21" s="27">
        <v>38</v>
      </c>
      <c r="B21" s="18" t="s">
        <v>531</v>
      </c>
      <c r="C21" s="24">
        <f>COUNTIFS('1996'!E$3:E$22,'2014'!A21)</f>
        <v>0</v>
      </c>
      <c r="D21" s="24">
        <f>COUNTIFS('2035'!E$3:E$58,'2014'!A21)</f>
        <v>0</v>
      </c>
      <c r="E21" s="24">
        <f>COUNTIFS('2081'!E$3:E$58,'2014'!A21)</f>
        <v>0</v>
      </c>
      <c r="F21" s="24">
        <f>COUNTIFS('2082'!E$3:E$58,'2014'!A21)</f>
        <v>0</v>
      </c>
      <c r="G21" s="13">
        <f t="shared" si="3"/>
        <v>0</v>
      </c>
      <c r="H21" s="28">
        <f t="shared" si="2"/>
        <v>0</v>
      </c>
    </row>
    <row r="22" spans="1:8" ht="12" thickBot="1">
      <c r="A22" s="27">
        <v>39</v>
      </c>
      <c r="B22" s="18" t="s">
        <v>532</v>
      </c>
      <c r="C22" s="24">
        <f>COUNTIFS('1996'!E$3:E$22,'2014'!A22)</f>
        <v>0</v>
      </c>
      <c r="D22" s="24">
        <f>COUNTIFS('2035'!E$3:E$58,'2014'!A22)</f>
        <v>0</v>
      </c>
      <c r="E22" s="24">
        <f>COUNTIFS('2081'!E$3:E$58,'2014'!A22)</f>
        <v>0</v>
      </c>
      <c r="F22" s="24">
        <f>COUNTIFS('2082'!E$3:E$58,'2014'!A22)</f>
        <v>0</v>
      </c>
      <c r="G22" s="13">
        <f t="shared" si="3"/>
        <v>0</v>
      </c>
      <c r="H22" s="28">
        <f t="shared" si="2"/>
        <v>0</v>
      </c>
    </row>
    <row r="23" spans="1:8" ht="12" thickBot="1">
      <c r="A23" s="27">
        <v>41</v>
      </c>
      <c r="B23" s="18" t="s">
        <v>533</v>
      </c>
      <c r="C23" s="24">
        <f>COUNTIFS('1996'!E$3:E$22,'2014'!A23)</f>
        <v>0</v>
      </c>
      <c r="D23" s="24">
        <f>COUNTIFS('2035'!E$3:E$58,'2014'!A23)</f>
        <v>0</v>
      </c>
      <c r="E23" s="24">
        <f>COUNTIFS('2081'!E$3:E$58,'2014'!A23)</f>
        <v>0</v>
      </c>
      <c r="F23" s="24">
        <f>COUNTIFS('2082'!E$3:E$58,'2014'!A23)</f>
        <v>0</v>
      </c>
      <c r="G23" s="13">
        <f t="shared" si="3"/>
        <v>0</v>
      </c>
      <c r="H23" s="28">
        <f t="shared" si="2"/>
        <v>0</v>
      </c>
    </row>
    <row r="24" spans="1:8" ht="12" thickBot="1">
      <c r="A24" s="27">
        <v>45</v>
      </c>
      <c r="B24" s="18" t="s">
        <v>534</v>
      </c>
      <c r="C24" s="24">
        <f>COUNTIFS('1996'!E$3:E$22,'2014'!A24)</f>
        <v>0</v>
      </c>
      <c r="D24" s="24">
        <f>COUNTIFS('2035'!E$3:E$58,'2014'!A24)</f>
        <v>0</v>
      </c>
      <c r="E24" s="24">
        <f>COUNTIFS('2081'!E$3:E$58,'2014'!A24)</f>
        <v>0</v>
      </c>
      <c r="F24" s="24">
        <f>COUNTIFS('2082'!E$3:E$58,'2014'!A24)</f>
        <v>0</v>
      </c>
      <c r="G24" s="13">
        <f t="shared" si="3"/>
        <v>0</v>
      </c>
      <c r="H24" s="28">
        <f t="shared" si="2"/>
        <v>0</v>
      </c>
    </row>
    <row r="25" spans="1:8" ht="12" thickBot="1">
      <c r="A25" s="27">
        <v>46</v>
      </c>
      <c r="B25" s="18" t="s">
        <v>535</v>
      </c>
      <c r="C25" s="24">
        <f>COUNTIFS('1996'!E$3:E$22,'2014'!A25)</f>
        <v>0</v>
      </c>
      <c r="D25" s="24">
        <f>COUNTIFS('2035'!E$3:E$58,'2014'!A25)</f>
        <v>0</v>
      </c>
      <c r="E25" s="24">
        <f>COUNTIFS('2081'!E$3:E$58,'2014'!A25)</f>
        <v>0</v>
      </c>
      <c r="F25" s="24">
        <f>COUNTIFS('2082'!E$3:E$58,'2014'!A25)</f>
        <v>0</v>
      </c>
      <c r="G25" s="13">
        <f t="shared" si="3"/>
        <v>0</v>
      </c>
      <c r="H25" s="28">
        <f t="shared" si="2"/>
        <v>0</v>
      </c>
    </row>
    <row r="26" spans="1:8" ht="12" thickBot="1">
      <c r="A26" s="27">
        <v>49</v>
      </c>
      <c r="B26" s="18" t="s">
        <v>536</v>
      </c>
      <c r="C26" s="24">
        <f>COUNTIFS('1996'!E$3:E$22,'2014'!A26)</f>
        <v>0</v>
      </c>
      <c r="D26" s="24">
        <f>COUNTIFS('2035'!E$3:E$58,'2014'!A26)</f>
        <v>4</v>
      </c>
      <c r="E26" s="24">
        <f>COUNTIFS('2081'!E$3:E$58,'2014'!A26)</f>
        <v>4</v>
      </c>
      <c r="F26" s="24">
        <f>COUNTIFS('2082'!E$3:E$58,'2014'!A26)</f>
        <v>0</v>
      </c>
      <c r="G26" s="13">
        <f t="shared" si="3"/>
        <v>8</v>
      </c>
      <c r="H26" s="28">
        <f t="shared" si="2"/>
        <v>7.3394495412844041E-2</v>
      </c>
    </row>
    <row r="27" spans="1:8" ht="12" thickBot="1">
      <c r="A27" s="27">
        <v>50</v>
      </c>
      <c r="B27" s="18" t="s">
        <v>537</v>
      </c>
      <c r="C27" s="24">
        <f>COUNTIFS('1996'!E$3:E$22,'2014'!A27)</f>
        <v>0</v>
      </c>
      <c r="D27" s="24">
        <f>COUNTIFS('2035'!E$3:E$58,'2014'!A27)</f>
        <v>0</v>
      </c>
      <c r="E27" s="24">
        <f>COUNTIFS('2081'!E$3:E$58,'2014'!A27)</f>
        <v>0</v>
      </c>
      <c r="F27" s="24">
        <f>COUNTIFS('2082'!E$3:E$58,'2014'!A27)</f>
        <v>0</v>
      </c>
      <c r="G27" s="13">
        <f t="shared" si="3"/>
        <v>0</v>
      </c>
      <c r="H27" s="28">
        <f t="shared" si="2"/>
        <v>0</v>
      </c>
    </row>
    <row r="28" spans="1:8" ht="12" thickBot="1">
      <c r="A28" s="27">
        <v>51</v>
      </c>
      <c r="B28" s="18" t="s">
        <v>538</v>
      </c>
      <c r="C28" s="24">
        <f>COUNTIFS('1996'!E$3:E$22,'2014'!A28)</f>
        <v>0</v>
      </c>
      <c r="D28" s="24">
        <f>COUNTIFS('2035'!E$3:E$58,'2014'!A28)</f>
        <v>0</v>
      </c>
      <c r="E28" s="24">
        <f>COUNTIFS('2081'!E$3:E$58,'2014'!A28)</f>
        <v>0</v>
      </c>
      <c r="F28" s="24">
        <f>COUNTIFS('2082'!E$3:E$58,'2014'!A28)</f>
        <v>0</v>
      </c>
      <c r="G28" s="13">
        <f t="shared" si="3"/>
        <v>0</v>
      </c>
      <c r="H28" s="28">
        <f t="shared" si="2"/>
        <v>0</v>
      </c>
    </row>
    <row r="29" spans="1:8" ht="12" thickBot="1">
      <c r="A29" s="27">
        <v>52</v>
      </c>
      <c r="B29" s="18" t="s">
        <v>539</v>
      </c>
      <c r="C29" s="24">
        <f>COUNTIFS('1996'!E$3:E$22,'2014'!A29)</f>
        <v>0</v>
      </c>
      <c r="D29" s="24">
        <f>COUNTIFS('2035'!E$3:E$58,'2014'!A29)</f>
        <v>0</v>
      </c>
      <c r="E29" s="24">
        <f>COUNTIFS('2081'!E$3:E$58,'2014'!A29)</f>
        <v>0</v>
      </c>
      <c r="F29" s="24">
        <f>COUNTIFS('2082'!E$3:E$58,'2014'!A29)</f>
        <v>0</v>
      </c>
      <c r="G29" s="13">
        <f t="shared" si="3"/>
        <v>0</v>
      </c>
      <c r="H29" s="28">
        <f t="shared" si="2"/>
        <v>0</v>
      </c>
    </row>
    <row r="30" spans="1:8" ht="12" thickBot="1">
      <c r="A30" s="27">
        <v>53</v>
      </c>
      <c r="B30" s="18" t="s">
        <v>540</v>
      </c>
      <c r="C30" s="24">
        <f>COUNTIFS('1996'!E$3:E$22,'2014'!A30)</f>
        <v>0</v>
      </c>
      <c r="D30" s="24">
        <f>COUNTIFS('2035'!E$3:E$58,'2014'!A30)</f>
        <v>1</v>
      </c>
      <c r="E30" s="24">
        <f>COUNTIFS('2081'!E$3:E$58,'2014'!A30)</f>
        <v>0</v>
      </c>
      <c r="F30" s="24">
        <f>COUNTIFS('2082'!E$3:E$58,'2014'!A30)</f>
        <v>0</v>
      </c>
      <c r="G30" s="13">
        <f t="shared" si="3"/>
        <v>1</v>
      </c>
      <c r="H30" s="28">
        <f t="shared" si="2"/>
        <v>9.1743119266055051E-3</v>
      </c>
    </row>
    <row r="31" spans="1:8" ht="12" thickBot="1">
      <c r="A31" s="27">
        <v>54</v>
      </c>
      <c r="B31" s="18" t="s">
        <v>541</v>
      </c>
      <c r="C31" s="24">
        <f>COUNTIFS('1996'!E$3:E$22,'2014'!A31)</f>
        <v>0</v>
      </c>
      <c r="D31" s="24">
        <f>COUNTIFS('2035'!E$3:E$58,'2014'!A31)</f>
        <v>0</v>
      </c>
      <c r="E31" s="24">
        <f>COUNTIFS('2081'!E$3:E$58,'2014'!A31)</f>
        <v>0</v>
      </c>
      <c r="F31" s="24">
        <f>COUNTIFS('2082'!E$3:E$58,'2014'!A31)</f>
        <v>0</v>
      </c>
      <c r="G31" s="13">
        <f t="shared" si="3"/>
        <v>0</v>
      </c>
      <c r="H31" s="28">
        <f t="shared" si="2"/>
        <v>0</v>
      </c>
    </row>
    <row r="32" spans="1:8" ht="12" thickBot="1">
      <c r="A32" s="27">
        <v>55</v>
      </c>
      <c r="B32" s="18" t="s">
        <v>542</v>
      </c>
      <c r="C32" s="24">
        <f>COUNTIFS('1996'!E$3:E$22,'2014'!A32)</f>
        <v>0</v>
      </c>
      <c r="D32" s="24">
        <f>COUNTIFS('2035'!E$3:E$58,'2014'!A32)</f>
        <v>0</v>
      </c>
      <c r="E32" s="24">
        <f>COUNTIFS('2081'!E$3:E$58,'2014'!A32)</f>
        <v>0</v>
      </c>
      <c r="F32" s="24">
        <f>COUNTIFS('2082'!E$3:E$58,'2014'!A32)</f>
        <v>0</v>
      </c>
      <c r="G32" s="13">
        <f t="shared" si="3"/>
        <v>0</v>
      </c>
      <c r="H32" s="28">
        <f t="shared" si="2"/>
        <v>0</v>
      </c>
    </row>
    <row r="33" spans="1:8" ht="12" thickBot="1">
      <c r="A33" s="27">
        <v>56</v>
      </c>
      <c r="B33" s="18" t="s">
        <v>543</v>
      </c>
      <c r="C33" s="24">
        <f>COUNTIFS('1996'!E$3:E$22,'2014'!A33)</f>
        <v>0</v>
      </c>
      <c r="D33" s="24">
        <f>COUNTIFS('2035'!E$3:E$58,'2014'!A33)</f>
        <v>0</v>
      </c>
      <c r="E33" s="24">
        <f>COUNTIFS('2081'!E$3:E$58,'2014'!A33)</f>
        <v>0</v>
      </c>
      <c r="F33" s="24">
        <f>COUNTIFS('2082'!E$3:E$58,'2014'!A33)</f>
        <v>0</v>
      </c>
      <c r="G33" s="13">
        <f t="shared" si="3"/>
        <v>0</v>
      </c>
      <c r="H33" s="28">
        <f t="shared" si="2"/>
        <v>0</v>
      </c>
    </row>
    <row r="34" spans="1:8" ht="12" thickBot="1">
      <c r="A34" s="27">
        <v>57</v>
      </c>
      <c r="B34" s="18" t="s">
        <v>544</v>
      </c>
      <c r="C34" s="24">
        <f>COUNTIFS('1996'!E$3:E$22,'2014'!A34)</f>
        <v>0</v>
      </c>
      <c r="D34" s="24">
        <f>COUNTIFS('2035'!E$3:E$58,'2014'!A34)</f>
        <v>0</v>
      </c>
      <c r="E34" s="24">
        <f>COUNTIFS('2081'!E$3:E$58,'2014'!A34)</f>
        <v>0</v>
      </c>
      <c r="F34" s="24">
        <f>COUNTIFS('2082'!E$3:E$58,'2014'!A34)</f>
        <v>0</v>
      </c>
      <c r="G34" s="13">
        <f t="shared" si="3"/>
        <v>0</v>
      </c>
      <c r="H34" s="28">
        <f t="shared" si="2"/>
        <v>0</v>
      </c>
    </row>
    <row r="35" spans="1:8" ht="12" thickBot="1">
      <c r="A35" s="27">
        <v>60</v>
      </c>
      <c r="B35" s="18" t="s">
        <v>569</v>
      </c>
      <c r="C35" s="24">
        <f>COUNTIFS('1996'!E$3:E$22,'2014'!A35)</f>
        <v>0</v>
      </c>
      <c r="D35" s="24">
        <f>COUNTIFS('2035'!E$3:E$58,'2014'!A35)</f>
        <v>0</v>
      </c>
      <c r="E35" s="24">
        <f>COUNTIFS('2081'!E$3:E$58,'2014'!A35)</f>
        <v>0</v>
      </c>
      <c r="F35" s="24">
        <f>COUNTIFS('2082'!E$3:E$58,'2014'!A35)</f>
        <v>0</v>
      </c>
      <c r="G35" s="13">
        <f t="shared" si="3"/>
        <v>0</v>
      </c>
      <c r="H35" s="28">
        <f t="shared" si="2"/>
        <v>0</v>
      </c>
    </row>
    <row r="36" spans="1:8" ht="12" thickBot="1">
      <c r="A36" s="27">
        <v>61</v>
      </c>
      <c r="B36" s="18" t="s">
        <v>545</v>
      </c>
      <c r="C36" s="24">
        <f>COUNTIFS('1996'!E$3:E$22,'2014'!A36)</f>
        <v>0</v>
      </c>
      <c r="D36" s="24">
        <f>COUNTIFS('2035'!E$3:E$58,'2014'!A36)</f>
        <v>0</v>
      </c>
      <c r="E36" s="24">
        <f>COUNTIFS('2081'!E$3:E$58,'2014'!A36)</f>
        <v>0</v>
      </c>
      <c r="F36" s="24">
        <f>COUNTIFS('2082'!E$3:E$58,'2014'!A36)</f>
        <v>0</v>
      </c>
      <c r="G36" s="13">
        <f t="shared" si="3"/>
        <v>0</v>
      </c>
      <c r="H36" s="28">
        <f t="shared" si="2"/>
        <v>0</v>
      </c>
    </row>
    <row r="37" spans="1:8" ht="12" thickBot="1">
      <c r="A37" s="27">
        <v>62</v>
      </c>
      <c r="B37" s="18" t="s">
        <v>546</v>
      </c>
      <c r="C37" s="24">
        <f>COUNTIFS('1996'!E$3:E$22,'2014'!A37)</f>
        <v>3</v>
      </c>
      <c r="D37" s="24">
        <f>COUNTIFS('2035'!E$3:E$58,'2014'!A37)</f>
        <v>3</v>
      </c>
      <c r="E37" s="24">
        <f>COUNTIFS('2081'!E$3:E$58,'2014'!A37)</f>
        <v>2</v>
      </c>
      <c r="F37" s="24">
        <f>COUNTIFS('2082'!E$3:E$58,'2014'!A37)</f>
        <v>0</v>
      </c>
      <c r="G37" s="13">
        <f t="shared" si="3"/>
        <v>8</v>
      </c>
      <c r="H37" s="28">
        <f t="shared" si="2"/>
        <v>7.3394495412844041E-2</v>
      </c>
    </row>
    <row r="38" spans="1:8" ht="12" thickBot="1">
      <c r="A38" s="27">
        <v>63</v>
      </c>
      <c r="B38" s="18" t="s">
        <v>547</v>
      </c>
      <c r="C38" s="24">
        <f>COUNTIFS('1996'!E$3:E$22,'2014'!A38)</f>
        <v>1</v>
      </c>
      <c r="D38" s="24">
        <f>COUNTIFS('2035'!E$3:E$58,'2014'!A38)</f>
        <v>6</v>
      </c>
      <c r="E38" s="24">
        <f>COUNTIFS('2081'!E$3:E$58,'2014'!A38)</f>
        <v>2</v>
      </c>
      <c r="F38" s="24">
        <f>COUNTIFS('2082'!E$3:E$58,'2014'!A38)</f>
        <v>1</v>
      </c>
      <c r="G38" s="13">
        <f t="shared" si="3"/>
        <v>10</v>
      </c>
      <c r="H38" s="28">
        <f t="shared" si="2"/>
        <v>9.1743119266055051E-2</v>
      </c>
    </row>
    <row r="39" spans="1:8" ht="12" thickBot="1">
      <c r="A39" s="27">
        <v>64</v>
      </c>
      <c r="B39" s="18" t="s">
        <v>548</v>
      </c>
      <c r="C39" s="24">
        <f>COUNTIFS('1996'!E$3:E$22,'2014'!A39)</f>
        <v>2</v>
      </c>
      <c r="D39" s="24">
        <f>COUNTIFS('2035'!E$3:E$58,'2014'!A39)</f>
        <v>0</v>
      </c>
      <c r="E39" s="24">
        <f>COUNTIFS('2081'!E$3:E$58,'2014'!A39)</f>
        <v>1</v>
      </c>
      <c r="F39" s="24">
        <f>COUNTIFS('2082'!E$3:E$58,'2014'!A39)</f>
        <v>1</v>
      </c>
      <c r="G39" s="13">
        <f t="shared" si="3"/>
        <v>4</v>
      </c>
      <c r="H39" s="28">
        <f t="shared" si="2"/>
        <v>3.669724770642202E-2</v>
      </c>
    </row>
    <row r="40" spans="1:8" ht="12" thickBot="1">
      <c r="A40" s="27">
        <v>65</v>
      </c>
      <c r="B40" s="18" t="s">
        <v>549</v>
      </c>
      <c r="C40" s="24">
        <f>COUNTIFS('1996'!E$3:E$22,'2014'!A40)</f>
        <v>0</v>
      </c>
      <c r="D40" s="24">
        <f>COUNTIFS('2035'!E$3:E$58,'2014'!A40)</f>
        <v>0</v>
      </c>
      <c r="E40" s="24">
        <f>COUNTIFS('2081'!E$3:E$58,'2014'!A40)</f>
        <v>0</v>
      </c>
      <c r="F40" s="24">
        <f>COUNTIFS('2082'!E$3:E$58,'2014'!A40)</f>
        <v>0</v>
      </c>
      <c r="G40" s="13">
        <f t="shared" si="3"/>
        <v>0</v>
      </c>
      <c r="H40" s="28">
        <f>G40/$G$60</f>
        <v>0</v>
      </c>
    </row>
    <row r="41" spans="1:8" ht="12" thickBot="1">
      <c r="A41" s="27">
        <v>66</v>
      </c>
      <c r="B41" s="18" t="s">
        <v>550</v>
      </c>
      <c r="C41" s="24">
        <f>COUNTIFS('1996'!E$3:E$22,'2014'!A41)</f>
        <v>0</v>
      </c>
      <c r="D41" s="24">
        <f>COUNTIFS('2035'!E$3:E$58,'2014'!A41)</f>
        <v>0</v>
      </c>
      <c r="E41" s="24">
        <f>COUNTIFS('2081'!E$3:E$58,'2014'!A41)</f>
        <v>0</v>
      </c>
      <c r="F41" s="24">
        <f>COUNTIFS('2082'!E$3:E$58,'2014'!A41)</f>
        <v>0</v>
      </c>
      <c r="G41" s="13">
        <f t="shared" si="3"/>
        <v>0</v>
      </c>
      <c r="H41" s="28">
        <f t="shared" si="2"/>
        <v>0</v>
      </c>
    </row>
    <row r="42" spans="1:8" ht="12" thickBot="1">
      <c r="A42" s="27">
        <v>67</v>
      </c>
      <c r="B42" s="18" t="s">
        <v>551</v>
      </c>
      <c r="C42" s="24">
        <f>COUNTIFS('1996'!E$3:E$22,'2014'!A42)</f>
        <v>1</v>
      </c>
      <c r="D42" s="24">
        <f>COUNTIFS('2035'!E$3:E$58,'2014'!A42)</f>
        <v>0</v>
      </c>
      <c r="E42" s="24">
        <f>COUNTIFS('2081'!E$3:E$58,'2014'!A42)</f>
        <v>0</v>
      </c>
      <c r="F42" s="24">
        <f>COUNTIFS('2082'!E$3:E$58,'2014'!A42)</f>
        <v>1</v>
      </c>
      <c r="G42" s="13">
        <f t="shared" si="3"/>
        <v>2</v>
      </c>
      <c r="H42" s="28">
        <f t="shared" si="2"/>
        <v>1.834862385321101E-2</v>
      </c>
    </row>
    <row r="43" spans="1:8" ht="12" thickBot="1">
      <c r="A43" s="27">
        <v>70</v>
      </c>
      <c r="B43" s="18" t="s">
        <v>552</v>
      </c>
      <c r="C43" s="24">
        <f>COUNTIFS('1996'!E$3:E$22,'2014'!A43)</f>
        <v>0</v>
      </c>
      <c r="D43" s="24">
        <f>COUNTIFS('2035'!E$3:E$58,'2014'!A43)</f>
        <v>1</v>
      </c>
      <c r="E43" s="24">
        <f>COUNTIFS('2081'!E$3:E$58,'2014'!A43)</f>
        <v>0</v>
      </c>
      <c r="F43" s="24">
        <f>COUNTIFS('2082'!E$3:E$58,'2014'!A43)</f>
        <v>0</v>
      </c>
      <c r="G43" s="13">
        <f t="shared" si="3"/>
        <v>1</v>
      </c>
      <c r="H43" s="28">
        <f t="shared" si="2"/>
        <v>9.1743119266055051E-3</v>
      </c>
    </row>
    <row r="44" spans="1:8" ht="12" thickBot="1">
      <c r="A44" s="27">
        <v>71</v>
      </c>
      <c r="B44" s="18" t="s">
        <v>553</v>
      </c>
      <c r="C44" s="24">
        <f>COUNTIFS('1996'!E$3:E$22,'2014'!A44)</f>
        <v>0</v>
      </c>
      <c r="D44" s="24">
        <f>COUNTIFS('2035'!E$3:E$58,'2014'!A44)</f>
        <v>0</v>
      </c>
      <c r="E44" s="24">
        <f>COUNTIFS('2081'!E$3:E$58,'2014'!A44)</f>
        <v>0</v>
      </c>
      <c r="F44" s="24">
        <f>COUNTIFS('2082'!E$3:E$58,'2014'!A44)</f>
        <v>0</v>
      </c>
      <c r="G44" s="13">
        <f t="shared" si="3"/>
        <v>0</v>
      </c>
      <c r="H44" s="28">
        <f t="shared" si="2"/>
        <v>0</v>
      </c>
    </row>
    <row r="45" spans="1:8" ht="12" thickBot="1">
      <c r="A45" s="27">
        <v>72</v>
      </c>
      <c r="B45" s="18" t="s">
        <v>554</v>
      </c>
      <c r="C45" s="24">
        <f>COUNTIFS('1996'!E$3:E$22,'2014'!A45)</f>
        <v>2</v>
      </c>
      <c r="D45" s="24">
        <f>COUNTIFS('2035'!E$3:E$58,'2014'!A45)</f>
        <v>5</v>
      </c>
      <c r="E45" s="24">
        <f>COUNTIFS('2081'!E$3:E$58,'2014'!A45)</f>
        <v>2</v>
      </c>
      <c r="F45" s="24">
        <f>COUNTIFS('2082'!E$3:E$58,'2014'!A45)</f>
        <v>1</v>
      </c>
      <c r="G45" s="13">
        <f t="shared" si="3"/>
        <v>10</v>
      </c>
      <c r="H45" s="28">
        <f t="shared" si="2"/>
        <v>9.1743119266055051E-2</v>
      </c>
    </row>
    <row r="46" spans="1:8" ht="12" thickBot="1">
      <c r="A46" s="27">
        <v>73</v>
      </c>
      <c r="B46" s="18" t="s">
        <v>555</v>
      </c>
      <c r="C46" s="24">
        <f>COUNTIFS('1996'!E$3:E$22,'2014'!A46)</f>
        <v>0</v>
      </c>
      <c r="D46" s="24">
        <f>COUNTIFS('2035'!E$3:E$58,'2014'!A46)</f>
        <v>2</v>
      </c>
      <c r="E46" s="24">
        <f>COUNTIFS('2081'!E$3:E$58,'2014'!A46)</f>
        <v>0</v>
      </c>
      <c r="F46" s="24">
        <f>COUNTIFS('2082'!E$3:E$58,'2014'!A46)</f>
        <v>0</v>
      </c>
      <c r="G46" s="13">
        <f t="shared" si="3"/>
        <v>2</v>
      </c>
      <c r="H46" s="28">
        <f t="shared" si="2"/>
        <v>1.834862385321101E-2</v>
      </c>
    </row>
    <row r="47" spans="1:8" ht="12" thickBot="1">
      <c r="A47" s="27">
        <v>74</v>
      </c>
      <c r="B47" s="18" t="s">
        <v>556</v>
      </c>
      <c r="C47" s="24">
        <f>COUNTIFS('1996'!E$3:E$22,'2014'!A47)</f>
        <v>0</v>
      </c>
      <c r="D47" s="24">
        <f>COUNTIFS('2035'!E$3:E$58,'2014'!A47)</f>
        <v>1</v>
      </c>
      <c r="E47" s="24">
        <f>COUNTIFS('2081'!E$3:E$58,'2014'!A47)</f>
        <v>1</v>
      </c>
      <c r="F47" s="24">
        <f>COUNTIFS('2082'!E$3:E$58,'2014'!A47)</f>
        <v>0</v>
      </c>
      <c r="G47" s="13">
        <f t="shared" si="3"/>
        <v>2</v>
      </c>
      <c r="H47" s="28">
        <f t="shared" si="2"/>
        <v>1.834862385321101E-2</v>
      </c>
    </row>
    <row r="48" spans="1:8" ht="12" thickBot="1">
      <c r="A48" s="27">
        <v>75</v>
      </c>
      <c r="B48" s="18" t="s">
        <v>557</v>
      </c>
      <c r="C48" s="24">
        <f>COUNTIFS('1996'!E$3:E$22,'2014'!A48)</f>
        <v>0</v>
      </c>
      <c r="D48" s="24">
        <f>COUNTIFS('2035'!E$3:E$58,'2014'!A48)</f>
        <v>1</v>
      </c>
      <c r="E48" s="24">
        <f>COUNTIFS('2081'!E$3:E$58,'2014'!A48)</f>
        <v>0</v>
      </c>
      <c r="F48" s="24">
        <f>COUNTIFS('2082'!E$3:E$58,'2014'!A48)</f>
        <v>0</v>
      </c>
      <c r="G48" s="13">
        <f t="shared" si="3"/>
        <v>1</v>
      </c>
      <c r="H48" s="28">
        <f t="shared" si="2"/>
        <v>9.1743119266055051E-3</v>
      </c>
    </row>
    <row r="49" spans="1:8" ht="12" thickBot="1">
      <c r="A49" s="27">
        <v>76</v>
      </c>
      <c r="B49" s="18" t="s">
        <v>558</v>
      </c>
      <c r="C49" s="24">
        <f>COUNTIFS('1996'!E$3:E$22,'2014'!A49)</f>
        <v>0</v>
      </c>
      <c r="D49" s="24">
        <f>COUNTIFS('2035'!E$3:E$58,'2014'!A49)</f>
        <v>4</v>
      </c>
      <c r="E49" s="24">
        <f>COUNTIFS('2081'!E$3:E$58,'2014'!A49)</f>
        <v>0</v>
      </c>
      <c r="F49" s="24">
        <f>COUNTIFS('2082'!E$3:E$58,'2014'!A49)</f>
        <v>0</v>
      </c>
      <c r="G49" s="13">
        <f t="shared" si="3"/>
        <v>4</v>
      </c>
      <c r="H49" s="28">
        <f t="shared" si="2"/>
        <v>3.669724770642202E-2</v>
      </c>
    </row>
    <row r="50" spans="1:8" ht="12" thickBot="1">
      <c r="A50" s="27">
        <v>77</v>
      </c>
      <c r="B50" s="18" t="s">
        <v>559</v>
      </c>
      <c r="C50" s="24">
        <f>COUNTIFS('1996'!E$3:E$22,'2014'!A50)</f>
        <v>3</v>
      </c>
      <c r="D50" s="24">
        <f>COUNTIFS('2035'!E$3:E$58,'2014'!A50)</f>
        <v>2</v>
      </c>
      <c r="E50" s="24">
        <f>COUNTIFS('2081'!E$3:E$58,'2014'!A50)</f>
        <v>1</v>
      </c>
      <c r="F50" s="24">
        <f>COUNTIFS('2082'!E$3:E$58,'2014'!A50)</f>
        <v>0</v>
      </c>
      <c r="G50" s="13">
        <f t="shared" si="3"/>
        <v>6</v>
      </c>
      <c r="H50" s="28">
        <f t="shared" si="2"/>
        <v>5.5045871559633031E-2</v>
      </c>
    </row>
    <row r="51" spans="1:8" ht="12" thickBot="1">
      <c r="A51" s="27">
        <v>78</v>
      </c>
      <c r="B51" s="18" t="s">
        <v>560</v>
      </c>
      <c r="C51" s="24">
        <f>COUNTIFS('1996'!E$3:E$22,'2014'!A51)</f>
        <v>0</v>
      </c>
      <c r="D51" s="24">
        <f>COUNTIFS('2035'!E$3:E$58,'2014'!A51)</f>
        <v>1</v>
      </c>
      <c r="E51" s="24">
        <f>COUNTIFS('2081'!E$3:E$58,'2014'!A51)</f>
        <v>1</v>
      </c>
      <c r="F51" s="24">
        <f>COUNTIFS('2082'!E$3:E$58,'2014'!A51)</f>
        <v>0</v>
      </c>
      <c r="G51" s="13">
        <f t="shared" si="3"/>
        <v>2</v>
      </c>
      <c r="H51" s="28">
        <f t="shared" si="2"/>
        <v>1.834862385321101E-2</v>
      </c>
    </row>
    <row r="52" spans="1:8" ht="12" thickBot="1">
      <c r="A52" s="27">
        <v>79</v>
      </c>
      <c r="B52" s="18" t="s">
        <v>561</v>
      </c>
      <c r="C52" s="24">
        <f>COUNTIFS('1996'!E$3:E$22,'2014'!A52)</f>
        <v>0</v>
      </c>
      <c r="D52" s="24">
        <f>COUNTIFS('2035'!E$3:E$58,'2014'!A52)</f>
        <v>0</v>
      </c>
      <c r="E52" s="24">
        <f>COUNTIFS('2081'!E$3:E$58,'2014'!A52)</f>
        <v>0</v>
      </c>
      <c r="F52" s="24">
        <f>COUNTIFS('2082'!E$3:E$58,'2014'!A52)</f>
        <v>0</v>
      </c>
      <c r="G52" s="13">
        <f t="shared" si="3"/>
        <v>0</v>
      </c>
      <c r="H52" s="28">
        <f t="shared" si="2"/>
        <v>0</v>
      </c>
    </row>
    <row r="53" spans="1:8" ht="12" thickBot="1">
      <c r="A53" s="27">
        <v>80</v>
      </c>
      <c r="B53" s="18" t="s">
        <v>562</v>
      </c>
      <c r="C53" s="24">
        <f>COUNTIFS('1996'!E$3:E$22,'2014'!A53)</f>
        <v>0</v>
      </c>
      <c r="D53" s="24">
        <f>COUNTIFS('2035'!E$3:E$58,'2014'!A53)</f>
        <v>0</v>
      </c>
      <c r="E53" s="24">
        <f>COUNTIFS('2081'!E$3:E$58,'2014'!A53)</f>
        <v>0</v>
      </c>
      <c r="F53" s="24">
        <f>COUNTIFS('2082'!E$3:E$58,'2014'!A53)</f>
        <v>0</v>
      </c>
      <c r="G53" s="13">
        <f t="shared" si="3"/>
        <v>0</v>
      </c>
      <c r="H53" s="28">
        <f t="shared" si="2"/>
        <v>0</v>
      </c>
    </row>
    <row r="54" spans="1:8" ht="12" thickBot="1">
      <c r="A54" s="27">
        <v>81</v>
      </c>
      <c r="B54" s="18" t="s">
        <v>563</v>
      </c>
      <c r="C54" s="24">
        <f>COUNTIFS('1996'!E$3:E$22,'2014'!A54)</f>
        <v>0</v>
      </c>
      <c r="D54" s="24">
        <f>COUNTIFS('2035'!E$3:E$58,'2014'!A54)</f>
        <v>0</v>
      </c>
      <c r="E54" s="24">
        <f>COUNTIFS('2081'!E$3:E$58,'2014'!A54)</f>
        <v>0</v>
      </c>
      <c r="F54" s="24">
        <f>COUNTIFS('2082'!E$3:E$58,'2014'!A54)</f>
        <v>0</v>
      </c>
      <c r="G54" s="13">
        <f t="shared" si="3"/>
        <v>0</v>
      </c>
      <c r="H54" s="28">
        <f t="shared" si="2"/>
        <v>0</v>
      </c>
    </row>
    <row r="55" spans="1:8" ht="12" thickBot="1">
      <c r="A55" s="27">
        <v>82</v>
      </c>
      <c r="B55" s="18" t="s">
        <v>564</v>
      </c>
      <c r="C55" s="24">
        <f>COUNTIFS('1996'!E$3:E$22,'2014'!A55)</f>
        <v>0</v>
      </c>
      <c r="D55" s="24">
        <f>COUNTIFS('2035'!E$3:E$58,'2014'!A55)</f>
        <v>0</v>
      </c>
      <c r="E55" s="24">
        <f>COUNTIFS('2081'!E$3:E$58,'2014'!A55)</f>
        <v>0</v>
      </c>
      <c r="F55" s="24">
        <f>COUNTIFS('2082'!E$3:E$58,'2014'!A55)</f>
        <v>0</v>
      </c>
      <c r="G55" s="13">
        <f t="shared" si="3"/>
        <v>0</v>
      </c>
      <c r="H55" s="28">
        <f t="shared" si="2"/>
        <v>0</v>
      </c>
    </row>
    <row r="56" spans="1:8" ht="12" thickBot="1">
      <c r="A56" s="27">
        <v>83</v>
      </c>
      <c r="B56" s="18" t="s">
        <v>565</v>
      </c>
      <c r="C56" s="24">
        <f>COUNTIFS('1996'!E$3:E$22,'2014'!A56)</f>
        <v>0</v>
      </c>
      <c r="D56" s="24">
        <f>COUNTIFS('2035'!E$3:E$58,'2014'!A56)</f>
        <v>0</v>
      </c>
      <c r="E56" s="24">
        <f>COUNTIFS('2081'!E$3:E$58,'2014'!A56)</f>
        <v>0</v>
      </c>
      <c r="F56" s="24">
        <f>COUNTIFS('2082'!E$3:E$58,'2014'!A56)</f>
        <v>0</v>
      </c>
      <c r="G56" s="13">
        <f t="shared" si="3"/>
        <v>0</v>
      </c>
      <c r="H56" s="28">
        <f t="shared" si="2"/>
        <v>0</v>
      </c>
    </row>
    <row r="57" spans="1:8" ht="12" thickBot="1">
      <c r="A57" s="27">
        <v>84</v>
      </c>
      <c r="B57" s="18" t="s">
        <v>566</v>
      </c>
      <c r="C57" s="24">
        <f>COUNTIFS('1996'!E$3:E$22,'2014'!A57)</f>
        <v>0</v>
      </c>
      <c r="D57" s="24">
        <f>COUNTIFS('2035'!E$3:E$58,'2014'!A57)</f>
        <v>0</v>
      </c>
      <c r="E57" s="24">
        <f>COUNTIFS('2081'!E$3:E$58,'2014'!A57)</f>
        <v>0</v>
      </c>
      <c r="F57" s="24">
        <f>COUNTIFS('2082'!E$3:E$58,'2014'!A57)</f>
        <v>0</v>
      </c>
      <c r="G57" s="13">
        <f t="shared" si="3"/>
        <v>0</v>
      </c>
      <c r="H57" s="28">
        <f t="shared" si="2"/>
        <v>0</v>
      </c>
    </row>
    <row r="58" spans="1:8" ht="12" thickBot="1">
      <c r="A58" s="27">
        <v>91</v>
      </c>
      <c r="B58" s="18" t="s">
        <v>567</v>
      </c>
      <c r="C58" s="24">
        <f>COUNTIFS('1996'!E$3:E$22,'2014'!A58)</f>
        <v>0</v>
      </c>
      <c r="D58" s="24">
        <f>COUNTIFS('2035'!E$3:E$58,'2014'!A58)</f>
        <v>0</v>
      </c>
      <c r="E58" s="24">
        <f>COUNTIFS('2081'!E$3:E$58,'2014'!A58)</f>
        <v>0</v>
      </c>
      <c r="F58" s="24">
        <f>COUNTIFS('2082'!E$3:E$58,'2014'!A58)</f>
        <v>0</v>
      </c>
      <c r="G58" s="13">
        <f t="shared" si="3"/>
        <v>0</v>
      </c>
      <c r="H58" s="28">
        <f t="shared" si="2"/>
        <v>0</v>
      </c>
    </row>
    <row r="59" spans="1:8" ht="12" thickBot="1">
      <c r="A59" s="29">
        <v>95</v>
      </c>
      <c r="B59" s="30" t="s">
        <v>568</v>
      </c>
      <c r="C59" s="24">
        <f>COUNTIFS('1996'!E$3:E$22,'2014'!A59)</f>
        <v>0</v>
      </c>
      <c r="D59" s="24">
        <f>COUNTIFS('2035'!E$3:E$58,'2014'!A59)</f>
        <v>0</v>
      </c>
      <c r="E59" s="24">
        <f>COUNTIFS('2081'!E$3:E$58,'2014'!A59)</f>
        <v>0</v>
      </c>
      <c r="F59" s="24">
        <f>COUNTIFS('2082'!E$3:E$58,'2014'!A59)</f>
        <v>0</v>
      </c>
      <c r="G59" s="31">
        <f t="shared" si="3"/>
        <v>0</v>
      </c>
      <c r="H59" s="32">
        <f t="shared" si="2"/>
        <v>0</v>
      </c>
    </row>
    <row r="60" spans="1:8" ht="12" thickBot="1">
      <c r="E60" s="152" t="s">
        <v>572</v>
      </c>
      <c r="F60" s="153"/>
      <c r="G60" s="19">
        <f>SUM(G4:G59)</f>
        <v>109</v>
      </c>
      <c r="H60" s="33">
        <f>SUM(H4:H59)</f>
        <v>1</v>
      </c>
    </row>
  </sheetData>
  <mergeCells count="3">
    <mergeCell ref="A2:B3"/>
    <mergeCell ref="E60:F60"/>
    <mergeCell ref="G2:H2"/>
  </mergeCells>
  <phoneticPr fontId="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0"/>
  <sheetViews>
    <sheetView tabSelected="1" topLeftCell="J3" zoomScale="85" zoomScaleNormal="85" zoomScaleSheetLayoutView="55" workbookViewId="0">
      <selection activeCell="Z6" sqref="Z6"/>
    </sheetView>
  </sheetViews>
  <sheetFormatPr baseColWidth="10" defaultColWidth="11.42578125" defaultRowHeight="15"/>
  <cols>
    <col min="1" max="1" width="9.28515625" bestFit="1" customWidth="1"/>
    <col min="2" max="2" width="8.7109375" bestFit="1" customWidth="1"/>
    <col min="3" max="4" width="47.140625" customWidth="1"/>
    <col min="5" max="5" width="10.5703125" style="1" customWidth="1"/>
    <col min="6" max="6" width="19.28515625" style="1" customWidth="1"/>
    <col min="8" max="9" width="11.85546875" bestFit="1" customWidth="1"/>
    <col min="12" max="12" width="15.85546875" customWidth="1"/>
    <col min="13" max="13" width="20.42578125" style="65" customWidth="1"/>
    <col min="14" max="14" width="7.42578125" style="65" customWidth="1"/>
    <col min="15" max="18" width="11.42578125" style="65"/>
    <col min="22" max="23" width="11.42578125" style="119"/>
    <col min="24" max="24" width="14.28515625" customWidth="1"/>
  </cols>
  <sheetData>
    <row r="1" spans="1:26" ht="27" thickBot="1">
      <c r="A1" s="156" t="s">
        <v>512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26" ht="19.5" thickBot="1">
      <c r="A2" s="38" t="s">
        <v>148</v>
      </c>
      <c r="B2" s="6" t="s">
        <v>151</v>
      </c>
      <c r="C2" s="6" t="s">
        <v>149</v>
      </c>
      <c r="D2" s="6" t="s">
        <v>150</v>
      </c>
      <c r="E2" s="6" t="s">
        <v>0</v>
      </c>
      <c r="F2" s="39" t="s">
        <v>0</v>
      </c>
      <c r="G2" s="59" t="s">
        <v>576</v>
      </c>
      <c r="H2" s="60"/>
      <c r="L2" s="74" t="s">
        <v>592</v>
      </c>
      <c r="M2" s="98" t="s">
        <v>590</v>
      </c>
      <c r="O2" s="160" t="s">
        <v>622</v>
      </c>
      <c r="P2" s="161"/>
      <c r="Q2" s="161"/>
      <c r="R2" s="161"/>
      <c r="S2" s="161"/>
      <c r="T2" s="161"/>
      <c r="U2" s="162"/>
      <c r="X2" s="77" t="s">
        <v>593</v>
      </c>
      <c r="Y2" s="139">
        <v>63</v>
      </c>
    </row>
    <row r="3" spans="1:26" ht="22.5">
      <c r="A3" s="40" t="s">
        <v>80</v>
      </c>
      <c r="B3" s="3">
        <v>41732</v>
      </c>
      <c r="C3" s="4" t="s">
        <v>81</v>
      </c>
      <c r="D3" s="4" t="s">
        <v>82</v>
      </c>
      <c r="E3" s="53">
        <v>22</v>
      </c>
      <c r="F3" s="41" t="s">
        <v>83</v>
      </c>
      <c r="G3" s="3" t="str">
        <f>TEXT(B3,"mmmm")</f>
        <v>abril</v>
      </c>
      <c r="M3" s="71" t="str">
        <f>CONCATENATE("Indice   ","en  ", M2)</f>
        <v>Indice   en  Junio</v>
      </c>
      <c r="N3" s="72" t="s">
        <v>0</v>
      </c>
      <c r="O3" s="73" t="s">
        <v>585</v>
      </c>
      <c r="P3" s="73" t="s">
        <v>586</v>
      </c>
      <c r="Q3" s="73" t="s">
        <v>587</v>
      </c>
      <c r="R3" s="73" t="s">
        <v>588</v>
      </c>
      <c r="S3" s="73" t="s">
        <v>589</v>
      </c>
      <c r="T3" s="73" t="s">
        <v>590</v>
      </c>
      <c r="U3" s="76" t="s">
        <v>591</v>
      </c>
      <c r="V3" s="108"/>
      <c r="W3" s="108"/>
      <c r="Y3" s="148" t="s">
        <v>574</v>
      </c>
      <c r="Z3" s="76" t="s">
        <v>594</v>
      </c>
    </row>
    <row r="4" spans="1:26" ht="26.25">
      <c r="A4" s="40" t="s">
        <v>122</v>
      </c>
      <c r="B4" s="3">
        <v>41732</v>
      </c>
      <c r="C4" s="4" t="s">
        <v>123</v>
      </c>
      <c r="D4" s="4" t="s">
        <v>124</v>
      </c>
      <c r="E4" s="53">
        <v>64</v>
      </c>
      <c r="F4" s="41" t="s">
        <v>125</v>
      </c>
      <c r="G4" s="3" t="str">
        <f t="shared" ref="G4:G22" si="0">TEXT(B4,"mmmm")</f>
        <v>abril</v>
      </c>
      <c r="H4" s="37"/>
      <c r="I4" s="37"/>
      <c r="J4" s="37"/>
      <c r="M4" s="75">
        <f>IF(M$2="Mayo",S4/7,IF(M$2="Junio",T4/40,IF(M$2="Julio",U4/30)))</f>
        <v>0</v>
      </c>
      <c r="N4" s="66">
        <v>22</v>
      </c>
      <c r="O4" s="100">
        <f>COUNTIFS($E$3:$E$58,$N4,$G$3:$G$58,O$3)</f>
        <v>0</v>
      </c>
      <c r="P4" s="100">
        <f t="shared" ref="O4:U14" si="1">COUNTIFS($E$3:$E$58,$N4,$G$3:$G$58,P$3)</f>
        <v>0</v>
      </c>
      <c r="Q4" s="100">
        <f t="shared" si="1"/>
        <v>0</v>
      </c>
      <c r="R4" s="100">
        <f t="shared" si="1"/>
        <v>1</v>
      </c>
      <c r="S4" s="100">
        <f t="shared" si="1"/>
        <v>0</v>
      </c>
      <c r="T4" s="100">
        <f t="shared" si="1"/>
        <v>0</v>
      </c>
      <c r="U4" s="109">
        <f t="shared" si="1"/>
        <v>1</v>
      </c>
      <c r="V4" s="104"/>
      <c r="W4" s="104"/>
      <c r="Y4" s="79" t="s">
        <v>585</v>
      </c>
      <c r="Z4" s="57">
        <v>0</v>
      </c>
    </row>
    <row r="5" spans="1:26" ht="22.5">
      <c r="A5" s="40" t="s">
        <v>126</v>
      </c>
      <c r="B5" s="3">
        <v>41737</v>
      </c>
      <c r="C5" s="4" t="s">
        <v>127</v>
      </c>
      <c r="D5" s="4" t="s">
        <v>128</v>
      </c>
      <c r="E5" s="53">
        <v>64</v>
      </c>
      <c r="F5" s="41" t="s">
        <v>125</v>
      </c>
      <c r="G5" s="3" t="str">
        <f t="shared" si="0"/>
        <v>abril</v>
      </c>
      <c r="M5" s="75">
        <f t="shared" ref="M5:M14" si="2">IF(M$2="Mayo",S5/7,IF(M$2="Junio",T5/40,IF(M$2="Julio",U5/30)))</f>
        <v>0</v>
      </c>
      <c r="N5" s="66">
        <v>23</v>
      </c>
      <c r="O5" s="100">
        <f t="shared" si="1"/>
        <v>0</v>
      </c>
      <c r="P5" s="100">
        <f t="shared" si="1"/>
        <v>0</v>
      </c>
      <c r="Q5" s="100">
        <f t="shared" si="1"/>
        <v>0</v>
      </c>
      <c r="R5" s="100">
        <f t="shared" si="1"/>
        <v>0</v>
      </c>
      <c r="S5" s="100">
        <f t="shared" si="1"/>
        <v>0</v>
      </c>
      <c r="T5" s="100">
        <f t="shared" si="1"/>
        <v>0</v>
      </c>
      <c r="U5" s="109">
        <f t="shared" si="1"/>
        <v>1</v>
      </c>
      <c r="V5" s="104"/>
      <c r="W5" s="104"/>
      <c r="Y5" s="79" t="s">
        <v>586</v>
      </c>
      <c r="Z5" s="57">
        <f>IF(Y$2=22,P$4/7,IF(Y$2=23,P$5/7,IF(Y$2=29,P$6/7,IF(Y$2=31,P$7/7,IF(Y$2=34,P$8/7,IF(Y$2=62,P$9/7,IF(Y$2=63,P$10/7,IF(Y$2=64,P$11/7,IF(Y$2=67,P$12/7,IF(Y$2=72,P$13/7,IF(Y$2=77,P$14/7)))))))))))</f>
        <v>0</v>
      </c>
    </row>
    <row r="6" spans="1:26" ht="22.5">
      <c r="A6" s="40" t="s">
        <v>91</v>
      </c>
      <c r="B6" s="3">
        <v>41745</v>
      </c>
      <c r="C6" s="5" t="s">
        <v>92</v>
      </c>
      <c r="D6" s="5" t="s">
        <v>93</v>
      </c>
      <c r="E6" s="53">
        <v>29</v>
      </c>
      <c r="F6" s="42" t="s">
        <v>94</v>
      </c>
      <c r="G6" s="3" t="str">
        <f t="shared" si="0"/>
        <v>abril</v>
      </c>
      <c r="M6" s="75">
        <f t="shared" si="2"/>
        <v>2.5000000000000001E-2</v>
      </c>
      <c r="N6" s="66">
        <v>29</v>
      </c>
      <c r="O6" s="100">
        <f t="shared" si="1"/>
        <v>0</v>
      </c>
      <c r="P6" s="100">
        <f t="shared" si="1"/>
        <v>0</v>
      </c>
      <c r="Q6" s="100">
        <f t="shared" si="1"/>
        <v>0</v>
      </c>
      <c r="R6" s="100">
        <f t="shared" si="1"/>
        <v>1</v>
      </c>
      <c r="S6" s="100">
        <f t="shared" si="1"/>
        <v>0</v>
      </c>
      <c r="T6" s="100">
        <f t="shared" si="1"/>
        <v>1</v>
      </c>
      <c r="U6" s="109">
        <f t="shared" si="1"/>
        <v>0</v>
      </c>
      <c r="V6" s="104"/>
      <c r="W6" s="104"/>
      <c r="Y6" s="79" t="s">
        <v>587</v>
      </c>
      <c r="Z6" s="57">
        <f>IF(Y$2=22,Q$4/40,IF(Y$2=23,Q$5/40,IF(Y$2=29,Q$6/40,IF(Y$2=31,Q$7/40,IF(Y$2=34,Q$8/40,IF(Y$2=62,Q$9/40,IF(Y$2=63,Q$10/40,IF(Y$2=64,Q$11/40,IF(Y$2=67,Q$12/40,IF(Y$2=72,Q$13/40,IF(Y$2=77,Q$14/40)))))))))))</f>
        <v>0</v>
      </c>
    </row>
    <row r="7" spans="1:26" ht="22.5">
      <c r="A7" s="40" t="s">
        <v>139</v>
      </c>
      <c r="B7" s="3">
        <v>41745</v>
      </c>
      <c r="C7" s="4" t="s">
        <v>140</v>
      </c>
      <c r="D7" s="4" t="s">
        <v>141</v>
      </c>
      <c r="E7" s="53">
        <v>77</v>
      </c>
      <c r="F7" s="41" t="s">
        <v>142</v>
      </c>
      <c r="G7" s="3" t="str">
        <f t="shared" si="0"/>
        <v>abril</v>
      </c>
      <c r="M7" s="75">
        <f t="shared" si="2"/>
        <v>2.5000000000000001E-2</v>
      </c>
      <c r="N7" s="66">
        <v>31</v>
      </c>
      <c r="O7" s="100">
        <f t="shared" si="1"/>
        <v>0</v>
      </c>
      <c r="P7" s="100">
        <f t="shared" si="1"/>
        <v>0</v>
      </c>
      <c r="Q7" s="100">
        <f t="shared" si="1"/>
        <v>0</v>
      </c>
      <c r="R7" s="100">
        <f t="shared" si="1"/>
        <v>0</v>
      </c>
      <c r="S7" s="100">
        <f t="shared" si="1"/>
        <v>0</v>
      </c>
      <c r="T7" s="100">
        <f t="shared" si="1"/>
        <v>1</v>
      </c>
      <c r="U7" s="109">
        <f t="shared" si="1"/>
        <v>1</v>
      </c>
      <c r="V7" s="104"/>
      <c r="W7" s="104"/>
      <c r="Y7" s="79" t="s">
        <v>588</v>
      </c>
      <c r="Z7" s="57">
        <v>0</v>
      </c>
    </row>
    <row r="8" spans="1:26" ht="22.5">
      <c r="A8" s="40" t="s">
        <v>139</v>
      </c>
      <c r="B8" s="3">
        <v>41745</v>
      </c>
      <c r="C8" s="4" t="s">
        <v>143</v>
      </c>
      <c r="D8" s="4" t="s">
        <v>144</v>
      </c>
      <c r="E8" s="53">
        <v>77</v>
      </c>
      <c r="F8" s="41" t="s">
        <v>142</v>
      </c>
      <c r="G8" s="3" t="str">
        <f t="shared" si="0"/>
        <v>abril</v>
      </c>
      <c r="M8" s="75">
        <f t="shared" si="2"/>
        <v>0</v>
      </c>
      <c r="N8" s="66">
        <v>34</v>
      </c>
      <c r="O8" s="100">
        <f t="shared" si="1"/>
        <v>0</v>
      </c>
      <c r="P8" s="100">
        <f t="shared" si="1"/>
        <v>0</v>
      </c>
      <c r="Q8" s="100">
        <f t="shared" si="1"/>
        <v>0</v>
      </c>
      <c r="R8" s="100">
        <f t="shared" si="1"/>
        <v>0</v>
      </c>
      <c r="S8" s="100">
        <f t="shared" si="1"/>
        <v>1</v>
      </c>
      <c r="T8" s="100">
        <f t="shared" si="1"/>
        <v>0</v>
      </c>
      <c r="U8" s="109">
        <f t="shared" si="1"/>
        <v>0</v>
      </c>
      <c r="V8" s="104"/>
      <c r="W8" s="104"/>
      <c r="Y8" s="79" t="s">
        <v>589</v>
      </c>
      <c r="Z8" s="57">
        <f>IF(Y$2=22,S$4/7,IF(Y$2=23,S$5/7,IF(Y$2=29,S$6/7,IF(Y$2=31,S$7/7,IF(Y$2=34,S$8/7,IF(Y$2=62,S$9/7,IF(Y$2=63,S$10/7,IF(Y$2=64,S$11/7,IF(Y$2=67,S$12/7,IF(Y$2=72,S$13/7,IF(Y$2=77,S$14/7)))))))))))</f>
        <v>0</v>
      </c>
    </row>
    <row r="9" spans="1:26" ht="22.5">
      <c r="A9" s="40" t="s">
        <v>105</v>
      </c>
      <c r="B9" s="3">
        <v>41790</v>
      </c>
      <c r="C9" s="4" t="s">
        <v>106</v>
      </c>
      <c r="D9" s="4" t="s">
        <v>107</v>
      </c>
      <c r="E9" s="53">
        <v>34</v>
      </c>
      <c r="F9" s="41" t="s">
        <v>108</v>
      </c>
      <c r="G9" s="3" t="str">
        <f t="shared" si="0"/>
        <v>mayo</v>
      </c>
      <c r="M9" s="75">
        <f t="shared" si="2"/>
        <v>7.4999999999999997E-2</v>
      </c>
      <c r="N9" s="66">
        <v>62</v>
      </c>
      <c r="O9" s="100">
        <f t="shared" si="1"/>
        <v>0</v>
      </c>
      <c r="P9" s="100">
        <f t="shared" si="1"/>
        <v>0</v>
      </c>
      <c r="Q9" s="100">
        <f t="shared" si="1"/>
        <v>0</v>
      </c>
      <c r="R9" s="100">
        <f t="shared" si="1"/>
        <v>0</v>
      </c>
      <c r="S9" s="100">
        <f t="shared" si="1"/>
        <v>0</v>
      </c>
      <c r="T9" s="100">
        <f t="shared" si="1"/>
        <v>3</v>
      </c>
      <c r="U9" s="109">
        <f t="shared" si="1"/>
        <v>0</v>
      </c>
      <c r="V9" s="104"/>
      <c r="W9" s="104"/>
      <c r="Y9" s="79" t="s">
        <v>590</v>
      </c>
      <c r="Z9" s="57">
        <f>IF(Y$2=22,T$4/40,IF(Y$2=23,T$5/40,IF(Y$2=29,T$6/40,IF(Y$2=31,T$7/40,IF(Y$2=34,T$8/40,IF(Y$2=62,T$9/40,IF(Y$2=63,T$10/40,IF(Y$2=64,T$11/40,IF(Y$2=67,T$12/40,IF(Y$2=72,T$13/40,IF(Y$2=77,T$14/40)))))))))))</f>
        <v>2.5000000000000001E-2</v>
      </c>
    </row>
    <row r="10" spans="1:26" ht="34.5" thickBot="1">
      <c r="A10" s="40" t="s">
        <v>105</v>
      </c>
      <c r="B10" s="3">
        <v>41790</v>
      </c>
      <c r="C10" s="4" t="s">
        <v>133</v>
      </c>
      <c r="D10" s="4" t="s">
        <v>134</v>
      </c>
      <c r="E10" s="53">
        <v>72</v>
      </c>
      <c r="F10" s="41" t="s">
        <v>135</v>
      </c>
      <c r="G10" s="3" t="str">
        <f t="shared" si="0"/>
        <v>mayo</v>
      </c>
      <c r="M10" s="75">
        <f t="shared" si="2"/>
        <v>2.5000000000000001E-2</v>
      </c>
      <c r="N10" s="66">
        <v>63</v>
      </c>
      <c r="O10" s="100">
        <f t="shared" si="1"/>
        <v>0</v>
      </c>
      <c r="P10" s="100">
        <f t="shared" si="1"/>
        <v>0</v>
      </c>
      <c r="Q10" s="100">
        <f t="shared" si="1"/>
        <v>0</v>
      </c>
      <c r="R10" s="100">
        <f t="shared" si="1"/>
        <v>0</v>
      </c>
      <c r="S10" s="100">
        <f t="shared" si="1"/>
        <v>0</v>
      </c>
      <c r="T10" s="100">
        <f t="shared" si="1"/>
        <v>1</v>
      </c>
      <c r="U10" s="109">
        <f t="shared" si="1"/>
        <v>0</v>
      </c>
      <c r="V10" s="104"/>
      <c r="W10" s="104"/>
      <c r="Y10" s="103" t="s">
        <v>591</v>
      </c>
      <c r="Z10" s="58">
        <f>IF(Y$2=22,U$4/30,IF(Y$2=23,U$5/30,IF(Y$2=29,U$6/30,IF(Y$2=31,U$7/30,IF(Y$2=34,U$8/30,IF(Y$2=62,U$9/30,IF(Y$2=63,U$10/30,IF(Y$2=64,U$11/30,IF(Y$2=67,U$12/30,IF(Y$2=72,U$13/30,IF(Y$2=77,U$14/30)))))))))))</f>
        <v>0</v>
      </c>
    </row>
    <row r="11" spans="1:26" ht="22.5">
      <c r="A11" s="40" t="s">
        <v>98</v>
      </c>
      <c r="B11" s="3">
        <v>41794</v>
      </c>
      <c r="C11" s="4" t="s">
        <v>99</v>
      </c>
      <c r="D11" s="4" t="s">
        <v>100</v>
      </c>
      <c r="E11" s="53">
        <v>31</v>
      </c>
      <c r="F11" s="41" t="s">
        <v>101</v>
      </c>
      <c r="G11" s="3" t="str">
        <f t="shared" si="0"/>
        <v>junio</v>
      </c>
      <c r="M11" s="75">
        <f t="shared" si="2"/>
        <v>0</v>
      </c>
      <c r="N11" s="66">
        <v>64</v>
      </c>
      <c r="O11" s="100">
        <f t="shared" si="1"/>
        <v>0</v>
      </c>
      <c r="P11" s="100">
        <f t="shared" si="1"/>
        <v>0</v>
      </c>
      <c r="Q11" s="100">
        <f t="shared" si="1"/>
        <v>0</v>
      </c>
      <c r="R11" s="100">
        <f t="shared" si="1"/>
        <v>2</v>
      </c>
      <c r="S11" s="100">
        <f t="shared" si="1"/>
        <v>0</v>
      </c>
      <c r="T11" s="100">
        <f t="shared" si="1"/>
        <v>0</v>
      </c>
      <c r="U11" s="109">
        <f t="shared" si="1"/>
        <v>0</v>
      </c>
      <c r="V11" s="104"/>
      <c r="W11" s="104"/>
      <c r="Y11" s="101"/>
      <c r="Z11" s="102"/>
    </row>
    <row r="12" spans="1:26" ht="22.5">
      <c r="A12" s="40" t="s">
        <v>109</v>
      </c>
      <c r="B12" s="3">
        <v>41795</v>
      </c>
      <c r="C12" s="4" t="s">
        <v>110</v>
      </c>
      <c r="D12" s="4" t="s">
        <v>111</v>
      </c>
      <c r="E12" s="53">
        <v>62</v>
      </c>
      <c r="F12" s="41" t="s">
        <v>112</v>
      </c>
      <c r="G12" s="3" t="str">
        <f t="shared" si="0"/>
        <v>junio</v>
      </c>
      <c r="M12" s="75">
        <f t="shared" si="2"/>
        <v>0</v>
      </c>
      <c r="N12" s="66">
        <v>67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9">
        <f t="shared" si="1"/>
        <v>1</v>
      </c>
      <c r="V12" s="104"/>
      <c r="W12" s="104"/>
      <c r="Y12" s="101"/>
      <c r="Z12" s="102"/>
    </row>
    <row r="13" spans="1:26" ht="22.5">
      <c r="A13" s="40" t="s">
        <v>113</v>
      </c>
      <c r="B13" s="3">
        <v>41795</v>
      </c>
      <c r="C13" s="4" t="s">
        <v>114</v>
      </c>
      <c r="D13" s="4" t="s">
        <v>115</v>
      </c>
      <c r="E13" s="53">
        <v>62</v>
      </c>
      <c r="F13" s="41" t="s">
        <v>112</v>
      </c>
      <c r="G13" s="3" t="str">
        <f t="shared" si="0"/>
        <v>junio</v>
      </c>
      <c r="M13" s="75">
        <f t="shared" si="2"/>
        <v>2.5000000000000001E-2</v>
      </c>
      <c r="N13" s="66">
        <v>72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1</v>
      </c>
      <c r="T13" s="100">
        <f t="shared" si="1"/>
        <v>1</v>
      </c>
      <c r="U13" s="109">
        <f t="shared" si="1"/>
        <v>0</v>
      </c>
      <c r="V13" s="104"/>
      <c r="W13" s="104"/>
    </row>
    <row r="14" spans="1:26" ht="23.25" thickBot="1">
      <c r="A14" s="40" t="s">
        <v>116</v>
      </c>
      <c r="B14" s="3">
        <v>41797</v>
      </c>
      <c r="C14" s="4" t="s">
        <v>626</v>
      </c>
      <c r="D14" s="4" t="s">
        <v>117</v>
      </c>
      <c r="E14" s="53">
        <v>62</v>
      </c>
      <c r="F14" s="41" t="s">
        <v>112</v>
      </c>
      <c r="G14" s="3" t="str">
        <f t="shared" si="0"/>
        <v>junio</v>
      </c>
      <c r="M14" s="75">
        <f t="shared" si="2"/>
        <v>0</v>
      </c>
      <c r="N14" s="67">
        <v>77</v>
      </c>
      <c r="O14" s="100">
        <f t="shared" si="1"/>
        <v>0</v>
      </c>
      <c r="P14" s="100">
        <f t="shared" si="1"/>
        <v>0</v>
      </c>
      <c r="Q14" s="100">
        <f t="shared" si="1"/>
        <v>0</v>
      </c>
      <c r="R14" s="100">
        <f t="shared" si="1"/>
        <v>2</v>
      </c>
      <c r="S14" s="100">
        <f t="shared" si="1"/>
        <v>0</v>
      </c>
      <c r="T14" s="100">
        <f t="shared" si="1"/>
        <v>0</v>
      </c>
      <c r="U14" s="109">
        <f t="shared" si="1"/>
        <v>1</v>
      </c>
      <c r="V14" s="104"/>
      <c r="W14" s="104"/>
    </row>
    <row r="15" spans="1:26" ht="23.25" thickBot="1">
      <c r="A15" s="40" t="s">
        <v>95</v>
      </c>
      <c r="B15" s="3">
        <v>41801</v>
      </c>
      <c r="C15" s="4" t="s">
        <v>96</v>
      </c>
      <c r="D15" s="4" t="s">
        <v>97</v>
      </c>
      <c r="E15" s="53">
        <v>29</v>
      </c>
      <c r="F15" s="42" t="s">
        <v>94</v>
      </c>
      <c r="G15" s="3" t="str">
        <f t="shared" si="0"/>
        <v>junio</v>
      </c>
      <c r="M15" s="157" t="s">
        <v>598</v>
      </c>
      <c r="N15" s="157"/>
      <c r="O15" s="120">
        <f>SUM(O4:O14)</f>
        <v>0</v>
      </c>
      <c r="P15" s="120">
        <f t="shared" ref="P15:U15" si="3">SUM(P4:P14)</f>
        <v>0</v>
      </c>
      <c r="Q15" s="120">
        <f t="shared" si="3"/>
        <v>0</v>
      </c>
      <c r="R15" s="120">
        <f t="shared" si="3"/>
        <v>6</v>
      </c>
      <c r="S15" s="120">
        <f t="shared" si="3"/>
        <v>2</v>
      </c>
      <c r="T15" s="120">
        <f t="shared" si="3"/>
        <v>7</v>
      </c>
      <c r="U15" s="120">
        <f t="shared" si="3"/>
        <v>5</v>
      </c>
      <c r="V15" s="118"/>
      <c r="W15" s="118"/>
    </row>
    <row r="16" spans="1:26" ht="23.25" thickBot="1">
      <c r="A16" s="40" t="s">
        <v>136</v>
      </c>
      <c r="B16" s="3">
        <v>41805</v>
      </c>
      <c r="C16" s="4" t="s">
        <v>137</v>
      </c>
      <c r="D16" s="4" t="s">
        <v>138</v>
      </c>
      <c r="E16" s="53">
        <v>72</v>
      </c>
      <c r="F16" s="41" t="s">
        <v>135</v>
      </c>
      <c r="G16" s="3" t="str">
        <f t="shared" si="0"/>
        <v>junio</v>
      </c>
      <c r="M16" s="158" t="s">
        <v>602</v>
      </c>
      <c r="N16" s="159"/>
      <c r="O16" s="121">
        <v>0</v>
      </c>
      <c r="P16" s="121">
        <v>0</v>
      </c>
      <c r="Q16" s="121">
        <v>0</v>
      </c>
      <c r="R16" s="121">
        <v>0</v>
      </c>
      <c r="S16" s="122">
        <f>S15/7</f>
        <v>0.2857142857142857</v>
      </c>
      <c r="T16" s="122">
        <f>T15/40</f>
        <v>0.17499999999999999</v>
      </c>
      <c r="U16" s="123">
        <f>U15/30</f>
        <v>0.16666666666666666</v>
      </c>
    </row>
    <row r="17" spans="1:23" ht="22.5">
      <c r="A17" s="40" t="s">
        <v>118</v>
      </c>
      <c r="B17" s="3">
        <v>41820</v>
      </c>
      <c r="C17" s="4" t="s">
        <v>119</v>
      </c>
      <c r="D17" s="4" t="s">
        <v>120</v>
      </c>
      <c r="E17" s="53">
        <v>63</v>
      </c>
      <c r="F17" s="41" t="s">
        <v>121</v>
      </c>
      <c r="G17" s="3" t="str">
        <f t="shared" si="0"/>
        <v>junio</v>
      </c>
    </row>
    <row r="18" spans="1:23" ht="22.5">
      <c r="A18" s="40" t="s">
        <v>84</v>
      </c>
      <c r="B18" s="3">
        <v>41823</v>
      </c>
      <c r="C18" s="4" t="s">
        <v>85</v>
      </c>
      <c r="D18" s="4" t="s">
        <v>86</v>
      </c>
      <c r="E18" s="53">
        <v>22</v>
      </c>
      <c r="F18" s="41" t="s">
        <v>83</v>
      </c>
      <c r="G18" s="3" t="str">
        <f t="shared" si="0"/>
        <v>julio</v>
      </c>
      <c r="N18" s="104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 ht="22.5">
      <c r="A19" s="40" t="s">
        <v>129</v>
      </c>
      <c r="B19" s="3">
        <v>41835</v>
      </c>
      <c r="C19" s="4" t="s">
        <v>130</v>
      </c>
      <c r="D19" s="4" t="s">
        <v>131</v>
      </c>
      <c r="E19" s="53">
        <v>67</v>
      </c>
      <c r="F19" s="41" t="s">
        <v>132</v>
      </c>
      <c r="G19" s="3" t="str">
        <f t="shared" si="0"/>
        <v>julio</v>
      </c>
      <c r="N19" s="104"/>
      <c r="O19" s="118"/>
      <c r="P19" s="118"/>
      <c r="Q19" s="118"/>
      <c r="R19" s="118"/>
      <c r="S19" s="118"/>
      <c r="T19" s="118"/>
      <c r="U19" s="118"/>
      <c r="V19" s="118"/>
      <c r="W19" s="118"/>
    </row>
    <row r="20" spans="1:23" ht="22.5">
      <c r="A20" s="40" t="s">
        <v>102</v>
      </c>
      <c r="B20" s="3">
        <v>41838</v>
      </c>
      <c r="C20" s="4" t="s">
        <v>103</v>
      </c>
      <c r="D20" s="4" t="s">
        <v>104</v>
      </c>
      <c r="E20" s="53">
        <v>31</v>
      </c>
      <c r="F20" s="41" t="s">
        <v>101</v>
      </c>
      <c r="G20" s="3" t="str">
        <f t="shared" si="0"/>
        <v>julio</v>
      </c>
      <c r="N20" s="104"/>
      <c r="O20" s="118"/>
      <c r="P20" s="118"/>
      <c r="Q20" s="118"/>
      <c r="R20" s="118"/>
      <c r="S20" s="118"/>
      <c r="T20" s="118"/>
      <c r="U20" s="118"/>
      <c r="V20" s="118"/>
      <c r="W20" s="118"/>
    </row>
    <row r="21" spans="1:23" ht="33.75">
      <c r="A21" s="40" t="s">
        <v>87</v>
      </c>
      <c r="B21" s="3">
        <v>41842</v>
      </c>
      <c r="C21" s="4" t="s">
        <v>88</v>
      </c>
      <c r="D21" s="4" t="s">
        <v>89</v>
      </c>
      <c r="E21" s="53">
        <v>23</v>
      </c>
      <c r="F21" s="41" t="s">
        <v>90</v>
      </c>
      <c r="G21" s="3" t="str">
        <f t="shared" si="0"/>
        <v>julio</v>
      </c>
      <c r="N21" s="104"/>
      <c r="O21" s="118"/>
      <c r="P21" s="118"/>
      <c r="Q21" s="118"/>
      <c r="R21" s="118"/>
      <c r="S21" s="118"/>
      <c r="T21" s="118"/>
      <c r="U21" s="118"/>
      <c r="V21" s="118"/>
      <c r="W21" s="118"/>
    </row>
    <row r="22" spans="1:23" ht="34.5" thickBot="1">
      <c r="A22" s="43" t="s">
        <v>145</v>
      </c>
      <c r="B22" s="44">
        <v>41844</v>
      </c>
      <c r="C22" s="45" t="s">
        <v>146</v>
      </c>
      <c r="D22" s="45" t="s">
        <v>147</v>
      </c>
      <c r="E22" s="46">
        <v>77</v>
      </c>
      <c r="F22" s="47" t="s">
        <v>142</v>
      </c>
      <c r="G22" s="3" t="str">
        <f t="shared" si="0"/>
        <v>julio</v>
      </c>
      <c r="N22" s="104"/>
      <c r="O22" s="118"/>
      <c r="P22" s="118"/>
      <c r="Q22" s="118"/>
      <c r="R22" s="118"/>
      <c r="S22" s="118"/>
      <c r="T22" s="118"/>
      <c r="U22" s="118"/>
      <c r="V22" s="118"/>
      <c r="W22" s="118"/>
    </row>
    <row r="23" spans="1:23">
      <c r="I23" s="51"/>
      <c r="N23" s="104"/>
      <c r="O23" s="118"/>
      <c r="P23" s="118"/>
      <c r="Q23" s="118"/>
      <c r="R23" s="118"/>
      <c r="S23" s="118"/>
      <c r="T23" s="118"/>
      <c r="U23" s="118"/>
      <c r="V23" s="118"/>
      <c r="W23" s="118"/>
    </row>
    <row r="24" spans="1:23">
      <c r="F24" s="49"/>
      <c r="H24" s="63"/>
      <c r="I24" s="64"/>
      <c r="J24" s="64"/>
      <c r="K24" s="64"/>
      <c r="L24" s="64"/>
      <c r="M24" s="68"/>
      <c r="N24" s="104"/>
      <c r="O24" s="118"/>
      <c r="P24" s="118"/>
      <c r="Q24" s="118"/>
      <c r="R24" s="118"/>
      <c r="S24" s="118"/>
      <c r="T24" s="118"/>
      <c r="U24" s="118"/>
      <c r="V24" s="118"/>
      <c r="W24" s="118"/>
    </row>
    <row r="25" spans="1:23">
      <c r="F25" s="50"/>
      <c r="H25" s="62"/>
      <c r="I25" s="62"/>
      <c r="J25" s="62"/>
      <c r="K25" s="62"/>
      <c r="L25" s="62"/>
      <c r="M25" s="69"/>
      <c r="N25" s="104"/>
      <c r="O25" s="118"/>
      <c r="P25" s="118"/>
      <c r="Q25" s="118"/>
      <c r="R25" s="118"/>
      <c r="S25" s="118"/>
      <c r="T25" s="118"/>
      <c r="U25" s="118"/>
      <c r="V25" s="118"/>
      <c r="W25" s="118"/>
    </row>
    <row r="26" spans="1:23">
      <c r="D26" t="str">
        <f>IF(I23="may-14",I25,"")</f>
        <v/>
      </c>
      <c r="F26" s="50"/>
      <c r="H26" s="62"/>
      <c r="I26" s="62"/>
      <c r="J26" s="62"/>
      <c r="K26" s="62"/>
      <c r="L26" s="62"/>
      <c r="M26" s="69"/>
      <c r="N26" s="104"/>
      <c r="O26" s="118"/>
      <c r="P26" s="118"/>
      <c r="Q26" s="118"/>
      <c r="R26" s="118"/>
      <c r="S26" s="118"/>
      <c r="T26" s="118"/>
      <c r="U26" s="118"/>
      <c r="V26" s="118"/>
      <c r="W26" s="118"/>
    </row>
    <row r="27" spans="1:23">
      <c r="B27" s="48"/>
      <c r="F27" s="50"/>
      <c r="H27" s="62"/>
      <c r="I27" s="62"/>
      <c r="J27" s="62"/>
      <c r="K27" s="62"/>
      <c r="L27" s="62"/>
      <c r="M27" s="69"/>
      <c r="N27" s="104"/>
      <c r="O27" s="118"/>
      <c r="P27" s="118"/>
      <c r="Q27" s="118"/>
      <c r="R27" s="118"/>
      <c r="S27" s="118"/>
      <c r="T27" s="118"/>
      <c r="U27" s="118"/>
      <c r="V27" s="118"/>
      <c r="W27" s="118"/>
    </row>
    <row r="28" spans="1:23">
      <c r="B28" s="48"/>
      <c r="F28" s="50"/>
      <c r="H28" s="62"/>
      <c r="I28" s="62"/>
      <c r="J28" s="62"/>
      <c r="K28" s="62"/>
      <c r="L28" s="62"/>
      <c r="M28" s="69"/>
      <c r="N28" s="104"/>
      <c r="O28" s="118"/>
      <c r="P28" s="118"/>
      <c r="Q28" s="118"/>
      <c r="R28" s="118"/>
      <c r="S28" s="118"/>
      <c r="T28" s="118"/>
      <c r="U28" s="118"/>
      <c r="V28" s="118"/>
      <c r="W28" s="118"/>
    </row>
    <row r="29" spans="1:23">
      <c r="B29" s="48"/>
      <c r="F29" s="50"/>
      <c r="H29" s="62"/>
      <c r="I29" s="62"/>
      <c r="J29" s="62"/>
      <c r="K29" s="62"/>
      <c r="L29" s="62"/>
      <c r="M29" s="69"/>
      <c r="N29" s="104"/>
      <c r="O29" s="118"/>
      <c r="P29" s="118"/>
      <c r="Q29" s="118"/>
      <c r="R29" s="118"/>
      <c r="S29" s="118"/>
      <c r="T29" s="118"/>
      <c r="U29" s="118"/>
      <c r="V29" s="118"/>
      <c r="W29" s="118"/>
    </row>
    <row r="30" spans="1:23">
      <c r="B30" s="48"/>
      <c r="F30" s="50"/>
      <c r="H30" s="62"/>
      <c r="I30" s="62"/>
      <c r="J30" s="62"/>
      <c r="K30" s="62"/>
      <c r="L30" s="62"/>
      <c r="M30" s="69"/>
      <c r="N30" s="118"/>
      <c r="O30" s="104"/>
      <c r="P30" s="104"/>
      <c r="Q30" s="104"/>
      <c r="R30" s="104"/>
      <c r="S30" s="119"/>
      <c r="T30" s="119"/>
      <c r="U30" s="119"/>
    </row>
    <row r="31" spans="1:23">
      <c r="B31" s="48"/>
      <c r="F31" s="50"/>
      <c r="H31" s="62"/>
      <c r="I31" s="62"/>
      <c r="J31" s="62"/>
      <c r="K31" s="62"/>
      <c r="L31" s="62"/>
      <c r="M31" s="69"/>
      <c r="N31" s="70"/>
    </row>
    <row r="32" spans="1:23">
      <c r="F32" s="50"/>
      <c r="H32" s="62"/>
      <c r="I32" s="62"/>
      <c r="J32" s="62"/>
      <c r="K32" s="62"/>
      <c r="L32" s="62"/>
      <c r="M32" s="69"/>
      <c r="N32" s="70"/>
    </row>
    <row r="33" spans="2:14">
      <c r="F33" s="50"/>
      <c r="H33" s="62"/>
      <c r="I33" s="62"/>
      <c r="J33" s="62"/>
      <c r="K33" s="62"/>
      <c r="L33" s="62"/>
      <c r="M33" s="69"/>
      <c r="N33" s="70"/>
    </row>
    <row r="34" spans="2:14">
      <c r="B34" s="48"/>
      <c r="F34" s="50"/>
      <c r="H34" s="62"/>
      <c r="I34" s="62"/>
      <c r="J34" s="62"/>
      <c r="K34" s="62"/>
      <c r="L34" s="62"/>
      <c r="M34" s="69"/>
      <c r="N34" s="70"/>
    </row>
    <row r="35" spans="2:14">
      <c r="B35" s="48"/>
      <c r="F35" s="50"/>
      <c r="H35" s="62"/>
      <c r="I35" s="62"/>
      <c r="J35" s="62"/>
      <c r="K35" s="62"/>
      <c r="L35" s="62"/>
      <c r="M35" s="69"/>
      <c r="N35" s="70"/>
    </row>
    <row r="36" spans="2:14">
      <c r="B36" s="48"/>
      <c r="F36" s="50"/>
      <c r="H36" s="62"/>
      <c r="I36" s="62"/>
      <c r="J36" s="62"/>
      <c r="K36" s="62"/>
      <c r="L36" s="62"/>
      <c r="M36" s="69"/>
      <c r="N36" s="70"/>
    </row>
    <row r="37" spans="2:14">
      <c r="B37" s="48"/>
      <c r="H37" s="62"/>
      <c r="I37" s="62"/>
      <c r="J37" s="62"/>
      <c r="K37" s="62"/>
      <c r="L37" s="62"/>
      <c r="M37" s="69"/>
      <c r="N37" s="69"/>
    </row>
    <row r="38" spans="2:14">
      <c r="H38" s="62"/>
      <c r="I38" s="62"/>
      <c r="J38" s="62"/>
      <c r="K38" s="62"/>
      <c r="L38" s="62"/>
      <c r="M38" s="69"/>
      <c r="N38" s="69"/>
    </row>
    <row r="39" spans="2:14">
      <c r="H39" s="52"/>
    </row>
    <row r="40" spans="2:14">
      <c r="H40" s="52"/>
    </row>
    <row r="41" spans="2:14">
      <c r="H41" s="52"/>
    </row>
    <row r="64" spans="2:3">
      <c r="B64" t="s">
        <v>574</v>
      </c>
      <c r="C64" t="s">
        <v>575</v>
      </c>
    </row>
    <row r="65" spans="2:2">
      <c r="B65" s="48">
        <v>41640</v>
      </c>
    </row>
    <row r="66" spans="2:2">
      <c r="B66" s="48">
        <v>41671</v>
      </c>
    </row>
    <row r="67" spans="2:2">
      <c r="B67" s="48">
        <v>41699</v>
      </c>
    </row>
    <row r="68" spans="2:2">
      <c r="B68" s="48">
        <v>41730</v>
      </c>
    </row>
    <row r="69" spans="2:2">
      <c r="B69" s="48">
        <v>41760</v>
      </c>
    </row>
    <row r="70" spans="2:2">
      <c r="B70" s="48">
        <v>41791</v>
      </c>
    </row>
  </sheetData>
  <autoFilter ref="A2:G36"/>
  <dataConsolidate/>
  <mergeCells count="4">
    <mergeCell ref="A1:J1"/>
    <mergeCell ref="M15:N15"/>
    <mergeCell ref="M16:N16"/>
    <mergeCell ref="O2:U2"/>
  </mergeCells>
  <phoneticPr fontId="0" type="noConversion"/>
  <dataValidations disablePrompts="1" count="3">
    <dataValidation type="list" allowBlank="1" showInputMessage="1" showErrorMessage="1" sqref="I23">
      <formula1>$F$25:$F$36</formula1>
    </dataValidation>
    <dataValidation type="list" allowBlank="1" showInputMessage="1" showErrorMessage="1" sqref="M2">
      <formula1>$O$3:$W$3</formula1>
    </dataValidation>
    <dataValidation type="list" allowBlank="1" showInputMessage="1" showErrorMessage="1" sqref="Y2">
      <formula1>$N$4:$N$14</formula1>
    </dataValidation>
  </dataValidations>
  <printOptions horizontalCentered="1"/>
  <pageMargins left="0" right="0" top="0" bottom="0" header="0" footer="0"/>
  <pageSetup paperSize="9" scale="5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8"/>
  <sheetViews>
    <sheetView topLeftCell="A52" zoomScaleNormal="100" workbookViewId="0">
      <selection activeCell="K52" sqref="K52"/>
    </sheetView>
  </sheetViews>
  <sheetFormatPr baseColWidth="10" defaultRowHeight="15"/>
  <cols>
    <col min="1" max="1" width="16" customWidth="1"/>
    <col min="2" max="2" width="15" customWidth="1"/>
    <col min="3" max="4" width="21" customWidth="1"/>
    <col min="5" max="5" width="12.5703125" customWidth="1"/>
    <col min="6" max="6" width="9.42578125" customWidth="1"/>
    <col min="7" max="7" width="6.42578125" customWidth="1"/>
    <col min="8" max="8" width="9.42578125" customWidth="1"/>
    <col min="9" max="9" width="6.42578125" customWidth="1"/>
    <col min="10" max="10" width="9.42578125" customWidth="1"/>
    <col min="11" max="11" width="12.5703125" customWidth="1"/>
    <col min="12" max="12" width="6.42578125" customWidth="1"/>
    <col min="13" max="14" width="9.42578125" customWidth="1"/>
    <col min="15" max="15" width="12.5703125" bestFit="1" customWidth="1"/>
  </cols>
  <sheetData>
    <row r="1" spans="1:7" ht="19.5" thickBot="1">
      <c r="C1" s="163" t="s">
        <v>610</v>
      </c>
      <c r="D1" s="164"/>
      <c r="E1" s="164"/>
      <c r="F1" s="164"/>
      <c r="G1" s="165"/>
    </row>
    <row r="2" spans="1:7">
      <c r="A2" s="54" t="s">
        <v>576</v>
      </c>
      <c r="B2" t="s">
        <v>580</v>
      </c>
    </row>
    <row r="4" spans="1:7">
      <c r="A4" s="54" t="s">
        <v>577</v>
      </c>
      <c r="B4" t="s">
        <v>579</v>
      </c>
    </row>
    <row r="5" spans="1:7">
      <c r="A5" s="56">
        <v>22</v>
      </c>
      <c r="B5" s="55">
        <v>2</v>
      </c>
    </row>
    <row r="6" spans="1:7">
      <c r="A6" s="56">
        <v>23</v>
      </c>
      <c r="B6" s="55">
        <v>1</v>
      </c>
    </row>
    <row r="7" spans="1:7">
      <c r="A7" s="56">
        <v>29</v>
      </c>
      <c r="B7" s="55">
        <v>2</v>
      </c>
    </row>
    <row r="8" spans="1:7">
      <c r="A8" s="56">
        <v>31</v>
      </c>
      <c r="B8" s="55">
        <v>2</v>
      </c>
    </row>
    <row r="9" spans="1:7">
      <c r="A9" s="56">
        <v>34</v>
      </c>
      <c r="B9" s="55">
        <v>1</v>
      </c>
    </row>
    <row r="10" spans="1:7">
      <c r="A10" s="56">
        <v>62</v>
      </c>
      <c r="B10" s="55">
        <v>3</v>
      </c>
    </row>
    <row r="11" spans="1:7">
      <c r="A11" s="56">
        <v>63</v>
      </c>
      <c r="B11" s="55">
        <v>1</v>
      </c>
    </row>
    <row r="12" spans="1:7">
      <c r="A12" s="56">
        <v>64</v>
      </c>
      <c r="B12" s="55">
        <v>2</v>
      </c>
    </row>
    <row r="13" spans="1:7">
      <c r="A13" s="56">
        <v>67</v>
      </c>
      <c r="B13" s="55">
        <v>1</v>
      </c>
    </row>
    <row r="14" spans="1:7">
      <c r="A14" s="56">
        <v>72</v>
      </c>
      <c r="B14" s="55">
        <v>2</v>
      </c>
    </row>
    <row r="15" spans="1:7">
      <c r="A15" s="56">
        <v>77</v>
      </c>
      <c r="B15" s="55">
        <v>3</v>
      </c>
    </row>
    <row r="16" spans="1:7">
      <c r="A16" s="56" t="s">
        <v>578</v>
      </c>
      <c r="B16" s="55">
        <v>20</v>
      </c>
    </row>
    <row r="17" spans="1:7" ht="15.75" thickBot="1"/>
    <row r="18" spans="1:7" ht="19.5" thickBot="1">
      <c r="C18" s="163" t="s">
        <v>613</v>
      </c>
      <c r="D18" s="164"/>
      <c r="E18" s="164"/>
      <c r="F18" s="164"/>
      <c r="G18" s="165"/>
    </row>
    <row r="20" spans="1:7">
      <c r="A20" s="54" t="s">
        <v>0</v>
      </c>
      <c r="B20" t="s">
        <v>580</v>
      </c>
    </row>
    <row r="22" spans="1:7">
      <c r="A22" s="54" t="s">
        <v>577</v>
      </c>
      <c r="B22" t="s">
        <v>579</v>
      </c>
    </row>
    <row r="23" spans="1:7">
      <c r="A23" s="56" t="s">
        <v>581</v>
      </c>
      <c r="B23" s="55">
        <v>6</v>
      </c>
    </row>
    <row r="24" spans="1:7">
      <c r="A24" s="56" t="s">
        <v>582</v>
      </c>
      <c r="B24" s="55">
        <v>2</v>
      </c>
    </row>
    <row r="25" spans="1:7">
      <c r="A25" s="56" t="s">
        <v>583</v>
      </c>
      <c r="B25" s="55">
        <v>7</v>
      </c>
    </row>
    <row r="26" spans="1:7">
      <c r="A26" s="56" t="s">
        <v>584</v>
      </c>
      <c r="B26" s="55">
        <v>5</v>
      </c>
    </row>
    <row r="27" spans="1:7">
      <c r="A27" s="56" t="s">
        <v>578</v>
      </c>
      <c r="B27" s="55">
        <v>20</v>
      </c>
    </row>
    <row r="28" spans="1:7">
      <c r="A28" s="56"/>
      <c r="B28" s="55"/>
    </row>
    <row r="29" spans="1:7">
      <c r="A29" s="56"/>
      <c r="B29" s="55"/>
    </row>
    <row r="30" spans="1:7">
      <c r="A30" s="56"/>
      <c r="B30" s="55"/>
    </row>
    <row r="31" spans="1:7">
      <c r="A31" s="56"/>
      <c r="B31" s="55"/>
    </row>
    <row r="32" spans="1:7">
      <c r="A32" s="56"/>
      <c r="B32" s="55"/>
    </row>
    <row r="35" spans="1:7" ht="15.75" thickBot="1"/>
    <row r="36" spans="1:7" ht="19.5" thickBot="1">
      <c r="C36" s="163" t="s">
        <v>611</v>
      </c>
      <c r="D36" s="164"/>
      <c r="E36" s="164"/>
      <c r="F36" s="164"/>
      <c r="G36" s="165"/>
    </row>
    <row r="37" spans="1:7">
      <c r="A37" s="145" t="s">
        <v>625</v>
      </c>
      <c r="B37" s="147" t="s">
        <v>623</v>
      </c>
    </row>
    <row r="52" spans="1:7" ht="15.75" thickBot="1"/>
    <row r="53" spans="1:7" ht="19.5" thickBot="1">
      <c r="C53" s="163" t="s">
        <v>612</v>
      </c>
      <c r="D53" s="164"/>
      <c r="E53" s="164"/>
      <c r="F53" s="164"/>
      <c r="G53" s="165"/>
    </row>
    <row r="54" spans="1:7">
      <c r="A54" s="145" t="s">
        <v>625</v>
      </c>
      <c r="B54" s="147" t="s">
        <v>624</v>
      </c>
    </row>
    <row r="70" spans="3:7" ht="15.75" thickBot="1"/>
    <row r="71" spans="3:7" ht="19.5" thickBot="1">
      <c r="C71" s="163" t="s">
        <v>614</v>
      </c>
      <c r="D71" s="164"/>
      <c r="E71" s="164"/>
      <c r="F71" s="164"/>
      <c r="G71" s="165"/>
    </row>
    <row r="87" spans="3:7" ht="15.75" thickBot="1"/>
    <row r="88" spans="3:7" ht="19.5" thickBot="1">
      <c r="C88" s="163" t="s">
        <v>615</v>
      </c>
      <c r="D88" s="164"/>
      <c r="E88" s="164"/>
      <c r="F88" s="164"/>
      <c r="G88" s="165"/>
    </row>
  </sheetData>
  <mergeCells count="6">
    <mergeCell ref="C88:G88"/>
    <mergeCell ref="C1:G1"/>
    <mergeCell ref="C18:G18"/>
    <mergeCell ref="C36:G36"/>
    <mergeCell ref="C53:G53"/>
    <mergeCell ref="C71:G71"/>
  </mergeCells>
  <hyperlinks>
    <hyperlink ref="B37" location="'1996'!M2" display="Ir a Seleccion de Mes"/>
    <hyperlink ref="B54" location="'1996'!Y2" display="Ir a Seleccion de Ata"/>
  </hyperlinks>
  <pageMargins left="0.7" right="0.7" top="0.75" bottom="0.75" header="0.3" footer="0.3"/>
  <pageSetup paperSize="2833" orientation="portrait" horizontalDpi="203" verticalDpi="203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8"/>
  <sheetViews>
    <sheetView topLeftCell="G1" zoomScale="70" zoomScaleNormal="70" zoomScaleSheetLayoutView="100" workbookViewId="0">
      <selection activeCell="Y2" sqref="Y2"/>
    </sheetView>
  </sheetViews>
  <sheetFormatPr baseColWidth="10" defaultColWidth="11.42578125" defaultRowHeight="15"/>
  <cols>
    <col min="1" max="1" width="9.28515625" customWidth="1"/>
    <col min="2" max="2" width="8.7109375" bestFit="1" customWidth="1"/>
    <col min="3" max="4" width="47.140625" customWidth="1"/>
    <col min="5" max="5" width="4.28515625" style="1" bestFit="1" customWidth="1"/>
    <col min="6" max="6" width="19.28515625" style="1" customWidth="1"/>
    <col min="12" max="12" width="18" customWidth="1"/>
    <col min="13" max="13" width="15.5703125" customWidth="1"/>
    <col min="26" max="26" width="13.5703125" bestFit="1" customWidth="1"/>
  </cols>
  <sheetData>
    <row r="1" spans="1:26" ht="27" thickBot="1">
      <c r="A1" s="156" t="s">
        <v>512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26" ht="19.5" thickBot="1">
      <c r="A2" s="38" t="s">
        <v>148</v>
      </c>
      <c r="B2" s="6" t="s">
        <v>151</v>
      </c>
      <c r="C2" s="6" t="s">
        <v>149</v>
      </c>
      <c r="D2" s="6" t="s">
        <v>150</v>
      </c>
      <c r="E2" s="6" t="s">
        <v>0</v>
      </c>
      <c r="F2" s="6" t="s">
        <v>0</v>
      </c>
      <c r="G2" s="39" t="s">
        <v>574</v>
      </c>
      <c r="L2" s="74" t="s">
        <v>592</v>
      </c>
      <c r="M2" s="98" t="s">
        <v>589</v>
      </c>
      <c r="N2" s="65"/>
      <c r="O2" s="160" t="s">
        <v>622</v>
      </c>
      <c r="P2" s="161"/>
      <c r="Q2" s="161"/>
      <c r="R2" s="161"/>
      <c r="S2" s="161"/>
      <c r="T2" s="161"/>
      <c r="U2" s="162"/>
      <c r="X2" s="77" t="s">
        <v>593</v>
      </c>
      <c r="Y2" s="112">
        <v>77</v>
      </c>
    </row>
    <row r="3" spans="1:26" ht="22.5">
      <c r="A3" s="40" t="s">
        <v>152</v>
      </c>
      <c r="B3" s="3">
        <v>41765</v>
      </c>
      <c r="C3" s="4" t="s">
        <v>153</v>
      </c>
      <c r="D3" s="4" t="s">
        <v>154</v>
      </c>
      <c r="E3" s="61">
        <v>22</v>
      </c>
      <c r="F3" s="61" t="s">
        <v>83</v>
      </c>
      <c r="G3" s="81" t="str">
        <f t="shared" ref="G3:G34" si="0">TEXT(B3,"mmmm")</f>
        <v>mayo</v>
      </c>
      <c r="M3" s="71" t="str">
        <f>CONCATENATE("Indice   ","en  ", M2)</f>
        <v>Indice   en  Mayo</v>
      </c>
      <c r="N3" s="72" t="s">
        <v>0</v>
      </c>
      <c r="O3" s="73" t="s">
        <v>585</v>
      </c>
      <c r="P3" s="73" t="s">
        <v>586</v>
      </c>
      <c r="Q3" s="73" t="s">
        <v>587</v>
      </c>
      <c r="R3" s="73" t="s">
        <v>588</v>
      </c>
      <c r="S3" s="73" t="s">
        <v>589</v>
      </c>
      <c r="T3" s="73" t="s">
        <v>590</v>
      </c>
      <c r="U3" s="76" t="s">
        <v>591</v>
      </c>
      <c r="V3" s="108"/>
      <c r="W3" s="108"/>
      <c r="Y3" s="78" t="s">
        <v>574</v>
      </c>
      <c r="Z3" s="76" t="s">
        <v>594</v>
      </c>
    </row>
    <row r="4" spans="1:26" ht="26.25">
      <c r="A4" s="40" t="s">
        <v>155</v>
      </c>
      <c r="B4" s="3">
        <v>41672</v>
      </c>
      <c r="C4" s="4" t="s">
        <v>156</v>
      </c>
      <c r="D4" s="4" t="s">
        <v>157</v>
      </c>
      <c r="E4" s="61">
        <v>24</v>
      </c>
      <c r="F4" s="61" t="s">
        <v>158</v>
      </c>
      <c r="G4" s="81" t="str">
        <f t="shared" si="0"/>
        <v>febrero</v>
      </c>
      <c r="H4" s="37"/>
      <c r="I4" s="37"/>
      <c r="J4" s="37"/>
      <c r="K4" s="37"/>
      <c r="M4" s="75">
        <f>IF(M$2="Enero",O4/39,IF(M$2="Febrero",P4/60,IF(M$2="Marzo",Q4/73,IF(M$2="Abril",R4/76,IF(M$2="Mayo",S4/56,IF(M$2="Junio",T4/34,IF(M$2="Julio",U4/55)))))))</f>
        <v>1.7857142857142856E-2</v>
      </c>
      <c r="N4" s="66">
        <v>22</v>
      </c>
      <c r="O4" s="100">
        <f t="shared" ref="O4:U19" si="1">COUNTIFS($E$3:$E$58,$N4,$G$3:$G$58,O$3)</f>
        <v>0</v>
      </c>
      <c r="P4" s="100">
        <f t="shared" si="1"/>
        <v>0</v>
      </c>
      <c r="Q4" s="100">
        <f t="shared" si="1"/>
        <v>0</v>
      </c>
      <c r="R4" s="100">
        <f t="shared" si="1"/>
        <v>0</v>
      </c>
      <c r="S4" s="100">
        <f t="shared" si="1"/>
        <v>1</v>
      </c>
      <c r="T4" s="100">
        <f t="shared" si="1"/>
        <v>0</v>
      </c>
      <c r="U4" s="109">
        <f t="shared" si="1"/>
        <v>0</v>
      </c>
      <c r="V4" s="104"/>
      <c r="W4" s="104"/>
      <c r="Y4" s="79" t="s">
        <v>585</v>
      </c>
      <c r="Z4" s="57">
        <f>IF(Y$2=22,O$4/39,IF(Y$2=24,O$5/39,IF(Y$2=25,O$6/39,IF(Y$2=28,O$7/39,IF(Y$2=29,O$8/39,IF(Y$2=30,O$9/39,IF(Y$2=31,O$10/39,IF(Y$2=49,O$11/39,IF(Y$2=53,O$12/39,IF(Y$2=62,O$13/39,IF(Y$2=63,O$14/39,IF(Y$2=70,O$15/39,IF(Y$2=72,O$16/39,IF(Y$2=73,O$17/39,IF(Y$2=74,O$18/39,IF(Y$2=75,O$19/39,IF(Y$2=76,O$20/39,IF(Y$2=77,O$21/39,IF(Y$2=78,O$22/39)))))))))))))))))))</f>
        <v>0</v>
      </c>
    </row>
    <row r="5" spans="1:26">
      <c r="A5" s="40" t="s">
        <v>159</v>
      </c>
      <c r="B5" s="3">
        <v>41676</v>
      </c>
      <c r="C5" s="4" t="s">
        <v>160</v>
      </c>
      <c r="D5" s="4" t="s">
        <v>161</v>
      </c>
      <c r="E5" s="61">
        <v>24</v>
      </c>
      <c r="F5" s="61" t="s">
        <v>158</v>
      </c>
      <c r="G5" s="81" t="str">
        <f t="shared" si="0"/>
        <v>febrero</v>
      </c>
      <c r="M5" s="75">
        <f t="shared" ref="M5:M22" si="2">IF(M$2="Enero",O5/39,IF(M$2="Febrero",P5/60,IF(M$2="Marzo",Q5/73,IF(M$2="Abril",R5/76,IF(M$2="Mayo",S5/56,IF(M$2="Junio",T5/34,IF(M$2="Julio",U5/55)))))))</f>
        <v>3.5714285714285712E-2</v>
      </c>
      <c r="N5" s="66">
        <v>24</v>
      </c>
      <c r="O5" s="100">
        <f t="shared" si="1"/>
        <v>0</v>
      </c>
      <c r="P5" s="100">
        <f t="shared" si="1"/>
        <v>3</v>
      </c>
      <c r="Q5" s="100">
        <f t="shared" si="1"/>
        <v>2</v>
      </c>
      <c r="R5" s="100">
        <f t="shared" si="1"/>
        <v>0</v>
      </c>
      <c r="S5" s="100">
        <f t="shared" si="1"/>
        <v>2</v>
      </c>
      <c r="T5" s="100">
        <f t="shared" si="1"/>
        <v>0</v>
      </c>
      <c r="U5" s="109">
        <f t="shared" si="1"/>
        <v>2</v>
      </c>
      <c r="V5" s="104"/>
      <c r="W5" s="104"/>
      <c r="Y5" s="79" t="s">
        <v>586</v>
      </c>
      <c r="Z5" s="57">
        <f>IF(Y$2=22,P$4/60,IF(Y$2=24,P$5/60,IF(Y$2=25,P$6/60,IF(Y$2=28,P$7/60,IF(Y$2=29,P$8/60,IF(Y$2=30,P$9/60,IF(Y$2=31,P$10/60,IF(Y$2=49,P$11/60,IF(Y$2=53,P$12/60,IF(Y$2=62,P$13/60,IF(Y$2=63,P$14/60,IF(Y$2=70,P$15/60,IF(Y$2=72,P$16/60,IF(Y$2=73,P$17/60,IF(Y$2=74,P$18/60,IF(Y$2=75,P$19/60,IF(Y$2=76,P$20/60,IF(Y$2=77,P$21/60,IF(Y$2=78,P$22/60)))))))))))))))))))</f>
        <v>0</v>
      </c>
    </row>
    <row r="6" spans="1:26" ht="22.5">
      <c r="A6" s="40" t="s">
        <v>162</v>
      </c>
      <c r="B6" s="3">
        <v>41684</v>
      </c>
      <c r="C6" s="4" t="s">
        <v>163</v>
      </c>
      <c r="D6" s="4" t="s">
        <v>164</v>
      </c>
      <c r="E6" s="61">
        <v>24</v>
      </c>
      <c r="F6" s="61" t="s">
        <v>158</v>
      </c>
      <c r="G6" s="81" t="str">
        <f t="shared" si="0"/>
        <v>febrero</v>
      </c>
      <c r="M6" s="75">
        <f t="shared" si="2"/>
        <v>0</v>
      </c>
      <c r="N6" s="66">
        <v>25</v>
      </c>
      <c r="O6" s="100">
        <f t="shared" si="1"/>
        <v>0</v>
      </c>
      <c r="P6" s="100">
        <f t="shared" si="1"/>
        <v>0</v>
      </c>
      <c r="Q6" s="100">
        <f t="shared" si="1"/>
        <v>1</v>
      </c>
      <c r="R6" s="100">
        <f t="shared" si="1"/>
        <v>0</v>
      </c>
      <c r="S6" s="100">
        <f t="shared" si="1"/>
        <v>0</v>
      </c>
      <c r="T6" s="100">
        <f t="shared" si="1"/>
        <v>0</v>
      </c>
      <c r="U6" s="109">
        <f t="shared" si="1"/>
        <v>0</v>
      </c>
      <c r="V6" s="104"/>
      <c r="W6" s="104"/>
      <c r="Y6" s="79" t="s">
        <v>587</v>
      </c>
      <c r="Z6" s="57">
        <f>IF(Y$2=22,Q$4/73,IF(Y$2=24,Q$5/73,IF(Y$2=25,Q$6/73,IF(Y$2=28,Q$7/73,IF(Y$2=29,Q$8/73,IF(Y$2=30,Q$9/73,IF(Y$2=31,Q$10/73,IF(Y$2=49,Q$11/73,IF(Y$2=53,Q$12/73,IF(Y$2=62,Q$13/73,IF(Y$2=63,Q$14/73,IF(Y$2=70,Q$15/73,IF(Y$2=72,Q$16/73,IF(Y$2=73,Q$17/73,IF(Y$2=74,Q$18/73,IF(Y$2=75,Q$19/73,IF(Y$2=76,Q$20/73,IF(Y$2=77,Q$21/73,IF(Y$2=78,Q$22/73)))))))))))))))))))</f>
        <v>1.3698630136986301E-2</v>
      </c>
    </row>
    <row r="7" spans="1:26" ht="22.5">
      <c r="A7" s="40" t="s">
        <v>165</v>
      </c>
      <c r="B7" s="3">
        <v>41718</v>
      </c>
      <c r="C7" s="4" t="s">
        <v>166</v>
      </c>
      <c r="D7" s="4" t="s">
        <v>167</v>
      </c>
      <c r="E7" s="61">
        <v>24</v>
      </c>
      <c r="F7" s="61" t="s">
        <v>158</v>
      </c>
      <c r="G7" s="81" t="str">
        <f t="shared" si="0"/>
        <v>marzo</v>
      </c>
      <c r="M7" s="75">
        <f t="shared" si="2"/>
        <v>0</v>
      </c>
      <c r="N7" s="66">
        <v>28</v>
      </c>
      <c r="O7" s="100">
        <f t="shared" si="1"/>
        <v>1</v>
      </c>
      <c r="P7" s="100">
        <f t="shared" si="1"/>
        <v>0</v>
      </c>
      <c r="Q7" s="100">
        <f t="shared" si="1"/>
        <v>0</v>
      </c>
      <c r="R7" s="100">
        <f t="shared" si="1"/>
        <v>1</v>
      </c>
      <c r="S7" s="100">
        <f t="shared" si="1"/>
        <v>0</v>
      </c>
      <c r="T7" s="100">
        <f t="shared" si="1"/>
        <v>0</v>
      </c>
      <c r="U7" s="109">
        <f t="shared" si="1"/>
        <v>0</v>
      </c>
      <c r="V7" s="104"/>
      <c r="W7" s="104"/>
      <c r="Y7" s="79" t="s">
        <v>588</v>
      </c>
      <c r="Z7" s="57">
        <f>IF(Y$2=22,Q$4/76,IF(Y$2=24,Q$5/76,IF(Y$2=25,Q$6/76,IF(Y$2=28,Q$7/76,IF(Y$2=29,Q$8/76,IF(Y$2=30,Q$9/76,IF(Y$2=31,Q$10/76,IF(Y$2=49,Q$11/76,IF(Y$2=53,Q$12/76,IF(Y$2=62,Q$13/76,IF(Y$2=63,Q$14/76,IF(Y$2=70,Q$15/76,IF(Y$2=72,Q$16/76,IF(Y$2=73,Q$17/76,IF(Y$2=74,Q$18/76,IF(Y$2=75,Q$19/76,IF(Y$2=76,Q$20/76,IF(Y$2=77,Q$21/76,IF(Y$2=78,Q$22/76)))))))))))))))))))</f>
        <v>1.3157894736842105E-2</v>
      </c>
    </row>
    <row r="8" spans="1:26" ht="22.5">
      <c r="A8" s="40" t="s">
        <v>168</v>
      </c>
      <c r="B8" s="3">
        <v>41722</v>
      </c>
      <c r="C8" s="4" t="s">
        <v>169</v>
      </c>
      <c r="D8" s="4" t="s">
        <v>170</v>
      </c>
      <c r="E8" s="61">
        <v>24</v>
      </c>
      <c r="F8" s="61" t="s">
        <v>158</v>
      </c>
      <c r="G8" s="81" t="str">
        <f t="shared" si="0"/>
        <v>marzo</v>
      </c>
      <c r="M8" s="75">
        <f t="shared" si="2"/>
        <v>0</v>
      </c>
      <c r="N8" s="66">
        <v>29</v>
      </c>
      <c r="O8" s="100">
        <f t="shared" si="1"/>
        <v>0</v>
      </c>
      <c r="P8" s="100">
        <f t="shared" si="1"/>
        <v>0</v>
      </c>
      <c r="Q8" s="100">
        <f t="shared" si="1"/>
        <v>1</v>
      </c>
      <c r="R8" s="100">
        <f t="shared" si="1"/>
        <v>0</v>
      </c>
      <c r="S8" s="100">
        <f t="shared" si="1"/>
        <v>0</v>
      </c>
      <c r="T8" s="100">
        <f t="shared" si="1"/>
        <v>1</v>
      </c>
      <c r="U8" s="109">
        <f t="shared" si="1"/>
        <v>1</v>
      </c>
      <c r="V8" s="104"/>
      <c r="W8" s="104"/>
      <c r="Y8" s="79" t="s">
        <v>589</v>
      </c>
      <c r="Z8" s="57">
        <f>IF(Y$2=22,S$4/56,IF(Y$2=24,S$5/56,IF(Y$2=25,S$6/56,IF(Y$2=28,S$7/56,IF(Y$2=29,S$8/56,IF(Y$2=30,S$9/56,IF(Y$2=31,S$10/56,IF(Y$2=49,S$11/56,IF(Y$2=53,S$12/56,IF(Y$2=62,S$13/56,IF(Y$2=63,S$14/56,IF(Y$2=70,S$15/56,IF(Y$2=72,S$16/56,IF(Y$2=73,S$17/56,IF(Y$2=74,S$18/56,IF(Y$2=75,S$19/56,IF(Y$2=76,S$20/56,IF(Y$2=77,S$21/56,IF(Y$2=78,S$22/56)))))))))))))))))))</f>
        <v>0</v>
      </c>
    </row>
    <row r="9" spans="1:26" ht="22.5">
      <c r="A9" s="40" t="s">
        <v>171</v>
      </c>
      <c r="B9" s="3">
        <v>41776</v>
      </c>
      <c r="C9" s="4" t="s">
        <v>172</v>
      </c>
      <c r="D9" s="4" t="s">
        <v>173</v>
      </c>
      <c r="E9" s="61">
        <v>24</v>
      </c>
      <c r="F9" s="61" t="s">
        <v>174</v>
      </c>
      <c r="G9" s="81" t="str">
        <f t="shared" si="0"/>
        <v>mayo</v>
      </c>
      <c r="M9" s="75">
        <f t="shared" si="2"/>
        <v>0</v>
      </c>
      <c r="N9" s="66">
        <v>30</v>
      </c>
      <c r="O9" s="100">
        <f t="shared" si="1"/>
        <v>1</v>
      </c>
      <c r="P9" s="100">
        <f t="shared" si="1"/>
        <v>0</v>
      </c>
      <c r="Q9" s="100">
        <f t="shared" si="1"/>
        <v>0</v>
      </c>
      <c r="R9" s="100">
        <f t="shared" si="1"/>
        <v>0</v>
      </c>
      <c r="S9" s="100">
        <f t="shared" si="1"/>
        <v>0</v>
      </c>
      <c r="T9" s="100">
        <f t="shared" si="1"/>
        <v>0</v>
      </c>
      <c r="U9" s="109">
        <f t="shared" si="1"/>
        <v>0</v>
      </c>
      <c r="V9" s="104"/>
      <c r="W9" s="104"/>
      <c r="Y9" s="79" t="s">
        <v>590</v>
      </c>
      <c r="Z9" s="57">
        <f>IF(Y$2=22,T$4/34,IF(Y$2=24,T$5/34,IF(Y$2=25,T$6/34,IF(Y$2=28,T$7/34,IF(Y$2=29,T$8/34,IF(Y$2=30,T$9/34,IF(Y$2=31,T$10/34,IF(Y$2=49,T$11/34,IF(Y$2=53,T$12/34,IF(Y$2=62,T$13/34,IF(Y$2=63,T$14/34,IF(Y$2=70,T$15/34,IF(Y$2=72,T$16/34,IF(Y$2=73,T$17/34,IF(Y$2=74,T$18/34,IF(Y$2=75,T$19/34,IF(Y$2=76,T$20/34,IF(Y$2=77,T$21/34,IF(Y$2=78,T$22/34)))))))))))))))))))</f>
        <v>2.9411764705882353E-2</v>
      </c>
    </row>
    <row r="10" spans="1:26" ht="15.75" thickBot="1">
      <c r="A10" s="40" t="s">
        <v>175</v>
      </c>
      <c r="B10" s="3">
        <v>41788</v>
      </c>
      <c r="C10" s="4" t="s">
        <v>176</v>
      </c>
      <c r="D10" s="4" t="s">
        <v>177</v>
      </c>
      <c r="E10" s="61">
        <v>24</v>
      </c>
      <c r="F10" s="61" t="s">
        <v>174</v>
      </c>
      <c r="G10" s="81" t="str">
        <f t="shared" si="0"/>
        <v>mayo</v>
      </c>
      <c r="M10" s="75">
        <f t="shared" si="2"/>
        <v>3.5714285714285712E-2</v>
      </c>
      <c r="N10" s="66">
        <v>31</v>
      </c>
      <c r="O10" s="100">
        <f t="shared" si="1"/>
        <v>0</v>
      </c>
      <c r="P10" s="100">
        <f t="shared" si="1"/>
        <v>3</v>
      </c>
      <c r="Q10" s="100">
        <f t="shared" si="1"/>
        <v>0</v>
      </c>
      <c r="R10" s="100">
        <f t="shared" si="1"/>
        <v>3</v>
      </c>
      <c r="S10" s="100">
        <f t="shared" si="1"/>
        <v>2</v>
      </c>
      <c r="T10" s="100">
        <f t="shared" si="1"/>
        <v>0</v>
      </c>
      <c r="U10" s="109">
        <f t="shared" si="1"/>
        <v>0</v>
      </c>
      <c r="V10" s="104"/>
      <c r="W10" s="104"/>
      <c r="Y10" s="103" t="s">
        <v>591</v>
      </c>
      <c r="Z10" s="57">
        <f>IF(Y$2=22,U$4/55,IF(Y$2=24,U$5/55,IF(Y$2=25,U$6/55,IF(Y$2=28,U$7/55,IF(Y$2=29,U$8/55,IF(Y$2=30,U$9/55,IF(Y$2=31,U$10/55,IF(Y$2=49,U$11/55,IF(Y$2=53,U$12/55,IF(Y$2=62,U$13/55,IF(Y$2=63,U$14/55,IF(Y$2=70,U$15/55,IF(Y$2=72,U$16/55,IF(Y$2=73,U$17/55,IF(Y$2=74,U$18/55,IF(Y$2=75,U$19/55,IF(Y$2=76,U$20/55,IF(Y$2=77,U$21/55,IF(Y$2=78,U$22/55)))))))))))))))))))</f>
        <v>0</v>
      </c>
    </row>
    <row r="11" spans="1:26" ht="33.75">
      <c r="A11" s="40" t="s">
        <v>178</v>
      </c>
      <c r="B11" s="3">
        <v>41834</v>
      </c>
      <c r="C11" s="4" t="s">
        <v>179</v>
      </c>
      <c r="D11" s="4" t="s">
        <v>180</v>
      </c>
      <c r="E11" s="61">
        <v>24</v>
      </c>
      <c r="F11" s="61" t="s">
        <v>181</v>
      </c>
      <c r="G11" s="81" t="str">
        <f t="shared" si="0"/>
        <v>julio</v>
      </c>
      <c r="M11" s="75">
        <f t="shared" si="2"/>
        <v>0</v>
      </c>
      <c r="N11" s="66">
        <v>49</v>
      </c>
      <c r="O11" s="100">
        <f t="shared" si="1"/>
        <v>2</v>
      </c>
      <c r="P11" s="100">
        <f t="shared" si="1"/>
        <v>0</v>
      </c>
      <c r="Q11" s="100">
        <f t="shared" si="1"/>
        <v>1</v>
      </c>
      <c r="R11" s="100">
        <f t="shared" si="1"/>
        <v>1</v>
      </c>
      <c r="S11" s="100">
        <f t="shared" si="1"/>
        <v>0</v>
      </c>
      <c r="T11" s="100">
        <f t="shared" si="1"/>
        <v>0</v>
      </c>
      <c r="U11" s="109">
        <f t="shared" si="1"/>
        <v>0</v>
      </c>
      <c r="V11" s="104"/>
      <c r="W11" s="104"/>
      <c r="Y11" s="101"/>
      <c r="Z11" s="102"/>
    </row>
    <row r="12" spans="1:26" ht="22.5">
      <c r="A12" s="40" t="s">
        <v>182</v>
      </c>
      <c r="B12" s="3">
        <v>41841</v>
      </c>
      <c r="C12" s="4" t="s">
        <v>183</v>
      </c>
      <c r="D12" s="4" t="s">
        <v>184</v>
      </c>
      <c r="E12" s="61">
        <v>24</v>
      </c>
      <c r="F12" s="61" t="s">
        <v>181</v>
      </c>
      <c r="G12" s="81" t="str">
        <f t="shared" si="0"/>
        <v>julio</v>
      </c>
      <c r="M12" s="75">
        <f t="shared" si="2"/>
        <v>0</v>
      </c>
      <c r="N12" s="66">
        <v>53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1</v>
      </c>
      <c r="U12" s="109">
        <f t="shared" si="1"/>
        <v>0</v>
      </c>
      <c r="V12" s="104"/>
      <c r="W12" s="104"/>
      <c r="Y12" s="101"/>
      <c r="Z12" s="102"/>
    </row>
    <row r="13" spans="1:26" ht="22.5">
      <c r="A13" s="40" t="s">
        <v>185</v>
      </c>
      <c r="B13" s="3">
        <v>41712</v>
      </c>
      <c r="C13" s="4" t="s">
        <v>186</v>
      </c>
      <c r="D13" s="4" t="s">
        <v>187</v>
      </c>
      <c r="E13" s="61">
        <v>25</v>
      </c>
      <c r="F13" s="61" t="s">
        <v>188</v>
      </c>
      <c r="G13" s="81" t="str">
        <f t="shared" si="0"/>
        <v>marzo</v>
      </c>
      <c r="M13" s="75">
        <f t="shared" si="2"/>
        <v>1.7857142857142856E-2</v>
      </c>
      <c r="N13" s="66">
        <v>62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1</v>
      </c>
      <c r="T13" s="100">
        <f t="shared" si="1"/>
        <v>2</v>
      </c>
      <c r="U13" s="109">
        <f t="shared" si="1"/>
        <v>0</v>
      </c>
      <c r="V13" s="104"/>
      <c r="W13" s="104"/>
    </row>
    <row r="14" spans="1:26" ht="22.5">
      <c r="A14" s="40" t="s">
        <v>189</v>
      </c>
      <c r="B14" s="3">
        <v>41649</v>
      </c>
      <c r="C14" s="4" t="s">
        <v>190</v>
      </c>
      <c r="D14" s="4" t="s">
        <v>191</v>
      </c>
      <c r="E14" s="61">
        <v>28</v>
      </c>
      <c r="F14" s="61" t="s">
        <v>192</v>
      </c>
      <c r="G14" s="81" t="str">
        <f t="shared" si="0"/>
        <v>enero</v>
      </c>
      <c r="M14" s="75">
        <f t="shared" si="2"/>
        <v>0</v>
      </c>
      <c r="N14" s="66">
        <v>63</v>
      </c>
      <c r="O14" s="100">
        <f t="shared" si="1"/>
        <v>0</v>
      </c>
      <c r="P14" s="100">
        <f t="shared" si="1"/>
        <v>0</v>
      </c>
      <c r="Q14" s="100">
        <f t="shared" si="1"/>
        <v>1</v>
      </c>
      <c r="R14" s="100">
        <f t="shared" si="1"/>
        <v>4</v>
      </c>
      <c r="S14" s="100">
        <f t="shared" si="1"/>
        <v>0</v>
      </c>
      <c r="T14" s="100">
        <f t="shared" si="1"/>
        <v>0</v>
      </c>
      <c r="U14" s="109">
        <f t="shared" si="1"/>
        <v>1</v>
      </c>
      <c r="V14" s="104"/>
      <c r="W14" s="104"/>
    </row>
    <row r="15" spans="1:26" ht="22.5">
      <c r="A15" s="40" t="s">
        <v>193</v>
      </c>
      <c r="B15" s="3">
        <v>41756</v>
      </c>
      <c r="C15" s="4" t="s">
        <v>194</v>
      </c>
      <c r="D15" s="4" t="s">
        <v>195</v>
      </c>
      <c r="E15" s="61">
        <v>28</v>
      </c>
      <c r="F15" s="61" t="s">
        <v>192</v>
      </c>
      <c r="G15" s="81" t="str">
        <f t="shared" si="0"/>
        <v>abril</v>
      </c>
      <c r="M15" s="75">
        <f t="shared" si="2"/>
        <v>1.7857142857142856E-2</v>
      </c>
      <c r="N15" s="66">
        <v>70</v>
      </c>
      <c r="O15" s="100">
        <f t="shared" si="1"/>
        <v>0</v>
      </c>
      <c r="P15" s="100">
        <f t="shared" si="1"/>
        <v>0</v>
      </c>
      <c r="Q15" s="100">
        <f t="shared" si="1"/>
        <v>0</v>
      </c>
      <c r="R15" s="100">
        <f t="shared" si="1"/>
        <v>0</v>
      </c>
      <c r="S15" s="100">
        <f t="shared" si="1"/>
        <v>1</v>
      </c>
      <c r="T15" s="100">
        <f t="shared" si="1"/>
        <v>0</v>
      </c>
      <c r="U15" s="109">
        <f t="shared" si="1"/>
        <v>0</v>
      </c>
      <c r="V15" s="104"/>
      <c r="W15" s="104"/>
    </row>
    <row r="16" spans="1:26" ht="22.5">
      <c r="A16" s="40" t="s">
        <v>196</v>
      </c>
      <c r="B16" s="3">
        <v>41729</v>
      </c>
      <c r="C16" s="4" t="s">
        <v>197</v>
      </c>
      <c r="D16" s="4" t="s">
        <v>198</v>
      </c>
      <c r="E16" s="61">
        <v>29</v>
      </c>
      <c r="F16" s="61" t="s">
        <v>199</v>
      </c>
      <c r="G16" s="81" t="str">
        <f t="shared" si="0"/>
        <v>marzo</v>
      </c>
      <c r="M16" s="75">
        <f t="shared" si="2"/>
        <v>1.7857142857142856E-2</v>
      </c>
      <c r="N16" s="105">
        <v>72</v>
      </c>
      <c r="O16" s="100">
        <f t="shared" si="1"/>
        <v>0</v>
      </c>
      <c r="P16" s="100">
        <f t="shared" si="1"/>
        <v>0</v>
      </c>
      <c r="Q16" s="100">
        <f t="shared" si="1"/>
        <v>1</v>
      </c>
      <c r="R16" s="100">
        <f t="shared" si="1"/>
        <v>0</v>
      </c>
      <c r="S16" s="100">
        <f t="shared" si="1"/>
        <v>1</v>
      </c>
      <c r="T16" s="100">
        <f t="shared" si="1"/>
        <v>1</v>
      </c>
      <c r="U16" s="109">
        <f t="shared" si="1"/>
        <v>2</v>
      </c>
      <c r="V16" s="104"/>
      <c r="W16" s="104"/>
    </row>
    <row r="17" spans="1:23" ht="22.5">
      <c r="A17" s="40" t="s">
        <v>152</v>
      </c>
      <c r="B17" s="3">
        <v>41794</v>
      </c>
      <c r="C17" s="4" t="s">
        <v>200</v>
      </c>
      <c r="D17" s="4" t="s">
        <v>201</v>
      </c>
      <c r="E17" s="61">
        <v>29</v>
      </c>
      <c r="F17" s="61" t="s">
        <v>202</v>
      </c>
      <c r="G17" s="81" t="str">
        <f t="shared" si="0"/>
        <v>junio</v>
      </c>
      <c r="M17" s="75">
        <f t="shared" si="2"/>
        <v>0</v>
      </c>
      <c r="N17" s="105">
        <v>73</v>
      </c>
      <c r="O17" s="100">
        <f t="shared" si="1"/>
        <v>0</v>
      </c>
      <c r="P17" s="100">
        <f t="shared" si="1"/>
        <v>0</v>
      </c>
      <c r="Q17" s="100">
        <f t="shared" si="1"/>
        <v>2</v>
      </c>
      <c r="R17" s="100">
        <f t="shared" si="1"/>
        <v>0</v>
      </c>
      <c r="S17" s="100">
        <f t="shared" si="1"/>
        <v>0</v>
      </c>
      <c r="T17" s="100">
        <f t="shared" si="1"/>
        <v>0</v>
      </c>
      <c r="U17" s="109">
        <f t="shared" si="1"/>
        <v>0</v>
      </c>
      <c r="V17" s="104"/>
      <c r="W17" s="104"/>
    </row>
    <row r="18" spans="1:23" ht="22.5">
      <c r="A18" s="40" t="s">
        <v>203</v>
      </c>
      <c r="B18" s="3">
        <v>41846</v>
      </c>
      <c r="C18" s="4" t="s">
        <v>204</v>
      </c>
      <c r="D18" s="4" t="s">
        <v>205</v>
      </c>
      <c r="E18" s="61">
        <v>29</v>
      </c>
      <c r="F18" s="61" t="s">
        <v>199</v>
      </c>
      <c r="G18" s="81" t="str">
        <f t="shared" si="0"/>
        <v>julio</v>
      </c>
      <c r="M18" s="75">
        <f t="shared" si="2"/>
        <v>0</v>
      </c>
      <c r="N18" s="105">
        <v>74</v>
      </c>
      <c r="O18" s="100">
        <f t="shared" si="1"/>
        <v>1</v>
      </c>
      <c r="P18" s="100">
        <f t="shared" si="1"/>
        <v>0</v>
      </c>
      <c r="Q18" s="100">
        <f t="shared" si="1"/>
        <v>0</v>
      </c>
      <c r="R18" s="100">
        <f t="shared" si="1"/>
        <v>0</v>
      </c>
      <c r="S18" s="100">
        <f t="shared" si="1"/>
        <v>0</v>
      </c>
      <c r="T18" s="100">
        <f t="shared" si="1"/>
        <v>0</v>
      </c>
      <c r="U18" s="109">
        <f t="shared" si="1"/>
        <v>0</v>
      </c>
      <c r="V18" s="104"/>
      <c r="W18" s="104"/>
    </row>
    <row r="19" spans="1:23">
      <c r="A19" s="40" t="s">
        <v>206</v>
      </c>
      <c r="B19" s="3">
        <v>41670</v>
      </c>
      <c r="C19" s="4" t="s">
        <v>207</v>
      </c>
      <c r="D19" s="4" t="s">
        <v>208</v>
      </c>
      <c r="E19" s="61">
        <v>30</v>
      </c>
      <c r="F19" s="80" t="s">
        <v>209</v>
      </c>
      <c r="G19" s="81" t="str">
        <f t="shared" si="0"/>
        <v>enero</v>
      </c>
      <c r="M19" s="75">
        <f t="shared" si="2"/>
        <v>1.7857142857142856E-2</v>
      </c>
      <c r="N19" s="105">
        <v>75</v>
      </c>
      <c r="O19" s="100">
        <f t="shared" si="1"/>
        <v>0</v>
      </c>
      <c r="P19" s="100">
        <f t="shared" si="1"/>
        <v>0</v>
      </c>
      <c r="Q19" s="100">
        <f t="shared" si="1"/>
        <v>0</v>
      </c>
      <c r="R19" s="100">
        <f t="shared" si="1"/>
        <v>0</v>
      </c>
      <c r="S19" s="100">
        <f t="shared" si="1"/>
        <v>1</v>
      </c>
      <c r="T19" s="100">
        <f t="shared" si="1"/>
        <v>0</v>
      </c>
      <c r="U19" s="109">
        <f t="shared" si="1"/>
        <v>0</v>
      </c>
      <c r="V19" s="104"/>
      <c r="W19" s="104"/>
    </row>
    <row r="20" spans="1:23" ht="22.5">
      <c r="A20" s="40" t="s">
        <v>210</v>
      </c>
      <c r="B20" s="3">
        <v>41692</v>
      </c>
      <c r="C20" s="4" t="s">
        <v>211</v>
      </c>
      <c r="D20" s="4" t="s">
        <v>212</v>
      </c>
      <c r="E20" s="61">
        <v>31</v>
      </c>
      <c r="F20" s="61" t="s">
        <v>213</v>
      </c>
      <c r="G20" s="81" t="str">
        <f t="shared" si="0"/>
        <v>febrero</v>
      </c>
      <c r="M20" s="75">
        <f t="shared" si="2"/>
        <v>0</v>
      </c>
      <c r="N20" s="105">
        <v>76</v>
      </c>
      <c r="O20" s="100">
        <f t="shared" ref="O20:U22" si="3">COUNTIFS($E$3:$E$58,$N20,$G$3:$G$58,O$3)</f>
        <v>2</v>
      </c>
      <c r="P20" s="100">
        <f t="shared" si="3"/>
        <v>2</v>
      </c>
      <c r="Q20" s="100">
        <f t="shared" si="3"/>
        <v>0</v>
      </c>
      <c r="R20" s="100">
        <f t="shared" si="3"/>
        <v>0</v>
      </c>
      <c r="S20" s="100">
        <f t="shared" si="3"/>
        <v>0</v>
      </c>
      <c r="T20" s="100">
        <f t="shared" si="3"/>
        <v>0</v>
      </c>
      <c r="U20" s="109">
        <f t="shared" si="3"/>
        <v>0</v>
      </c>
      <c r="V20" s="104"/>
      <c r="W20" s="104"/>
    </row>
    <row r="21" spans="1:23" ht="22.5">
      <c r="A21" s="40" t="s">
        <v>210</v>
      </c>
      <c r="B21" s="3">
        <v>41692</v>
      </c>
      <c r="C21" s="4" t="s">
        <v>214</v>
      </c>
      <c r="D21" s="4" t="s">
        <v>215</v>
      </c>
      <c r="E21" s="61">
        <v>31</v>
      </c>
      <c r="F21" s="61" t="s">
        <v>213</v>
      </c>
      <c r="G21" s="81" t="str">
        <f t="shared" si="0"/>
        <v>febrero</v>
      </c>
      <c r="M21" s="75">
        <f t="shared" si="2"/>
        <v>0</v>
      </c>
      <c r="N21" s="105">
        <v>77</v>
      </c>
      <c r="O21" s="100">
        <f t="shared" si="3"/>
        <v>0</v>
      </c>
      <c r="P21" s="100">
        <f t="shared" si="3"/>
        <v>0</v>
      </c>
      <c r="Q21" s="100">
        <f t="shared" si="3"/>
        <v>1</v>
      </c>
      <c r="R21" s="100">
        <f t="shared" si="3"/>
        <v>0</v>
      </c>
      <c r="S21" s="100">
        <f t="shared" si="3"/>
        <v>0</v>
      </c>
      <c r="T21" s="100">
        <f t="shared" si="3"/>
        <v>1</v>
      </c>
      <c r="U21" s="109">
        <f t="shared" si="3"/>
        <v>0</v>
      </c>
      <c r="V21" s="104"/>
      <c r="W21" s="104"/>
    </row>
    <row r="22" spans="1:23" ht="23.25" thickBot="1">
      <c r="A22" s="40" t="s">
        <v>216</v>
      </c>
      <c r="B22" s="3">
        <v>41697</v>
      </c>
      <c r="C22" s="4" t="s">
        <v>217</v>
      </c>
      <c r="D22" s="4" t="s">
        <v>218</v>
      </c>
      <c r="E22" s="61">
        <v>31</v>
      </c>
      <c r="F22" s="61" t="s">
        <v>213</v>
      </c>
      <c r="G22" s="81" t="str">
        <f t="shared" si="0"/>
        <v>febrero</v>
      </c>
      <c r="M22" s="75">
        <f t="shared" si="2"/>
        <v>0</v>
      </c>
      <c r="N22" s="106">
        <v>78</v>
      </c>
      <c r="O22" s="107">
        <f t="shared" si="3"/>
        <v>0</v>
      </c>
      <c r="P22" s="107">
        <f t="shared" si="3"/>
        <v>0</v>
      </c>
      <c r="Q22" s="107">
        <f t="shared" si="3"/>
        <v>1</v>
      </c>
      <c r="R22" s="107">
        <f t="shared" si="3"/>
        <v>0</v>
      </c>
      <c r="S22" s="107">
        <f t="shared" si="3"/>
        <v>0</v>
      </c>
      <c r="T22" s="107">
        <f t="shared" si="3"/>
        <v>0</v>
      </c>
      <c r="U22" s="110">
        <f t="shared" si="3"/>
        <v>0</v>
      </c>
      <c r="V22" s="104"/>
      <c r="W22" s="104"/>
    </row>
    <row r="23" spans="1:23" ht="23.25" thickBot="1">
      <c r="A23" s="40" t="s">
        <v>219</v>
      </c>
      <c r="B23" s="3">
        <v>41742</v>
      </c>
      <c r="C23" s="4" t="s">
        <v>220</v>
      </c>
      <c r="D23" s="4" t="s">
        <v>221</v>
      </c>
      <c r="E23" s="61">
        <v>31</v>
      </c>
      <c r="F23" s="61" t="s">
        <v>101</v>
      </c>
      <c r="G23" s="81" t="str">
        <f t="shared" si="0"/>
        <v>abril</v>
      </c>
      <c r="M23" s="166" t="s">
        <v>601</v>
      </c>
      <c r="N23" s="166"/>
      <c r="O23" s="117">
        <f>SUM(O4:O22)</f>
        <v>7</v>
      </c>
      <c r="P23" s="117">
        <f t="shared" ref="P23:U23" si="4">SUM(P4:P22)</f>
        <v>8</v>
      </c>
      <c r="Q23" s="117">
        <f t="shared" si="4"/>
        <v>11</v>
      </c>
      <c r="R23" s="117">
        <f t="shared" si="4"/>
        <v>9</v>
      </c>
      <c r="S23" s="117">
        <f t="shared" si="4"/>
        <v>9</v>
      </c>
      <c r="T23" s="117">
        <f t="shared" si="4"/>
        <v>6</v>
      </c>
      <c r="U23" s="117">
        <f t="shared" si="4"/>
        <v>6</v>
      </c>
    </row>
    <row r="24" spans="1:23" ht="23.25" thickBot="1">
      <c r="A24" s="40" t="s">
        <v>222</v>
      </c>
      <c r="B24" s="3">
        <v>41745</v>
      </c>
      <c r="C24" s="4" t="s">
        <v>223</v>
      </c>
      <c r="D24" s="4" t="s">
        <v>224</v>
      </c>
      <c r="E24" s="61">
        <v>31</v>
      </c>
      <c r="F24" s="61" t="s">
        <v>101</v>
      </c>
      <c r="G24" s="81" t="str">
        <f t="shared" si="0"/>
        <v>abril</v>
      </c>
      <c r="M24" s="158" t="s">
        <v>603</v>
      </c>
      <c r="N24" s="159"/>
      <c r="O24" s="122">
        <f>O23/39</f>
        <v>0.17948717948717949</v>
      </c>
      <c r="P24" s="122">
        <f>P23/60</f>
        <v>0.13333333333333333</v>
      </c>
      <c r="Q24" s="122">
        <f>Q23/73</f>
        <v>0.15068493150684931</v>
      </c>
      <c r="R24" s="122">
        <f>R23/76</f>
        <v>0.11842105263157894</v>
      </c>
      <c r="S24" s="122">
        <f>S23/56</f>
        <v>0.16071428571428573</v>
      </c>
      <c r="T24" s="122">
        <f>T23/34</f>
        <v>0.17647058823529413</v>
      </c>
      <c r="U24" s="123">
        <f>U23/55</f>
        <v>0.10909090909090909</v>
      </c>
    </row>
    <row r="25" spans="1:23" ht="22.5">
      <c r="A25" s="40" t="s">
        <v>222</v>
      </c>
      <c r="B25" s="3">
        <v>41745</v>
      </c>
      <c r="C25" s="4" t="s">
        <v>225</v>
      </c>
      <c r="D25" s="4" t="s">
        <v>226</v>
      </c>
      <c r="E25" s="61">
        <v>31</v>
      </c>
      <c r="F25" s="61" t="s">
        <v>101</v>
      </c>
      <c r="G25" s="81" t="str">
        <f t="shared" si="0"/>
        <v>abril</v>
      </c>
      <c r="U25" s="124"/>
    </row>
    <row r="26" spans="1:23" ht="22.5">
      <c r="A26" s="40" t="s">
        <v>152</v>
      </c>
      <c r="B26" s="3">
        <v>41765</v>
      </c>
      <c r="C26" s="4" t="s">
        <v>227</v>
      </c>
      <c r="D26" s="4" t="s">
        <v>228</v>
      </c>
      <c r="E26" s="61">
        <v>31</v>
      </c>
      <c r="F26" s="61" t="s">
        <v>229</v>
      </c>
      <c r="G26" s="81" t="str">
        <f t="shared" si="0"/>
        <v>mayo</v>
      </c>
    </row>
    <row r="27" spans="1:23" ht="22.5">
      <c r="A27" s="40" t="s">
        <v>152</v>
      </c>
      <c r="B27" s="3">
        <v>41765</v>
      </c>
      <c r="C27" s="4" t="s">
        <v>230</v>
      </c>
      <c r="D27" s="4" t="s">
        <v>231</v>
      </c>
      <c r="E27" s="61">
        <v>31</v>
      </c>
      <c r="F27" s="61" t="s">
        <v>229</v>
      </c>
      <c r="G27" s="81" t="str">
        <f t="shared" si="0"/>
        <v>mayo</v>
      </c>
    </row>
    <row r="28" spans="1:23" ht="22.5">
      <c r="A28" s="40" t="s">
        <v>232</v>
      </c>
      <c r="B28" s="3">
        <v>41657</v>
      </c>
      <c r="C28" s="4" t="s">
        <v>233</v>
      </c>
      <c r="D28" s="4" t="s">
        <v>234</v>
      </c>
      <c r="E28" s="61">
        <v>49</v>
      </c>
      <c r="F28" s="61" t="s">
        <v>235</v>
      </c>
      <c r="G28" s="81" t="str">
        <f t="shared" si="0"/>
        <v>enero</v>
      </c>
    </row>
    <row r="29" spans="1:23">
      <c r="A29" s="40" t="s">
        <v>236</v>
      </c>
      <c r="B29" s="3">
        <v>41663</v>
      </c>
      <c r="C29" s="4" t="s">
        <v>237</v>
      </c>
      <c r="D29" s="4" t="s">
        <v>238</v>
      </c>
      <c r="E29" s="61">
        <v>49</v>
      </c>
      <c r="F29" s="61" t="s">
        <v>235</v>
      </c>
      <c r="G29" s="81" t="str">
        <f t="shared" si="0"/>
        <v>enero</v>
      </c>
    </row>
    <row r="30" spans="1:23" ht="22.5">
      <c r="A30" s="40" t="s">
        <v>239</v>
      </c>
      <c r="B30" s="3">
        <v>41709</v>
      </c>
      <c r="C30" s="4" t="s">
        <v>240</v>
      </c>
      <c r="D30" s="4" t="s">
        <v>241</v>
      </c>
      <c r="E30" s="61">
        <v>49</v>
      </c>
      <c r="F30" s="61" t="s">
        <v>235</v>
      </c>
      <c r="G30" s="81" t="str">
        <f t="shared" si="0"/>
        <v>marzo</v>
      </c>
    </row>
    <row r="31" spans="1:23" ht="22.5">
      <c r="A31" s="40" t="s">
        <v>242</v>
      </c>
      <c r="B31" s="3">
        <v>41742</v>
      </c>
      <c r="C31" s="4" t="s">
        <v>243</v>
      </c>
      <c r="D31" s="4" t="s">
        <v>244</v>
      </c>
      <c r="E31" s="61">
        <v>49</v>
      </c>
      <c r="F31" s="61" t="s">
        <v>245</v>
      </c>
      <c r="G31" s="81" t="str">
        <f t="shared" si="0"/>
        <v>abril</v>
      </c>
    </row>
    <row r="32" spans="1:23" ht="22.5">
      <c r="A32" s="40" t="s">
        <v>246</v>
      </c>
      <c r="B32" s="3">
        <v>41807</v>
      </c>
      <c r="C32" s="4" t="s">
        <v>247</v>
      </c>
      <c r="D32" s="4" t="s">
        <v>248</v>
      </c>
      <c r="E32" s="61">
        <v>53</v>
      </c>
      <c r="F32" s="61" t="s">
        <v>249</v>
      </c>
      <c r="G32" s="81" t="str">
        <f t="shared" si="0"/>
        <v>junio</v>
      </c>
    </row>
    <row r="33" spans="1:7" ht="22.5">
      <c r="A33" s="40" t="s">
        <v>250</v>
      </c>
      <c r="B33" s="3">
        <v>41783</v>
      </c>
      <c r="C33" s="4" t="s">
        <v>251</v>
      </c>
      <c r="D33" s="4" t="s">
        <v>252</v>
      </c>
      <c r="E33" s="61">
        <v>62</v>
      </c>
      <c r="F33" s="61" t="s">
        <v>112</v>
      </c>
      <c r="G33" s="81" t="str">
        <f t="shared" si="0"/>
        <v>mayo</v>
      </c>
    </row>
    <row r="34" spans="1:7" ht="22.5">
      <c r="A34" s="40" t="s">
        <v>152</v>
      </c>
      <c r="B34" s="3">
        <v>41793</v>
      </c>
      <c r="C34" s="4" t="s">
        <v>253</v>
      </c>
      <c r="D34" s="4" t="s">
        <v>254</v>
      </c>
      <c r="E34" s="61">
        <v>62</v>
      </c>
      <c r="F34" s="61" t="s">
        <v>112</v>
      </c>
      <c r="G34" s="81" t="str">
        <f t="shared" si="0"/>
        <v>junio</v>
      </c>
    </row>
    <row r="35" spans="1:7" ht="22.5">
      <c r="A35" s="40" t="s">
        <v>152</v>
      </c>
      <c r="B35" s="3">
        <v>41802</v>
      </c>
      <c r="C35" s="4" t="s">
        <v>255</v>
      </c>
      <c r="D35" s="4" t="s">
        <v>254</v>
      </c>
      <c r="E35" s="61">
        <v>62</v>
      </c>
      <c r="F35" s="61" t="s">
        <v>112</v>
      </c>
      <c r="G35" s="81" t="str">
        <f t="shared" ref="G35:G58" si="5">TEXT(B35,"mmmm")</f>
        <v>junio</v>
      </c>
    </row>
    <row r="36" spans="1:7" ht="22.5">
      <c r="A36" s="40" t="s">
        <v>256</v>
      </c>
      <c r="B36" s="3">
        <v>41719</v>
      </c>
      <c r="C36" s="4" t="s">
        <v>257</v>
      </c>
      <c r="D36" s="4" t="s">
        <v>258</v>
      </c>
      <c r="E36" s="61">
        <v>63</v>
      </c>
      <c r="F36" s="61" t="s">
        <v>121</v>
      </c>
      <c r="G36" s="81" t="str">
        <f t="shared" si="5"/>
        <v>marzo</v>
      </c>
    </row>
    <row r="37" spans="1:7" ht="33.75">
      <c r="A37" s="40" t="s">
        <v>242</v>
      </c>
      <c r="B37" s="3">
        <v>41742</v>
      </c>
      <c r="C37" s="4" t="s">
        <v>259</v>
      </c>
      <c r="D37" s="4" t="s">
        <v>260</v>
      </c>
      <c r="E37" s="61">
        <v>63</v>
      </c>
      <c r="F37" s="61" t="s">
        <v>121</v>
      </c>
      <c r="G37" s="81" t="str">
        <f t="shared" si="5"/>
        <v>abril</v>
      </c>
    </row>
    <row r="38" spans="1:7" ht="22.5">
      <c r="A38" s="40" t="s">
        <v>261</v>
      </c>
      <c r="B38" s="3">
        <v>41753</v>
      </c>
      <c r="C38" s="4" t="s">
        <v>262</v>
      </c>
      <c r="D38" s="4" t="s">
        <v>263</v>
      </c>
      <c r="E38" s="61">
        <v>63</v>
      </c>
      <c r="F38" s="61" t="s">
        <v>121</v>
      </c>
      <c r="G38" s="81" t="str">
        <f t="shared" si="5"/>
        <v>abril</v>
      </c>
    </row>
    <row r="39" spans="1:7" ht="22.5">
      <c r="A39" s="40" t="s">
        <v>264</v>
      </c>
      <c r="B39" s="3">
        <v>41755</v>
      </c>
      <c r="C39" s="4" t="s">
        <v>265</v>
      </c>
      <c r="D39" s="4" t="s">
        <v>266</v>
      </c>
      <c r="E39" s="61">
        <v>63</v>
      </c>
      <c r="F39" s="61" t="s">
        <v>121</v>
      </c>
      <c r="G39" s="81" t="str">
        <f t="shared" si="5"/>
        <v>abril</v>
      </c>
    </row>
    <row r="40" spans="1:7" ht="22.5">
      <c r="A40" s="40" t="s">
        <v>193</v>
      </c>
      <c r="B40" s="3">
        <v>41756</v>
      </c>
      <c r="C40" s="4" t="s">
        <v>267</v>
      </c>
      <c r="D40" s="4" t="s">
        <v>268</v>
      </c>
      <c r="E40" s="61">
        <v>63</v>
      </c>
      <c r="F40" s="61" t="s">
        <v>121</v>
      </c>
      <c r="G40" s="81" t="str">
        <f t="shared" si="5"/>
        <v>abril</v>
      </c>
    </row>
    <row r="41" spans="1:7" ht="22.5">
      <c r="A41" s="40" t="s">
        <v>269</v>
      </c>
      <c r="B41" s="3">
        <v>41839</v>
      </c>
      <c r="C41" s="4" t="s">
        <v>270</v>
      </c>
      <c r="D41" s="4" t="s">
        <v>271</v>
      </c>
      <c r="E41" s="61">
        <v>63</v>
      </c>
      <c r="F41" s="61" t="s">
        <v>272</v>
      </c>
      <c r="G41" s="81" t="str">
        <f t="shared" si="5"/>
        <v>julio</v>
      </c>
    </row>
    <row r="42" spans="1:7" ht="22.5">
      <c r="A42" s="40" t="s">
        <v>152</v>
      </c>
      <c r="B42" s="3">
        <v>41765</v>
      </c>
      <c r="C42" s="4" t="s">
        <v>273</v>
      </c>
      <c r="D42" s="4" t="s">
        <v>274</v>
      </c>
      <c r="E42" s="61">
        <v>70</v>
      </c>
      <c r="F42" s="61" t="s">
        <v>135</v>
      </c>
      <c r="G42" s="81" t="str">
        <f t="shared" si="5"/>
        <v>mayo</v>
      </c>
    </row>
    <row r="43" spans="1:7" ht="22.5">
      <c r="A43" s="40" t="s">
        <v>275</v>
      </c>
      <c r="B43" s="3">
        <v>41701</v>
      </c>
      <c r="C43" s="4" t="s">
        <v>276</v>
      </c>
      <c r="D43" s="4" t="s">
        <v>277</v>
      </c>
      <c r="E43" s="61">
        <v>72</v>
      </c>
      <c r="F43" s="61" t="s">
        <v>135</v>
      </c>
      <c r="G43" s="81" t="str">
        <f t="shared" si="5"/>
        <v>marzo</v>
      </c>
    </row>
    <row r="44" spans="1:7" ht="33.75">
      <c r="A44" s="40" t="s">
        <v>278</v>
      </c>
      <c r="B44" s="3">
        <v>41766</v>
      </c>
      <c r="C44" s="4" t="s">
        <v>279</v>
      </c>
      <c r="D44" s="4" t="s">
        <v>280</v>
      </c>
      <c r="E44" s="61">
        <v>72</v>
      </c>
      <c r="F44" s="61" t="s">
        <v>135</v>
      </c>
      <c r="G44" s="81" t="str">
        <f t="shared" si="5"/>
        <v>mayo</v>
      </c>
    </row>
    <row r="45" spans="1:7" ht="22.5">
      <c r="A45" s="40" t="s">
        <v>281</v>
      </c>
      <c r="B45" s="3">
        <v>41807</v>
      </c>
      <c r="C45" s="4" t="s">
        <v>282</v>
      </c>
      <c r="D45" s="4" t="s">
        <v>283</v>
      </c>
      <c r="E45" s="61">
        <v>72</v>
      </c>
      <c r="F45" s="61" t="s">
        <v>135</v>
      </c>
      <c r="G45" s="81" t="str">
        <f t="shared" si="5"/>
        <v>junio</v>
      </c>
    </row>
    <row r="46" spans="1:7" ht="22.5">
      <c r="A46" s="40" t="s">
        <v>284</v>
      </c>
      <c r="B46" s="3">
        <v>41832</v>
      </c>
      <c r="C46" s="4" t="s">
        <v>571</v>
      </c>
      <c r="D46" s="4" t="s">
        <v>285</v>
      </c>
      <c r="E46" s="61">
        <v>72</v>
      </c>
      <c r="F46" s="61" t="s">
        <v>135</v>
      </c>
      <c r="G46" s="81" t="str">
        <f t="shared" si="5"/>
        <v>julio</v>
      </c>
    </row>
    <row r="47" spans="1:7" ht="22.5">
      <c r="A47" s="40" t="s">
        <v>284</v>
      </c>
      <c r="B47" s="3">
        <v>41832</v>
      </c>
      <c r="C47" s="4" t="s">
        <v>286</v>
      </c>
      <c r="D47" s="4" t="s">
        <v>287</v>
      </c>
      <c r="E47" s="61">
        <v>72</v>
      </c>
      <c r="F47" s="61" t="s">
        <v>135</v>
      </c>
      <c r="G47" s="81" t="str">
        <f t="shared" si="5"/>
        <v>julio</v>
      </c>
    </row>
    <row r="48" spans="1:7" ht="22.5">
      <c r="A48" s="40" t="s">
        <v>275</v>
      </c>
      <c r="B48" s="3">
        <v>41701</v>
      </c>
      <c r="C48" s="4" t="s">
        <v>288</v>
      </c>
      <c r="D48" s="4" t="s">
        <v>289</v>
      </c>
      <c r="E48" s="61">
        <v>73</v>
      </c>
      <c r="F48" s="61" t="s">
        <v>290</v>
      </c>
      <c r="G48" s="81" t="str">
        <f t="shared" si="5"/>
        <v>marzo</v>
      </c>
    </row>
    <row r="49" spans="1:7" ht="22.5">
      <c r="A49" s="40" t="s">
        <v>291</v>
      </c>
      <c r="B49" s="3">
        <v>41720</v>
      </c>
      <c r="C49" s="4" t="s">
        <v>292</v>
      </c>
      <c r="D49" s="4" t="s">
        <v>293</v>
      </c>
      <c r="E49" s="61">
        <v>73</v>
      </c>
      <c r="F49" s="61" t="s">
        <v>290</v>
      </c>
      <c r="G49" s="81" t="str">
        <f t="shared" si="5"/>
        <v>marzo</v>
      </c>
    </row>
    <row r="50" spans="1:7" ht="22.5">
      <c r="A50" s="40" t="s">
        <v>294</v>
      </c>
      <c r="B50" s="3">
        <v>41665</v>
      </c>
      <c r="C50" s="4" t="s">
        <v>295</v>
      </c>
      <c r="D50" s="4" t="s">
        <v>296</v>
      </c>
      <c r="E50" s="61">
        <v>74</v>
      </c>
      <c r="F50" s="61" t="s">
        <v>297</v>
      </c>
      <c r="G50" s="81" t="str">
        <f t="shared" si="5"/>
        <v>enero</v>
      </c>
    </row>
    <row r="51" spans="1:7" ht="22.5">
      <c r="A51" s="40" t="s">
        <v>298</v>
      </c>
      <c r="B51" s="3">
        <v>41767</v>
      </c>
      <c r="C51" s="4" t="s">
        <v>299</v>
      </c>
      <c r="D51" s="4" t="s">
        <v>300</v>
      </c>
      <c r="E51" s="61">
        <v>75</v>
      </c>
      <c r="F51" s="61" t="s">
        <v>301</v>
      </c>
      <c r="G51" s="81" t="str">
        <f t="shared" si="5"/>
        <v>mayo</v>
      </c>
    </row>
    <row r="52" spans="1:7" ht="22.5">
      <c r="A52" s="40" t="s">
        <v>294</v>
      </c>
      <c r="B52" s="3">
        <v>41665</v>
      </c>
      <c r="C52" s="4" t="s">
        <v>302</v>
      </c>
      <c r="D52" s="4" t="s">
        <v>303</v>
      </c>
      <c r="E52" s="61">
        <v>76</v>
      </c>
      <c r="F52" s="61" t="s">
        <v>304</v>
      </c>
      <c r="G52" s="81" t="str">
        <f t="shared" si="5"/>
        <v>enero</v>
      </c>
    </row>
    <row r="53" spans="1:7" ht="22.5">
      <c r="A53" s="40" t="s">
        <v>305</v>
      </c>
      <c r="B53" s="3">
        <v>41667</v>
      </c>
      <c r="C53" s="4" t="s">
        <v>306</v>
      </c>
      <c r="D53" s="4" t="s">
        <v>307</v>
      </c>
      <c r="E53" s="61">
        <v>76</v>
      </c>
      <c r="F53" s="61" t="s">
        <v>304</v>
      </c>
      <c r="G53" s="81" t="str">
        <f t="shared" si="5"/>
        <v>enero</v>
      </c>
    </row>
    <row r="54" spans="1:7" ht="22.5">
      <c r="A54" s="40" t="s">
        <v>308</v>
      </c>
      <c r="B54" s="3">
        <v>41673</v>
      </c>
      <c r="C54" s="4" t="s">
        <v>309</v>
      </c>
      <c r="D54" s="4" t="s">
        <v>310</v>
      </c>
      <c r="E54" s="61">
        <v>76</v>
      </c>
      <c r="F54" s="61" t="s">
        <v>304</v>
      </c>
      <c r="G54" s="81" t="str">
        <f t="shared" si="5"/>
        <v>febrero</v>
      </c>
    </row>
    <row r="55" spans="1:7" ht="22.5">
      <c r="A55" s="40" t="s">
        <v>311</v>
      </c>
      <c r="B55" s="3">
        <v>41682</v>
      </c>
      <c r="C55" s="4" t="s">
        <v>312</v>
      </c>
      <c r="D55" s="4" t="s">
        <v>313</v>
      </c>
      <c r="E55" s="61">
        <v>76</v>
      </c>
      <c r="F55" s="61" t="s">
        <v>304</v>
      </c>
      <c r="G55" s="81" t="str">
        <f t="shared" si="5"/>
        <v>febrero</v>
      </c>
    </row>
    <row r="56" spans="1:7" ht="22.5">
      <c r="A56" s="40" t="s">
        <v>196</v>
      </c>
      <c r="B56" s="3">
        <v>41729</v>
      </c>
      <c r="C56" s="4" t="s">
        <v>314</v>
      </c>
      <c r="D56" s="4" t="s">
        <v>315</v>
      </c>
      <c r="E56" s="61">
        <v>77</v>
      </c>
      <c r="F56" s="61" t="s">
        <v>142</v>
      </c>
      <c r="G56" s="81" t="str">
        <f t="shared" si="5"/>
        <v>marzo</v>
      </c>
    </row>
    <row r="57" spans="1:7" ht="22.5">
      <c r="A57" s="40" t="s">
        <v>152</v>
      </c>
      <c r="B57" s="3">
        <v>41797</v>
      </c>
      <c r="C57" s="4" t="s">
        <v>316</v>
      </c>
      <c r="D57" s="4" t="s">
        <v>317</v>
      </c>
      <c r="E57" s="61">
        <v>77</v>
      </c>
      <c r="F57" s="61" t="s">
        <v>142</v>
      </c>
      <c r="G57" s="81" t="str">
        <f t="shared" si="5"/>
        <v>junio</v>
      </c>
    </row>
    <row r="58" spans="1:7" ht="23.25" thickBot="1">
      <c r="A58" s="43" t="s">
        <v>275</v>
      </c>
      <c r="B58" s="44">
        <v>41701</v>
      </c>
      <c r="C58" s="45" t="s">
        <v>318</v>
      </c>
      <c r="D58" s="45" t="s">
        <v>319</v>
      </c>
      <c r="E58" s="46">
        <v>78</v>
      </c>
      <c r="F58" s="46" t="s">
        <v>320</v>
      </c>
      <c r="G58" s="81" t="str">
        <f t="shared" si="5"/>
        <v>marzo</v>
      </c>
    </row>
  </sheetData>
  <autoFilter ref="A2:G58">
    <sortState ref="A3:G58">
      <sortCondition ref="E2:E58"/>
    </sortState>
  </autoFilter>
  <mergeCells count="4">
    <mergeCell ref="A1:M1"/>
    <mergeCell ref="M23:N23"/>
    <mergeCell ref="M24:N24"/>
    <mergeCell ref="O2:U2"/>
  </mergeCells>
  <phoneticPr fontId="0" type="noConversion"/>
  <dataValidations count="2">
    <dataValidation type="list" allowBlank="1" showInputMessage="1" showErrorMessage="1" sqref="Y2">
      <formula1>$N$4:$N$22</formula1>
    </dataValidation>
    <dataValidation type="list" allowBlank="1" showInputMessage="1" showErrorMessage="1" sqref="M2">
      <formula1>$O$3:$W$3</formula1>
    </dataValidation>
  </dataValidations>
  <printOptions horizontalCentered="1"/>
  <pageMargins left="0" right="0" top="0.39370078740157483" bottom="0.39370078740157483" header="0" footer="0"/>
  <pageSetup paperSize="9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5"/>
  <sheetViews>
    <sheetView topLeftCell="A58" workbookViewId="0">
      <selection activeCell="B62" sqref="B62"/>
    </sheetView>
  </sheetViews>
  <sheetFormatPr baseColWidth="10" defaultRowHeight="15"/>
  <cols>
    <col min="1" max="1" width="16" customWidth="1"/>
    <col min="2" max="2" width="15" bestFit="1" customWidth="1"/>
  </cols>
  <sheetData>
    <row r="1" spans="1:7" ht="19.5" thickBot="1">
      <c r="C1" s="163" t="s">
        <v>610</v>
      </c>
      <c r="D1" s="164"/>
      <c r="E1" s="164"/>
      <c r="F1" s="164"/>
      <c r="G1" s="165"/>
    </row>
    <row r="2" spans="1:7">
      <c r="A2" s="54" t="s">
        <v>574</v>
      </c>
      <c r="B2" t="s">
        <v>580</v>
      </c>
    </row>
    <row r="4" spans="1:7">
      <c r="A4" s="54" t="s">
        <v>577</v>
      </c>
      <c r="B4" t="s">
        <v>579</v>
      </c>
    </row>
    <row r="5" spans="1:7">
      <c r="A5" s="56">
        <v>22</v>
      </c>
      <c r="B5" s="55">
        <v>1</v>
      </c>
    </row>
    <row r="6" spans="1:7">
      <c r="A6" s="56">
        <v>24</v>
      </c>
      <c r="B6" s="55">
        <v>9</v>
      </c>
    </row>
    <row r="7" spans="1:7">
      <c r="A7" s="56">
        <v>25</v>
      </c>
      <c r="B7" s="55">
        <v>1</v>
      </c>
    </row>
    <row r="8" spans="1:7">
      <c r="A8" s="56">
        <v>28</v>
      </c>
      <c r="B8" s="55">
        <v>2</v>
      </c>
    </row>
    <row r="9" spans="1:7">
      <c r="A9" s="56">
        <v>29</v>
      </c>
      <c r="B9" s="55">
        <v>3</v>
      </c>
    </row>
    <row r="10" spans="1:7">
      <c r="A10" s="56">
        <v>30</v>
      </c>
      <c r="B10" s="55">
        <v>1</v>
      </c>
    </row>
    <row r="11" spans="1:7">
      <c r="A11" s="56">
        <v>31</v>
      </c>
      <c r="B11" s="55">
        <v>8</v>
      </c>
    </row>
    <row r="12" spans="1:7">
      <c r="A12" s="56">
        <v>49</v>
      </c>
      <c r="B12" s="55">
        <v>4</v>
      </c>
    </row>
    <row r="13" spans="1:7">
      <c r="A13" s="56">
        <v>53</v>
      </c>
      <c r="B13" s="55">
        <v>1</v>
      </c>
    </row>
    <row r="14" spans="1:7">
      <c r="A14" s="56">
        <v>62</v>
      </c>
      <c r="B14" s="55">
        <v>3</v>
      </c>
    </row>
    <row r="15" spans="1:7">
      <c r="A15" s="56">
        <v>63</v>
      </c>
      <c r="B15" s="55">
        <v>6</v>
      </c>
    </row>
    <row r="16" spans="1:7">
      <c r="A16" s="56">
        <v>70</v>
      </c>
      <c r="B16" s="55">
        <v>1</v>
      </c>
    </row>
    <row r="17" spans="1:7">
      <c r="A17" s="56">
        <v>72</v>
      </c>
      <c r="B17" s="55">
        <v>5</v>
      </c>
    </row>
    <row r="18" spans="1:7">
      <c r="A18" s="56">
        <v>73</v>
      </c>
      <c r="B18" s="55">
        <v>2</v>
      </c>
    </row>
    <row r="19" spans="1:7">
      <c r="A19" s="56">
        <v>74</v>
      </c>
      <c r="B19" s="55">
        <v>1</v>
      </c>
    </row>
    <row r="20" spans="1:7">
      <c r="A20" s="56">
        <v>75</v>
      </c>
      <c r="B20" s="55">
        <v>1</v>
      </c>
    </row>
    <row r="21" spans="1:7">
      <c r="A21" s="56">
        <v>76</v>
      </c>
      <c r="B21" s="55">
        <v>4</v>
      </c>
    </row>
    <row r="22" spans="1:7">
      <c r="A22" s="56">
        <v>77</v>
      </c>
      <c r="B22" s="55">
        <v>2</v>
      </c>
    </row>
    <row r="23" spans="1:7">
      <c r="A23" s="56">
        <v>78</v>
      </c>
      <c r="B23" s="55">
        <v>1</v>
      </c>
    </row>
    <row r="24" spans="1:7">
      <c r="A24" s="56" t="s">
        <v>578</v>
      </c>
      <c r="B24" s="55">
        <v>56</v>
      </c>
    </row>
    <row r="25" spans="1:7" ht="15.75" thickBot="1"/>
    <row r="26" spans="1:7" ht="19.5" thickBot="1">
      <c r="C26" s="163" t="s">
        <v>613</v>
      </c>
      <c r="D26" s="164"/>
      <c r="E26" s="164"/>
      <c r="F26" s="164"/>
      <c r="G26" s="165"/>
    </row>
    <row r="28" spans="1:7">
      <c r="A28" s="54" t="s">
        <v>0</v>
      </c>
      <c r="B28" t="s">
        <v>580</v>
      </c>
    </row>
    <row r="30" spans="1:7">
      <c r="A30" s="54" t="s">
        <v>577</v>
      </c>
      <c r="B30" t="s">
        <v>579</v>
      </c>
    </row>
    <row r="31" spans="1:7">
      <c r="A31" s="56" t="s">
        <v>585</v>
      </c>
      <c r="B31" s="55">
        <v>7</v>
      </c>
    </row>
    <row r="32" spans="1:7">
      <c r="A32" s="56" t="s">
        <v>586</v>
      </c>
      <c r="B32" s="55">
        <v>8</v>
      </c>
    </row>
    <row r="33" spans="1:7">
      <c r="A33" s="56" t="s">
        <v>587</v>
      </c>
      <c r="B33" s="55">
        <v>11</v>
      </c>
    </row>
    <row r="34" spans="1:7">
      <c r="A34" s="56" t="s">
        <v>588</v>
      </c>
      <c r="B34" s="55">
        <v>9</v>
      </c>
    </row>
    <row r="35" spans="1:7">
      <c r="A35" s="56" t="s">
        <v>589</v>
      </c>
      <c r="B35" s="55">
        <v>9</v>
      </c>
    </row>
    <row r="36" spans="1:7">
      <c r="A36" s="56" t="s">
        <v>590</v>
      </c>
      <c r="B36" s="55">
        <v>6</v>
      </c>
    </row>
    <row r="37" spans="1:7">
      <c r="A37" s="56" t="s">
        <v>591</v>
      </c>
      <c r="B37" s="55">
        <v>6</v>
      </c>
    </row>
    <row r="38" spans="1:7">
      <c r="A38" s="56" t="s">
        <v>578</v>
      </c>
      <c r="B38" s="55">
        <v>56</v>
      </c>
    </row>
    <row r="42" spans="1:7" ht="15.75" thickBot="1"/>
    <row r="43" spans="1:7" ht="19.5" thickBot="1">
      <c r="C43" s="163" t="s">
        <v>611</v>
      </c>
      <c r="D43" s="164"/>
      <c r="E43" s="164"/>
      <c r="F43" s="164"/>
      <c r="G43" s="165"/>
    </row>
    <row r="44" spans="1:7">
      <c r="A44" s="145" t="s">
        <v>625</v>
      </c>
      <c r="B44" s="147" t="s">
        <v>623</v>
      </c>
    </row>
    <row r="60" spans="1:7" ht="15.75" thickBot="1"/>
    <row r="61" spans="1:7" ht="19.5" thickBot="1">
      <c r="C61" s="163" t="s">
        <v>612</v>
      </c>
      <c r="D61" s="164"/>
      <c r="E61" s="164"/>
      <c r="F61" s="164"/>
      <c r="G61" s="165"/>
    </row>
    <row r="62" spans="1:7">
      <c r="A62" s="145" t="s">
        <v>625</v>
      </c>
      <c r="B62" s="147" t="s">
        <v>624</v>
      </c>
    </row>
    <row r="77" spans="3:7" ht="15.75" thickBot="1"/>
    <row r="78" spans="3:7" ht="19.5" thickBot="1">
      <c r="C78" s="163" t="s">
        <v>616</v>
      </c>
      <c r="D78" s="164"/>
      <c r="E78" s="164"/>
      <c r="F78" s="164"/>
      <c r="G78" s="165"/>
    </row>
    <row r="94" spans="3:7" ht="15.75" thickBot="1"/>
    <row r="95" spans="3:7" ht="19.5" thickBot="1">
      <c r="C95" s="163" t="s">
        <v>615</v>
      </c>
      <c r="D95" s="164"/>
      <c r="E95" s="164"/>
      <c r="F95" s="164"/>
      <c r="G95" s="165"/>
    </row>
  </sheetData>
  <mergeCells count="6">
    <mergeCell ref="C95:G95"/>
    <mergeCell ref="C1:G1"/>
    <mergeCell ref="C26:G26"/>
    <mergeCell ref="C43:G43"/>
    <mergeCell ref="C61:G61"/>
    <mergeCell ref="C78:G78"/>
  </mergeCells>
  <hyperlinks>
    <hyperlink ref="B44" location="'2035'!M2" display="Ir a Seleccion de Mes"/>
    <hyperlink ref="B62" location="'2035'!Y2" display="Ir a Seleccion de Ata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3"/>
  <sheetViews>
    <sheetView topLeftCell="J1" zoomScale="85" zoomScaleNormal="85" workbookViewId="0">
      <selection activeCell="Y2" sqref="Y2"/>
    </sheetView>
  </sheetViews>
  <sheetFormatPr baseColWidth="10" defaultColWidth="11.42578125" defaultRowHeight="15"/>
  <cols>
    <col min="1" max="1" width="9.28515625" customWidth="1"/>
    <col min="2" max="2" width="11.7109375" customWidth="1"/>
    <col min="3" max="4" width="47.140625" customWidth="1"/>
    <col min="5" max="5" width="4.28515625" style="1" bestFit="1" customWidth="1"/>
    <col min="6" max="6" width="14.5703125" style="1" bestFit="1" customWidth="1"/>
    <col min="12" max="12" width="18.85546875" customWidth="1"/>
    <col min="14" max="14" width="12.7109375" customWidth="1"/>
  </cols>
  <sheetData>
    <row r="1" spans="1:26" ht="27" thickBot="1">
      <c r="A1" s="156" t="s">
        <v>512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26" ht="19.5" thickBot="1">
      <c r="A2" s="83" t="s">
        <v>148</v>
      </c>
      <c r="B2" s="84" t="s">
        <v>151</v>
      </c>
      <c r="C2" s="84" t="s">
        <v>149</v>
      </c>
      <c r="D2" s="84" t="s">
        <v>150</v>
      </c>
      <c r="E2" s="85" t="s">
        <v>0</v>
      </c>
      <c r="F2" s="84" t="s">
        <v>0</v>
      </c>
      <c r="G2" s="86" t="s">
        <v>574</v>
      </c>
      <c r="L2" s="74" t="s">
        <v>592</v>
      </c>
      <c r="M2" s="98" t="s">
        <v>590</v>
      </c>
      <c r="N2" s="65"/>
      <c r="O2" s="160" t="s">
        <v>622</v>
      </c>
      <c r="P2" s="161"/>
      <c r="Q2" s="161"/>
      <c r="R2" s="161"/>
      <c r="S2" s="161"/>
      <c r="T2" s="161"/>
      <c r="U2" s="162"/>
      <c r="X2" s="77" t="s">
        <v>593</v>
      </c>
      <c r="Y2" s="112">
        <v>62</v>
      </c>
    </row>
    <row r="3" spans="1:26" ht="26.25">
      <c r="A3" s="87" t="s">
        <v>321</v>
      </c>
      <c r="B3" s="88">
        <v>41801</v>
      </c>
      <c r="C3" s="89" t="s">
        <v>322</v>
      </c>
      <c r="D3" s="89" t="s">
        <v>323</v>
      </c>
      <c r="E3" s="90">
        <v>24</v>
      </c>
      <c r="F3" s="91" t="s">
        <v>174</v>
      </c>
      <c r="G3" s="82" t="str">
        <f t="shared" ref="G3:G23" si="0">TEXT(B3,"mmmm")</f>
        <v>junio</v>
      </c>
      <c r="H3" s="37"/>
      <c r="I3" s="37"/>
      <c r="J3" s="37"/>
      <c r="K3" s="37"/>
      <c r="M3" s="71" t="str">
        <f>CONCATENATE("Indice   ","en  ", M2)</f>
        <v>Indice   en  Junio</v>
      </c>
      <c r="N3" s="72" t="s">
        <v>0</v>
      </c>
      <c r="O3" s="73" t="s">
        <v>585</v>
      </c>
      <c r="P3" s="73" t="s">
        <v>586</v>
      </c>
      <c r="Q3" s="73" t="s">
        <v>587</v>
      </c>
      <c r="R3" s="73" t="s">
        <v>588</v>
      </c>
      <c r="S3" s="73" t="s">
        <v>589</v>
      </c>
      <c r="T3" s="73" t="s">
        <v>590</v>
      </c>
      <c r="U3" s="76" t="s">
        <v>591</v>
      </c>
      <c r="V3" s="108"/>
      <c r="W3" s="108"/>
      <c r="Y3" s="78" t="s">
        <v>574</v>
      </c>
      <c r="Z3" s="76" t="s">
        <v>594</v>
      </c>
    </row>
    <row r="4" spans="1:26" ht="25.5">
      <c r="A4" s="87" t="s">
        <v>324</v>
      </c>
      <c r="B4" s="88">
        <v>41803</v>
      </c>
      <c r="C4" s="89" t="s">
        <v>325</v>
      </c>
      <c r="D4" s="89" t="s">
        <v>326</v>
      </c>
      <c r="E4" s="90">
        <v>29</v>
      </c>
      <c r="F4" s="91" t="s">
        <v>202</v>
      </c>
      <c r="G4" s="82" t="str">
        <f t="shared" si="0"/>
        <v>junio</v>
      </c>
      <c r="M4" s="75">
        <f>IF(M$2="Enero",O4/39,IF(M$2="Febrero",P4/60,IF(M$2="Marzo",Q4/73,IF(M$2="Abril",R4/76,IF(M$2="Mayo",S4/56,IF(M$2="Junio",T4/15,IF(M$2="Julio",U4/29)))))))</f>
        <v>6.6666666666666666E-2</v>
      </c>
      <c r="N4" s="66">
        <v>24</v>
      </c>
      <c r="O4" s="100">
        <f t="shared" ref="O4:U15" si="1">COUNTIFS($E$3:$E$58,$N4,$G$3:$G$58,O$3)</f>
        <v>0</v>
      </c>
      <c r="P4" s="100">
        <f t="shared" si="1"/>
        <v>0</v>
      </c>
      <c r="Q4" s="100">
        <f t="shared" si="1"/>
        <v>0</v>
      </c>
      <c r="R4" s="100">
        <f t="shared" si="1"/>
        <v>0</v>
      </c>
      <c r="S4" s="100">
        <f t="shared" si="1"/>
        <v>0</v>
      </c>
      <c r="T4" s="100">
        <f t="shared" si="1"/>
        <v>1</v>
      </c>
      <c r="U4" s="109">
        <f t="shared" si="1"/>
        <v>0</v>
      </c>
      <c r="V4" s="104"/>
      <c r="W4" s="104"/>
      <c r="Y4" s="79" t="s">
        <v>585</v>
      </c>
      <c r="Z4" s="57">
        <v>0</v>
      </c>
    </row>
    <row r="5" spans="1:26" ht="25.5">
      <c r="A5" s="87" t="s">
        <v>327</v>
      </c>
      <c r="B5" s="88">
        <v>41826</v>
      </c>
      <c r="C5" s="89" t="s">
        <v>328</v>
      </c>
      <c r="D5" s="89" t="s">
        <v>329</v>
      </c>
      <c r="E5" s="90">
        <v>29</v>
      </c>
      <c r="F5" s="91" t="s">
        <v>330</v>
      </c>
      <c r="G5" s="82" t="str">
        <f t="shared" si="0"/>
        <v>julio</v>
      </c>
      <c r="M5" s="75">
        <f t="shared" ref="M5:M15" si="2">IF(M$2="Enero",O5/39,IF(M$2="Febrero",P5/60,IF(M$2="Marzo",Q5/73,IF(M$2="Abril",R5/76,IF(M$2="Mayo",S5/56,IF(M$2="Junio",T5/15,IF(M$2="Julio",U5/29)))))))</f>
        <v>6.6666666666666666E-2</v>
      </c>
      <c r="N5" s="66">
        <v>29</v>
      </c>
      <c r="O5" s="100">
        <f t="shared" si="1"/>
        <v>0</v>
      </c>
      <c r="P5" s="100">
        <f t="shared" si="1"/>
        <v>0</v>
      </c>
      <c r="Q5" s="100">
        <f t="shared" si="1"/>
        <v>0</v>
      </c>
      <c r="R5" s="100">
        <f t="shared" si="1"/>
        <v>0</v>
      </c>
      <c r="S5" s="100">
        <f t="shared" si="1"/>
        <v>0</v>
      </c>
      <c r="T5" s="100">
        <f t="shared" si="1"/>
        <v>1</v>
      </c>
      <c r="U5" s="109">
        <f t="shared" si="1"/>
        <v>2</v>
      </c>
      <c r="V5" s="104"/>
      <c r="W5" s="104"/>
      <c r="Y5" s="79" t="s">
        <v>586</v>
      </c>
      <c r="Z5" s="57">
        <v>0</v>
      </c>
    </row>
    <row r="6" spans="1:26" ht="27" customHeight="1">
      <c r="A6" s="87" t="s">
        <v>331</v>
      </c>
      <c r="B6" s="88">
        <v>41830</v>
      </c>
      <c r="C6" s="89" t="s">
        <v>332</v>
      </c>
      <c r="D6" s="89" t="s">
        <v>333</v>
      </c>
      <c r="E6" s="90">
        <v>29</v>
      </c>
      <c r="F6" s="91" t="s">
        <v>330</v>
      </c>
      <c r="G6" s="82" t="str">
        <f t="shared" si="0"/>
        <v>julio</v>
      </c>
      <c r="M6" s="75">
        <f t="shared" si="2"/>
        <v>0</v>
      </c>
      <c r="N6" s="66">
        <v>31</v>
      </c>
      <c r="O6" s="100">
        <f t="shared" si="1"/>
        <v>0</v>
      </c>
      <c r="P6" s="100">
        <f t="shared" si="1"/>
        <v>0</v>
      </c>
      <c r="Q6" s="100">
        <f t="shared" si="1"/>
        <v>0</v>
      </c>
      <c r="R6" s="100">
        <f t="shared" si="1"/>
        <v>0</v>
      </c>
      <c r="S6" s="100">
        <f t="shared" si="1"/>
        <v>0</v>
      </c>
      <c r="T6" s="100">
        <f t="shared" si="1"/>
        <v>0</v>
      </c>
      <c r="U6" s="109">
        <f t="shared" si="1"/>
        <v>2</v>
      </c>
      <c r="V6" s="104"/>
      <c r="W6" s="104"/>
      <c r="Y6" s="79" t="s">
        <v>587</v>
      </c>
      <c r="Z6" s="57">
        <v>0</v>
      </c>
    </row>
    <row r="7" spans="1:26" ht="25.5">
      <c r="A7" s="87" t="s">
        <v>334</v>
      </c>
      <c r="B7" s="88">
        <v>41838</v>
      </c>
      <c r="C7" s="89" t="s">
        <v>335</v>
      </c>
      <c r="D7" s="89" t="s">
        <v>336</v>
      </c>
      <c r="E7" s="90">
        <v>31</v>
      </c>
      <c r="F7" s="91" t="s">
        <v>213</v>
      </c>
      <c r="G7" s="82" t="str">
        <f t="shared" si="0"/>
        <v>julio</v>
      </c>
      <c r="M7" s="75">
        <f t="shared" si="2"/>
        <v>6.6666666666666666E-2</v>
      </c>
      <c r="N7" s="66">
        <v>34</v>
      </c>
      <c r="O7" s="100">
        <f t="shared" si="1"/>
        <v>0</v>
      </c>
      <c r="P7" s="100">
        <f t="shared" si="1"/>
        <v>0</v>
      </c>
      <c r="Q7" s="100">
        <f t="shared" si="1"/>
        <v>0</v>
      </c>
      <c r="R7" s="100">
        <f t="shared" si="1"/>
        <v>0</v>
      </c>
      <c r="S7" s="100">
        <f t="shared" si="1"/>
        <v>0</v>
      </c>
      <c r="T7" s="100">
        <f t="shared" si="1"/>
        <v>1</v>
      </c>
      <c r="U7" s="109">
        <f t="shared" si="1"/>
        <v>0</v>
      </c>
      <c r="V7" s="104"/>
      <c r="W7" s="104"/>
      <c r="Y7" s="79" t="s">
        <v>588</v>
      </c>
      <c r="Z7" s="57">
        <v>0</v>
      </c>
    </row>
    <row r="8" spans="1:26" ht="36" customHeight="1">
      <c r="A8" s="87" t="s">
        <v>337</v>
      </c>
      <c r="B8" s="88">
        <v>41844</v>
      </c>
      <c r="C8" s="89" t="s">
        <v>338</v>
      </c>
      <c r="D8" s="89" t="s">
        <v>339</v>
      </c>
      <c r="E8" s="90">
        <v>31</v>
      </c>
      <c r="F8" s="91" t="s">
        <v>340</v>
      </c>
      <c r="G8" s="82" t="str">
        <f t="shared" si="0"/>
        <v>julio</v>
      </c>
      <c r="M8" s="75">
        <f t="shared" si="2"/>
        <v>6.6666666666666666E-2</v>
      </c>
      <c r="N8" s="66">
        <v>49</v>
      </c>
      <c r="O8" s="100">
        <f t="shared" si="1"/>
        <v>0</v>
      </c>
      <c r="P8" s="100">
        <f t="shared" si="1"/>
        <v>0</v>
      </c>
      <c r="Q8" s="100">
        <f t="shared" si="1"/>
        <v>0</v>
      </c>
      <c r="R8" s="100">
        <f t="shared" si="1"/>
        <v>0</v>
      </c>
      <c r="S8" s="100">
        <f t="shared" si="1"/>
        <v>2</v>
      </c>
      <c r="T8" s="100">
        <f t="shared" si="1"/>
        <v>1</v>
      </c>
      <c r="U8" s="109">
        <f t="shared" si="1"/>
        <v>1</v>
      </c>
      <c r="V8" s="104"/>
      <c r="W8" s="104"/>
      <c r="Y8" s="79" t="s">
        <v>589</v>
      </c>
      <c r="Z8" s="57">
        <v>0</v>
      </c>
    </row>
    <row r="9" spans="1:26" ht="25.5">
      <c r="A9" s="87" t="s">
        <v>341</v>
      </c>
      <c r="B9" s="88">
        <v>41804</v>
      </c>
      <c r="C9" s="89" t="s">
        <v>342</v>
      </c>
      <c r="D9" s="89" t="s">
        <v>343</v>
      </c>
      <c r="E9" s="90">
        <v>34</v>
      </c>
      <c r="F9" s="91" t="s">
        <v>108</v>
      </c>
      <c r="G9" s="82" t="str">
        <f t="shared" si="0"/>
        <v>junio</v>
      </c>
      <c r="M9" s="75">
        <f t="shared" si="2"/>
        <v>0</v>
      </c>
      <c r="N9" s="66">
        <v>62</v>
      </c>
      <c r="O9" s="100">
        <f t="shared" si="1"/>
        <v>0</v>
      </c>
      <c r="P9" s="100">
        <f t="shared" si="1"/>
        <v>0</v>
      </c>
      <c r="Q9" s="100">
        <f t="shared" si="1"/>
        <v>0</v>
      </c>
      <c r="R9" s="100">
        <f t="shared" si="1"/>
        <v>0</v>
      </c>
      <c r="S9" s="100">
        <f t="shared" si="1"/>
        <v>1</v>
      </c>
      <c r="T9" s="100">
        <f t="shared" si="1"/>
        <v>0</v>
      </c>
      <c r="U9" s="109">
        <f t="shared" si="1"/>
        <v>1</v>
      </c>
      <c r="V9" s="104"/>
      <c r="W9" s="104"/>
      <c r="Y9" s="79" t="s">
        <v>590</v>
      </c>
      <c r="Z9" s="57">
        <f>IF(Y$2=22,T$4/29,IF(Y$2=23,T$5/29,IF(Y$2=29,T$6/29,IF(Y$2=31,T$7/29,IF(Y$2=34,T$8/29,IF(Y$2=62,T$9/29,IF(Y$2=63,T$10/29,IF(Y$2=64,T$11/29,IF(Y$2=67,T$12/29,IF(Y$2=72,T$13/29,IF(Y$2=77,T$14/29,IF(Y$2=78,T$15/29))))))))))))</f>
        <v>0</v>
      </c>
    </row>
    <row r="10" spans="1:26" ht="26.25" thickBot="1">
      <c r="A10" s="87" t="s">
        <v>344</v>
      </c>
      <c r="B10" s="88">
        <v>41773</v>
      </c>
      <c r="C10" s="89" t="s">
        <v>345</v>
      </c>
      <c r="D10" s="89" t="s">
        <v>346</v>
      </c>
      <c r="E10" s="90">
        <v>49</v>
      </c>
      <c r="F10" s="91" t="s">
        <v>245</v>
      </c>
      <c r="G10" s="82" t="str">
        <f t="shared" si="0"/>
        <v>mayo</v>
      </c>
      <c r="M10" s="75">
        <f t="shared" si="2"/>
        <v>0.13333333333333333</v>
      </c>
      <c r="N10" s="66">
        <v>63</v>
      </c>
      <c r="O10" s="100">
        <f t="shared" si="1"/>
        <v>0</v>
      </c>
      <c r="P10" s="100">
        <f t="shared" si="1"/>
        <v>0</v>
      </c>
      <c r="Q10" s="100">
        <f t="shared" si="1"/>
        <v>0</v>
      </c>
      <c r="R10" s="100">
        <f t="shared" si="1"/>
        <v>0</v>
      </c>
      <c r="S10" s="100">
        <f t="shared" si="1"/>
        <v>0</v>
      </c>
      <c r="T10" s="100">
        <f t="shared" si="1"/>
        <v>2</v>
      </c>
      <c r="U10" s="109">
        <f t="shared" si="1"/>
        <v>0</v>
      </c>
      <c r="V10" s="104"/>
      <c r="W10" s="104"/>
      <c r="Y10" s="103" t="s">
        <v>591</v>
      </c>
      <c r="Z10" s="58">
        <f>IF(Y$2=22,U$4/29,IF(Y$2=23,U$5/29,IF(Y$2=29,U$6/29,IF(Y$2=31,U$7/29,IF(Y$2=34,U$8/29,IF(Y$2=62,U$9/29,IF(Y$2=63,U$10/29,IF(Y$2=64,U$11/29,IF(Y$2=67,U$12/29,IF(Y$2=72,U$13/29,IF(Y$2=77,U$14/29,IF(Y$2=78,U$15/29))))))))))))</f>
        <v>3.4482758620689655E-2</v>
      </c>
    </row>
    <row r="11" spans="1:26" ht="38.25">
      <c r="A11" s="87" t="s">
        <v>347</v>
      </c>
      <c r="B11" s="88">
        <v>41785</v>
      </c>
      <c r="C11" s="89" t="s">
        <v>348</v>
      </c>
      <c r="D11" s="89" t="s">
        <v>349</v>
      </c>
      <c r="E11" s="90">
        <v>49</v>
      </c>
      <c r="F11" s="91" t="s">
        <v>245</v>
      </c>
      <c r="G11" s="82" t="str">
        <f t="shared" si="0"/>
        <v>mayo</v>
      </c>
      <c r="M11" s="75">
        <f t="shared" si="2"/>
        <v>0</v>
      </c>
      <c r="N11" s="66">
        <v>64</v>
      </c>
      <c r="O11" s="100">
        <f t="shared" si="1"/>
        <v>0</v>
      </c>
      <c r="P11" s="100">
        <f t="shared" si="1"/>
        <v>0</v>
      </c>
      <c r="Q11" s="100">
        <f t="shared" si="1"/>
        <v>0</v>
      </c>
      <c r="R11" s="100">
        <f t="shared" si="1"/>
        <v>0</v>
      </c>
      <c r="S11" s="100">
        <f t="shared" si="1"/>
        <v>0</v>
      </c>
      <c r="T11" s="100">
        <f t="shared" si="1"/>
        <v>0</v>
      </c>
      <c r="U11" s="109">
        <f t="shared" si="1"/>
        <v>1</v>
      </c>
      <c r="V11" s="104"/>
      <c r="W11" s="104"/>
      <c r="Y11" s="101"/>
      <c r="Z11" s="102"/>
    </row>
    <row r="12" spans="1:26" ht="25.5">
      <c r="A12" s="87" t="s">
        <v>350</v>
      </c>
      <c r="B12" s="88">
        <v>41810</v>
      </c>
      <c r="C12" s="89" t="s">
        <v>351</v>
      </c>
      <c r="D12" s="89" t="s">
        <v>352</v>
      </c>
      <c r="E12" s="90">
        <v>49</v>
      </c>
      <c r="F12" s="91" t="s">
        <v>245</v>
      </c>
      <c r="G12" s="82" t="str">
        <f t="shared" si="0"/>
        <v>junio</v>
      </c>
      <c r="M12" s="75">
        <f t="shared" si="2"/>
        <v>6.6666666666666666E-2</v>
      </c>
      <c r="N12" s="66">
        <v>72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1</v>
      </c>
      <c r="U12" s="109">
        <f t="shared" si="1"/>
        <v>1</v>
      </c>
      <c r="V12" s="104"/>
      <c r="W12" s="104"/>
      <c r="Y12" s="101"/>
      <c r="Z12" s="102"/>
    </row>
    <row r="13" spans="1:26" ht="25.5">
      <c r="A13" s="87" t="s">
        <v>334</v>
      </c>
      <c r="B13" s="88">
        <v>41838</v>
      </c>
      <c r="C13" s="89" t="s">
        <v>353</v>
      </c>
      <c r="D13" s="89" t="s">
        <v>354</v>
      </c>
      <c r="E13" s="90">
        <v>49</v>
      </c>
      <c r="F13" s="91" t="s">
        <v>245</v>
      </c>
      <c r="G13" s="82" t="str">
        <f t="shared" si="0"/>
        <v>julio</v>
      </c>
      <c r="M13" s="75">
        <f t="shared" si="2"/>
        <v>0</v>
      </c>
      <c r="N13" s="66">
        <v>74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1</v>
      </c>
      <c r="T13" s="100">
        <f t="shared" si="1"/>
        <v>0</v>
      </c>
      <c r="U13" s="109">
        <f t="shared" si="1"/>
        <v>0</v>
      </c>
      <c r="V13" s="104"/>
      <c r="W13" s="104"/>
    </row>
    <row r="14" spans="1:26" ht="25.5">
      <c r="A14" s="87" t="s">
        <v>355</v>
      </c>
      <c r="B14" s="88">
        <v>41766</v>
      </c>
      <c r="C14" s="89" t="s">
        <v>356</v>
      </c>
      <c r="D14" s="89" t="s">
        <v>357</v>
      </c>
      <c r="E14" s="90">
        <v>62</v>
      </c>
      <c r="F14" s="91" t="s">
        <v>112</v>
      </c>
      <c r="G14" s="82" t="str">
        <f t="shared" si="0"/>
        <v>mayo</v>
      </c>
      <c r="M14" s="75">
        <f t="shared" si="2"/>
        <v>0</v>
      </c>
      <c r="N14" s="66">
        <v>77</v>
      </c>
      <c r="O14" s="100">
        <f t="shared" si="1"/>
        <v>0</v>
      </c>
      <c r="P14" s="100">
        <f t="shared" si="1"/>
        <v>0</v>
      </c>
      <c r="Q14" s="100">
        <f t="shared" si="1"/>
        <v>0</v>
      </c>
      <c r="R14" s="100">
        <f t="shared" si="1"/>
        <v>0</v>
      </c>
      <c r="S14" s="100">
        <f t="shared" si="1"/>
        <v>1</v>
      </c>
      <c r="T14" s="100">
        <f t="shared" si="1"/>
        <v>0</v>
      </c>
      <c r="U14" s="109">
        <f t="shared" si="1"/>
        <v>0</v>
      </c>
      <c r="V14" s="104"/>
      <c r="W14" s="104"/>
    </row>
    <row r="15" spans="1:26" ht="25.5">
      <c r="A15" s="87" t="s">
        <v>358</v>
      </c>
      <c r="B15" s="88">
        <v>41841</v>
      </c>
      <c r="C15" s="89" t="s">
        <v>359</v>
      </c>
      <c r="D15" s="89" t="s">
        <v>360</v>
      </c>
      <c r="E15" s="90">
        <v>62</v>
      </c>
      <c r="F15" s="91" t="s">
        <v>361</v>
      </c>
      <c r="G15" s="82" t="str">
        <f t="shared" si="0"/>
        <v>julio</v>
      </c>
      <c r="M15" s="75">
        <f t="shared" si="2"/>
        <v>0</v>
      </c>
      <c r="N15" s="66">
        <v>78</v>
      </c>
      <c r="O15" s="100">
        <f t="shared" si="1"/>
        <v>0</v>
      </c>
      <c r="P15" s="100">
        <f t="shared" si="1"/>
        <v>0</v>
      </c>
      <c r="Q15" s="100">
        <f t="shared" si="1"/>
        <v>0</v>
      </c>
      <c r="R15" s="100">
        <f t="shared" si="1"/>
        <v>0</v>
      </c>
      <c r="S15" s="100">
        <f t="shared" si="1"/>
        <v>1</v>
      </c>
      <c r="T15" s="100">
        <f t="shared" si="1"/>
        <v>0</v>
      </c>
      <c r="U15" s="109">
        <f t="shared" si="1"/>
        <v>0</v>
      </c>
      <c r="V15" s="104"/>
      <c r="W15" s="104"/>
    </row>
    <row r="16" spans="1:26" ht="26.25" thickBot="1">
      <c r="A16" s="87" t="s">
        <v>362</v>
      </c>
      <c r="B16" s="88">
        <v>41802</v>
      </c>
      <c r="C16" s="89" t="s">
        <v>363</v>
      </c>
      <c r="D16" s="89" t="s">
        <v>364</v>
      </c>
      <c r="E16" s="90">
        <v>63</v>
      </c>
      <c r="F16" s="91" t="s">
        <v>121</v>
      </c>
      <c r="G16" s="82" t="str">
        <f t="shared" si="0"/>
        <v>junio</v>
      </c>
      <c r="M16" s="167" t="s">
        <v>600</v>
      </c>
      <c r="N16" s="168"/>
      <c r="O16" s="117">
        <f t="shared" ref="O16:U16" si="3">SUM(O4:O15)</f>
        <v>0</v>
      </c>
      <c r="P16" s="117">
        <f t="shared" si="3"/>
        <v>0</v>
      </c>
      <c r="Q16" s="117">
        <f t="shared" si="3"/>
        <v>0</v>
      </c>
      <c r="R16" s="117">
        <f t="shared" si="3"/>
        <v>0</v>
      </c>
      <c r="S16" s="117">
        <f t="shared" si="3"/>
        <v>6</v>
      </c>
      <c r="T16" s="117">
        <f t="shared" si="3"/>
        <v>7</v>
      </c>
      <c r="U16" s="117">
        <f t="shared" si="3"/>
        <v>8</v>
      </c>
      <c r="V16" s="104"/>
      <c r="W16" s="104"/>
    </row>
    <row r="17" spans="1:23" ht="39" thickBot="1">
      <c r="A17" s="87" t="s">
        <v>350</v>
      </c>
      <c r="B17" s="88">
        <v>41810</v>
      </c>
      <c r="C17" s="89" t="s">
        <v>365</v>
      </c>
      <c r="D17" s="89" t="s">
        <v>366</v>
      </c>
      <c r="E17" s="90">
        <v>63</v>
      </c>
      <c r="F17" s="91" t="s">
        <v>121</v>
      </c>
      <c r="G17" s="82" t="str">
        <f t="shared" si="0"/>
        <v>junio</v>
      </c>
      <c r="M17" s="158" t="s">
        <v>604</v>
      </c>
      <c r="N17" s="159"/>
      <c r="O17" s="122">
        <v>0</v>
      </c>
      <c r="P17" s="122">
        <v>0</v>
      </c>
      <c r="Q17" s="122">
        <v>0</v>
      </c>
      <c r="R17" s="122">
        <v>0</v>
      </c>
      <c r="S17" s="122">
        <v>0</v>
      </c>
      <c r="T17" s="122">
        <f>T16/15</f>
        <v>0.46666666666666667</v>
      </c>
      <c r="U17" s="123">
        <f>U16/29</f>
        <v>0.27586206896551724</v>
      </c>
      <c r="V17" s="104"/>
      <c r="W17" s="104"/>
    </row>
    <row r="18" spans="1:23" ht="25.5">
      <c r="A18" s="87" t="s">
        <v>367</v>
      </c>
      <c r="B18" s="88">
        <v>41850</v>
      </c>
      <c r="C18" s="89" t="s">
        <v>368</v>
      </c>
      <c r="D18" s="89" t="s">
        <v>369</v>
      </c>
      <c r="E18" s="90">
        <v>64</v>
      </c>
      <c r="F18" s="91" t="s">
        <v>370</v>
      </c>
      <c r="G18" s="82" t="str">
        <f t="shared" si="0"/>
        <v>julio</v>
      </c>
      <c r="V18" s="104"/>
      <c r="W18" s="104"/>
    </row>
    <row r="19" spans="1:23" ht="38.25">
      <c r="A19" s="87" t="s">
        <v>371</v>
      </c>
      <c r="B19" s="88">
        <v>41800</v>
      </c>
      <c r="C19" s="89" t="s">
        <v>372</v>
      </c>
      <c r="D19" s="89" t="s">
        <v>373</v>
      </c>
      <c r="E19" s="90">
        <v>72</v>
      </c>
      <c r="F19" s="91" t="s">
        <v>135</v>
      </c>
      <c r="G19" s="82" t="str">
        <f t="shared" si="0"/>
        <v>junio</v>
      </c>
      <c r="M19" s="70"/>
      <c r="N19" s="104"/>
      <c r="O19" s="111"/>
      <c r="P19" s="111"/>
      <c r="Q19" s="111"/>
      <c r="R19" s="111"/>
      <c r="S19" s="111"/>
      <c r="T19" s="111"/>
      <c r="U19" s="111"/>
      <c r="V19" s="104"/>
      <c r="W19" s="104"/>
    </row>
    <row r="20" spans="1:23" ht="38.25">
      <c r="A20" s="87" t="s">
        <v>374</v>
      </c>
      <c r="B20" s="88">
        <v>41828</v>
      </c>
      <c r="C20" s="89" t="s">
        <v>375</v>
      </c>
      <c r="D20" s="89" t="s">
        <v>376</v>
      </c>
      <c r="E20" s="90">
        <v>72</v>
      </c>
      <c r="F20" s="91" t="s">
        <v>377</v>
      </c>
      <c r="G20" s="82" t="str">
        <f t="shared" si="0"/>
        <v>julio</v>
      </c>
      <c r="M20" s="70"/>
      <c r="N20" s="104"/>
      <c r="O20" s="111"/>
      <c r="P20" s="111"/>
      <c r="Q20" s="111"/>
      <c r="R20" s="111"/>
      <c r="S20" s="111"/>
      <c r="T20" s="111"/>
      <c r="U20" s="111"/>
      <c r="V20" s="104"/>
      <c r="W20" s="104"/>
    </row>
    <row r="21" spans="1:23" ht="25.5">
      <c r="A21" s="87" t="s">
        <v>355</v>
      </c>
      <c r="B21" s="88">
        <v>41766</v>
      </c>
      <c r="C21" s="89" t="s">
        <v>378</v>
      </c>
      <c r="D21" s="89" t="s">
        <v>379</v>
      </c>
      <c r="E21" s="90">
        <v>74</v>
      </c>
      <c r="F21" s="91" t="s">
        <v>380</v>
      </c>
      <c r="G21" s="82" t="str">
        <f t="shared" si="0"/>
        <v>mayo</v>
      </c>
      <c r="M21" s="70"/>
      <c r="N21" s="104"/>
      <c r="O21" s="111"/>
      <c r="P21" s="111"/>
      <c r="Q21" s="111"/>
      <c r="R21" s="111"/>
      <c r="S21" s="111"/>
      <c r="T21" s="111"/>
      <c r="U21" s="111"/>
      <c r="V21" s="104"/>
      <c r="W21" s="104"/>
    </row>
    <row r="22" spans="1:23" ht="38.25">
      <c r="A22" s="87" t="s">
        <v>381</v>
      </c>
      <c r="B22" s="88">
        <v>41769</v>
      </c>
      <c r="C22" s="89" t="s">
        <v>382</v>
      </c>
      <c r="D22" s="89" t="s">
        <v>383</v>
      </c>
      <c r="E22" s="90">
        <v>77</v>
      </c>
      <c r="F22" s="91" t="s">
        <v>142</v>
      </c>
      <c r="G22" s="82" t="str">
        <f t="shared" si="0"/>
        <v>mayo</v>
      </c>
      <c r="M22" s="70"/>
      <c r="N22" s="104"/>
      <c r="O22" s="111"/>
      <c r="P22" s="111"/>
      <c r="Q22" s="111"/>
      <c r="R22" s="111"/>
      <c r="S22" s="111"/>
      <c r="T22" s="111"/>
      <c r="U22" s="111"/>
      <c r="V22" s="104"/>
      <c r="W22" s="104"/>
    </row>
    <row r="23" spans="1:23" ht="26.25" thickBot="1">
      <c r="A23" s="92" t="s">
        <v>384</v>
      </c>
      <c r="B23" s="93">
        <v>41787</v>
      </c>
      <c r="C23" s="94" t="s">
        <v>385</v>
      </c>
      <c r="D23" s="94" t="s">
        <v>386</v>
      </c>
      <c r="E23" s="95">
        <v>78</v>
      </c>
      <c r="F23" s="96" t="s">
        <v>387</v>
      </c>
      <c r="G23" s="97" t="str">
        <f t="shared" si="0"/>
        <v>mayo</v>
      </c>
    </row>
  </sheetData>
  <autoFilter ref="A2:G23">
    <sortState ref="A3:G23">
      <sortCondition ref="E2:E23"/>
    </sortState>
  </autoFilter>
  <mergeCells count="4">
    <mergeCell ref="A1:M1"/>
    <mergeCell ref="M17:N17"/>
    <mergeCell ref="M16:N16"/>
    <mergeCell ref="O2:U2"/>
  </mergeCells>
  <phoneticPr fontId="0" type="noConversion"/>
  <dataValidations count="2">
    <dataValidation type="list" allowBlank="1" showInputMessage="1" showErrorMessage="1" sqref="Y2">
      <formula1>$N$4:$N$15</formula1>
    </dataValidation>
    <dataValidation type="list" allowBlank="1" showInputMessage="1" showErrorMessage="1" sqref="M2">
      <formula1>$O$3:$W$3</formula1>
    </dataValidation>
  </dataValidations>
  <pageMargins left="0.7" right="0.7" top="0.75" bottom="0.75" header="0.3" footer="0.3"/>
  <pageSetup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4"/>
  <sheetViews>
    <sheetView topLeftCell="A55" workbookViewId="0">
      <selection activeCell="A58" sqref="A58"/>
    </sheetView>
  </sheetViews>
  <sheetFormatPr baseColWidth="10" defaultRowHeight="15"/>
  <cols>
    <col min="1" max="1" width="16" bestFit="1" customWidth="1"/>
    <col min="2" max="2" width="15" customWidth="1"/>
  </cols>
  <sheetData>
    <row r="1" spans="1:7" ht="19.5" thickBot="1">
      <c r="C1" s="163" t="s">
        <v>610</v>
      </c>
      <c r="D1" s="164"/>
      <c r="E1" s="164"/>
      <c r="F1" s="164"/>
      <c r="G1" s="165"/>
    </row>
    <row r="2" spans="1:7">
      <c r="A2" s="54" t="s">
        <v>574</v>
      </c>
      <c r="B2" t="s">
        <v>580</v>
      </c>
    </row>
    <row r="4" spans="1:7">
      <c r="A4" s="54" t="s">
        <v>577</v>
      </c>
      <c r="B4" t="s">
        <v>579</v>
      </c>
    </row>
    <row r="5" spans="1:7">
      <c r="A5" s="56">
        <v>24</v>
      </c>
      <c r="B5" s="55">
        <v>1</v>
      </c>
    </row>
    <row r="6" spans="1:7">
      <c r="A6" s="56">
        <v>29</v>
      </c>
      <c r="B6" s="55">
        <v>3</v>
      </c>
    </row>
    <row r="7" spans="1:7">
      <c r="A7" s="56">
        <v>31</v>
      </c>
      <c r="B7" s="55">
        <v>2</v>
      </c>
    </row>
    <row r="8" spans="1:7">
      <c r="A8" s="56">
        <v>34</v>
      </c>
      <c r="B8" s="55">
        <v>1</v>
      </c>
    </row>
    <row r="9" spans="1:7">
      <c r="A9" s="56">
        <v>49</v>
      </c>
      <c r="B9" s="55">
        <v>4</v>
      </c>
    </row>
    <row r="10" spans="1:7">
      <c r="A10" s="56">
        <v>62</v>
      </c>
      <c r="B10" s="55">
        <v>2</v>
      </c>
    </row>
    <row r="11" spans="1:7">
      <c r="A11" s="56">
        <v>63</v>
      </c>
      <c r="B11" s="55">
        <v>2</v>
      </c>
    </row>
    <row r="12" spans="1:7">
      <c r="A12" s="56">
        <v>64</v>
      </c>
      <c r="B12" s="55">
        <v>1</v>
      </c>
    </row>
    <row r="13" spans="1:7">
      <c r="A13" s="56">
        <v>72</v>
      </c>
      <c r="B13" s="55">
        <v>2</v>
      </c>
    </row>
    <row r="14" spans="1:7">
      <c r="A14" s="56">
        <v>74</v>
      </c>
      <c r="B14" s="55">
        <v>1</v>
      </c>
    </row>
    <row r="15" spans="1:7">
      <c r="A15" s="56">
        <v>77</v>
      </c>
      <c r="B15" s="55">
        <v>1</v>
      </c>
    </row>
    <row r="16" spans="1:7">
      <c r="A16" s="56">
        <v>78</v>
      </c>
      <c r="B16" s="55">
        <v>1</v>
      </c>
    </row>
    <row r="17" spans="1:8">
      <c r="A17" s="56" t="s">
        <v>578</v>
      </c>
      <c r="B17" s="55">
        <v>21</v>
      </c>
    </row>
    <row r="19" spans="1:8" ht="15.75" thickBot="1"/>
    <row r="20" spans="1:8" ht="19.5" thickBot="1">
      <c r="D20" s="163" t="s">
        <v>613</v>
      </c>
      <c r="E20" s="164"/>
      <c r="F20" s="164"/>
      <c r="G20" s="164"/>
      <c r="H20" s="165"/>
    </row>
    <row r="21" spans="1:8">
      <c r="A21" s="54" t="s">
        <v>0</v>
      </c>
      <c r="B21" t="s">
        <v>580</v>
      </c>
    </row>
    <row r="23" spans="1:8">
      <c r="A23" s="54" t="s">
        <v>577</v>
      </c>
      <c r="B23" t="s">
        <v>579</v>
      </c>
    </row>
    <row r="24" spans="1:8">
      <c r="A24" s="56" t="s">
        <v>595</v>
      </c>
      <c r="B24" s="55">
        <v>6</v>
      </c>
    </row>
    <row r="25" spans="1:8">
      <c r="A25" s="56" t="s">
        <v>596</v>
      </c>
      <c r="B25" s="55">
        <v>7</v>
      </c>
    </row>
    <row r="26" spans="1:8">
      <c r="A26" s="56" t="s">
        <v>597</v>
      </c>
      <c r="B26" s="55">
        <v>8</v>
      </c>
    </row>
    <row r="27" spans="1:8">
      <c r="A27" s="56" t="s">
        <v>578</v>
      </c>
      <c r="B27" s="55">
        <v>21</v>
      </c>
    </row>
    <row r="38" spans="1:7" ht="15.75" thickBot="1"/>
    <row r="39" spans="1:7" ht="19.5" thickBot="1">
      <c r="C39" s="163" t="s">
        <v>611</v>
      </c>
      <c r="D39" s="164"/>
      <c r="E39" s="164"/>
      <c r="F39" s="164"/>
      <c r="G39" s="165"/>
    </row>
    <row r="40" spans="1:7">
      <c r="A40" s="145" t="s">
        <v>625</v>
      </c>
      <c r="B40" s="147" t="s">
        <v>623</v>
      </c>
    </row>
    <row r="56" spans="1:7" ht="15.75" thickBot="1"/>
    <row r="57" spans="1:7" ht="19.5" thickBot="1">
      <c r="C57" s="163" t="s">
        <v>612</v>
      </c>
      <c r="D57" s="164"/>
      <c r="E57" s="164"/>
      <c r="F57" s="164"/>
      <c r="G57" s="165"/>
    </row>
    <row r="58" spans="1:7" ht="18.75">
      <c r="A58" s="145" t="s">
        <v>625</v>
      </c>
      <c r="B58" s="147" t="s">
        <v>624</v>
      </c>
      <c r="C58" s="149"/>
      <c r="D58" s="149"/>
      <c r="E58" s="149"/>
      <c r="F58" s="149"/>
      <c r="G58" s="149"/>
    </row>
    <row r="75" spans="3:7" ht="15.75" thickBot="1"/>
    <row r="76" spans="3:7" ht="19.5" thickBot="1">
      <c r="C76" s="163" t="s">
        <v>617</v>
      </c>
      <c r="D76" s="164"/>
      <c r="E76" s="164"/>
      <c r="F76" s="164"/>
      <c r="G76" s="165"/>
    </row>
    <row r="93" spans="3:7" ht="15.75" thickBot="1"/>
    <row r="94" spans="3:7" ht="19.5" thickBot="1">
      <c r="C94" s="163" t="s">
        <v>618</v>
      </c>
      <c r="D94" s="164"/>
      <c r="E94" s="164"/>
      <c r="F94" s="164"/>
      <c r="G94" s="165"/>
    </row>
  </sheetData>
  <mergeCells count="6">
    <mergeCell ref="C94:G94"/>
    <mergeCell ref="C1:G1"/>
    <mergeCell ref="D20:H20"/>
    <mergeCell ref="C39:G39"/>
    <mergeCell ref="C57:G57"/>
    <mergeCell ref="C76:G76"/>
  </mergeCells>
  <hyperlinks>
    <hyperlink ref="B40" location="'2081'!M2" display="Ir a Seleccion de Mes"/>
    <hyperlink ref="B58" location="'2081'!Y2" display="Ir a Seleccion de Ata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topLeftCell="L7" zoomScale="85" zoomScaleNormal="85" workbookViewId="0">
      <selection activeCell="O2" sqref="O2:U2"/>
    </sheetView>
  </sheetViews>
  <sheetFormatPr baseColWidth="10" defaultColWidth="11.42578125" defaultRowHeight="15"/>
  <cols>
    <col min="1" max="1" width="9.42578125" style="10" bestFit="1" customWidth="1"/>
    <col min="2" max="2" width="11.5703125" style="10" customWidth="1"/>
    <col min="3" max="4" width="47.140625" style="10" customWidth="1"/>
    <col min="5" max="5" width="5.5703125" style="10" customWidth="1"/>
    <col min="6" max="6" width="16.140625" style="11" customWidth="1"/>
    <col min="12" max="12" width="17.140625" customWidth="1"/>
    <col min="13" max="13" width="14.42578125" customWidth="1"/>
  </cols>
  <sheetData>
    <row r="1" spans="1:26" ht="27" thickBot="1">
      <c r="A1" s="156" t="s">
        <v>512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26" ht="19.5" thickBot="1">
      <c r="A2" s="83" t="s">
        <v>148</v>
      </c>
      <c r="B2" s="84" t="s">
        <v>151</v>
      </c>
      <c r="C2" s="84" t="s">
        <v>149</v>
      </c>
      <c r="D2" s="84" t="s">
        <v>150</v>
      </c>
      <c r="E2" s="84" t="s">
        <v>0</v>
      </c>
      <c r="F2" s="84" t="s">
        <v>0</v>
      </c>
      <c r="G2" s="86" t="s">
        <v>574</v>
      </c>
      <c r="L2" s="74" t="s">
        <v>592</v>
      </c>
      <c r="M2" s="98" t="s">
        <v>590</v>
      </c>
      <c r="N2" s="65"/>
      <c r="O2" s="160" t="s">
        <v>622</v>
      </c>
      <c r="P2" s="161"/>
      <c r="Q2" s="161"/>
      <c r="R2" s="161"/>
      <c r="S2" s="161"/>
      <c r="T2" s="161"/>
      <c r="U2" s="162"/>
      <c r="X2" s="77" t="s">
        <v>593</v>
      </c>
      <c r="Y2" s="112">
        <v>25</v>
      </c>
    </row>
    <row r="3" spans="1:26" ht="38.25">
      <c r="A3" s="87" t="s">
        <v>464</v>
      </c>
      <c r="B3" s="88">
        <v>41788</v>
      </c>
      <c r="C3" s="89" t="s">
        <v>465</v>
      </c>
      <c r="D3" s="89" t="s">
        <v>466</v>
      </c>
      <c r="E3" s="99">
        <v>24</v>
      </c>
      <c r="F3" s="91" t="s">
        <v>174</v>
      </c>
      <c r="G3" s="82" t="str">
        <f>TEXT(B3,"mmmm")</f>
        <v>mayo</v>
      </c>
      <c r="H3" s="37"/>
      <c r="I3" s="37"/>
      <c r="J3" s="37"/>
      <c r="K3" s="37"/>
      <c r="M3" s="71" t="str">
        <f>CONCATENATE("Indice   ","en  ", M2)</f>
        <v>Indice   en  Junio</v>
      </c>
      <c r="N3" s="72" t="s">
        <v>0</v>
      </c>
      <c r="O3" s="73" t="s">
        <v>585</v>
      </c>
      <c r="P3" s="73" t="s">
        <v>586</v>
      </c>
      <c r="Q3" s="73" t="s">
        <v>587</v>
      </c>
      <c r="R3" s="73" t="s">
        <v>588</v>
      </c>
      <c r="S3" s="73" t="s">
        <v>589</v>
      </c>
      <c r="T3" s="73" t="s">
        <v>590</v>
      </c>
      <c r="U3" s="76" t="s">
        <v>591</v>
      </c>
      <c r="V3" s="108"/>
      <c r="W3" s="108"/>
      <c r="Y3" s="78" t="s">
        <v>574</v>
      </c>
      <c r="Z3" s="76" t="s">
        <v>594</v>
      </c>
    </row>
    <row r="4" spans="1:26" ht="38.25">
      <c r="A4" s="87" t="s">
        <v>327</v>
      </c>
      <c r="B4" s="88">
        <v>41790</v>
      </c>
      <c r="C4" s="89" t="s">
        <v>467</v>
      </c>
      <c r="D4" s="89" t="s">
        <v>468</v>
      </c>
      <c r="E4" s="90">
        <v>24</v>
      </c>
      <c r="F4" s="91" t="s">
        <v>174</v>
      </c>
      <c r="G4" s="82" t="str">
        <f t="shared" ref="G4:G18" si="0">TEXT(B4,"mmmm")</f>
        <v>mayo</v>
      </c>
      <c r="M4" s="75">
        <f>IF(M$2="Enero",O4/39,IF(M$2="Febrero",P4/60,IF(M$2="Marzo",Q4/73,IF(M$2="Abril",R4/76,IF(M$2="Mayo",S4/56,IF(M$2="Junio",T4/34,IF(M$2="Julio",U4/2)))))))</f>
        <v>0</v>
      </c>
      <c r="N4" s="66">
        <v>24</v>
      </c>
      <c r="O4" s="100">
        <f t="shared" ref="O4:U14" si="1">COUNTIFS($E$3:$E$58,$N4,$G$3:$G$58,O$3)</f>
        <v>0</v>
      </c>
      <c r="P4" s="100">
        <f t="shared" si="1"/>
        <v>0</v>
      </c>
      <c r="Q4" s="100">
        <f t="shared" si="1"/>
        <v>0</v>
      </c>
      <c r="R4" s="100">
        <f t="shared" si="1"/>
        <v>0</v>
      </c>
      <c r="S4" s="100">
        <f t="shared" si="1"/>
        <v>2</v>
      </c>
      <c r="T4" s="100">
        <f t="shared" si="1"/>
        <v>0</v>
      </c>
      <c r="U4" s="109">
        <f t="shared" si="1"/>
        <v>0</v>
      </c>
      <c r="V4" s="104"/>
      <c r="W4" s="104"/>
      <c r="Y4" s="79" t="s">
        <v>585</v>
      </c>
      <c r="Z4" s="57">
        <v>0</v>
      </c>
    </row>
    <row r="5" spans="1:26" ht="25.5">
      <c r="A5" s="87" t="s">
        <v>469</v>
      </c>
      <c r="B5" s="88">
        <v>41836</v>
      </c>
      <c r="C5" s="89" t="s">
        <v>470</v>
      </c>
      <c r="D5" s="89" t="s">
        <v>471</v>
      </c>
      <c r="E5" s="90">
        <v>25</v>
      </c>
      <c r="F5" s="91" t="s">
        <v>472</v>
      </c>
      <c r="G5" s="82" t="str">
        <f t="shared" si="0"/>
        <v>julio</v>
      </c>
      <c r="M5" s="75">
        <f t="shared" ref="M5:M14" si="2">IF(M$2="Enero",O5/39,IF(M$2="Febrero",P5/60,IF(M$2="Marzo",Q5/73,IF(M$2="Abril",R5/76,IF(M$2="Mayo",S5/56,IF(M$2="Junio",T5/34,IF(M$2="Julio",U5/2)))))))</f>
        <v>0</v>
      </c>
      <c r="N5" s="66">
        <v>25</v>
      </c>
      <c r="O5" s="100">
        <f t="shared" si="1"/>
        <v>0</v>
      </c>
      <c r="P5" s="100">
        <f t="shared" si="1"/>
        <v>0</v>
      </c>
      <c r="Q5" s="100">
        <f t="shared" si="1"/>
        <v>0</v>
      </c>
      <c r="R5" s="100">
        <f t="shared" si="1"/>
        <v>0</v>
      </c>
      <c r="S5" s="100">
        <f t="shared" si="1"/>
        <v>0</v>
      </c>
      <c r="T5" s="100">
        <f t="shared" si="1"/>
        <v>0</v>
      </c>
      <c r="U5" s="109">
        <f t="shared" si="1"/>
        <v>1</v>
      </c>
      <c r="V5" s="104"/>
      <c r="W5" s="104"/>
      <c r="Y5" s="79" t="s">
        <v>586</v>
      </c>
      <c r="Z5" s="57">
        <v>0</v>
      </c>
    </row>
    <row r="6" spans="1:26" ht="25.5">
      <c r="A6" s="87" t="s">
        <v>469</v>
      </c>
      <c r="B6" s="88">
        <v>41836</v>
      </c>
      <c r="C6" s="89" t="s">
        <v>473</v>
      </c>
      <c r="D6" s="89" t="s">
        <v>474</v>
      </c>
      <c r="E6" s="90">
        <v>26</v>
      </c>
      <c r="F6" s="91" t="s">
        <v>475</v>
      </c>
      <c r="G6" s="82" t="str">
        <f t="shared" si="0"/>
        <v>julio</v>
      </c>
      <c r="M6" s="75">
        <f t="shared" si="2"/>
        <v>0</v>
      </c>
      <c r="N6" s="66">
        <v>26</v>
      </c>
      <c r="O6" s="100">
        <f t="shared" si="1"/>
        <v>0</v>
      </c>
      <c r="P6" s="100">
        <f t="shared" si="1"/>
        <v>0</v>
      </c>
      <c r="Q6" s="100">
        <f t="shared" si="1"/>
        <v>0</v>
      </c>
      <c r="R6" s="100">
        <f t="shared" si="1"/>
        <v>0</v>
      </c>
      <c r="S6" s="100">
        <f t="shared" si="1"/>
        <v>0</v>
      </c>
      <c r="T6" s="100">
        <f t="shared" si="1"/>
        <v>0</v>
      </c>
      <c r="U6" s="109">
        <f t="shared" si="1"/>
        <v>1</v>
      </c>
      <c r="V6" s="104"/>
      <c r="W6" s="104"/>
      <c r="Y6" s="79" t="s">
        <v>587</v>
      </c>
      <c r="Z6" s="57">
        <v>0</v>
      </c>
    </row>
    <row r="7" spans="1:26" ht="25.5">
      <c r="A7" s="87" t="s">
        <v>384</v>
      </c>
      <c r="B7" s="88">
        <v>41772</v>
      </c>
      <c r="C7" s="89" t="s">
        <v>476</v>
      </c>
      <c r="D7" s="89" t="s">
        <v>477</v>
      </c>
      <c r="E7" s="90">
        <v>28</v>
      </c>
      <c r="F7" s="91" t="s">
        <v>478</v>
      </c>
      <c r="G7" s="82" t="str">
        <f t="shared" si="0"/>
        <v>mayo</v>
      </c>
      <c r="M7" s="75">
        <f t="shared" si="2"/>
        <v>0</v>
      </c>
      <c r="N7" s="66">
        <v>28</v>
      </c>
      <c r="O7" s="100">
        <f t="shared" si="1"/>
        <v>0</v>
      </c>
      <c r="P7" s="100">
        <f t="shared" si="1"/>
        <v>0</v>
      </c>
      <c r="Q7" s="100">
        <f t="shared" si="1"/>
        <v>0</v>
      </c>
      <c r="R7" s="100">
        <f t="shared" si="1"/>
        <v>0</v>
      </c>
      <c r="S7" s="100">
        <f t="shared" si="1"/>
        <v>1</v>
      </c>
      <c r="T7" s="100">
        <f t="shared" si="1"/>
        <v>0</v>
      </c>
      <c r="U7" s="109">
        <f t="shared" si="1"/>
        <v>0</v>
      </c>
      <c r="V7" s="104"/>
      <c r="W7" s="104"/>
      <c r="Y7" s="79" t="s">
        <v>588</v>
      </c>
      <c r="Z7" s="57">
        <v>0</v>
      </c>
    </row>
    <row r="8" spans="1:26" ht="25.5">
      <c r="A8" s="87" t="s">
        <v>479</v>
      </c>
      <c r="B8" s="88">
        <v>41811</v>
      </c>
      <c r="C8" s="89" t="s">
        <v>480</v>
      </c>
      <c r="D8" s="89" t="s">
        <v>481</v>
      </c>
      <c r="E8" s="90">
        <v>29</v>
      </c>
      <c r="F8" s="91" t="s">
        <v>202</v>
      </c>
      <c r="G8" s="82" t="str">
        <f t="shared" si="0"/>
        <v>junio</v>
      </c>
      <c r="M8" s="75">
        <f t="shared" si="2"/>
        <v>2.9411764705882353E-2</v>
      </c>
      <c r="N8" s="66">
        <v>29</v>
      </c>
      <c r="O8" s="100">
        <f t="shared" si="1"/>
        <v>0</v>
      </c>
      <c r="P8" s="100">
        <f t="shared" si="1"/>
        <v>0</v>
      </c>
      <c r="Q8" s="100">
        <f t="shared" si="1"/>
        <v>0</v>
      </c>
      <c r="R8" s="100">
        <f t="shared" si="1"/>
        <v>0</v>
      </c>
      <c r="S8" s="100">
        <f t="shared" si="1"/>
        <v>0</v>
      </c>
      <c r="T8" s="100">
        <f t="shared" si="1"/>
        <v>1</v>
      </c>
      <c r="U8" s="109">
        <f t="shared" si="1"/>
        <v>0</v>
      </c>
      <c r="V8" s="104"/>
      <c r="W8" s="104"/>
      <c r="Y8" s="79" t="s">
        <v>589</v>
      </c>
      <c r="Z8" s="57">
        <v>0</v>
      </c>
    </row>
    <row r="9" spans="1:26" ht="25.5">
      <c r="A9" s="87" t="s">
        <v>482</v>
      </c>
      <c r="B9" s="88">
        <v>41801</v>
      </c>
      <c r="C9" s="89" t="s">
        <v>483</v>
      </c>
      <c r="D9" s="89" t="s">
        <v>484</v>
      </c>
      <c r="E9" s="90">
        <v>31</v>
      </c>
      <c r="F9" s="91" t="s">
        <v>101</v>
      </c>
      <c r="G9" s="82" t="str">
        <f t="shared" si="0"/>
        <v>junio</v>
      </c>
      <c r="M9" s="75">
        <f t="shared" si="2"/>
        <v>5.8823529411764705E-2</v>
      </c>
      <c r="N9" s="66">
        <v>31</v>
      </c>
      <c r="O9" s="100">
        <f t="shared" si="1"/>
        <v>0</v>
      </c>
      <c r="P9" s="100">
        <f t="shared" si="1"/>
        <v>0</v>
      </c>
      <c r="Q9" s="100">
        <f t="shared" si="1"/>
        <v>0</v>
      </c>
      <c r="R9" s="100">
        <f t="shared" si="1"/>
        <v>0</v>
      </c>
      <c r="S9" s="100">
        <f t="shared" si="1"/>
        <v>0</v>
      </c>
      <c r="T9" s="100">
        <f t="shared" si="1"/>
        <v>2</v>
      </c>
      <c r="U9" s="109">
        <f t="shared" si="1"/>
        <v>2</v>
      </c>
      <c r="V9" s="104"/>
      <c r="W9" s="104"/>
      <c r="Y9" s="79" t="s">
        <v>590</v>
      </c>
      <c r="Z9" s="57">
        <v>0</v>
      </c>
    </row>
    <row r="10" spans="1:26" ht="26.25" thickBot="1">
      <c r="A10" s="87" t="s">
        <v>485</v>
      </c>
      <c r="B10" s="88">
        <v>41814</v>
      </c>
      <c r="C10" s="89" t="s">
        <v>486</v>
      </c>
      <c r="D10" s="89" t="s">
        <v>487</v>
      </c>
      <c r="E10" s="90">
        <v>31</v>
      </c>
      <c r="F10" s="91" t="s">
        <v>101</v>
      </c>
      <c r="G10" s="82" t="str">
        <f t="shared" si="0"/>
        <v>junio</v>
      </c>
      <c r="M10" s="75">
        <f t="shared" si="2"/>
        <v>5.8823529411764705E-2</v>
      </c>
      <c r="N10" s="66">
        <v>34</v>
      </c>
      <c r="O10" s="100">
        <f t="shared" si="1"/>
        <v>0</v>
      </c>
      <c r="P10" s="100">
        <f t="shared" si="1"/>
        <v>0</v>
      </c>
      <c r="Q10" s="100">
        <f t="shared" si="1"/>
        <v>0</v>
      </c>
      <c r="R10" s="100">
        <f t="shared" si="1"/>
        <v>0</v>
      </c>
      <c r="S10" s="100">
        <f t="shared" si="1"/>
        <v>0</v>
      </c>
      <c r="T10" s="100">
        <f t="shared" si="1"/>
        <v>2</v>
      </c>
      <c r="U10" s="109">
        <f t="shared" si="1"/>
        <v>0</v>
      </c>
      <c r="V10" s="104"/>
      <c r="W10" s="104"/>
      <c r="Y10" s="103" t="s">
        <v>591</v>
      </c>
      <c r="Z10" s="58">
        <f>IF(Y$2=24,U$4/2,IF(Y$2=25,U$5/2,IF(Y$2=26,U$6/2,IF(Y$2=28,U$7/2,IF(Y$2=29,U$8/2,IF(Y$2=31,U$9/2,IF(Y$2=34,U$10/2,IF(Y$2=63,U$11/2,IF(Y$2=64,U$12/2,IF(Y$2=67,U$13/2,IF(Y$2=72,U$14/2)))))))))))</f>
        <v>0.5</v>
      </c>
    </row>
    <row r="11" spans="1:26" ht="25.5">
      <c r="A11" s="87" t="s">
        <v>488</v>
      </c>
      <c r="B11" s="88">
        <v>41829</v>
      </c>
      <c r="C11" s="89" t="s">
        <v>489</v>
      </c>
      <c r="D11" s="89" t="s">
        <v>490</v>
      </c>
      <c r="E11" s="90">
        <v>31</v>
      </c>
      <c r="F11" s="91" t="s">
        <v>491</v>
      </c>
      <c r="G11" s="82" t="str">
        <f t="shared" si="0"/>
        <v>julio</v>
      </c>
      <c r="M11" s="75">
        <f t="shared" si="2"/>
        <v>2.9411764705882353E-2</v>
      </c>
      <c r="N11" s="66">
        <v>63</v>
      </c>
      <c r="O11" s="100">
        <f t="shared" si="1"/>
        <v>0</v>
      </c>
      <c r="P11" s="100">
        <f t="shared" si="1"/>
        <v>0</v>
      </c>
      <c r="Q11" s="100">
        <f t="shared" si="1"/>
        <v>0</v>
      </c>
      <c r="R11" s="100">
        <f t="shared" si="1"/>
        <v>0</v>
      </c>
      <c r="S11" s="100">
        <f t="shared" si="1"/>
        <v>0</v>
      </c>
      <c r="T11" s="100">
        <f t="shared" si="1"/>
        <v>1</v>
      </c>
      <c r="U11" s="109">
        <f t="shared" si="1"/>
        <v>0</v>
      </c>
      <c r="V11" s="104"/>
      <c r="W11" s="104"/>
      <c r="Y11" s="101"/>
      <c r="Z11" s="102"/>
    </row>
    <row r="12" spans="1:26" ht="25.5">
      <c r="A12" s="87" t="s">
        <v>488</v>
      </c>
      <c r="B12" s="88">
        <v>41829</v>
      </c>
      <c r="C12" s="89" t="s">
        <v>492</v>
      </c>
      <c r="D12" s="89" t="s">
        <v>493</v>
      </c>
      <c r="E12" s="90">
        <v>31</v>
      </c>
      <c r="F12" s="91" t="s">
        <v>491</v>
      </c>
      <c r="G12" s="82" t="str">
        <f t="shared" si="0"/>
        <v>julio</v>
      </c>
      <c r="M12" s="75">
        <f t="shared" si="2"/>
        <v>0</v>
      </c>
      <c r="N12" s="66">
        <v>64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9">
        <f t="shared" si="1"/>
        <v>1</v>
      </c>
      <c r="V12" s="104"/>
      <c r="W12" s="104"/>
      <c r="Y12" s="101"/>
      <c r="Z12" s="102"/>
    </row>
    <row r="13" spans="1:26" ht="25.5">
      <c r="A13" s="87" t="s">
        <v>494</v>
      </c>
      <c r="B13" s="88">
        <v>41811</v>
      </c>
      <c r="C13" s="89" t="s">
        <v>495</v>
      </c>
      <c r="D13" s="89" t="s">
        <v>496</v>
      </c>
      <c r="E13" s="90">
        <v>34</v>
      </c>
      <c r="F13" s="91" t="s">
        <v>108</v>
      </c>
      <c r="G13" s="82" t="str">
        <f t="shared" si="0"/>
        <v>junio</v>
      </c>
      <c r="M13" s="75">
        <f t="shared" si="2"/>
        <v>2.9411764705882353E-2</v>
      </c>
      <c r="N13" s="66">
        <v>67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1</v>
      </c>
      <c r="U13" s="109">
        <f t="shared" si="1"/>
        <v>0</v>
      </c>
      <c r="V13" s="104"/>
      <c r="W13" s="104"/>
    </row>
    <row r="14" spans="1:26" ht="25.5">
      <c r="A14" s="87" t="s">
        <v>497</v>
      </c>
      <c r="B14" s="88">
        <v>41818</v>
      </c>
      <c r="C14" s="89" t="s">
        <v>498</v>
      </c>
      <c r="D14" s="89" t="s">
        <v>499</v>
      </c>
      <c r="E14" s="90">
        <v>34</v>
      </c>
      <c r="F14" s="91" t="s">
        <v>108</v>
      </c>
      <c r="G14" s="82" t="str">
        <f t="shared" si="0"/>
        <v>junio</v>
      </c>
      <c r="M14" s="113">
        <f t="shared" si="2"/>
        <v>2.9411764705882353E-2</v>
      </c>
      <c r="N14" s="114">
        <v>72</v>
      </c>
      <c r="O14" s="115">
        <f t="shared" si="1"/>
        <v>0</v>
      </c>
      <c r="P14" s="115">
        <f t="shared" si="1"/>
        <v>0</v>
      </c>
      <c r="Q14" s="115">
        <f t="shared" si="1"/>
        <v>0</v>
      </c>
      <c r="R14" s="115">
        <f t="shared" si="1"/>
        <v>0</v>
      </c>
      <c r="S14" s="115">
        <f t="shared" si="1"/>
        <v>0</v>
      </c>
      <c r="T14" s="115">
        <f t="shared" si="1"/>
        <v>1</v>
      </c>
      <c r="U14" s="116">
        <f t="shared" si="1"/>
        <v>0</v>
      </c>
      <c r="V14" s="104"/>
      <c r="W14" s="104"/>
    </row>
    <row r="15" spans="1:26" ht="26.25" thickBot="1">
      <c r="A15" s="87" t="s">
        <v>331</v>
      </c>
      <c r="B15" s="88">
        <v>41795</v>
      </c>
      <c r="C15" s="89" t="s">
        <v>500</v>
      </c>
      <c r="D15" s="89" t="s">
        <v>501</v>
      </c>
      <c r="E15" s="90">
        <v>63</v>
      </c>
      <c r="F15" s="91" t="s">
        <v>272</v>
      </c>
      <c r="G15" s="82" t="str">
        <f t="shared" si="0"/>
        <v>junio</v>
      </c>
      <c r="M15" s="166" t="s">
        <v>599</v>
      </c>
      <c r="N15" s="166"/>
      <c r="O15" s="117">
        <f>SUM(O4:O14)</f>
        <v>0</v>
      </c>
      <c r="P15" s="117">
        <f t="shared" ref="P15:U15" si="3">SUM(P4:P14)</f>
        <v>0</v>
      </c>
      <c r="Q15" s="117">
        <f t="shared" si="3"/>
        <v>0</v>
      </c>
      <c r="R15" s="117">
        <f t="shared" si="3"/>
        <v>0</v>
      </c>
      <c r="S15" s="117">
        <f t="shared" si="3"/>
        <v>3</v>
      </c>
      <c r="T15" s="117">
        <f t="shared" si="3"/>
        <v>8</v>
      </c>
      <c r="U15" s="117">
        <f t="shared" si="3"/>
        <v>5</v>
      </c>
      <c r="V15" s="104"/>
      <c r="W15" s="104"/>
    </row>
    <row r="16" spans="1:26" ht="26.25" thickBot="1">
      <c r="A16" s="87" t="s">
        <v>502</v>
      </c>
      <c r="B16" s="88">
        <v>41850</v>
      </c>
      <c r="C16" s="89" t="s">
        <v>503</v>
      </c>
      <c r="D16" s="89" t="s">
        <v>504</v>
      </c>
      <c r="E16" s="90">
        <v>64</v>
      </c>
      <c r="F16" s="91" t="s">
        <v>370</v>
      </c>
      <c r="G16" s="82" t="str">
        <f t="shared" si="0"/>
        <v>julio</v>
      </c>
      <c r="M16" s="158" t="s">
        <v>605</v>
      </c>
      <c r="N16" s="159"/>
      <c r="O16" s="122">
        <v>0</v>
      </c>
      <c r="P16" s="122">
        <v>0</v>
      </c>
      <c r="Q16" s="122">
        <v>0</v>
      </c>
      <c r="R16" s="122">
        <v>0</v>
      </c>
      <c r="S16" s="122">
        <v>0</v>
      </c>
      <c r="T16" s="122">
        <v>0</v>
      </c>
      <c r="U16" s="123">
        <f>U15/2</f>
        <v>2.5</v>
      </c>
      <c r="V16" s="104"/>
      <c r="W16" s="104"/>
    </row>
    <row r="17" spans="1:23" ht="38.25">
      <c r="A17" s="87" t="s">
        <v>505</v>
      </c>
      <c r="B17" s="88">
        <v>41813</v>
      </c>
      <c r="C17" s="89" t="s">
        <v>506</v>
      </c>
      <c r="D17" s="89" t="s">
        <v>507</v>
      </c>
      <c r="E17" s="90">
        <v>67</v>
      </c>
      <c r="F17" s="91" t="s">
        <v>508</v>
      </c>
      <c r="G17" s="82" t="str">
        <f t="shared" si="0"/>
        <v>junio</v>
      </c>
      <c r="M17" s="70"/>
      <c r="N17" s="104"/>
      <c r="O17" s="111"/>
      <c r="P17" s="111"/>
      <c r="Q17" s="111"/>
      <c r="R17" s="111"/>
      <c r="S17" s="111"/>
      <c r="T17" s="111"/>
      <c r="U17" s="111"/>
      <c r="V17" s="104"/>
      <c r="W17" s="104"/>
    </row>
    <row r="18" spans="1:23" ht="26.25" thickBot="1">
      <c r="A18" s="92" t="s">
        <v>509</v>
      </c>
      <c r="B18" s="93">
        <v>41819</v>
      </c>
      <c r="C18" s="94" t="s">
        <v>510</v>
      </c>
      <c r="D18" s="94" t="s">
        <v>511</v>
      </c>
      <c r="E18" s="95">
        <v>72</v>
      </c>
      <c r="F18" s="96" t="s">
        <v>135</v>
      </c>
      <c r="G18" s="97" t="str">
        <f t="shared" si="0"/>
        <v>junio</v>
      </c>
      <c r="M18" s="70"/>
      <c r="N18" s="104"/>
      <c r="O18" s="111"/>
      <c r="P18" s="111"/>
      <c r="Q18" s="111"/>
      <c r="R18" s="111"/>
      <c r="S18" s="111"/>
      <c r="T18" s="111"/>
      <c r="U18" s="111"/>
      <c r="V18" s="104"/>
      <c r="W18" s="104"/>
    </row>
    <row r="19" spans="1:23">
      <c r="M19" s="70"/>
      <c r="N19" s="104"/>
      <c r="O19" s="111"/>
      <c r="P19" s="111"/>
      <c r="Q19" s="111"/>
      <c r="R19" s="111"/>
      <c r="S19" s="111"/>
      <c r="T19" s="111"/>
      <c r="U19" s="111"/>
      <c r="V19" s="104"/>
      <c r="W19" s="104"/>
    </row>
    <row r="20" spans="1:23">
      <c r="M20" s="70"/>
      <c r="N20" s="104"/>
      <c r="O20" s="111"/>
      <c r="P20" s="111"/>
      <c r="Q20" s="111"/>
      <c r="R20" s="111"/>
      <c r="S20" s="111"/>
      <c r="T20" s="111"/>
      <c r="U20" s="111"/>
      <c r="V20" s="104"/>
      <c r="W20" s="104"/>
    </row>
    <row r="21" spans="1:23">
      <c r="M21" s="70"/>
      <c r="N21" s="104"/>
      <c r="O21" s="111"/>
      <c r="P21" s="111"/>
      <c r="Q21" s="111"/>
      <c r="R21" s="111"/>
      <c r="S21" s="111"/>
      <c r="T21" s="111"/>
      <c r="U21" s="111"/>
      <c r="V21" s="104"/>
      <c r="W21" s="104"/>
    </row>
    <row r="22" spans="1:23">
      <c r="M22" s="70"/>
      <c r="N22" s="104"/>
      <c r="O22" s="111"/>
      <c r="P22" s="111"/>
      <c r="Q22" s="111"/>
      <c r="R22" s="111"/>
      <c r="S22" s="111"/>
      <c r="T22" s="111"/>
      <c r="U22" s="111"/>
      <c r="V22" s="104"/>
      <c r="W22" s="104"/>
    </row>
  </sheetData>
  <autoFilter ref="A2:F22"/>
  <mergeCells count="4">
    <mergeCell ref="A1:M1"/>
    <mergeCell ref="M15:N15"/>
    <mergeCell ref="M16:N16"/>
    <mergeCell ref="O2:U2"/>
  </mergeCells>
  <phoneticPr fontId="0" type="noConversion"/>
  <dataValidations count="2">
    <dataValidation type="list" allowBlank="1" showInputMessage="1" showErrorMessage="1" sqref="Y2">
      <formula1>$N$4:$N$14</formula1>
    </dataValidation>
    <dataValidation type="list" allowBlank="1" showInputMessage="1" showErrorMessage="1" sqref="M2">
      <formula1>$O$3:$W$3</formula1>
    </dataValidation>
  </dataValidations>
  <pageMargins left="0.7" right="0.7" top="0.75" bottom="0.75" header="0.3" footer="0.3"/>
  <pageSetup orientation="portrait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ATA'S</vt:lpstr>
      <vt:lpstr>2014</vt:lpstr>
      <vt:lpstr>1996</vt:lpstr>
      <vt:lpstr>Reportajes -1996</vt:lpstr>
      <vt:lpstr>2035</vt:lpstr>
      <vt:lpstr>Reportes -2035</vt:lpstr>
      <vt:lpstr>2081</vt:lpstr>
      <vt:lpstr>Reportes-2081 </vt:lpstr>
      <vt:lpstr>2082</vt:lpstr>
      <vt:lpstr>Reportes -2082</vt:lpstr>
      <vt:lpstr>Hoja1</vt:lpstr>
      <vt:lpstr>Reporte Global 4 aviones</vt:lpstr>
      <vt:lpstr>Hoja2</vt:lpstr>
      <vt:lpstr>'1996'!Área_de_impresión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2015-03-28T05:16:28Z</dcterms:modified>
</cp:coreProperties>
</file>